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7C3D0DE-860F-4C81-A77A-A2E819AF9D48}" xr6:coauthVersionLast="47" xr6:coauthVersionMax="47" xr10:uidLastSave="{00000000-0000-0000-0000-000000000000}"/>
  <bookViews>
    <workbookView xWindow="820" yWindow="-110" windowWidth="18490" windowHeight="11020" firstSheet="3" activeTab="6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.1" sheetId="4" r:id="rId4"/>
    <sheet name="Задание 4.2" sheetId="5" r:id="rId5"/>
    <sheet name="Задание 4.3" sheetId="6" r:id="rId6"/>
    <sheet name="Задание 5" sheetId="7" r:id="rId7"/>
    <sheet name="Задание 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6" l="1"/>
  <c r="F3" i="6"/>
  <c r="Q8" i="5"/>
  <c r="L23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" i="5"/>
  <c r="J5" i="5"/>
  <c r="B1" i="8"/>
  <c r="E6" i="8" s="1"/>
  <c r="F6" i="8"/>
  <c r="F14" i="8"/>
  <c r="F22" i="8"/>
  <c r="F30" i="8"/>
  <c r="F38" i="8"/>
  <c r="F46" i="8"/>
  <c r="F3" i="8"/>
  <c r="E4" i="8"/>
  <c r="E12" i="8"/>
  <c r="E19" i="8"/>
  <c r="E20" i="8"/>
  <c r="E27" i="8"/>
  <c r="E28" i="8"/>
  <c r="E35" i="8"/>
  <c r="E36" i="8"/>
  <c r="E43" i="8"/>
  <c r="E44" i="8"/>
  <c r="E51" i="8"/>
  <c r="E52" i="8"/>
  <c r="D25" i="8"/>
  <c r="D26" i="8"/>
  <c r="D49" i="8"/>
  <c r="D50" i="8"/>
  <c r="C1" i="8"/>
  <c r="F8" i="8" s="1"/>
  <c r="F45" i="8" l="1"/>
  <c r="F29" i="8"/>
  <c r="E42" i="8"/>
  <c r="E10" i="8"/>
  <c r="F36" i="8"/>
  <c r="D51" i="8"/>
  <c r="D27" i="8"/>
  <c r="E3" i="8"/>
  <c r="E45" i="8"/>
  <c r="E37" i="8"/>
  <c r="E29" i="8"/>
  <c r="E21" i="8"/>
  <c r="E13" i="8"/>
  <c r="E5" i="8"/>
  <c r="F47" i="8"/>
  <c r="F39" i="8"/>
  <c r="F31" i="8"/>
  <c r="F23" i="8"/>
  <c r="F15" i="8"/>
  <c r="F7" i="8"/>
  <c r="E26" i="8"/>
  <c r="F12" i="8"/>
  <c r="E11" i="8"/>
  <c r="F37" i="8"/>
  <c r="F13" i="8"/>
  <c r="D48" i="8"/>
  <c r="E50" i="8"/>
  <c r="E18" i="8"/>
  <c r="F44" i="8"/>
  <c r="F28" i="8"/>
  <c r="F20" i="8"/>
  <c r="F4" i="8"/>
  <c r="F1" i="8" s="1"/>
  <c r="D39" i="8"/>
  <c r="D15" i="8"/>
  <c r="E49" i="8"/>
  <c r="E41" i="8"/>
  <c r="E33" i="8"/>
  <c r="E25" i="8"/>
  <c r="E17" i="8"/>
  <c r="E9" i="8"/>
  <c r="F51" i="8"/>
  <c r="F43" i="8"/>
  <c r="F35" i="8"/>
  <c r="F27" i="8"/>
  <c r="F19" i="8"/>
  <c r="F11" i="8"/>
  <c r="F21" i="8"/>
  <c r="D24" i="8"/>
  <c r="F52" i="8"/>
  <c r="D38" i="8"/>
  <c r="D14" i="8"/>
  <c r="E48" i="8"/>
  <c r="E40" i="8"/>
  <c r="E32" i="8"/>
  <c r="E24" i="8"/>
  <c r="E16" i="8"/>
  <c r="E8" i="8"/>
  <c r="F50" i="8"/>
  <c r="F42" i="8"/>
  <c r="F34" i="8"/>
  <c r="F26" i="8"/>
  <c r="F18" i="8"/>
  <c r="F10" i="8"/>
  <c r="F5" i="8"/>
  <c r="E34" i="8"/>
  <c r="D4" i="8"/>
  <c r="D37" i="8"/>
  <c r="D13" i="8"/>
  <c r="E47" i="8"/>
  <c r="E39" i="8"/>
  <c r="E31" i="8"/>
  <c r="E23" i="8"/>
  <c r="E15" i="8"/>
  <c r="E7" i="8"/>
  <c r="F49" i="8"/>
  <c r="F41" i="8"/>
  <c r="F33" i="8"/>
  <c r="F25" i="8"/>
  <c r="F17" i="8"/>
  <c r="F9" i="8"/>
  <c r="D36" i="8"/>
  <c r="D12" i="8"/>
  <c r="E46" i="8"/>
  <c r="E38" i="8"/>
  <c r="E30" i="8"/>
  <c r="E22" i="8"/>
  <c r="E14" i="8"/>
  <c r="F48" i="8"/>
  <c r="F40" i="8"/>
  <c r="F32" i="8"/>
  <c r="F24" i="8"/>
  <c r="F16" i="8"/>
  <c r="D42" i="8"/>
  <c r="D30" i="8"/>
  <c r="D18" i="8"/>
  <c r="D6" i="8"/>
  <c r="D31" i="8"/>
  <c r="D7" i="8"/>
  <c r="D3" i="8"/>
  <c r="D41" i="8"/>
  <c r="D29" i="8"/>
  <c r="D17" i="8"/>
  <c r="D5" i="8"/>
  <c r="D47" i="8"/>
  <c r="D35" i="8"/>
  <c r="D23" i="8"/>
  <c r="D11" i="8"/>
  <c r="D46" i="8"/>
  <c r="D34" i="8"/>
  <c r="D22" i="8"/>
  <c r="D10" i="8"/>
  <c r="D45" i="8"/>
  <c r="D33" i="8"/>
  <c r="D21" i="8"/>
  <c r="D9" i="8"/>
  <c r="D44" i="8"/>
  <c r="D32" i="8"/>
  <c r="D20" i="8"/>
  <c r="D8" i="8"/>
  <c r="D43" i="8"/>
  <c r="D19" i="8"/>
  <c r="D52" i="8"/>
  <c r="D40" i="8"/>
  <c r="D28" i="8"/>
  <c r="D16" i="8"/>
  <c r="I12" i="8" l="1"/>
  <c r="I13" i="8" s="1"/>
  <c r="D1" i="8"/>
  <c r="I36" i="8" s="1"/>
  <c r="I37" i="8" s="1"/>
  <c r="E1" i="8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2" i="7"/>
  <c r="W4" i="8" l="1"/>
  <c r="W12" i="8"/>
  <c r="W20" i="8"/>
  <c r="W28" i="8"/>
  <c r="W36" i="8"/>
  <c r="W44" i="8"/>
  <c r="W52" i="8"/>
  <c r="W5" i="8"/>
  <c r="W13" i="8"/>
  <c r="W21" i="8"/>
  <c r="W29" i="8"/>
  <c r="W37" i="8"/>
  <c r="W45" i="8"/>
  <c r="W3" i="8"/>
  <c r="W25" i="8"/>
  <c r="W6" i="8"/>
  <c r="W14" i="8"/>
  <c r="W22" i="8"/>
  <c r="W30" i="8"/>
  <c r="W38" i="8"/>
  <c r="W46" i="8"/>
  <c r="W33" i="8"/>
  <c r="W7" i="8"/>
  <c r="W15" i="8"/>
  <c r="W23" i="8"/>
  <c r="W31" i="8"/>
  <c r="W39" i="8"/>
  <c r="W47" i="8"/>
  <c r="W17" i="8"/>
  <c r="W49" i="8"/>
  <c r="W8" i="8"/>
  <c r="W16" i="8"/>
  <c r="W24" i="8"/>
  <c r="W32" i="8"/>
  <c r="W40" i="8"/>
  <c r="W48" i="8"/>
  <c r="W41" i="8"/>
  <c r="W10" i="8"/>
  <c r="W18" i="8"/>
  <c r="W26" i="8"/>
  <c r="W34" i="8"/>
  <c r="W42" i="8"/>
  <c r="W50" i="8"/>
  <c r="W11" i="8"/>
  <c r="W19" i="8"/>
  <c r="W27" i="8"/>
  <c r="W35" i="8"/>
  <c r="W43" i="8"/>
  <c r="W51" i="8"/>
  <c r="W9" i="8"/>
  <c r="T7" i="8"/>
  <c r="T15" i="8"/>
  <c r="T23" i="8"/>
  <c r="T31" i="8"/>
  <c r="T39" i="8"/>
  <c r="T47" i="8"/>
  <c r="T8" i="8"/>
  <c r="T16" i="8"/>
  <c r="T24" i="8"/>
  <c r="T32" i="8"/>
  <c r="T40" i="8"/>
  <c r="T48" i="8"/>
  <c r="T51" i="8"/>
  <c r="T9" i="8"/>
  <c r="T17" i="8"/>
  <c r="T25" i="8"/>
  <c r="T33" i="8"/>
  <c r="T41" i="8"/>
  <c r="T49" i="8"/>
  <c r="T35" i="8"/>
  <c r="T10" i="8"/>
  <c r="T18" i="8"/>
  <c r="T26" i="8"/>
  <c r="T34" i="8"/>
  <c r="T42" i="8"/>
  <c r="T50" i="8"/>
  <c r="T19" i="8"/>
  <c r="T12" i="8"/>
  <c r="T28" i="8"/>
  <c r="T44" i="8"/>
  <c r="T52" i="8"/>
  <c r="T11" i="8"/>
  <c r="T27" i="8"/>
  <c r="T43" i="8"/>
  <c r="T5" i="8"/>
  <c r="T13" i="8"/>
  <c r="T21" i="8"/>
  <c r="T29" i="8"/>
  <c r="T37" i="8"/>
  <c r="T45" i="8"/>
  <c r="T6" i="8"/>
  <c r="T14" i="8"/>
  <c r="T22" i="8"/>
  <c r="T30" i="8"/>
  <c r="T38" i="8"/>
  <c r="T46" i="8"/>
  <c r="T4" i="8"/>
  <c r="T20" i="8"/>
  <c r="T36" i="8"/>
  <c r="T3" i="8"/>
  <c r="AB17" i="7"/>
  <c r="AB20" i="7" s="1"/>
  <c r="P4" i="6" l="1"/>
  <c r="W3" i="7" l="1"/>
  <c r="W4" i="7"/>
  <c r="W5" i="7"/>
  <c r="W6" i="7"/>
  <c r="W10" i="7"/>
  <c r="W11" i="7"/>
  <c r="W12" i="7"/>
  <c r="W13" i="7"/>
  <c r="W14" i="7"/>
  <c r="W15" i="7"/>
  <c r="W16" i="7"/>
  <c r="W17" i="7"/>
  <c r="W18" i="7"/>
  <c r="W23" i="7"/>
  <c r="W24" i="7"/>
  <c r="W25" i="7"/>
  <c r="W26" i="7"/>
  <c r="W27" i="7"/>
  <c r="W28" i="7"/>
  <c r="W29" i="7"/>
  <c r="W30" i="7"/>
  <c r="W35" i="7"/>
  <c r="W36" i="7"/>
  <c r="W37" i="7"/>
  <c r="W38" i="7"/>
  <c r="W39" i="7"/>
  <c r="W40" i="7"/>
  <c r="W41" i="7"/>
  <c r="W42" i="7"/>
  <c r="W46" i="7"/>
  <c r="W47" i="7"/>
  <c r="W48" i="7"/>
  <c r="W49" i="7"/>
  <c r="W50" i="7"/>
  <c r="W51" i="7"/>
  <c r="W2" i="7"/>
  <c r="J24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2" i="7"/>
  <c r="D3" i="7"/>
  <c r="F3" i="7" s="1"/>
  <c r="G3" i="7" s="1"/>
  <c r="D4" i="7"/>
  <c r="F4" i="7" s="1"/>
  <c r="G4" i="7" s="1"/>
  <c r="D5" i="7"/>
  <c r="F5" i="7" s="1"/>
  <c r="G5" i="7" s="1"/>
  <c r="D6" i="7"/>
  <c r="F6" i="7" s="1"/>
  <c r="G6" i="7" s="1"/>
  <c r="D7" i="7"/>
  <c r="F7" i="7" s="1"/>
  <c r="G7" i="7" s="1"/>
  <c r="D8" i="7"/>
  <c r="F8" i="7" s="1"/>
  <c r="G8" i="7" s="1"/>
  <c r="D9" i="7"/>
  <c r="F9" i="7" s="1"/>
  <c r="G9" i="7" s="1"/>
  <c r="D10" i="7"/>
  <c r="F10" i="7" s="1"/>
  <c r="G10" i="7" s="1"/>
  <c r="D11" i="7"/>
  <c r="F11" i="7" s="1"/>
  <c r="G11" i="7" s="1"/>
  <c r="D12" i="7"/>
  <c r="F12" i="7" s="1"/>
  <c r="G12" i="7" s="1"/>
  <c r="D13" i="7"/>
  <c r="F13" i="7" s="1"/>
  <c r="G13" i="7" s="1"/>
  <c r="D14" i="7"/>
  <c r="F14" i="7" s="1"/>
  <c r="G14" i="7" s="1"/>
  <c r="D15" i="7"/>
  <c r="F15" i="7" s="1"/>
  <c r="G15" i="7" s="1"/>
  <c r="D16" i="7"/>
  <c r="F16" i="7" s="1"/>
  <c r="G16" i="7" s="1"/>
  <c r="D17" i="7"/>
  <c r="F17" i="7" s="1"/>
  <c r="G17" i="7" s="1"/>
  <c r="D18" i="7"/>
  <c r="F18" i="7" s="1"/>
  <c r="G18" i="7" s="1"/>
  <c r="D19" i="7"/>
  <c r="F19" i="7" s="1"/>
  <c r="G19" i="7" s="1"/>
  <c r="D20" i="7"/>
  <c r="F20" i="7" s="1"/>
  <c r="G20" i="7" s="1"/>
  <c r="D21" i="7"/>
  <c r="F21" i="7" s="1"/>
  <c r="G21" i="7" s="1"/>
  <c r="D22" i="7"/>
  <c r="F22" i="7" s="1"/>
  <c r="G22" i="7" s="1"/>
  <c r="D23" i="7"/>
  <c r="F23" i="7" s="1"/>
  <c r="G23" i="7" s="1"/>
  <c r="D24" i="7"/>
  <c r="F24" i="7" s="1"/>
  <c r="G24" i="7" s="1"/>
  <c r="D25" i="7"/>
  <c r="F25" i="7" s="1"/>
  <c r="G25" i="7" s="1"/>
  <c r="D26" i="7"/>
  <c r="F26" i="7" s="1"/>
  <c r="G26" i="7" s="1"/>
  <c r="D27" i="7"/>
  <c r="F27" i="7" s="1"/>
  <c r="G27" i="7" s="1"/>
  <c r="D28" i="7"/>
  <c r="F28" i="7" s="1"/>
  <c r="G28" i="7" s="1"/>
  <c r="D29" i="7"/>
  <c r="F29" i="7" s="1"/>
  <c r="G29" i="7" s="1"/>
  <c r="D30" i="7"/>
  <c r="F30" i="7" s="1"/>
  <c r="G30" i="7" s="1"/>
  <c r="D31" i="7"/>
  <c r="F31" i="7" s="1"/>
  <c r="G31" i="7" s="1"/>
  <c r="D32" i="7"/>
  <c r="F32" i="7" s="1"/>
  <c r="G32" i="7" s="1"/>
  <c r="D33" i="7"/>
  <c r="F33" i="7" s="1"/>
  <c r="G33" i="7" s="1"/>
  <c r="D34" i="7"/>
  <c r="F34" i="7" s="1"/>
  <c r="G34" i="7" s="1"/>
  <c r="D35" i="7"/>
  <c r="F35" i="7" s="1"/>
  <c r="G35" i="7" s="1"/>
  <c r="D36" i="7"/>
  <c r="F36" i="7" s="1"/>
  <c r="G36" i="7" s="1"/>
  <c r="D37" i="7"/>
  <c r="F37" i="7" s="1"/>
  <c r="G37" i="7" s="1"/>
  <c r="D38" i="7"/>
  <c r="F38" i="7" s="1"/>
  <c r="G38" i="7" s="1"/>
  <c r="D39" i="7"/>
  <c r="F39" i="7" s="1"/>
  <c r="G39" i="7" s="1"/>
  <c r="D40" i="7"/>
  <c r="F40" i="7" s="1"/>
  <c r="G40" i="7" s="1"/>
  <c r="D41" i="7"/>
  <c r="F41" i="7" s="1"/>
  <c r="G41" i="7" s="1"/>
  <c r="D42" i="7"/>
  <c r="F42" i="7" s="1"/>
  <c r="G42" i="7" s="1"/>
  <c r="D43" i="7"/>
  <c r="F43" i="7" s="1"/>
  <c r="G43" i="7" s="1"/>
  <c r="D44" i="7"/>
  <c r="F44" i="7" s="1"/>
  <c r="G44" i="7" s="1"/>
  <c r="D45" i="7"/>
  <c r="F45" i="7" s="1"/>
  <c r="G45" i="7" s="1"/>
  <c r="D46" i="7"/>
  <c r="F46" i="7" s="1"/>
  <c r="G46" i="7" s="1"/>
  <c r="D47" i="7"/>
  <c r="F47" i="7" s="1"/>
  <c r="G47" i="7" s="1"/>
  <c r="D48" i="7"/>
  <c r="F48" i="7" s="1"/>
  <c r="G48" i="7" s="1"/>
  <c r="D49" i="7"/>
  <c r="F49" i="7" s="1"/>
  <c r="G49" i="7" s="1"/>
  <c r="D50" i="7"/>
  <c r="F50" i="7" s="1"/>
  <c r="G50" i="7" s="1"/>
  <c r="D51" i="7"/>
  <c r="F51" i="7" s="1"/>
  <c r="G51" i="7" s="1"/>
  <c r="D2" i="7"/>
  <c r="F2" i="7" s="1"/>
  <c r="G2" i="7" s="1"/>
  <c r="J2" i="7"/>
  <c r="J10" i="7" l="1"/>
  <c r="J13" i="7" s="1"/>
  <c r="J14" i="7" s="1"/>
  <c r="J21" i="7" s="1"/>
  <c r="W34" i="7"/>
  <c r="W22" i="7"/>
  <c r="W43" i="7"/>
  <c r="W31" i="7"/>
  <c r="W19" i="7"/>
  <c r="W7" i="7"/>
  <c r="W45" i="7"/>
  <c r="W33" i="7"/>
  <c r="W21" i="7"/>
  <c r="W9" i="7"/>
  <c r="W8" i="7"/>
  <c r="W44" i="7"/>
  <c r="W20" i="7"/>
  <c r="W32" i="7"/>
  <c r="Y3" i="7"/>
  <c r="X3" i="7"/>
  <c r="N4" i="6"/>
  <c r="J9" i="6"/>
  <c r="C104" i="6"/>
  <c r="F4" i="6"/>
  <c r="J4" i="6" s="1"/>
  <c r="I4" i="6"/>
  <c r="I9" i="6" l="1"/>
  <c r="M4" i="6"/>
  <c r="Q4" i="6" s="1"/>
  <c r="R4" i="6" s="1"/>
  <c r="S4" i="6" s="1"/>
  <c r="F5" i="6"/>
  <c r="AB9" i="7"/>
  <c r="K6" i="5" l="1"/>
  <c r="N6" i="5" s="1"/>
  <c r="K7" i="5"/>
  <c r="N7" i="5" s="1"/>
  <c r="K8" i="5"/>
  <c r="N8" i="5" s="1"/>
  <c r="K9" i="5"/>
  <c r="N9" i="5" s="1"/>
  <c r="K10" i="5"/>
  <c r="N10" i="5" s="1"/>
  <c r="K11" i="5"/>
  <c r="N11" i="5" s="1"/>
  <c r="K12" i="5"/>
  <c r="N12" i="5" s="1"/>
  <c r="K13" i="5"/>
  <c r="N13" i="5" s="1"/>
  <c r="K14" i="5"/>
  <c r="N14" i="5" s="1"/>
  <c r="K15" i="5"/>
  <c r="N15" i="5" s="1"/>
  <c r="K16" i="5"/>
  <c r="N16" i="5" s="1"/>
  <c r="K17" i="5"/>
  <c r="N17" i="5" s="1"/>
  <c r="K18" i="5"/>
  <c r="N18" i="5" s="1"/>
  <c r="K19" i="5"/>
  <c r="N19" i="5" s="1"/>
  <c r="K20" i="5"/>
  <c r="N20" i="5" s="1"/>
  <c r="K21" i="5"/>
  <c r="N21" i="5" s="1"/>
  <c r="K22" i="5"/>
  <c r="N22" i="5" s="1"/>
  <c r="K23" i="5"/>
  <c r="N23" i="5" s="1"/>
  <c r="K24" i="5"/>
  <c r="N24" i="5" s="1"/>
  <c r="K25" i="5"/>
  <c r="N25" i="5" s="1"/>
  <c r="K26" i="5"/>
  <c r="N26" i="5" s="1"/>
  <c r="K27" i="5"/>
  <c r="N27" i="5" s="1"/>
  <c r="K28" i="5"/>
  <c r="N28" i="5" s="1"/>
  <c r="K29" i="5"/>
  <c r="N29" i="5" s="1"/>
  <c r="K30" i="5"/>
  <c r="N30" i="5" s="1"/>
  <c r="K31" i="5"/>
  <c r="N31" i="5" s="1"/>
  <c r="K32" i="5"/>
  <c r="N32" i="5" s="1"/>
  <c r="K33" i="5"/>
  <c r="N33" i="5" s="1"/>
  <c r="K34" i="5"/>
  <c r="N34" i="5" s="1"/>
  <c r="K35" i="5"/>
  <c r="N35" i="5" s="1"/>
  <c r="K36" i="5"/>
  <c r="N36" i="5" s="1"/>
  <c r="K37" i="5"/>
  <c r="N37" i="5" s="1"/>
  <c r="K38" i="5"/>
  <c r="N38" i="5" s="1"/>
  <c r="K39" i="5"/>
  <c r="N39" i="5" s="1"/>
  <c r="K40" i="5"/>
  <c r="N40" i="5" s="1"/>
  <c r="K41" i="5"/>
  <c r="N41" i="5" s="1"/>
  <c r="K42" i="5"/>
  <c r="N42" i="5" s="1"/>
  <c r="K43" i="5"/>
  <c r="N43" i="5" s="1"/>
  <c r="K44" i="5"/>
  <c r="N44" i="5" s="1"/>
  <c r="K45" i="5"/>
  <c r="N45" i="5" s="1"/>
  <c r="K46" i="5"/>
  <c r="N46" i="5" s="1"/>
  <c r="K47" i="5"/>
  <c r="N47" i="5" s="1"/>
  <c r="K48" i="5"/>
  <c r="N48" i="5" s="1"/>
  <c r="K49" i="5"/>
  <c r="N49" i="5" s="1"/>
  <c r="K50" i="5"/>
  <c r="N50" i="5" s="1"/>
  <c r="K51" i="5"/>
  <c r="N51" i="5" s="1"/>
  <c r="K52" i="5"/>
  <c r="N52" i="5" s="1"/>
  <c r="K53" i="5"/>
  <c r="N53" i="5" s="1"/>
  <c r="K54" i="5"/>
  <c r="N54" i="5" s="1"/>
  <c r="K5" i="5"/>
  <c r="N5" i="5" s="1"/>
  <c r="J6" i="5"/>
  <c r="M6" i="5" s="1"/>
  <c r="J7" i="5"/>
  <c r="M7" i="5" s="1"/>
  <c r="J8" i="5"/>
  <c r="M8" i="5" s="1"/>
  <c r="J9" i="5"/>
  <c r="M9" i="5" s="1"/>
  <c r="J10" i="5"/>
  <c r="M10" i="5" s="1"/>
  <c r="J11" i="5"/>
  <c r="M11" i="5" s="1"/>
  <c r="J12" i="5"/>
  <c r="M12" i="5" s="1"/>
  <c r="J13" i="5"/>
  <c r="M13" i="5" s="1"/>
  <c r="J14" i="5"/>
  <c r="M14" i="5" s="1"/>
  <c r="J15" i="5"/>
  <c r="M15" i="5" s="1"/>
  <c r="J16" i="5"/>
  <c r="M16" i="5" s="1"/>
  <c r="J17" i="5"/>
  <c r="M17" i="5" s="1"/>
  <c r="J18" i="5"/>
  <c r="M18" i="5" s="1"/>
  <c r="J19" i="5"/>
  <c r="M19" i="5" s="1"/>
  <c r="J20" i="5"/>
  <c r="M20" i="5" s="1"/>
  <c r="J21" i="5"/>
  <c r="M21" i="5" s="1"/>
  <c r="J22" i="5"/>
  <c r="M22" i="5" s="1"/>
  <c r="J23" i="5"/>
  <c r="M23" i="5" s="1"/>
  <c r="J24" i="5"/>
  <c r="M24" i="5" s="1"/>
  <c r="J25" i="5"/>
  <c r="M25" i="5" s="1"/>
  <c r="J26" i="5"/>
  <c r="M26" i="5" s="1"/>
  <c r="J27" i="5"/>
  <c r="M27" i="5" s="1"/>
  <c r="J28" i="5"/>
  <c r="M28" i="5" s="1"/>
  <c r="J29" i="5"/>
  <c r="M29" i="5" s="1"/>
  <c r="J30" i="5"/>
  <c r="M30" i="5" s="1"/>
  <c r="J31" i="5"/>
  <c r="M31" i="5" s="1"/>
  <c r="J32" i="5"/>
  <c r="M32" i="5" s="1"/>
  <c r="J33" i="5"/>
  <c r="M33" i="5" s="1"/>
  <c r="J34" i="5"/>
  <c r="M34" i="5" s="1"/>
  <c r="J35" i="5"/>
  <c r="M35" i="5" s="1"/>
  <c r="J36" i="5"/>
  <c r="M36" i="5" s="1"/>
  <c r="J37" i="5"/>
  <c r="M37" i="5" s="1"/>
  <c r="J38" i="5"/>
  <c r="M38" i="5" s="1"/>
  <c r="J39" i="5"/>
  <c r="M39" i="5" s="1"/>
  <c r="J40" i="5"/>
  <c r="M40" i="5" s="1"/>
  <c r="J41" i="5"/>
  <c r="M41" i="5" s="1"/>
  <c r="J42" i="5"/>
  <c r="M42" i="5" s="1"/>
  <c r="J43" i="5"/>
  <c r="M43" i="5" s="1"/>
  <c r="J44" i="5"/>
  <c r="M44" i="5" s="1"/>
  <c r="J45" i="5"/>
  <c r="M45" i="5" s="1"/>
  <c r="J46" i="5"/>
  <c r="M46" i="5" s="1"/>
  <c r="J47" i="5"/>
  <c r="M47" i="5" s="1"/>
  <c r="J48" i="5"/>
  <c r="M48" i="5" s="1"/>
  <c r="J49" i="5"/>
  <c r="M49" i="5" s="1"/>
  <c r="J50" i="5"/>
  <c r="M50" i="5" s="1"/>
  <c r="J51" i="5"/>
  <c r="M51" i="5" s="1"/>
  <c r="J52" i="5"/>
  <c r="M52" i="5" s="1"/>
  <c r="J53" i="5"/>
  <c r="M53" i="5" s="1"/>
  <c r="J54" i="5"/>
  <c r="M54" i="5" s="1"/>
  <c r="M5" i="5"/>
  <c r="N55" i="5" l="1"/>
  <c r="M55" i="5"/>
  <c r="N4" i="4"/>
  <c r="B5" i="4"/>
  <c r="B6" i="4" s="1"/>
  <c r="B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4" i="4"/>
  <c r="Q6" i="5" l="1"/>
  <c r="P15" i="5" s="1"/>
  <c r="J18" i="4"/>
  <c r="J8" i="4"/>
  <c r="J15" i="4"/>
  <c r="J27" i="4"/>
  <c r="J32" i="4"/>
  <c r="J22" i="4"/>
  <c r="J6" i="4"/>
  <c r="J51" i="4"/>
  <c r="J53" i="4"/>
  <c r="J13" i="4"/>
  <c r="J26" i="4"/>
  <c r="J16" i="4"/>
  <c r="J52" i="4"/>
  <c r="J12" i="4"/>
  <c r="J42" i="4"/>
  <c r="H9" i="4"/>
  <c r="K9" i="4" s="1"/>
  <c r="H10" i="4"/>
  <c r="K10" i="4" s="1"/>
  <c r="H22" i="4"/>
  <c r="K22" i="4" s="1"/>
  <c r="H34" i="4"/>
  <c r="K34" i="4" s="1"/>
  <c r="H46" i="4"/>
  <c r="K46" i="4" s="1"/>
  <c r="H23" i="4"/>
  <c r="K23" i="4" s="1"/>
  <c r="H13" i="4"/>
  <c r="K13" i="4" s="1"/>
  <c r="H25" i="4"/>
  <c r="K25" i="4" s="1"/>
  <c r="H37" i="4"/>
  <c r="K37" i="4" s="1"/>
  <c r="H49" i="4"/>
  <c r="K49" i="4" s="1"/>
  <c r="H11" i="4"/>
  <c r="K11" i="4" s="1"/>
  <c r="H15" i="4"/>
  <c r="K15" i="4" s="1"/>
  <c r="H27" i="4"/>
  <c r="K27" i="4" s="1"/>
  <c r="H39" i="4"/>
  <c r="K39" i="4" s="1"/>
  <c r="H51" i="4"/>
  <c r="K51" i="4" s="1"/>
  <c r="H19" i="4"/>
  <c r="K19" i="4" s="1"/>
  <c r="H43" i="4"/>
  <c r="K43" i="4" s="1"/>
  <c r="H35" i="4"/>
  <c r="K35" i="4" s="1"/>
  <c r="H30" i="4"/>
  <c r="K30" i="4" s="1"/>
  <c r="H6" i="4"/>
  <c r="K6" i="4" s="1"/>
  <c r="H18" i="4"/>
  <c r="K18" i="4" s="1"/>
  <c r="H42" i="4"/>
  <c r="K42" i="4" s="1"/>
  <c r="H4" i="4"/>
  <c r="K4" i="4" s="1"/>
  <c r="H7" i="4"/>
  <c r="K7" i="4" s="1"/>
  <c r="H31" i="4"/>
  <c r="K31" i="4" s="1"/>
  <c r="H47" i="4"/>
  <c r="K47" i="4" s="1"/>
  <c r="H8" i="4"/>
  <c r="K8" i="4" s="1"/>
  <c r="H20" i="4"/>
  <c r="K20" i="4" s="1"/>
  <c r="H32" i="4"/>
  <c r="K32" i="4" s="1"/>
  <c r="H44" i="4"/>
  <c r="K44" i="4" s="1"/>
  <c r="H53" i="4"/>
  <c r="K53" i="4" s="1"/>
  <c r="H41" i="4"/>
  <c r="K41" i="4" s="1"/>
  <c r="H29" i="4"/>
  <c r="K29" i="4" s="1"/>
  <c r="H17" i="4"/>
  <c r="K17" i="4" s="1"/>
  <c r="H5" i="4"/>
  <c r="K5" i="4" s="1"/>
  <c r="H52" i="4"/>
  <c r="K52" i="4" s="1"/>
  <c r="H40" i="4"/>
  <c r="K40" i="4" s="1"/>
  <c r="H28" i="4"/>
  <c r="K28" i="4" s="1"/>
  <c r="H16" i="4"/>
  <c r="K16" i="4" s="1"/>
  <c r="H50" i="4"/>
  <c r="K50" i="4" s="1"/>
  <c r="H38" i="4"/>
  <c r="K38" i="4" s="1"/>
  <c r="H26" i="4"/>
  <c r="K26" i="4" s="1"/>
  <c r="H14" i="4"/>
  <c r="K14" i="4" s="1"/>
  <c r="H48" i="4"/>
  <c r="K48" i="4" s="1"/>
  <c r="H36" i="4"/>
  <c r="K36" i="4" s="1"/>
  <c r="H24" i="4"/>
  <c r="K24" i="4" s="1"/>
  <c r="H12" i="4"/>
  <c r="K12" i="4" s="1"/>
  <c r="H45" i="4"/>
  <c r="K45" i="4" s="1"/>
  <c r="H33" i="4"/>
  <c r="K33" i="4" s="1"/>
  <c r="H21" i="4"/>
  <c r="K21" i="4" s="1"/>
  <c r="Q30" i="3"/>
  <c r="X29" i="3" s="1"/>
  <c r="L16" i="3"/>
  <c r="F15" i="3"/>
  <c r="F16" i="3"/>
  <c r="D3" i="3"/>
  <c r="D4" i="3" s="1"/>
  <c r="D2" i="3"/>
  <c r="J29" i="4" l="1"/>
  <c r="J9" i="4"/>
  <c r="J33" i="4"/>
  <c r="J20" i="4"/>
  <c r="J35" i="4"/>
  <c r="J24" i="4"/>
  <c r="J30" i="4"/>
  <c r="J23" i="4"/>
  <c r="J41" i="4"/>
  <c r="J28" i="4"/>
  <c r="J5" i="4"/>
  <c r="J48" i="4"/>
  <c r="J38" i="4"/>
  <c r="J31" i="4"/>
  <c r="J49" i="4"/>
  <c r="J36" i="4"/>
  <c r="J34" i="4"/>
  <c r="J46" i="4"/>
  <c r="J39" i="4"/>
  <c r="J50" i="4"/>
  <c r="J25" i="4"/>
  <c r="J10" i="4"/>
  <c r="J44" i="4"/>
  <c r="J21" i="4"/>
  <c r="J19" i="4"/>
  <c r="J4" i="4"/>
  <c r="J47" i="4"/>
  <c r="J37" i="4"/>
  <c r="N36" i="3"/>
  <c r="J17" i="4"/>
  <c r="J11" i="4"/>
  <c r="J40" i="4"/>
  <c r="J45" i="4"/>
  <c r="J14" i="4"/>
  <c r="J7" i="4"/>
  <c r="J43" i="4"/>
  <c r="O34" i="3"/>
  <c r="N38" i="3"/>
  <c r="P38" i="3" s="1"/>
  <c r="N37" i="3"/>
  <c r="O36" i="3"/>
  <c r="P36" i="3" s="1"/>
  <c r="O35" i="3"/>
  <c r="O37" i="3"/>
  <c r="P37" i="3" s="1"/>
  <c r="O33" i="3"/>
  <c r="N35" i="3"/>
  <c r="P35" i="3" s="1"/>
  <c r="N34" i="3"/>
  <c r="P34" i="3" s="1"/>
  <c r="N33" i="3"/>
  <c r="O32" i="3"/>
  <c r="P32" i="3" s="1"/>
  <c r="F17" i="3"/>
  <c r="F19" i="3" s="1"/>
  <c r="E9" i="2"/>
  <c r="E12" i="2"/>
  <c r="E22" i="2"/>
  <c r="F16" i="2" s="1"/>
  <c r="E20" i="2"/>
  <c r="E21" i="2" s="1"/>
  <c r="E16" i="2" s="1"/>
  <c r="P33" i="3" l="1"/>
  <c r="J56" i="4"/>
  <c r="K56" i="4"/>
  <c r="M16" i="3"/>
  <c r="P39" i="3"/>
  <c r="N7" i="4" l="1"/>
  <c r="M10" i="4" s="1"/>
  <c r="L17" i="3"/>
  <c r="N16" i="3"/>
  <c r="P16" i="3" s="1"/>
  <c r="Q16" i="3" s="1"/>
  <c r="F3" i="2"/>
  <c r="O8" i="2" l="1"/>
  <c r="N8" i="2"/>
  <c r="M17" i="3"/>
  <c r="L18" i="3" s="1"/>
  <c r="N17" i="3"/>
  <c r="P17" i="3" s="1"/>
  <c r="Q17" i="3" s="1"/>
  <c r="F2" i="2"/>
  <c r="H8" i="2" l="1"/>
  <c r="I8" i="2"/>
  <c r="L8" i="2"/>
  <c r="K8" i="2"/>
  <c r="M18" i="3"/>
  <c r="L19" i="3" s="1"/>
  <c r="M19" i="3" l="1"/>
  <c r="L20" i="3" s="1"/>
  <c r="N18" i="3"/>
  <c r="P18" i="3" s="1"/>
  <c r="Q18" i="3" s="1"/>
  <c r="M20" i="3" l="1"/>
  <c r="L21" i="3" s="1"/>
  <c r="N19" i="3"/>
  <c r="P19" i="3" s="1"/>
  <c r="Q19" i="3" s="1"/>
  <c r="P18" i="1"/>
  <c r="Q18" i="1"/>
  <c r="N11" i="1"/>
  <c r="S25" i="1" s="1"/>
  <c r="H11" i="1"/>
  <c r="H10" i="1"/>
  <c r="R4" i="1"/>
  <c r="R5" i="1"/>
  <c r="K4" i="1"/>
  <c r="K5" i="1"/>
  <c r="Q5" i="1" s="1"/>
  <c r="H12" i="1" l="1"/>
  <c r="H14" i="1" s="1"/>
  <c r="Q4" i="1"/>
  <c r="L5" i="1"/>
  <c r="M21" i="3"/>
  <c r="L22" i="3" s="1"/>
  <c r="O16" i="3" a="1"/>
  <c r="N20" i="3"/>
  <c r="P20" i="3" s="1"/>
  <c r="Q20" i="3" s="1"/>
  <c r="O11" i="1"/>
  <c r="N12" i="1" l="1"/>
  <c r="S26" i="1"/>
  <c r="N21" i="3"/>
  <c r="P21" i="3" s="1"/>
  <c r="Q21" i="3" s="1"/>
  <c r="O16" i="3"/>
  <c r="O21" i="3"/>
  <c r="O22" i="3"/>
  <c r="O18" i="3"/>
  <c r="O19" i="3"/>
  <c r="O17" i="3"/>
  <c r="O20" i="3"/>
  <c r="M22" i="3"/>
  <c r="N22" i="3" s="1"/>
  <c r="P22" i="3" s="1"/>
  <c r="Q22" i="3" s="1"/>
  <c r="Q23" i="3" s="1"/>
  <c r="O12" i="1"/>
  <c r="P12" i="1"/>
  <c r="P11" i="1"/>
  <c r="N13" i="1" l="1"/>
  <c r="S27" i="1"/>
  <c r="R33" i="3"/>
  <c r="V17" i="3"/>
  <c r="R36" i="3"/>
  <c r="V20" i="3"/>
  <c r="R35" i="3"/>
  <c r="V19" i="3"/>
  <c r="V18" i="3"/>
  <c r="R34" i="3"/>
  <c r="R37" i="3"/>
  <c r="O23" i="3"/>
  <c r="R32" i="3"/>
  <c r="V16" i="3"/>
  <c r="O13" i="1"/>
  <c r="P13" i="1"/>
  <c r="N14" i="1" l="1"/>
  <c r="S28" i="1"/>
  <c r="Q38" i="3"/>
  <c r="Q37" i="3"/>
  <c r="S37" i="3" s="1"/>
  <c r="T37" i="3" s="1"/>
  <c r="R16" i="3"/>
  <c r="Q36" i="3"/>
  <c r="S36" i="3" s="1"/>
  <c r="T36" i="3" s="1"/>
  <c r="Q33" i="3"/>
  <c r="S33" i="3" s="1"/>
  <c r="T33" i="3" s="1"/>
  <c r="Q34" i="3"/>
  <c r="S34" i="3" s="1"/>
  <c r="T34" i="3" s="1"/>
  <c r="Q35" i="3"/>
  <c r="S35" i="3" s="1"/>
  <c r="T35" i="3" s="1"/>
  <c r="R18" i="3"/>
  <c r="W18" i="3" s="1"/>
  <c r="X18" i="3" s="1"/>
  <c r="R20" i="3"/>
  <c r="R21" i="3"/>
  <c r="R22" i="3"/>
  <c r="R17" i="3"/>
  <c r="W17" i="3" s="1"/>
  <c r="X17" i="3" s="1"/>
  <c r="R19" i="3"/>
  <c r="W19" i="3" s="1"/>
  <c r="X19" i="3" s="1"/>
  <c r="Q32" i="3"/>
  <c r="O14" i="1"/>
  <c r="P14" i="1"/>
  <c r="N15" i="1" l="1"/>
  <c r="O15" i="1" s="1"/>
  <c r="S30" i="1" s="1"/>
  <c r="S29" i="1"/>
  <c r="W20" i="3"/>
  <c r="X20" i="3" s="1"/>
  <c r="R23" i="3"/>
  <c r="W16" i="3"/>
  <c r="X16" i="3" s="1"/>
  <c r="Q39" i="3"/>
  <c r="S32" i="3"/>
  <c r="T32" i="3" s="1"/>
  <c r="T38" i="3" s="1"/>
  <c r="W31" i="3" s="1"/>
  <c r="N16" i="1"/>
  <c r="P15" i="1"/>
  <c r="X21" i="3" l="1"/>
  <c r="O16" i="1"/>
  <c r="N17" i="1" l="1"/>
  <c r="Q11" i="1" s="1" a="1"/>
  <c r="Q13" i="1" s="1"/>
  <c r="R13" i="1" s="1"/>
  <c r="S13" i="1" s="1"/>
  <c r="S31" i="1"/>
  <c r="P16" i="1"/>
  <c r="O17" i="1"/>
  <c r="S32" i="1" s="1"/>
  <c r="P17" i="1"/>
  <c r="Q14" i="1" l="1"/>
  <c r="R14" i="1" s="1"/>
  <c r="S14" i="1" s="1"/>
  <c r="Q11" i="1"/>
  <c r="R11" i="1" s="1"/>
  <c r="T11" i="1" s="1"/>
  <c r="Q17" i="1"/>
  <c r="R17" i="1" s="1"/>
  <c r="S17" i="1" s="1"/>
  <c r="Q15" i="1"/>
  <c r="R15" i="1" s="1"/>
  <c r="S15" i="1" s="1"/>
  <c r="Q16" i="1"/>
  <c r="R16" i="1" s="1"/>
  <c r="S16" i="1" s="1"/>
  <c r="Q12" i="1"/>
  <c r="R12" i="1" s="1"/>
  <c r="S12" i="1" s="1"/>
  <c r="S11" i="1"/>
  <c r="T12" i="1" l="1"/>
  <c r="T26" i="1"/>
  <c r="R18" i="1"/>
  <c r="S20" i="1"/>
  <c r="S19" i="1"/>
  <c r="T13" i="1" l="1"/>
  <c r="T28" i="1" s="1"/>
  <c r="T27" i="1"/>
  <c r="K3" i="1"/>
  <c r="T14" i="1" l="1"/>
  <c r="T15" i="1" l="1"/>
  <c r="T29" i="1"/>
  <c r="T16" i="1" l="1"/>
  <c r="T30" i="1"/>
  <c r="T17" i="1" l="1"/>
  <c r="T32" i="1" s="1"/>
  <c r="T31" i="1"/>
</calcChain>
</file>

<file path=xl/sharedStrings.xml><?xml version="1.0" encoding="utf-8"?>
<sst xmlns="http://schemas.openxmlformats.org/spreadsheetml/2006/main" count="199" uniqueCount="156">
  <si>
    <t>X</t>
  </si>
  <si>
    <t>Y</t>
  </si>
  <si>
    <t>Вариант 4</t>
  </si>
  <si>
    <t>выборочное среднее</t>
  </si>
  <si>
    <t>выборочная дисперсия</t>
  </si>
  <si>
    <t>среднеквадратическое отклонение</t>
  </si>
  <si>
    <t>Задание 1</t>
  </si>
  <si>
    <t>Интервальный вариационный ряд</t>
  </si>
  <si>
    <t>мин. значение</t>
  </si>
  <si>
    <t>кол-во интервалов</t>
  </si>
  <si>
    <t>длина интервала</t>
  </si>
  <si>
    <t>Интервалы</t>
  </si>
  <si>
    <t>ni</t>
  </si>
  <si>
    <t>неиспр</t>
  </si>
  <si>
    <t>испр</t>
  </si>
  <si>
    <t>макс. значение</t>
  </si>
  <si>
    <t>размах выборки</t>
  </si>
  <si>
    <t>середина
интервала</t>
  </si>
  <si>
    <t>xi</t>
  </si>
  <si>
    <t>частоты</t>
  </si>
  <si>
    <t>значения</t>
  </si>
  <si>
    <t>V выборки</t>
  </si>
  <si>
    <t>h</t>
  </si>
  <si>
    <t>Задание 2</t>
  </si>
  <si>
    <t>отсносительные 
частоты</t>
  </si>
  <si>
    <t>wi</t>
  </si>
  <si>
    <t>wi / h</t>
  </si>
  <si>
    <t>накопленные частоты</t>
  </si>
  <si>
    <t>wk</t>
  </si>
  <si>
    <t>плотность 
относительных частот</t>
  </si>
  <si>
    <t>диаграмма неправильная, лучше сделать на листочке</t>
  </si>
  <si>
    <t>1 Задание</t>
  </si>
  <si>
    <t>Квантиль:</t>
  </si>
  <si>
    <t>Нормального распр.</t>
  </si>
  <si>
    <t>Хи-квадрат</t>
  </si>
  <si>
    <t>Распр. Стьюдента</t>
  </si>
  <si>
    <t>неизв. дисп.</t>
  </si>
  <si>
    <t>2 Задание</t>
  </si>
  <si>
    <t>дисп.</t>
  </si>
  <si>
    <t>3 Задание</t>
  </si>
  <si>
    <t>неизв. мат ожид.</t>
  </si>
  <si>
    <t>Доверительный интервал</t>
  </si>
  <si>
    <t>а</t>
  </si>
  <si>
    <t>Уровни доверия</t>
  </si>
  <si>
    <t>1-а/2</t>
  </si>
  <si>
    <t>а/2</t>
  </si>
  <si>
    <t>выб. Ср.</t>
  </si>
  <si>
    <t>дисп. (испр.)</t>
  </si>
  <si>
    <t>ср. кв. откл.</t>
  </si>
  <si>
    <t>урорвень значимости</t>
  </si>
  <si>
    <t>Критерий согласия Пирсона</t>
  </si>
  <si>
    <t>Середина</t>
  </si>
  <si>
    <t>Частоты</t>
  </si>
  <si>
    <t>Стандартизация середины интервала</t>
  </si>
  <si>
    <t>Знач. функции плотности норм. рапр.</t>
  </si>
  <si>
    <t>Теоритечиские частоты</t>
  </si>
  <si>
    <t>Частота</t>
  </si>
  <si>
    <t>Теор.част.</t>
  </si>
  <si>
    <t>Кол-во степеней свободы</t>
  </si>
  <si>
    <t>k = m - l - 1 = 5 - 2 - 1 = 2</t>
  </si>
  <si>
    <t>m - кол-во интервалов</t>
  </si>
  <si>
    <t>l - кол-во оцениваемых параметров закона распр.</t>
  </si>
  <si>
    <t>Хи2 для интервала</t>
  </si>
  <si>
    <t>Хи2 набл.</t>
  </si>
  <si>
    <t>Хи2 крит</t>
  </si>
  <si>
    <t>Вывод:</t>
  </si>
  <si>
    <t>H0</t>
  </si>
  <si>
    <t>Генеральная совокупность распределна по нормальному закону</t>
  </si>
  <si>
    <t>Н1</t>
  </si>
  <si>
    <t>Генеральная совокупность не распределна по нормальному закону</t>
  </si>
  <si>
    <t>Гипотеза не противоречит опытным данным</t>
  </si>
  <si>
    <t>И её следует принять</t>
  </si>
  <si>
    <t>Значение фукнции распр на начале интервала</t>
  </si>
  <si>
    <t>Значение фукнции распр на конце интервала</t>
  </si>
  <si>
    <t>Разность (знач функции плотности норм. распр.)</t>
  </si>
  <si>
    <t>Теоритические частоты</t>
  </si>
  <si>
    <t>Теор. Частоты</t>
  </si>
  <si>
    <t>Хи2 для инервала</t>
  </si>
  <si>
    <t>k = m - l - 1 = 6 - 2 - 1 = 3</t>
  </si>
  <si>
    <t>Вот этот столбец неправильный, т.к. сумма должна быть 1</t>
  </si>
  <si>
    <t>Здесь сумма должна быть 50</t>
  </si>
  <si>
    <t>Соотв. Здесь тоже непр.</t>
  </si>
  <si>
    <t>k</t>
  </si>
  <si>
    <t>Упоряд.</t>
  </si>
  <si>
    <t>k-1/n</t>
  </si>
  <si>
    <t>k/n</t>
  </si>
  <si>
    <t>F0</t>
  </si>
  <si>
    <t>Теор. ф. распр.</t>
  </si>
  <si>
    <t>F0-(k-1)/n</t>
  </si>
  <si>
    <t>k/n-F0</t>
  </si>
  <si>
    <t>a</t>
  </si>
  <si>
    <t>1-a</t>
  </si>
  <si>
    <t>максимумы</t>
  </si>
  <si>
    <t>z (по таблице)</t>
  </si>
  <si>
    <t>Dn</t>
  </si>
  <si>
    <t>Гипотеза не проитворечит опытным данным и её следует принять</t>
  </si>
  <si>
    <t>проверить критерий Колмогорова (критерий согласия) для второй выборки, уровень значимости=0,1</t>
  </si>
  <si>
    <t>проверить критерий Колмогорова-Смирнова (критерий однородности) для обеих выборок, уровень значимости=0,1</t>
  </si>
  <si>
    <t>Гипотеза</t>
  </si>
  <si>
    <t>1я уп. выб.</t>
  </si>
  <si>
    <t>2я уп. выб.</t>
  </si>
  <si>
    <t>n</t>
  </si>
  <si>
    <t>F0(x)</t>
  </si>
  <si>
    <t>z</t>
  </si>
  <si>
    <t>m</t>
  </si>
  <si>
    <t>(k-1)/n</t>
  </si>
  <si>
    <t xml:space="preserve"> k/n - F0(x)</t>
  </si>
  <si>
    <t>(k-1)/n - F0(х)</t>
  </si>
  <si>
    <t>Проверка</t>
  </si>
  <si>
    <t>посчитать статистику критерия Вилкоксона</t>
  </si>
  <si>
    <t>H0 - выборка распределена по нормальному закону</t>
  </si>
  <si>
    <t>Перемешанные выборки</t>
  </si>
  <si>
    <t>Номер выборки</t>
  </si>
  <si>
    <t>R1</t>
  </si>
  <si>
    <t>R2</t>
  </si>
  <si>
    <t>w1</t>
  </si>
  <si>
    <t>w2</t>
  </si>
  <si>
    <t>Проверяем правильность вычислений:</t>
  </si>
  <si>
    <t>Выборочное среднее статистики</t>
  </si>
  <si>
    <t>U</t>
  </si>
  <si>
    <t>Коэф. корреляции</t>
  </si>
  <si>
    <t>Коэф. Спирмена</t>
  </si>
  <si>
    <t>, где</t>
  </si>
  <si>
    <t>Ранги 1</t>
  </si>
  <si>
    <t>Ранги 2</t>
  </si>
  <si>
    <t>Оценка критерия</t>
  </si>
  <si>
    <t>H0 - X и Y - независимые СВ</t>
  </si>
  <si>
    <t>Оценка критерия &lt; Критического значения</t>
  </si>
  <si>
    <t>Следовательно гипотеза H0 не противоречит опытным данным и её следует принять</t>
  </si>
  <si>
    <t>Коэффициент ранговой корреляции  Кэндела</t>
  </si>
  <si>
    <t>S согл. пары</t>
  </si>
  <si>
    <t>R инверсии</t>
  </si>
  <si>
    <t>Сумма S</t>
  </si>
  <si>
    <t>Сумма R</t>
  </si>
  <si>
    <t>баллы di</t>
  </si>
  <si>
    <t>U(1-a)</t>
  </si>
  <si>
    <t>|Zb|</t>
  </si>
  <si>
    <t>M(U)</t>
  </si>
  <si>
    <t>DU</t>
  </si>
  <si>
    <t>Zb</t>
  </si>
  <si>
    <t>|Zb| &lt; U(1-a)</t>
  </si>
  <si>
    <t>Гипотеза противоречит опытным данным и её следует отклонить.</t>
  </si>
  <si>
    <t>H0 - Выборки однородны</t>
  </si>
  <si>
    <t>Коэф. Кэндела соответствует квантилю нормального распределения с параметрами:</t>
  </si>
  <si>
    <t>Крит. знач</t>
  </si>
  <si>
    <t>Оценка критерия &lt; Крит. значения</t>
  </si>
  <si>
    <t xml:space="preserve">Следовательно H0 не протеворечит опытным данным и её следует принять </t>
  </si>
  <si>
    <t>Построить линейную регрессию Х на Y,Y на X, где X – первая выборка (столбик), Y- вторая выборка (столбик).</t>
  </si>
  <si>
    <t>выб. ср.</t>
  </si>
  <si>
    <t>(xi - X)*(yi-Y)</t>
  </si>
  <si>
    <t>(xi-X)^2</t>
  </si>
  <si>
    <t>(yi-Y)^2</t>
  </si>
  <si>
    <t>1. y = a + bx</t>
  </si>
  <si>
    <t>b</t>
  </si>
  <si>
    <t>коэф. регрессии</t>
  </si>
  <si>
    <t>2. x = a +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</si>
</sst>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 shrinkToFit="1"/>
    </xf>
    <xf numFmtId="0" fontId="0" fillId="4" borderId="3" xfId="0" applyFill="1" applyBorder="1"/>
    <xf numFmtId="0" fontId="0" fillId="5" borderId="0" xfId="0" applyFill="1"/>
    <xf numFmtId="0" fontId="0" fillId="3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>
        <c:manualLayout>
          <c:xMode val="edge"/>
          <c:yMode val="edge"/>
          <c:x val="0.3855415573053368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1'!$P$11:$P$17</c:f>
              <c:numCache>
                <c:formatCode>General</c:formatCode>
                <c:ptCount val="7"/>
                <c:pt idx="0">
                  <c:v>1.1579100000000002</c:v>
                </c:pt>
                <c:pt idx="1">
                  <c:v>1.43011</c:v>
                </c:pt>
                <c:pt idx="2">
                  <c:v>1.7023100000000002</c:v>
                </c:pt>
                <c:pt idx="3">
                  <c:v>1.9745100000000002</c:v>
                </c:pt>
                <c:pt idx="4">
                  <c:v>2.2467100000000002</c:v>
                </c:pt>
                <c:pt idx="5">
                  <c:v>2.51891</c:v>
                </c:pt>
                <c:pt idx="6">
                  <c:v>2.7911099999999998</c:v>
                </c:pt>
              </c:numCache>
            </c:numRef>
          </c:cat>
          <c:val>
            <c:numRef>
              <c:f>'Задание 1'!$R$11:$R$17</c:f>
              <c:numCache>
                <c:formatCode>General</c:formatCode>
                <c:ptCount val="7"/>
                <c:pt idx="0">
                  <c:v>0.2</c:v>
                </c:pt>
                <c:pt idx="1">
                  <c:v>0.16</c:v>
                </c:pt>
                <c:pt idx="2">
                  <c:v>0.08</c:v>
                </c:pt>
                <c:pt idx="3">
                  <c:v>0.18</c:v>
                </c:pt>
                <c:pt idx="4">
                  <c:v>0.06</c:v>
                </c:pt>
                <c:pt idx="5">
                  <c:v>0.12</c:v>
                </c:pt>
                <c:pt idx="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D-40BF-BC1D-88896C6B4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154512"/>
        <c:axId val="1355840704"/>
      </c:lineChart>
      <c:catAx>
        <c:axId val="150715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5840704"/>
        <c:crosses val="autoZero"/>
        <c:auto val="1"/>
        <c:lblAlgn val="ctr"/>
        <c:lblOffset val="100"/>
        <c:noMultiLvlLbl val="0"/>
      </c:catAx>
      <c:valAx>
        <c:axId val="13558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15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ru-R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Эмпирическая функция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1'!$S$25:$S$32</c:f>
              <c:numCache>
                <c:formatCode>General</c:formatCode>
                <c:ptCount val="8"/>
                <c:pt idx="0">
                  <c:v>1.0218100000000001</c:v>
                </c:pt>
                <c:pt idx="1">
                  <c:v>1.2940100000000001</c:v>
                </c:pt>
                <c:pt idx="2">
                  <c:v>1.5662100000000001</c:v>
                </c:pt>
                <c:pt idx="3">
                  <c:v>1.8384100000000001</c:v>
                </c:pt>
                <c:pt idx="4">
                  <c:v>2.1106100000000003</c:v>
                </c:pt>
                <c:pt idx="5">
                  <c:v>2.3828100000000001</c:v>
                </c:pt>
                <c:pt idx="6">
                  <c:v>2.6550099999999999</c:v>
                </c:pt>
                <c:pt idx="7">
                  <c:v>2.9272099999999996</c:v>
                </c:pt>
              </c:numCache>
            </c:numRef>
          </c:cat>
          <c:val>
            <c:numRef>
              <c:f>'Задание 1'!$T$25:$T$32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0.36</c:v>
                </c:pt>
                <c:pt idx="3">
                  <c:v>0.44</c:v>
                </c:pt>
                <c:pt idx="4">
                  <c:v>0.62</c:v>
                </c:pt>
                <c:pt idx="5">
                  <c:v>0.67999999999999994</c:v>
                </c:pt>
                <c:pt idx="6">
                  <c:v>0.79999999999999993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1-45D5-AB90-DB018D70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421599"/>
        <c:axId val="599412447"/>
      </c:lineChart>
      <c:catAx>
        <c:axId val="5994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9412447"/>
        <c:crosses val="autoZero"/>
        <c:auto val="1"/>
        <c:lblAlgn val="ctr"/>
        <c:lblOffset val="100"/>
        <c:noMultiLvlLbl val="0"/>
      </c:catAx>
      <c:valAx>
        <c:axId val="5994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942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6'!$B$3:$B$52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xVal>
          <c:yVal>
            <c:numRef>
              <c:f>'Задание 6'!$C$3:$C$52</c:f>
              <c:numCache>
                <c:formatCode>General</c:formatCode>
                <c:ptCount val="50"/>
                <c:pt idx="0">
                  <c:v>5.1363300000000001</c:v>
                </c:pt>
                <c:pt idx="1">
                  <c:v>6.6862700000000004</c:v>
                </c:pt>
                <c:pt idx="2">
                  <c:v>0.29131499999999999</c:v>
                </c:pt>
                <c:pt idx="3">
                  <c:v>5.1470700000000003</c:v>
                </c:pt>
                <c:pt idx="4">
                  <c:v>5.0792099999999998</c:v>
                </c:pt>
                <c:pt idx="5">
                  <c:v>0.57628599999999996</c:v>
                </c:pt>
                <c:pt idx="6">
                  <c:v>10.639849999999999</c:v>
                </c:pt>
                <c:pt idx="7">
                  <c:v>8.4246800000000004</c:v>
                </c:pt>
                <c:pt idx="8">
                  <c:v>2.1817000000000002</c:v>
                </c:pt>
                <c:pt idx="9">
                  <c:v>2.8486600000000002</c:v>
                </c:pt>
                <c:pt idx="10">
                  <c:v>2.0169899999999998</c:v>
                </c:pt>
                <c:pt idx="11">
                  <c:v>1.13697</c:v>
                </c:pt>
                <c:pt idx="12">
                  <c:v>5.2546600000000003</c:v>
                </c:pt>
                <c:pt idx="13">
                  <c:v>4.67936</c:v>
                </c:pt>
                <c:pt idx="14">
                  <c:v>5.5770600000000004</c:v>
                </c:pt>
                <c:pt idx="15">
                  <c:v>7.05016</c:v>
                </c:pt>
                <c:pt idx="16">
                  <c:v>8.7911699999999993</c:v>
                </c:pt>
                <c:pt idx="17">
                  <c:v>10.263999999999999</c:v>
                </c:pt>
                <c:pt idx="18">
                  <c:v>1.1330499999999999</c:v>
                </c:pt>
                <c:pt idx="19">
                  <c:v>2.1659299999999999</c:v>
                </c:pt>
                <c:pt idx="20">
                  <c:v>4.09626</c:v>
                </c:pt>
                <c:pt idx="21">
                  <c:v>2.3341400000000001</c:v>
                </c:pt>
                <c:pt idx="22">
                  <c:v>9.4604800000000004</c:v>
                </c:pt>
                <c:pt idx="23">
                  <c:v>6.3081500000000004</c:v>
                </c:pt>
                <c:pt idx="24">
                  <c:v>4.0541200000000002</c:v>
                </c:pt>
                <c:pt idx="25">
                  <c:v>2.7465700000000002</c:v>
                </c:pt>
                <c:pt idx="26">
                  <c:v>2.3625500000000001</c:v>
                </c:pt>
                <c:pt idx="27">
                  <c:v>-1.51603</c:v>
                </c:pt>
                <c:pt idx="28">
                  <c:v>7.6174799999999996</c:v>
                </c:pt>
                <c:pt idx="29">
                  <c:v>0.29575800000000002</c:v>
                </c:pt>
                <c:pt idx="30">
                  <c:v>7.3238899999999996</c:v>
                </c:pt>
                <c:pt idx="31">
                  <c:v>2.8535900000000001</c:v>
                </c:pt>
                <c:pt idx="32">
                  <c:v>2.7207699999999999</c:v>
                </c:pt>
                <c:pt idx="33">
                  <c:v>6.1454000000000004</c:v>
                </c:pt>
                <c:pt idx="34">
                  <c:v>1.12967</c:v>
                </c:pt>
                <c:pt idx="35">
                  <c:v>0.73295500000000002</c:v>
                </c:pt>
                <c:pt idx="36">
                  <c:v>2.0230700000000001</c:v>
                </c:pt>
                <c:pt idx="37">
                  <c:v>4.7182700000000004</c:v>
                </c:pt>
                <c:pt idx="38">
                  <c:v>3.2783500000000001</c:v>
                </c:pt>
                <c:pt idx="39">
                  <c:v>7.3078500000000002</c:v>
                </c:pt>
                <c:pt idx="40">
                  <c:v>1.7641899999999999</c:v>
                </c:pt>
                <c:pt idx="41">
                  <c:v>4.7862799999999996</c:v>
                </c:pt>
                <c:pt idx="42">
                  <c:v>9.3262300000000007</c:v>
                </c:pt>
                <c:pt idx="43">
                  <c:v>2.7852100000000002</c:v>
                </c:pt>
                <c:pt idx="44">
                  <c:v>12.2189</c:v>
                </c:pt>
                <c:pt idx="45">
                  <c:v>2.7725499999999998</c:v>
                </c:pt>
                <c:pt idx="46">
                  <c:v>4.7862299999999998</c:v>
                </c:pt>
                <c:pt idx="47">
                  <c:v>5.0236499999999999</c:v>
                </c:pt>
                <c:pt idx="48">
                  <c:v>2.9275000000000002</c:v>
                </c:pt>
                <c:pt idx="49">
                  <c:v>6.2996100000000004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4-45B6-B04F-7FFF67D71328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6'!$S$3:$S$52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xVal>
          <c:yVal>
            <c:numRef>
              <c:f>'Задание 6'!$T$3:$T$52</c:f>
              <c:numCache>
                <c:formatCode>General</c:formatCode>
                <c:ptCount val="50"/>
                <c:pt idx="0">
                  <c:v>5.1363299999999992</c:v>
                </c:pt>
                <c:pt idx="1">
                  <c:v>4.11873566033087</c:v>
                </c:pt>
                <c:pt idx="2">
                  <c:v>3.7588817999314994</c:v>
                </c:pt>
                <c:pt idx="3">
                  <c:v>8.4633600996089502</c:v>
                </c:pt>
                <c:pt idx="4">
                  <c:v>1.4247864902651166</c:v>
                </c:pt>
                <c:pt idx="5">
                  <c:v>4.1608899520294003</c:v>
                </c:pt>
                <c:pt idx="6">
                  <c:v>3.6854409749749699</c:v>
                </c:pt>
                <c:pt idx="7">
                  <c:v>1.4191609725285463</c:v>
                </c:pt>
                <c:pt idx="8">
                  <c:v>-0.25279235388078192</c:v>
                </c:pt>
                <c:pt idx="9">
                  <c:v>-1.3770304369274449</c:v>
                </c:pt>
                <c:pt idx="10">
                  <c:v>8.7660871364878421</c:v>
                </c:pt>
                <c:pt idx="11">
                  <c:v>5.5071814384799822</c:v>
                </c:pt>
                <c:pt idx="12">
                  <c:v>1.3794114351152054</c:v>
                </c:pt>
                <c:pt idx="13">
                  <c:v>8.2204119160406339</c:v>
                </c:pt>
                <c:pt idx="14">
                  <c:v>4.4030344902067782</c:v>
                </c:pt>
                <c:pt idx="15">
                  <c:v>5.3000882031227654</c:v>
                </c:pt>
                <c:pt idx="16">
                  <c:v>8.2936672843684871</c:v>
                </c:pt>
                <c:pt idx="17">
                  <c:v>4.980360975281716</c:v>
                </c:pt>
                <c:pt idx="18">
                  <c:v>0.19180900393685718</c:v>
                </c:pt>
                <c:pt idx="19">
                  <c:v>5.5951496993496281</c:v>
                </c:pt>
                <c:pt idx="20">
                  <c:v>0.99625804026624287</c:v>
                </c:pt>
                <c:pt idx="21">
                  <c:v>8.9957442616675607</c:v>
                </c:pt>
                <c:pt idx="22">
                  <c:v>8.9098778425895979</c:v>
                </c:pt>
                <c:pt idx="23">
                  <c:v>3.4236998530339413</c:v>
                </c:pt>
                <c:pt idx="24">
                  <c:v>7.611186890833066</c:v>
                </c:pt>
                <c:pt idx="25">
                  <c:v>-0.94145463503880933</c:v>
                </c:pt>
                <c:pt idx="26">
                  <c:v>8.9880787210155297</c:v>
                </c:pt>
                <c:pt idx="27">
                  <c:v>-0.31071664090457674</c:v>
                </c:pt>
                <c:pt idx="28">
                  <c:v>3.8197733930141418</c:v>
                </c:pt>
                <c:pt idx="29">
                  <c:v>4.0119064603246581</c:v>
                </c:pt>
                <c:pt idx="30">
                  <c:v>-0.74857974121357884</c:v>
                </c:pt>
                <c:pt idx="31">
                  <c:v>-0.65183319991983524</c:v>
                </c:pt>
                <c:pt idx="32">
                  <c:v>8.2095317938248531</c:v>
                </c:pt>
                <c:pt idx="33">
                  <c:v>1.6749056634756521</c:v>
                </c:pt>
                <c:pt idx="34">
                  <c:v>8.6204418640993055</c:v>
                </c:pt>
                <c:pt idx="35">
                  <c:v>-5.5837414224637172E-2</c:v>
                </c:pt>
                <c:pt idx="36">
                  <c:v>2.4975294494154916</c:v>
                </c:pt>
                <c:pt idx="37">
                  <c:v>8.9538928824625348</c:v>
                </c:pt>
                <c:pt idx="38">
                  <c:v>-1.4928790109750345</c:v>
                </c:pt>
                <c:pt idx="39">
                  <c:v>6.9468194280318727</c:v>
                </c:pt>
                <c:pt idx="40">
                  <c:v>8.6096853796359731</c:v>
                </c:pt>
                <c:pt idx="41">
                  <c:v>1.5130655682852989E-2</c:v>
                </c:pt>
                <c:pt idx="42">
                  <c:v>8.1054288062602105</c:v>
                </c:pt>
                <c:pt idx="43">
                  <c:v>9.261379972810829</c:v>
                </c:pt>
                <c:pt idx="44">
                  <c:v>10.286089665133577</c:v>
                </c:pt>
                <c:pt idx="45">
                  <c:v>6.5287383681152011</c:v>
                </c:pt>
                <c:pt idx="46">
                  <c:v>7.6892641315065458</c:v>
                </c:pt>
                <c:pt idx="47">
                  <c:v>-1.1087983329826798</c:v>
                </c:pt>
                <c:pt idx="48">
                  <c:v>9.0346901536899615</c:v>
                </c:pt>
                <c:pt idx="49">
                  <c:v>2.7094445571183385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74-45B6-B04F-7FFF67D7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86591"/>
        <c:axId val="634887007"/>
      </c:scatterChart>
      <c:valAx>
        <c:axId val="6348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7007"/>
        <c:crosses val="autoZero"/>
        <c:crossBetween val="midCat"/>
      </c:valAx>
      <c:valAx>
        <c:axId val="6348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6'!$R$3:$R$52</c:f>
              <c:numCache>
                <c:formatCode>General</c:formatCode>
                <c:ptCount val="50"/>
                <c:pt idx="0">
                  <c:v>5.1363300000000001</c:v>
                </c:pt>
                <c:pt idx="1">
                  <c:v>6.6862700000000004</c:v>
                </c:pt>
                <c:pt idx="2">
                  <c:v>0.29131499999999999</c:v>
                </c:pt>
                <c:pt idx="3">
                  <c:v>5.1470700000000003</c:v>
                </c:pt>
                <c:pt idx="4">
                  <c:v>5.0792099999999998</c:v>
                </c:pt>
                <c:pt idx="5">
                  <c:v>0.57628599999999996</c:v>
                </c:pt>
                <c:pt idx="6">
                  <c:v>10.639849999999999</c:v>
                </c:pt>
                <c:pt idx="7">
                  <c:v>8.4246800000000004</c:v>
                </c:pt>
                <c:pt idx="8">
                  <c:v>2.1817000000000002</c:v>
                </c:pt>
                <c:pt idx="9">
                  <c:v>2.8486600000000002</c:v>
                </c:pt>
                <c:pt idx="10">
                  <c:v>2.0169899999999998</c:v>
                </c:pt>
                <c:pt idx="11">
                  <c:v>1.13697</c:v>
                </c:pt>
                <c:pt idx="12">
                  <c:v>5.2546600000000003</c:v>
                </c:pt>
                <c:pt idx="13">
                  <c:v>4.67936</c:v>
                </c:pt>
                <c:pt idx="14">
                  <c:v>5.5770600000000004</c:v>
                </c:pt>
                <c:pt idx="15">
                  <c:v>7.05016</c:v>
                </c:pt>
                <c:pt idx="16">
                  <c:v>8.7911699999999993</c:v>
                </c:pt>
                <c:pt idx="17">
                  <c:v>10.263999999999999</c:v>
                </c:pt>
                <c:pt idx="18">
                  <c:v>1.1330499999999999</c:v>
                </c:pt>
                <c:pt idx="19">
                  <c:v>2.1659299999999999</c:v>
                </c:pt>
                <c:pt idx="20">
                  <c:v>4.09626</c:v>
                </c:pt>
                <c:pt idx="21">
                  <c:v>2.3341400000000001</c:v>
                </c:pt>
                <c:pt idx="22">
                  <c:v>9.4604800000000004</c:v>
                </c:pt>
                <c:pt idx="23">
                  <c:v>6.3081500000000004</c:v>
                </c:pt>
                <c:pt idx="24">
                  <c:v>4.0541200000000002</c:v>
                </c:pt>
                <c:pt idx="25">
                  <c:v>2.7465700000000002</c:v>
                </c:pt>
                <c:pt idx="26">
                  <c:v>2.3625500000000001</c:v>
                </c:pt>
                <c:pt idx="27">
                  <c:v>-1.51603</c:v>
                </c:pt>
                <c:pt idx="28">
                  <c:v>7.6174799999999996</c:v>
                </c:pt>
                <c:pt idx="29">
                  <c:v>0.29575800000000002</c:v>
                </c:pt>
                <c:pt idx="30">
                  <c:v>7.3238899999999996</c:v>
                </c:pt>
                <c:pt idx="31">
                  <c:v>2.8535900000000001</c:v>
                </c:pt>
                <c:pt idx="32">
                  <c:v>2.7207699999999999</c:v>
                </c:pt>
                <c:pt idx="33">
                  <c:v>6.1454000000000004</c:v>
                </c:pt>
                <c:pt idx="34">
                  <c:v>1.12967</c:v>
                </c:pt>
                <c:pt idx="35">
                  <c:v>0.73295500000000002</c:v>
                </c:pt>
                <c:pt idx="36">
                  <c:v>2.0230700000000001</c:v>
                </c:pt>
                <c:pt idx="37">
                  <c:v>4.7182700000000004</c:v>
                </c:pt>
                <c:pt idx="38">
                  <c:v>3.2783500000000001</c:v>
                </c:pt>
                <c:pt idx="39">
                  <c:v>7.3078500000000002</c:v>
                </c:pt>
                <c:pt idx="40">
                  <c:v>1.7641899999999999</c:v>
                </c:pt>
                <c:pt idx="41">
                  <c:v>4.7862799999999996</c:v>
                </c:pt>
                <c:pt idx="42">
                  <c:v>9.3262300000000007</c:v>
                </c:pt>
                <c:pt idx="43">
                  <c:v>2.7852100000000002</c:v>
                </c:pt>
                <c:pt idx="44">
                  <c:v>12.2189</c:v>
                </c:pt>
                <c:pt idx="45">
                  <c:v>2.7725499999999998</c:v>
                </c:pt>
                <c:pt idx="46">
                  <c:v>4.7862299999999998</c:v>
                </c:pt>
                <c:pt idx="47">
                  <c:v>5.0236499999999999</c:v>
                </c:pt>
                <c:pt idx="48">
                  <c:v>2.9275000000000002</c:v>
                </c:pt>
                <c:pt idx="49">
                  <c:v>6.2996100000000004</c:v>
                </c:pt>
              </c:numCache>
            </c:numRef>
          </c:xVal>
          <c:yVal>
            <c:numRef>
              <c:f>'Задание 6'!$S$3:$S$52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2-4C4A-A1C0-A9D2EA58DA25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6'!$V$3:$V$52</c:f>
              <c:numCache>
                <c:formatCode>General</c:formatCode>
                <c:ptCount val="50"/>
                <c:pt idx="0">
                  <c:v>5.1363300000000001</c:v>
                </c:pt>
                <c:pt idx="1">
                  <c:v>6.6862700000000004</c:v>
                </c:pt>
                <c:pt idx="2">
                  <c:v>0.29131499999999999</c:v>
                </c:pt>
                <c:pt idx="3">
                  <c:v>5.1470700000000003</c:v>
                </c:pt>
                <c:pt idx="4">
                  <c:v>5.0792099999999998</c:v>
                </c:pt>
                <c:pt idx="5">
                  <c:v>0.57628599999999996</c:v>
                </c:pt>
                <c:pt idx="6">
                  <c:v>10.639849999999999</c:v>
                </c:pt>
                <c:pt idx="7">
                  <c:v>8.4246800000000004</c:v>
                </c:pt>
                <c:pt idx="8">
                  <c:v>2.1817000000000002</c:v>
                </c:pt>
                <c:pt idx="9">
                  <c:v>2.8486600000000002</c:v>
                </c:pt>
                <c:pt idx="10">
                  <c:v>2.0169899999999998</c:v>
                </c:pt>
                <c:pt idx="11">
                  <c:v>1.13697</c:v>
                </c:pt>
                <c:pt idx="12">
                  <c:v>5.2546600000000003</c:v>
                </c:pt>
                <c:pt idx="13">
                  <c:v>4.67936</c:v>
                </c:pt>
                <c:pt idx="14">
                  <c:v>5.5770600000000004</c:v>
                </c:pt>
                <c:pt idx="15">
                  <c:v>7.05016</c:v>
                </c:pt>
                <c:pt idx="16">
                  <c:v>8.7911699999999993</c:v>
                </c:pt>
                <c:pt idx="17">
                  <c:v>10.263999999999999</c:v>
                </c:pt>
                <c:pt idx="18">
                  <c:v>1.1330499999999999</c:v>
                </c:pt>
                <c:pt idx="19">
                  <c:v>2.1659299999999999</c:v>
                </c:pt>
                <c:pt idx="20">
                  <c:v>4.09626</c:v>
                </c:pt>
                <c:pt idx="21">
                  <c:v>2.3341400000000001</c:v>
                </c:pt>
                <c:pt idx="22">
                  <c:v>9.4604800000000004</c:v>
                </c:pt>
                <c:pt idx="23">
                  <c:v>6.3081500000000004</c:v>
                </c:pt>
                <c:pt idx="24">
                  <c:v>4.0541200000000002</c:v>
                </c:pt>
                <c:pt idx="25">
                  <c:v>2.7465700000000002</c:v>
                </c:pt>
                <c:pt idx="26">
                  <c:v>2.3625500000000001</c:v>
                </c:pt>
                <c:pt idx="27">
                  <c:v>-1.51603</c:v>
                </c:pt>
                <c:pt idx="28">
                  <c:v>7.6174799999999996</c:v>
                </c:pt>
                <c:pt idx="29">
                  <c:v>0.29575800000000002</c:v>
                </c:pt>
                <c:pt idx="30">
                  <c:v>7.3238899999999996</c:v>
                </c:pt>
                <c:pt idx="31">
                  <c:v>2.8535900000000001</c:v>
                </c:pt>
                <c:pt idx="32">
                  <c:v>2.7207699999999999</c:v>
                </c:pt>
                <c:pt idx="33">
                  <c:v>6.1454000000000004</c:v>
                </c:pt>
                <c:pt idx="34">
                  <c:v>1.12967</c:v>
                </c:pt>
                <c:pt idx="35">
                  <c:v>0.73295500000000002</c:v>
                </c:pt>
                <c:pt idx="36">
                  <c:v>2.0230700000000001</c:v>
                </c:pt>
                <c:pt idx="37">
                  <c:v>4.7182700000000004</c:v>
                </c:pt>
                <c:pt idx="38">
                  <c:v>3.2783500000000001</c:v>
                </c:pt>
                <c:pt idx="39">
                  <c:v>7.3078500000000002</c:v>
                </c:pt>
                <c:pt idx="40">
                  <c:v>1.7641899999999999</c:v>
                </c:pt>
                <c:pt idx="41">
                  <c:v>4.7862799999999996</c:v>
                </c:pt>
                <c:pt idx="42">
                  <c:v>9.3262300000000007</c:v>
                </c:pt>
                <c:pt idx="43">
                  <c:v>2.7852100000000002</c:v>
                </c:pt>
                <c:pt idx="44">
                  <c:v>12.2189</c:v>
                </c:pt>
                <c:pt idx="45">
                  <c:v>2.7725499999999998</c:v>
                </c:pt>
                <c:pt idx="46">
                  <c:v>4.7862299999999998</c:v>
                </c:pt>
                <c:pt idx="47">
                  <c:v>5.0236499999999999</c:v>
                </c:pt>
                <c:pt idx="48">
                  <c:v>2.9275000000000002</c:v>
                </c:pt>
                <c:pt idx="49">
                  <c:v>6.2996100000000004</c:v>
                </c:pt>
              </c:numCache>
            </c:numRef>
          </c:xVal>
          <c:yVal>
            <c:numRef>
              <c:f>'Задание 6'!$W$3:$W$52</c:f>
              <c:numCache>
                <c:formatCode>General</c:formatCode>
                <c:ptCount val="50"/>
                <c:pt idx="0">
                  <c:v>1.9393973371777904</c:v>
                </c:pt>
                <c:pt idx="1">
                  <c:v>1.8869118287013409</c:v>
                </c:pt>
                <c:pt idx="2">
                  <c:v>2.1034637370713503</c:v>
                </c:pt>
                <c:pt idx="3">
                  <c:v>1.9390336493182363</c:v>
                </c:pt>
                <c:pt idx="4">
                  <c:v>1.941331587693407</c:v>
                </c:pt>
                <c:pt idx="5">
                  <c:v>2.0938137842757309</c:v>
                </c:pt>
                <c:pt idx="6">
                  <c:v>1.7530320290946977</c:v>
                </c:pt>
                <c:pt idx="7">
                  <c:v>1.8280441739595159</c:v>
                </c:pt>
                <c:pt idx="8">
                  <c:v>2.0394497636651199</c:v>
                </c:pt>
                <c:pt idx="9">
                  <c:v>2.0168645444092439</c:v>
                </c:pt>
                <c:pt idx="10">
                  <c:v>2.0450273267328232</c:v>
                </c:pt>
                <c:pt idx="11">
                  <c:v>2.0748273816829794</c:v>
                </c:pt>
                <c:pt idx="12">
                  <c:v>1.9353903367661498</c:v>
                </c:pt>
                <c:pt idx="13">
                  <c:v>1.9548716799320152</c:v>
                </c:pt>
                <c:pt idx="14">
                  <c:v>1.9244729283936919</c:v>
                </c:pt>
                <c:pt idx="15">
                  <c:v>1.8745894473965838</c:v>
                </c:pt>
                <c:pt idx="16">
                  <c:v>1.8156337490388519</c:v>
                </c:pt>
                <c:pt idx="17">
                  <c:v>1.7657594110326267</c:v>
                </c:pt>
                <c:pt idx="18">
                  <c:v>2.0749601243654237</c:v>
                </c:pt>
                <c:pt idx="19">
                  <c:v>2.0399837820585245</c:v>
                </c:pt>
                <c:pt idx="20">
                  <c:v>1.9746171539456012</c:v>
                </c:pt>
                <c:pt idx="21">
                  <c:v>2.0342876987386389</c:v>
                </c:pt>
                <c:pt idx="22">
                  <c:v>1.7929689518993674</c:v>
                </c:pt>
                <c:pt idx="23">
                  <c:v>1.8997160794885424</c:v>
                </c:pt>
                <c:pt idx="24">
                  <c:v>1.9760441377818772</c:v>
                </c:pt>
                <c:pt idx="25">
                  <c:v>2.020321610850758</c:v>
                </c:pt>
                <c:pt idx="26">
                  <c:v>2.0333256529202099</c:v>
                </c:pt>
                <c:pt idx="27">
                  <c:v>2.1646657328372307</c:v>
                </c:pt>
                <c:pt idx="28">
                  <c:v>1.8553783304056943</c:v>
                </c:pt>
                <c:pt idx="29">
                  <c:v>2.1033132840769371</c:v>
                </c:pt>
                <c:pt idx="30">
                  <c:v>1.8653201477880452</c:v>
                </c:pt>
                <c:pt idx="31">
                  <c:v>2.0166976001683126</c:v>
                </c:pt>
                <c:pt idx="32">
                  <c:v>2.0211952744239885</c:v>
                </c:pt>
                <c:pt idx="33">
                  <c:v>1.9052272712150236</c:v>
                </c:pt>
                <c:pt idx="34">
                  <c:v>2.0750745810661027</c:v>
                </c:pt>
                <c:pt idx="35">
                  <c:v>2.0885085130216843</c:v>
                </c:pt>
                <c:pt idx="36">
                  <c:v>2.0448214401233176</c:v>
                </c:pt>
                <c:pt idx="37">
                  <c:v>1.9535540733570389</c:v>
                </c:pt>
                <c:pt idx="38">
                  <c:v>2.0023139823634577</c:v>
                </c:pt>
                <c:pt idx="39">
                  <c:v>1.8658633091723325</c:v>
                </c:pt>
                <c:pt idx="40">
                  <c:v>2.053587875233311</c:v>
                </c:pt>
                <c:pt idx="41">
                  <c:v>1.9512510555424891</c:v>
                </c:pt>
                <c:pt idx="42">
                  <c:v>1.797515050143792</c:v>
                </c:pt>
                <c:pt idx="43">
                  <c:v>2.0190131472666644</c:v>
                </c:pt>
                <c:pt idx="44">
                  <c:v>1.6995607707493827</c:v>
                </c:pt>
                <c:pt idx="45">
                  <c:v>2.019441851950273</c:v>
                </c:pt>
                <c:pt idx="46">
                  <c:v>1.9512527486889488</c:v>
                </c:pt>
                <c:pt idx="47">
                  <c:v>1.9432130120394793</c:v>
                </c:pt>
                <c:pt idx="48">
                  <c:v>2.0141947910715126</c:v>
                </c:pt>
                <c:pt idx="49">
                  <c:v>1.9000052689038673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A2-4C4A-A1C0-A9D2EA58D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434447"/>
        <c:axId val="898435695"/>
      </c:scatterChart>
      <c:valAx>
        <c:axId val="89843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5695"/>
        <c:crosses val="autoZero"/>
        <c:crossBetween val="midCat"/>
      </c:valAx>
      <c:valAx>
        <c:axId val="8984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41767</xdr:colOff>
      <xdr:row>7</xdr:row>
      <xdr:rowOff>176168</xdr:rowOff>
    </xdr:from>
    <xdr:to>
      <xdr:col>28</xdr:col>
      <xdr:colOff>325648</xdr:colOff>
      <xdr:row>19</xdr:row>
      <xdr:rowOff>160684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58964</xdr:colOff>
      <xdr:row>21</xdr:row>
      <xdr:rowOff>143329</xdr:rowOff>
    </xdr:from>
    <xdr:to>
      <xdr:col>28</xdr:col>
      <xdr:colOff>376464</xdr:colOff>
      <xdr:row>36</xdr:row>
      <xdr:rowOff>165100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435793</xdr:colOff>
      <xdr:row>10</xdr:row>
      <xdr:rowOff>141955</xdr:rowOff>
    </xdr:from>
    <xdr:ext cx="774507" cy="3882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4425027" y="1985503"/>
              <a:ext cx="774507" cy="388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+mn-lt"/>
                </a:rPr>
                <a:t>T</a:t>
              </a:r>
              <a14:m>
                <m:oMath xmlns:m="http://schemas.openxmlformats.org/officeDocument/2006/math">
                  <m:r>
                    <a:rPr lang="ru-RU" sz="1100" i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𝜉</m:t>
                          </m:r>
                        </m:e>
                        <m:sub>
                          <m:r>
                            <a:rPr lang="ru-RU" sz="1100" i="0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num>
                    <m:den>
                      <m:rad>
                        <m:radPr>
                          <m:degHide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f>
                            <m:f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den>
                          </m:f>
                          <m:nary>
                            <m:naryPr>
                              <m:chr m:val="∑"/>
                              <m:limLoc m:val="undOvr"/>
                              <m:grow m:val="on"/>
                              <m:supHide m:val="on"/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naryPr>
                            <m: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ru-RU" sz="1100" i="0">
                                  <a:latin typeface="Cambria Math" panose="02040503050406030204" pitchFamily="18" charset="0"/>
                                </a:rPr>
                                <m:t>=1</m:t>
                              </m:r>
                            </m:sub>
                            <m:sup/>
                            <m:e>
                              <m:sSubSup>
                                <m:sSubSup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𝜉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  <m:sup>
                                  <m:r>
                                    <a:rPr lang="ru-RU" sz="1100" i="0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</m:e>
                          </m:nary>
                        </m:e>
                      </m:rad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425027" y="1985503"/>
              <a:ext cx="774507" cy="388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+mn-lt"/>
                </a:rPr>
                <a:t>T</a:t>
              </a:r>
              <a:r>
                <a:rPr lang="ru-RU" sz="1100" i="0">
                  <a:latin typeface="Cambria Math" panose="02040503050406030204" pitchFamily="18" charset="0"/>
                </a:rPr>
                <a:t>=𝜉_0/√(1/𝑛 ∑129_(𝑖=1)▒𝜉_𝑖^2 )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246933</xdr:colOff>
      <xdr:row>15</xdr:row>
      <xdr:rowOff>8807</xdr:rowOff>
    </xdr:from>
    <xdr:ext cx="1098955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4845562" y="2774130"/>
              <a:ext cx="1098955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sz="1100" i="0">
                        <a:latin typeface="Cambria Math" panose="02040503050406030204" pitchFamily="18" charset="0"/>
                      </a:rPr>
                      <m:t>+…+</m:t>
                    </m:r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𝜉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845562" y="2774130"/>
              <a:ext cx="1098955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𝜒_𝑛^2=𝜉_1^2+…+𝜉_𝑛^2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153901</xdr:colOff>
      <xdr:row>8</xdr:row>
      <xdr:rowOff>106106</xdr:rowOff>
    </xdr:from>
    <xdr:ext cx="1299266" cy="5477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369277" y="1580945"/>
              <a:ext cx="1299266" cy="547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ru-RU" sz="1100" i="0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Sup>
                                      <m:sSubSup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ru-RU" sz="1100" i="0">
                                            <a:latin typeface="Cambria Math" panose="02040503050406030204" pitchFamily="18" charset="0"/>
                                          </a:rPr>
                                          <m:t>′</m:t>
                                        </m:r>
                                      </m:sup>
                                    </m:sSubSup>
                                  </m:e>
                                </m:d>
                              </m:e>
                              <m:sup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Sup>
                              <m:sSubSup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den>
                        </m:f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69277" y="1580945"/>
              <a:ext cx="1299266" cy="547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𝑋^2=∑128▒(𝑛_𝑖−𝑛_𝑖^′ )^2/(𝑛_𝑖^′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54</xdr:row>
      <xdr:rowOff>12700</xdr:rowOff>
    </xdr:from>
    <xdr:to>
      <xdr:col>9</xdr:col>
      <xdr:colOff>450850</xdr:colOff>
      <xdr:row>55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0100" y="9772650"/>
          <a:ext cx="1968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146050</xdr:colOff>
      <xdr:row>5</xdr:row>
      <xdr:rowOff>82550</xdr:rowOff>
    </xdr:from>
    <xdr:to>
      <xdr:col>18</xdr:col>
      <xdr:colOff>279400</xdr:colOff>
      <xdr:row>7</xdr:row>
      <xdr:rowOff>82550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0550" y="819150"/>
          <a:ext cx="257175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158750</xdr:colOff>
      <xdr:row>4</xdr:row>
      <xdr:rowOff>0</xdr:rowOff>
    </xdr:from>
    <xdr:to>
      <xdr:col>15</xdr:col>
      <xdr:colOff>425450</xdr:colOff>
      <xdr:row>4</xdr:row>
      <xdr:rowOff>177800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3250" y="552450"/>
          <a:ext cx="876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177800</xdr:colOff>
      <xdr:row>7</xdr:row>
      <xdr:rowOff>158750</xdr:rowOff>
    </xdr:from>
    <xdr:to>
      <xdr:col>13</xdr:col>
      <xdr:colOff>209550</xdr:colOff>
      <xdr:row>8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100" y="1263650"/>
          <a:ext cx="6413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3</xdr:row>
      <xdr:rowOff>6350</xdr:rowOff>
    </xdr:from>
    <xdr:to>
      <xdr:col>6</xdr:col>
      <xdr:colOff>539750</xdr:colOff>
      <xdr:row>6</xdr:row>
      <xdr:rowOff>158750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800" y="571500"/>
          <a:ext cx="34734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298450</xdr:colOff>
      <xdr:row>3</xdr:row>
      <xdr:rowOff>6350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38100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298450</xdr:colOff>
      <xdr:row>3</xdr:row>
      <xdr:rowOff>6350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1350" y="38100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31750</xdr:colOff>
      <xdr:row>5</xdr:row>
      <xdr:rowOff>0</xdr:rowOff>
    </xdr:from>
    <xdr:to>
      <xdr:col>15</xdr:col>
      <xdr:colOff>330200</xdr:colOff>
      <xdr:row>6</xdr:row>
      <xdr:rowOff>6350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93345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</xdr:row>
      <xdr:rowOff>120650</xdr:rowOff>
    </xdr:from>
    <xdr:to>
      <xdr:col>15</xdr:col>
      <xdr:colOff>401019</xdr:colOff>
      <xdr:row>8</xdr:row>
      <xdr:rowOff>44450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1238250"/>
          <a:ext cx="401019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565150</xdr:colOff>
      <xdr:row>11</xdr:row>
      <xdr:rowOff>69850</xdr:rowOff>
    </xdr:from>
    <xdr:to>
      <xdr:col>17</xdr:col>
      <xdr:colOff>171450</xdr:colOff>
      <xdr:row>13</xdr:row>
      <xdr:rowOff>76200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2108200"/>
          <a:ext cx="143510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254000</xdr:colOff>
      <xdr:row>1</xdr:row>
      <xdr:rowOff>6350</xdr:rowOff>
    </xdr:from>
    <xdr:to>
      <xdr:col>6</xdr:col>
      <xdr:colOff>215900</xdr:colOff>
      <xdr:row>1</xdr:row>
      <xdr:rowOff>184150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90500"/>
          <a:ext cx="1181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9</xdr:row>
      <xdr:rowOff>127000</xdr:rowOff>
    </xdr:from>
    <xdr:to>
      <xdr:col>6</xdr:col>
      <xdr:colOff>558800</xdr:colOff>
      <xdr:row>11</xdr:row>
      <xdr:rowOff>107950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450" y="254635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19050</xdr:colOff>
      <xdr:row>12</xdr:row>
      <xdr:rowOff>88900</xdr:rowOff>
    </xdr:from>
    <xdr:to>
      <xdr:col>6</xdr:col>
      <xdr:colOff>577850</xdr:colOff>
      <xdr:row>14</xdr:row>
      <xdr:rowOff>69850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30607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127000</xdr:colOff>
      <xdr:row>6</xdr:row>
      <xdr:rowOff>114300</xdr:rowOff>
    </xdr:from>
    <xdr:to>
      <xdr:col>9</xdr:col>
      <xdr:colOff>381000</xdr:colOff>
      <xdr:row>7</xdr:row>
      <xdr:rowOff>107950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1950" y="1981200"/>
          <a:ext cx="863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488950</xdr:colOff>
      <xdr:row>1</xdr:row>
      <xdr:rowOff>190500</xdr:rowOff>
    </xdr:from>
    <xdr:to>
      <xdr:col>19</xdr:col>
      <xdr:colOff>279400</xdr:colOff>
      <xdr:row>1</xdr:row>
      <xdr:rowOff>571500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7950" y="374650"/>
          <a:ext cx="10096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57150</xdr:colOff>
      <xdr:row>1</xdr:row>
      <xdr:rowOff>273050</xdr:rowOff>
    </xdr:from>
    <xdr:to>
      <xdr:col>17</xdr:col>
      <xdr:colOff>157988</xdr:colOff>
      <xdr:row>1</xdr:row>
      <xdr:rowOff>582588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86950" y="457200"/>
          <a:ext cx="1320038" cy="3095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</xdr:row>
      <xdr:rowOff>133350</xdr:rowOff>
    </xdr:from>
    <xdr:to>
      <xdr:col>11</xdr:col>
      <xdr:colOff>279400</xdr:colOff>
      <xdr:row>5</xdr:row>
      <xdr:rowOff>50800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501650"/>
          <a:ext cx="14097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17</xdr:col>
      <xdr:colOff>184150</xdr:colOff>
      <xdr:row>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552450"/>
          <a:ext cx="2622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133350</xdr:colOff>
      <xdr:row>0</xdr:row>
      <xdr:rowOff>177800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44450</xdr:colOff>
      <xdr:row>0</xdr:row>
      <xdr:rowOff>0</xdr:rowOff>
    </xdr:from>
    <xdr:to>
      <xdr:col>6</xdr:col>
      <xdr:colOff>200978</xdr:colOff>
      <xdr:row>1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050" y="0"/>
          <a:ext cx="156528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996950</xdr:colOff>
      <xdr:row>8</xdr:row>
      <xdr:rowOff>76200</xdr:rowOff>
    </xdr:from>
    <xdr:to>
      <xdr:col>8</xdr:col>
      <xdr:colOff>1346200</xdr:colOff>
      <xdr:row>10</xdr:row>
      <xdr:rowOff>129409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3750" y="1549400"/>
          <a:ext cx="349250" cy="421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1162050</xdr:colOff>
      <xdr:row>11</xdr:row>
      <xdr:rowOff>127000</xdr:rowOff>
    </xdr:from>
    <xdr:to>
      <xdr:col>8</xdr:col>
      <xdr:colOff>1308100</xdr:colOff>
      <xdr:row>13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152650"/>
          <a:ext cx="1460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355600</xdr:colOff>
      <xdr:row>15</xdr:row>
      <xdr:rowOff>69850</xdr:rowOff>
    </xdr:from>
    <xdr:to>
      <xdr:col>16</xdr:col>
      <xdr:colOff>361950</xdr:colOff>
      <xdr:row>18</xdr:row>
      <xdr:rowOff>57150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2832100"/>
          <a:ext cx="56705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501650</xdr:colOff>
      <xdr:row>23</xdr:row>
      <xdr:rowOff>0</xdr:rowOff>
    </xdr:from>
    <xdr:to>
      <xdr:col>8</xdr:col>
      <xdr:colOff>1327150</xdr:colOff>
      <xdr:row>24</xdr:row>
      <xdr:rowOff>88900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450" y="4235450"/>
          <a:ext cx="8255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552450</xdr:colOff>
      <xdr:row>19</xdr:row>
      <xdr:rowOff>12700</xdr:rowOff>
    </xdr:from>
    <xdr:to>
      <xdr:col>8</xdr:col>
      <xdr:colOff>1193800</xdr:colOff>
      <xdr:row>22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3511550"/>
          <a:ext cx="6413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1130300</xdr:colOff>
      <xdr:row>13</xdr:row>
      <xdr:rowOff>6350</xdr:rowOff>
    </xdr:from>
    <xdr:to>
      <xdr:col>8</xdr:col>
      <xdr:colOff>1333500</xdr:colOff>
      <xdr:row>14</xdr:row>
      <xdr:rowOff>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24003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76200</xdr:colOff>
      <xdr:row>2</xdr:row>
      <xdr:rowOff>177800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3683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103909</xdr:colOff>
      <xdr:row>3</xdr:row>
      <xdr:rowOff>150092</xdr:rowOff>
    </xdr:from>
    <xdr:to>
      <xdr:col>28</xdr:col>
      <xdr:colOff>357909</xdr:colOff>
      <xdr:row>6</xdr:row>
      <xdr:rowOff>150756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6727" y="715819"/>
          <a:ext cx="1477818" cy="554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463550</xdr:colOff>
      <xdr:row>8</xdr:row>
      <xdr:rowOff>0</xdr:rowOff>
    </xdr:from>
    <xdr:to>
      <xdr:col>26</xdr:col>
      <xdr:colOff>546100</xdr:colOff>
      <xdr:row>9</xdr:row>
      <xdr:rowOff>25400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850" y="1485900"/>
          <a:ext cx="82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114300</xdr:colOff>
      <xdr:row>11</xdr:row>
      <xdr:rowOff>25400</xdr:rowOff>
    </xdr:from>
    <xdr:to>
      <xdr:col>28</xdr:col>
      <xdr:colOff>463550</xdr:colOff>
      <xdr:row>14</xdr:row>
      <xdr:rowOff>78831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6600" y="2063750"/>
          <a:ext cx="1568450" cy="605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25400</xdr:colOff>
      <xdr:row>15</xdr:row>
      <xdr:rowOff>69850</xdr:rowOff>
    </xdr:from>
    <xdr:to>
      <xdr:col>26</xdr:col>
      <xdr:colOff>749300</xdr:colOff>
      <xdr:row>17</xdr:row>
      <xdr:rowOff>109048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2844800"/>
          <a:ext cx="723900" cy="40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92075</xdr:colOff>
      <xdr:row>5</xdr:row>
      <xdr:rowOff>111125</xdr:rowOff>
    </xdr:from>
    <xdr:ext cx="1171411" cy="3551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 txBox="1"/>
          </xdr:nvSpPr>
          <xdr:spPr>
            <a:xfrm>
              <a:off x="5819775" y="103187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14:m>
                <m:oMath xmlns:m="http://schemas.openxmlformats.org/officeDocument/2006/math">
                  <m:r>
                    <a:rPr lang="ru-RU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d>
                        </m:e>
                      </m:nary>
                    </m:num>
                    <m:den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</m:d>
                            </m:e>
                            <m:sup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819775" y="103187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:r>
                <a:rPr lang="ru-RU" sz="1100" i="0">
                  <a:latin typeface="Cambria Math" panose="02040503050406030204" pitchFamily="18" charset="0"/>
                </a:rPr>
                <a:t>=(∑129_(𝑖=1)^𝑛▒(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𝑖−𝑋)(𝑦_𝑖−𝑌) )/(∑129_(𝑖=1)^𝑛▒(𝑥_𝑖−𝑋)^2 )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117475</xdr:colOff>
      <xdr:row>8</xdr:row>
      <xdr:rowOff>22225</xdr:rowOff>
    </xdr:from>
    <xdr:ext cx="6711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 txBox="1"/>
          </xdr:nvSpPr>
          <xdr:spPr>
            <a:xfrm>
              <a:off x="4625975" y="14954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14:m>
                <m:oMath xmlns:m="http://schemas.openxmlformats.org/officeDocument/2006/math">
                  <m:r>
                    <a:rPr lang="ru-RU" sz="1100" i="0">
                      <a:latin typeface="Cambria Math" panose="02040503050406030204" pitchFamily="18" charset="0"/>
                    </a:rPr>
                    <m:t>=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𝑌</m:t>
                  </m:r>
                  <m:r>
                    <a:rPr lang="ru-RU" sz="1100" i="0">
                      <a:latin typeface="Cambria Math" panose="02040503050406030204" pitchFamily="18" charset="0"/>
                    </a:rPr>
                    <m:t>−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𝑏𝑋</m:t>
                  </m:r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625975" y="14954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:r>
                <a:rPr lang="ru-RU" sz="1100" i="0">
                  <a:latin typeface="Cambria Math" panose="02040503050406030204" pitchFamily="18" charset="0"/>
                </a:rPr>
                <a:t>=𝑌−𝑏𝑋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7</xdr:col>
      <xdr:colOff>46936</xdr:colOff>
      <xdr:row>15</xdr:row>
      <xdr:rowOff>64052</xdr:rowOff>
    </xdr:from>
    <xdr:to>
      <xdr:col>14</xdr:col>
      <xdr:colOff>367196</xdr:colOff>
      <xdr:row>30</xdr:row>
      <xdr:rowOff>46383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140607</xdr:colOff>
      <xdr:row>38</xdr:row>
      <xdr:rowOff>34471</xdr:rowOff>
    </xdr:from>
    <xdr:to>
      <xdr:col>14</xdr:col>
      <xdr:colOff>458107</xdr:colOff>
      <xdr:row>53</xdr:row>
      <xdr:rowOff>56243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opLeftCell="E1" zoomScaleNormal="100" workbookViewId="0">
      <selection activeCell="AB62" sqref="AB62"/>
    </sheetView>
  </sheetViews>
  <sheetFormatPr defaultRowHeight="14.5" x14ac:dyDescent="0.35"/>
  <cols>
    <col min="16" max="16" width="9.90625" customWidth="1"/>
    <col min="18" max="18" width="15.54296875" customWidth="1"/>
    <col min="19" max="19" width="13.81640625" customWidth="1"/>
    <col min="20" max="20" width="13.453125" customWidth="1"/>
  </cols>
  <sheetData>
    <row r="1" spans="1:20" x14ac:dyDescent="0.35">
      <c r="A1" t="s">
        <v>2</v>
      </c>
    </row>
    <row r="2" spans="1:20" x14ac:dyDescent="0.35">
      <c r="A2" t="s">
        <v>0</v>
      </c>
      <c r="B2" t="s">
        <v>1</v>
      </c>
      <c r="E2" t="s">
        <v>6</v>
      </c>
    </row>
    <row r="3" spans="1:20" x14ac:dyDescent="0.35">
      <c r="A3">
        <v>1.8548500000000001</v>
      </c>
      <c r="B3">
        <v>5.1363300000000001</v>
      </c>
      <c r="C3" s="2"/>
      <c r="D3" s="1"/>
      <c r="E3">
        <v>1</v>
      </c>
      <c r="F3" t="s">
        <v>3</v>
      </c>
      <c r="K3" s="1">
        <f>AVERAGE(A3:A52)</f>
        <v>1.9617821799999995</v>
      </c>
    </row>
    <row r="4" spans="1:20" x14ac:dyDescent="0.35">
      <c r="A4">
        <v>2.0194589999999999</v>
      </c>
      <c r="B4">
        <v>6.6862700000000004</v>
      </c>
      <c r="C4" s="2"/>
      <c r="D4" s="1"/>
      <c r="F4" t="s">
        <v>4</v>
      </c>
      <c r="J4" t="s">
        <v>13</v>
      </c>
      <c r="K4">
        <f>_xlfn.VAR.P(A3:A52)</f>
        <v>0.34687698089406838</v>
      </c>
      <c r="M4" t="s">
        <v>5</v>
      </c>
      <c r="Q4">
        <f>SQRT(K4)</f>
        <v>0.5889626311524937</v>
      </c>
      <c r="R4">
        <f>_xlfn.STDEV.P(A3:A52)</f>
        <v>0.5889626311524937</v>
      </c>
    </row>
    <row r="5" spans="1:20" x14ac:dyDescent="0.35">
      <c r="A5">
        <v>2.0776699999999999</v>
      </c>
      <c r="B5">
        <v>0.29131499999999999</v>
      </c>
      <c r="C5" s="2"/>
      <c r="D5" s="1"/>
      <c r="J5" t="s">
        <v>14</v>
      </c>
      <c r="K5">
        <f>_xlfn.VAR.S(A3:A52)</f>
        <v>0.35395610295313129</v>
      </c>
      <c r="L5">
        <f>K4*(P18/(P18-1))</f>
        <v>0.35395610295313101</v>
      </c>
      <c r="Q5">
        <f>SQRT(K5)</f>
        <v>0.59494210050485696</v>
      </c>
      <c r="R5">
        <f>_xlfn.STDEV.S(A3:A52)</f>
        <v>0.59494210050485696</v>
      </c>
    </row>
    <row r="6" spans="1:20" x14ac:dyDescent="0.35">
      <c r="A6">
        <v>1.3166599999999999</v>
      </c>
      <c r="B6">
        <v>5.1470700000000003</v>
      </c>
      <c r="C6" s="2"/>
      <c r="D6" s="1"/>
    </row>
    <row r="7" spans="1:20" x14ac:dyDescent="0.35">
      <c r="A7">
        <v>2.4552399999999999</v>
      </c>
      <c r="B7">
        <v>5.0792099999999998</v>
      </c>
      <c r="C7" s="2"/>
      <c r="D7" s="1"/>
    </row>
    <row r="8" spans="1:20" x14ac:dyDescent="0.35">
      <c r="A8">
        <v>2.0126400000000002</v>
      </c>
      <c r="B8">
        <v>0.57628599999999996</v>
      </c>
      <c r="C8" s="2"/>
      <c r="D8" s="1"/>
      <c r="E8" t="s">
        <v>23</v>
      </c>
    </row>
    <row r="9" spans="1:20" ht="55" customHeight="1" x14ac:dyDescent="0.35">
      <c r="A9">
        <v>2.08955</v>
      </c>
      <c r="B9">
        <v>10.639849999999999</v>
      </c>
      <c r="C9" s="2"/>
      <c r="D9" s="1"/>
      <c r="F9" t="s">
        <v>7</v>
      </c>
      <c r="K9">
        <v>1.0218100000000001</v>
      </c>
      <c r="M9" s="5"/>
      <c r="N9" s="5"/>
      <c r="O9" s="5"/>
      <c r="P9" s="6" t="s">
        <v>17</v>
      </c>
      <c r="Q9" s="5" t="s">
        <v>19</v>
      </c>
      <c r="R9" s="6" t="s">
        <v>24</v>
      </c>
      <c r="S9" s="6" t="s">
        <v>29</v>
      </c>
      <c r="T9" s="6" t="s">
        <v>27</v>
      </c>
    </row>
    <row r="10" spans="1:20" x14ac:dyDescent="0.35">
      <c r="A10">
        <v>2.4561500000000001</v>
      </c>
      <c r="B10">
        <v>8.4246800000000004</v>
      </c>
      <c r="C10" s="2"/>
      <c r="D10" s="1"/>
      <c r="E10" s="1"/>
      <c r="F10" s="1" t="s">
        <v>8</v>
      </c>
      <c r="H10">
        <f>MIN(K9:K58)</f>
        <v>1.0218100000000001</v>
      </c>
      <c r="K10">
        <v>1.18757</v>
      </c>
      <c r="M10" s="7"/>
      <c r="N10" s="28" t="s">
        <v>11</v>
      </c>
      <c r="O10" s="28"/>
      <c r="P10" s="5" t="s">
        <v>18</v>
      </c>
      <c r="Q10" s="5" t="s">
        <v>12</v>
      </c>
      <c r="R10" s="5" t="s">
        <v>25</v>
      </c>
      <c r="S10" s="5" t="s">
        <v>26</v>
      </c>
      <c r="T10" s="5" t="s">
        <v>28</v>
      </c>
    </row>
    <row r="11" spans="1:20" x14ac:dyDescent="0.35">
      <c r="A11">
        <v>2.72661</v>
      </c>
      <c r="B11">
        <v>2.1817000000000002</v>
      </c>
      <c r="C11" s="2"/>
      <c r="D11" s="1"/>
      <c r="E11" s="1"/>
      <c r="F11" s="1" t="s">
        <v>15</v>
      </c>
      <c r="H11">
        <f>MAX(K9:K58)</f>
        <v>2.9272100000000001</v>
      </c>
      <c r="K11">
        <v>1.22424</v>
      </c>
      <c r="M11" s="5">
        <v>1</v>
      </c>
      <c r="N11" s="5">
        <f>K9</f>
        <v>1.0218100000000001</v>
      </c>
      <c r="O11" s="5">
        <f>N11+H14</f>
        <v>1.2940100000000001</v>
      </c>
      <c r="P11" s="5">
        <f>AVERAGE(N11:O11)</f>
        <v>1.1579100000000002</v>
      </c>
      <c r="Q11" s="5">
        <f t="array" ref="Q11:Q17">FREQUENCY(K9:K58,N12:N17)</f>
        <v>10</v>
      </c>
      <c r="R11" s="5">
        <f>Q11/$Q$18</f>
        <v>0.2</v>
      </c>
      <c r="S11" s="5">
        <f>R11/$H$14</f>
        <v>0.73475385745775168</v>
      </c>
      <c r="T11" s="5">
        <f>R11</f>
        <v>0.2</v>
      </c>
    </row>
    <row r="12" spans="1:20" x14ac:dyDescent="0.35">
      <c r="A12">
        <v>2.9084699999999999</v>
      </c>
      <c r="B12">
        <v>2.8486600000000002</v>
      </c>
      <c r="C12" s="2"/>
      <c r="D12" s="1"/>
      <c r="E12" s="1"/>
      <c r="F12" t="s">
        <v>16</v>
      </c>
      <c r="H12">
        <f>H11-H10</f>
        <v>1.9054</v>
      </c>
      <c r="K12">
        <v>1.23054</v>
      </c>
      <c r="M12" s="5">
        <v>2</v>
      </c>
      <c r="N12" s="5">
        <f>O11</f>
        <v>1.2940100000000001</v>
      </c>
      <c r="O12" s="5">
        <f>N12+$H$14</f>
        <v>1.5662100000000001</v>
      </c>
      <c r="P12" s="5">
        <f t="shared" ref="P12:P17" si="0">AVERAGE(N12:O12)</f>
        <v>1.43011</v>
      </c>
      <c r="Q12" s="5">
        <v>8</v>
      </c>
      <c r="R12" s="5">
        <f t="shared" ref="R12:R17" si="1">Q12/$Q$18</f>
        <v>0.16</v>
      </c>
      <c r="S12" s="5">
        <f t="shared" ref="S12:S17" si="2">R12/$H$14</f>
        <v>0.58780308596620134</v>
      </c>
      <c r="T12" s="5">
        <f>T11+R12</f>
        <v>0.36</v>
      </c>
    </row>
    <row r="13" spans="1:20" x14ac:dyDescent="0.35">
      <c r="A13">
        <v>1.26769</v>
      </c>
      <c r="B13">
        <v>2.0169899999999998</v>
      </c>
      <c r="C13" s="2"/>
      <c r="D13" s="1"/>
      <c r="E13" s="1"/>
      <c r="F13" s="1" t="s">
        <v>9</v>
      </c>
      <c r="H13">
        <v>7</v>
      </c>
      <c r="K13">
        <v>1.2317800000000001</v>
      </c>
      <c r="M13" s="5">
        <v>3</v>
      </c>
      <c r="N13" s="5">
        <f t="shared" ref="N13:N17" si="3">O12</f>
        <v>1.5662100000000001</v>
      </c>
      <c r="O13" s="5">
        <f t="shared" ref="O13:O17" si="4">N13+$H$14</f>
        <v>1.8384100000000001</v>
      </c>
      <c r="P13" s="5">
        <f t="shared" si="0"/>
        <v>1.7023100000000002</v>
      </c>
      <c r="Q13" s="5">
        <v>4</v>
      </c>
      <c r="R13" s="5">
        <f t="shared" si="1"/>
        <v>0.08</v>
      </c>
      <c r="S13" s="5">
        <f t="shared" si="2"/>
        <v>0.29390154298310067</v>
      </c>
      <c r="T13" s="5">
        <f>T12+R13</f>
        <v>0.44</v>
      </c>
    </row>
    <row r="14" spans="1:20" x14ac:dyDescent="0.35">
      <c r="A14">
        <v>1.7948599999999999</v>
      </c>
      <c r="B14">
        <v>1.13697</v>
      </c>
      <c r="C14" s="2"/>
      <c r="D14" s="1"/>
      <c r="E14" s="1" t="s">
        <v>22</v>
      </c>
      <c r="F14" s="1" t="s">
        <v>10</v>
      </c>
      <c r="H14">
        <f>H12/H13</f>
        <v>0.2722</v>
      </c>
      <c r="K14">
        <v>1.2373099999999999</v>
      </c>
      <c r="M14" s="5">
        <v>4</v>
      </c>
      <c r="N14" s="5">
        <f t="shared" si="3"/>
        <v>1.8384100000000001</v>
      </c>
      <c r="O14" s="5">
        <f t="shared" si="4"/>
        <v>2.1106100000000003</v>
      </c>
      <c r="P14" s="5">
        <f t="shared" si="0"/>
        <v>1.9745100000000002</v>
      </c>
      <c r="Q14" s="5">
        <v>9</v>
      </c>
      <c r="R14" s="5">
        <f t="shared" si="1"/>
        <v>0.18</v>
      </c>
      <c r="S14" s="5">
        <f t="shared" si="2"/>
        <v>0.66127847171197651</v>
      </c>
      <c r="T14" s="5">
        <f t="shared" ref="T14:T17" si="5">T13+R14</f>
        <v>0.62</v>
      </c>
    </row>
    <row r="15" spans="1:20" x14ac:dyDescent="0.35">
      <c r="A15">
        <v>2.46258</v>
      </c>
      <c r="B15">
        <v>5.2546600000000003</v>
      </c>
      <c r="C15" s="2"/>
      <c r="D15" s="1"/>
      <c r="E15" s="1"/>
      <c r="F15" s="4"/>
      <c r="G15" s="4"/>
      <c r="K15">
        <v>1.2444299999999999</v>
      </c>
      <c r="M15" s="5">
        <v>5</v>
      </c>
      <c r="N15" s="5">
        <f t="shared" si="3"/>
        <v>2.1106100000000003</v>
      </c>
      <c r="O15" s="5">
        <f t="shared" si="4"/>
        <v>2.3828100000000001</v>
      </c>
      <c r="P15" s="5">
        <f t="shared" si="0"/>
        <v>2.2467100000000002</v>
      </c>
      <c r="Q15" s="5">
        <v>3</v>
      </c>
      <c r="R15" s="5">
        <f t="shared" si="1"/>
        <v>0.06</v>
      </c>
      <c r="S15" s="5">
        <f t="shared" si="2"/>
        <v>0.22042615723732548</v>
      </c>
      <c r="T15" s="5">
        <f t="shared" si="5"/>
        <v>0.67999999999999994</v>
      </c>
    </row>
    <row r="16" spans="1:20" x14ac:dyDescent="0.35">
      <c r="A16">
        <v>1.3559600000000001</v>
      </c>
      <c r="B16">
        <v>4.67936</v>
      </c>
      <c r="C16" s="2"/>
      <c r="D16" s="1"/>
      <c r="E16" s="1"/>
      <c r="K16">
        <v>1.26769</v>
      </c>
      <c r="M16" s="5">
        <v>6</v>
      </c>
      <c r="N16" s="5">
        <f t="shared" si="3"/>
        <v>2.3828100000000001</v>
      </c>
      <c r="O16" s="5">
        <f t="shared" si="4"/>
        <v>2.6550099999999999</v>
      </c>
      <c r="P16" s="5">
        <f t="shared" si="0"/>
        <v>2.51891</v>
      </c>
      <c r="Q16" s="5">
        <v>6</v>
      </c>
      <c r="R16" s="5">
        <f t="shared" si="1"/>
        <v>0.12</v>
      </c>
      <c r="S16" s="5">
        <f t="shared" si="2"/>
        <v>0.44085231447465095</v>
      </c>
      <c r="T16" s="5">
        <f t="shared" si="5"/>
        <v>0.79999999999999993</v>
      </c>
    </row>
    <row r="17" spans="1:20" x14ac:dyDescent="0.35">
      <c r="A17">
        <v>1.9734700000000001</v>
      </c>
      <c r="B17">
        <v>5.5770600000000004</v>
      </c>
      <c r="C17" s="2"/>
      <c r="D17" s="1"/>
      <c r="E17" s="1"/>
      <c r="F17" s="1"/>
      <c r="K17">
        <v>1.29125</v>
      </c>
      <c r="M17" s="5">
        <v>7</v>
      </c>
      <c r="N17" s="5">
        <f t="shared" si="3"/>
        <v>2.6550099999999999</v>
      </c>
      <c r="O17" s="5">
        <f t="shared" si="4"/>
        <v>2.9272099999999996</v>
      </c>
      <c r="P17" s="5">
        <f t="shared" si="0"/>
        <v>2.7911099999999998</v>
      </c>
      <c r="Q17" s="5">
        <v>10</v>
      </c>
      <c r="R17" s="5">
        <f t="shared" si="1"/>
        <v>0.2</v>
      </c>
      <c r="S17" s="5">
        <f t="shared" si="2"/>
        <v>0.73475385745775168</v>
      </c>
      <c r="T17" s="5">
        <f t="shared" si="5"/>
        <v>1</v>
      </c>
    </row>
    <row r="18" spans="1:20" x14ac:dyDescent="0.35">
      <c r="A18">
        <v>1.82836</v>
      </c>
      <c r="B18">
        <v>7.05016</v>
      </c>
      <c r="C18" s="2"/>
      <c r="D18" s="1"/>
      <c r="E18" s="1"/>
      <c r="F18" s="1"/>
      <c r="K18">
        <v>1.2929900000000001</v>
      </c>
      <c r="O18" t="s">
        <v>21</v>
      </c>
      <c r="P18">
        <f>COUNT(K9:K58)</f>
        <v>50</v>
      </c>
      <c r="Q18">
        <f>SUM(Q20:Q26)</f>
        <v>50</v>
      </c>
      <c r="R18">
        <f>SUM(R11:R17)</f>
        <v>1</v>
      </c>
    </row>
    <row r="19" spans="1:20" x14ac:dyDescent="0.35">
      <c r="A19">
        <v>1.3441099999999999</v>
      </c>
      <c r="B19">
        <v>8.7911699999999993</v>
      </c>
      <c r="C19" s="2"/>
      <c r="D19" s="1"/>
      <c r="E19" s="1"/>
      <c r="F19" s="1"/>
      <c r="K19">
        <v>1.3166599999999999</v>
      </c>
      <c r="Q19" t="s">
        <v>20</v>
      </c>
      <c r="S19">
        <f>MAX(S11:S17)</f>
        <v>0.73475385745775168</v>
      </c>
    </row>
    <row r="20" spans="1:20" x14ac:dyDescent="0.35">
      <c r="A20">
        <v>1.88008</v>
      </c>
      <c r="B20">
        <v>10.263999999999999</v>
      </c>
      <c r="C20" s="2"/>
      <c r="D20" s="1"/>
      <c r="E20" s="1"/>
      <c r="F20" s="1"/>
      <c r="K20">
        <v>1.3441099999999999</v>
      </c>
      <c r="Q20">
        <v>10</v>
      </c>
      <c r="S20">
        <f>MIN(S11:S17)</f>
        <v>0.22042615723732548</v>
      </c>
    </row>
    <row r="21" spans="1:20" x14ac:dyDescent="0.35">
      <c r="A21">
        <v>2.65469</v>
      </c>
      <c r="B21">
        <v>1.1330499999999999</v>
      </c>
      <c r="C21" s="2"/>
      <c r="D21" s="1"/>
      <c r="E21" s="1"/>
      <c r="F21" s="1"/>
      <c r="K21">
        <v>1.3559600000000001</v>
      </c>
      <c r="Q21">
        <v>8</v>
      </c>
    </row>
    <row r="22" spans="1:20" x14ac:dyDescent="0.35">
      <c r="A22">
        <v>1.7806299999999999</v>
      </c>
      <c r="B22">
        <v>2.1659299999999999</v>
      </c>
      <c r="C22" s="2"/>
      <c r="D22" s="1"/>
      <c r="E22" s="1"/>
      <c r="F22" s="1"/>
      <c r="K22">
        <v>1.35772</v>
      </c>
      <c r="Q22">
        <v>4</v>
      </c>
    </row>
    <row r="23" spans="1:20" x14ac:dyDescent="0.35">
      <c r="A23">
        <v>2.5245600000000001</v>
      </c>
      <c r="B23">
        <v>4.09626</v>
      </c>
      <c r="C23" s="2"/>
      <c r="D23" s="1"/>
      <c r="E23" s="1"/>
      <c r="F23" s="1"/>
      <c r="K23">
        <v>1.37456</v>
      </c>
      <c r="Q23">
        <v>9</v>
      </c>
    </row>
    <row r="24" spans="1:20" x14ac:dyDescent="0.35">
      <c r="A24">
        <v>1.23054</v>
      </c>
      <c r="B24">
        <v>2.3341400000000001</v>
      </c>
      <c r="C24" s="2"/>
      <c r="D24" s="1"/>
      <c r="E24" s="1"/>
      <c r="F24" s="1"/>
      <c r="K24">
        <v>1.4418800000000001</v>
      </c>
      <c r="Q24">
        <v>3</v>
      </c>
      <c r="T24" s="8" t="s">
        <v>28</v>
      </c>
    </row>
    <row r="25" spans="1:20" x14ac:dyDescent="0.35">
      <c r="A25">
        <v>1.2444299999999999</v>
      </c>
      <c r="B25">
        <v>9.4604800000000004</v>
      </c>
      <c r="C25" s="2"/>
      <c r="D25" s="1"/>
      <c r="E25" s="1"/>
      <c r="F25" s="1"/>
      <c r="K25">
        <v>1.45451</v>
      </c>
      <c r="Q25">
        <v>6</v>
      </c>
      <c r="S25">
        <f>N11</f>
        <v>1.0218100000000001</v>
      </c>
      <c r="T25">
        <v>0</v>
      </c>
    </row>
    <row r="26" spans="1:20" x14ac:dyDescent="0.35">
      <c r="A26">
        <v>2.1318899999999998</v>
      </c>
      <c r="B26">
        <v>6.3081500000000004</v>
      </c>
      <c r="C26" s="2"/>
      <c r="D26" s="1"/>
      <c r="E26" s="1"/>
      <c r="F26" s="1"/>
      <c r="K26">
        <v>1.5619799999999999</v>
      </c>
      <c r="Q26">
        <v>10</v>
      </c>
      <c r="S26">
        <f>O11</f>
        <v>1.2940100000000001</v>
      </c>
      <c r="T26">
        <f>T11</f>
        <v>0.2</v>
      </c>
    </row>
    <row r="27" spans="1:20" x14ac:dyDescent="0.35">
      <c r="A27">
        <v>1.45451</v>
      </c>
      <c r="B27">
        <v>4.0541200000000002</v>
      </c>
      <c r="C27" s="2"/>
      <c r="D27" s="1"/>
      <c r="E27" s="1"/>
      <c r="F27" s="1"/>
      <c r="K27">
        <v>1.62961</v>
      </c>
      <c r="S27">
        <f t="shared" ref="S27:S32" si="6">O12</f>
        <v>1.5662100000000001</v>
      </c>
      <c r="T27">
        <f t="shared" ref="T27:T32" si="7">T12</f>
        <v>0.36</v>
      </c>
    </row>
    <row r="28" spans="1:20" x14ac:dyDescent="0.35">
      <c r="A28">
        <v>2.8380100000000001</v>
      </c>
      <c r="B28">
        <v>2.7465700000000002</v>
      </c>
      <c r="C28" s="2"/>
      <c r="D28" s="1"/>
      <c r="E28" s="1"/>
      <c r="F28" s="1"/>
      <c r="K28">
        <v>1.7806299999999999</v>
      </c>
      <c r="S28">
        <f t="shared" si="6"/>
        <v>1.8384100000000001</v>
      </c>
      <c r="T28">
        <f t="shared" si="7"/>
        <v>0.44</v>
      </c>
    </row>
    <row r="29" spans="1:20" x14ac:dyDescent="0.35">
      <c r="A29">
        <v>1.2317800000000001</v>
      </c>
      <c r="B29">
        <v>2.3625500000000001</v>
      </c>
      <c r="C29" s="2"/>
      <c r="D29" s="1"/>
      <c r="E29" s="1"/>
      <c r="F29" s="1"/>
      <c r="K29">
        <v>1.7948599999999999</v>
      </c>
      <c r="S29">
        <f t="shared" si="6"/>
        <v>2.1106100000000003</v>
      </c>
      <c r="T29">
        <f t="shared" si="7"/>
        <v>0.62</v>
      </c>
    </row>
    <row r="30" spans="1:20" x14ac:dyDescent="0.35">
      <c r="A30">
        <v>2.7359800000000001</v>
      </c>
      <c r="B30">
        <v>-1.51603</v>
      </c>
      <c r="C30" s="2"/>
      <c r="D30" s="1"/>
      <c r="E30" s="1"/>
      <c r="F30" s="1"/>
      <c r="K30">
        <v>1.82836</v>
      </c>
      <c r="S30">
        <f t="shared" si="6"/>
        <v>2.3828100000000001</v>
      </c>
      <c r="T30">
        <f t="shared" si="7"/>
        <v>0.67999999999999994</v>
      </c>
    </row>
    <row r="31" spans="1:20" x14ac:dyDescent="0.35">
      <c r="A31">
        <v>2.0678200000000002</v>
      </c>
      <c r="B31">
        <v>7.6174799999999996</v>
      </c>
      <c r="C31" s="2"/>
      <c r="D31" s="1"/>
      <c r="E31" s="1"/>
      <c r="F31" s="1"/>
      <c r="K31">
        <v>1.8548500000000001</v>
      </c>
      <c r="S31">
        <f t="shared" si="6"/>
        <v>2.6550099999999999</v>
      </c>
      <c r="T31">
        <f t="shared" si="7"/>
        <v>0.79999999999999993</v>
      </c>
    </row>
    <row r="32" spans="1:20" x14ac:dyDescent="0.35">
      <c r="A32">
        <v>2.03674</v>
      </c>
      <c r="B32">
        <v>0.29575800000000002</v>
      </c>
      <c r="C32" s="2"/>
      <c r="D32" s="1"/>
      <c r="E32" s="1"/>
      <c r="F32" s="1"/>
      <c r="K32">
        <v>1.88008</v>
      </c>
      <c r="S32">
        <f t="shared" si="6"/>
        <v>2.9272099999999996</v>
      </c>
      <c r="T32">
        <f t="shared" si="7"/>
        <v>1</v>
      </c>
    </row>
    <row r="33" spans="1:22" x14ac:dyDescent="0.35">
      <c r="A33">
        <v>2.80681</v>
      </c>
      <c r="B33">
        <v>7.3238899999999996</v>
      </c>
      <c r="C33" s="2"/>
      <c r="D33" s="1"/>
      <c r="E33" s="1"/>
      <c r="F33" s="1"/>
      <c r="K33">
        <v>1.9734700000000001</v>
      </c>
    </row>
    <row r="34" spans="1:22" x14ac:dyDescent="0.35">
      <c r="A34">
        <v>2.7911600000000001</v>
      </c>
      <c r="B34">
        <v>2.8535900000000001</v>
      </c>
      <c r="C34" s="2"/>
      <c r="D34" s="1"/>
      <c r="E34" s="1"/>
      <c r="F34" s="1"/>
      <c r="K34">
        <v>2.0126400000000002</v>
      </c>
    </row>
    <row r="35" spans="1:22" x14ac:dyDescent="0.35">
      <c r="A35">
        <v>1.35772</v>
      </c>
      <c r="B35">
        <v>2.7207699999999999</v>
      </c>
      <c r="C35" s="2"/>
      <c r="D35" s="1"/>
      <c r="E35" s="1"/>
      <c r="F35" s="1"/>
      <c r="K35">
        <v>2.0194589999999999</v>
      </c>
    </row>
    <row r="36" spans="1:22" x14ac:dyDescent="0.35">
      <c r="A36">
        <v>2.4147799999999999</v>
      </c>
      <c r="B36">
        <v>6.1454000000000004</v>
      </c>
      <c r="C36" s="2"/>
      <c r="D36" s="1"/>
      <c r="E36" s="1"/>
      <c r="F36" s="1"/>
      <c r="K36">
        <v>2.03674</v>
      </c>
    </row>
    <row r="37" spans="1:22" x14ac:dyDescent="0.35">
      <c r="A37">
        <v>1.29125</v>
      </c>
      <c r="B37">
        <v>1.12967</v>
      </c>
      <c r="C37" s="2"/>
      <c r="D37" s="1"/>
      <c r="E37" s="1"/>
      <c r="F37" s="1"/>
      <c r="K37">
        <v>2.0678200000000002</v>
      </c>
    </row>
    <row r="38" spans="1:22" x14ac:dyDescent="0.35">
      <c r="A38">
        <v>2.69475</v>
      </c>
      <c r="B38">
        <v>0.73295500000000002</v>
      </c>
      <c r="C38" s="2"/>
      <c r="D38" s="1"/>
      <c r="E38" s="1"/>
      <c r="F38" s="1"/>
      <c r="K38">
        <v>2.0776699999999999</v>
      </c>
    </row>
    <row r="39" spans="1:22" x14ac:dyDescent="0.35">
      <c r="A39">
        <v>2.2817099999999999</v>
      </c>
      <c r="B39">
        <v>2.0230700000000001</v>
      </c>
      <c r="C39" s="2"/>
      <c r="D39" s="1"/>
      <c r="E39" s="1"/>
      <c r="F39" s="1"/>
      <c r="K39">
        <v>2.08955</v>
      </c>
      <c r="V39" t="s">
        <v>30</v>
      </c>
    </row>
    <row r="40" spans="1:22" x14ac:dyDescent="0.35">
      <c r="A40">
        <v>1.2373099999999999</v>
      </c>
      <c r="B40">
        <v>4.7182700000000004</v>
      </c>
      <c r="C40" s="2"/>
      <c r="D40" s="1"/>
      <c r="E40" s="1"/>
      <c r="F40" s="1"/>
      <c r="K40">
        <v>2.1318899999999998</v>
      </c>
    </row>
    <row r="41" spans="1:22" x14ac:dyDescent="0.35">
      <c r="A41">
        <v>2.9272100000000001</v>
      </c>
      <c r="B41">
        <v>3.2783500000000001</v>
      </c>
      <c r="C41" s="2"/>
      <c r="D41" s="1"/>
      <c r="E41" s="1"/>
      <c r="F41" s="1"/>
      <c r="K41">
        <v>2.24743</v>
      </c>
    </row>
    <row r="42" spans="1:22" x14ac:dyDescent="0.35">
      <c r="A42">
        <v>1.5619799999999999</v>
      </c>
      <c r="B42">
        <v>7.3078500000000002</v>
      </c>
      <c r="C42" s="2"/>
      <c r="D42" s="1"/>
      <c r="E42" s="1"/>
      <c r="F42" s="1"/>
      <c r="K42">
        <v>2.2817099999999999</v>
      </c>
    </row>
    <row r="43" spans="1:22" x14ac:dyDescent="0.35">
      <c r="A43">
        <v>1.2929900000000001</v>
      </c>
      <c r="B43">
        <v>1.7641899999999999</v>
      </c>
      <c r="C43" s="2"/>
      <c r="D43" s="1"/>
      <c r="E43" s="1"/>
      <c r="F43" s="1"/>
      <c r="K43">
        <v>2.4147799999999999</v>
      </c>
    </row>
    <row r="44" spans="1:22" x14ac:dyDescent="0.35">
      <c r="A44">
        <v>2.6832699999999998</v>
      </c>
      <c r="B44">
        <v>4.7862799999999996</v>
      </c>
      <c r="C44" s="2"/>
      <c r="D44" s="1"/>
      <c r="E44" s="1"/>
      <c r="F44" s="1"/>
      <c r="K44">
        <v>2.4552399999999999</v>
      </c>
    </row>
    <row r="45" spans="1:22" x14ac:dyDescent="0.35">
      <c r="A45">
        <v>1.37456</v>
      </c>
      <c r="B45">
        <v>9.3262300000000007</v>
      </c>
      <c r="C45" s="2"/>
      <c r="D45" s="1"/>
      <c r="E45" s="1"/>
      <c r="F45" s="1"/>
      <c r="K45">
        <v>2.4561500000000001</v>
      </c>
    </row>
    <row r="46" spans="1:22" x14ac:dyDescent="0.35">
      <c r="A46">
        <v>1.18757</v>
      </c>
      <c r="B46">
        <v>2.7852100000000002</v>
      </c>
      <c r="C46" s="2"/>
      <c r="D46" s="1"/>
      <c r="E46" s="1"/>
      <c r="F46" s="1"/>
      <c r="K46">
        <v>2.46258</v>
      </c>
    </row>
    <row r="47" spans="1:22" x14ac:dyDescent="0.35">
      <c r="A47">
        <v>1.0218100000000001</v>
      </c>
      <c r="B47">
        <v>12.2189</v>
      </c>
      <c r="C47" s="2"/>
      <c r="D47" s="1"/>
      <c r="E47" s="1"/>
      <c r="F47" s="1"/>
      <c r="K47">
        <v>2.5245600000000001</v>
      </c>
    </row>
    <row r="48" spans="1:22" x14ac:dyDescent="0.35">
      <c r="A48">
        <v>1.62961</v>
      </c>
      <c r="B48">
        <v>2.7725499999999998</v>
      </c>
      <c r="C48" s="2"/>
      <c r="D48" s="1"/>
      <c r="E48" s="1"/>
      <c r="F48" s="1"/>
      <c r="K48">
        <v>2.65469</v>
      </c>
    </row>
    <row r="49" spans="1:11" x14ac:dyDescent="0.35">
      <c r="A49">
        <v>1.4418800000000001</v>
      </c>
      <c r="B49">
        <v>4.7862299999999998</v>
      </c>
      <c r="C49" s="3"/>
      <c r="D49" s="1"/>
      <c r="E49" s="1"/>
      <c r="F49" s="1"/>
      <c r="K49">
        <v>2.6832699999999998</v>
      </c>
    </row>
    <row r="50" spans="1:11" x14ac:dyDescent="0.35">
      <c r="A50">
        <v>2.8650799999999998</v>
      </c>
      <c r="B50">
        <v>5.0236499999999999</v>
      </c>
      <c r="C50" s="2"/>
      <c r="D50" s="1"/>
      <c r="E50" s="1"/>
      <c r="F50" s="1"/>
      <c r="K50">
        <v>2.69475</v>
      </c>
    </row>
    <row r="51" spans="1:11" x14ac:dyDescent="0.35">
      <c r="A51">
        <v>1.22424</v>
      </c>
      <c r="B51">
        <v>2.9275000000000002</v>
      </c>
      <c r="C51" s="2"/>
      <c r="D51" s="1"/>
      <c r="E51" s="1"/>
      <c r="F51" s="1"/>
      <c r="K51">
        <v>2.72661</v>
      </c>
    </row>
    <row r="52" spans="1:11" x14ac:dyDescent="0.35">
      <c r="A52">
        <v>2.24743</v>
      </c>
      <c r="B52">
        <v>6.2996100000000004</v>
      </c>
      <c r="C52" s="2"/>
      <c r="D52" s="1"/>
      <c r="E52" s="1"/>
      <c r="F52" s="1"/>
      <c r="K52">
        <v>2.7359800000000001</v>
      </c>
    </row>
    <row r="53" spans="1:11" x14ac:dyDescent="0.35">
      <c r="D53" s="1"/>
      <c r="K53">
        <v>2.7911600000000001</v>
      </c>
    </row>
    <row r="54" spans="1:11" x14ac:dyDescent="0.35">
      <c r="K54">
        <v>2.80681</v>
      </c>
    </row>
    <row r="55" spans="1:11" x14ac:dyDescent="0.35">
      <c r="K55">
        <v>2.8380100000000001</v>
      </c>
    </row>
    <row r="56" spans="1:11" x14ac:dyDescent="0.35">
      <c r="K56">
        <v>2.8650799999999998</v>
      </c>
    </row>
    <row r="57" spans="1:11" x14ac:dyDescent="0.35">
      <c r="K57">
        <v>2.9084699999999999</v>
      </c>
    </row>
    <row r="58" spans="1:11" x14ac:dyDescent="0.35">
      <c r="K58">
        <v>2.9272100000000001</v>
      </c>
    </row>
  </sheetData>
  <sortState xmlns:xlrd2="http://schemas.microsoft.com/office/spreadsheetml/2017/richdata2" ref="K9:K58">
    <sortCondition ref="K9"/>
  </sortState>
  <mergeCells count="1">
    <mergeCell ref="N10:O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opLeftCell="A21" zoomScale="73" zoomScaleNormal="100" workbookViewId="0">
      <selection sqref="A1:B51"/>
    </sheetView>
  </sheetViews>
  <sheetFormatPr defaultRowHeight="14.5" x14ac:dyDescent="0.35"/>
  <cols>
    <col min="4" max="4" width="22.1796875" customWidth="1"/>
  </cols>
  <sheetData>
    <row r="1" spans="1:15" x14ac:dyDescent="0.35">
      <c r="A1" t="s">
        <v>0</v>
      </c>
      <c r="B1" t="s">
        <v>1</v>
      </c>
    </row>
    <row r="2" spans="1:15" x14ac:dyDescent="0.35">
      <c r="A2">
        <v>1.8548500000000001</v>
      </c>
      <c r="B2">
        <v>5.1363300000000001</v>
      </c>
      <c r="D2" t="s">
        <v>3</v>
      </c>
      <c r="F2">
        <f>AVERAGE(A2:A51)</f>
        <v>1.9617821799999995</v>
      </c>
    </row>
    <row r="3" spans="1:15" x14ac:dyDescent="0.35">
      <c r="A3">
        <v>2.0194589999999999</v>
      </c>
      <c r="B3">
        <v>6.6862700000000004</v>
      </c>
      <c r="D3" t="s">
        <v>4</v>
      </c>
      <c r="E3" t="s">
        <v>14</v>
      </c>
      <c r="F3">
        <f>_xlfn.VAR.S(A2:A51)</f>
        <v>0.35395610295313129</v>
      </c>
    </row>
    <row r="4" spans="1:15" x14ac:dyDescent="0.35">
      <c r="A4">
        <v>2.0776699999999999</v>
      </c>
      <c r="B4">
        <v>0.29131499999999999</v>
      </c>
      <c r="H4" t="s">
        <v>31</v>
      </c>
      <c r="K4" t="s">
        <v>37</v>
      </c>
      <c r="N4" t="s">
        <v>39</v>
      </c>
    </row>
    <row r="5" spans="1:15" x14ac:dyDescent="0.35">
      <c r="A5">
        <v>1.3166599999999999</v>
      </c>
      <c r="B5">
        <v>5.1470700000000003</v>
      </c>
      <c r="H5" t="s">
        <v>36</v>
      </c>
      <c r="K5" t="s">
        <v>38</v>
      </c>
      <c r="N5" t="s">
        <v>40</v>
      </c>
    </row>
    <row r="6" spans="1:15" x14ac:dyDescent="0.35">
      <c r="A6">
        <v>2.4552399999999999</v>
      </c>
      <c r="B6">
        <v>5.0792099999999998</v>
      </c>
    </row>
    <row r="7" spans="1:15" x14ac:dyDescent="0.35">
      <c r="A7">
        <v>2.0126400000000002</v>
      </c>
      <c r="B7">
        <v>0.57628599999999996</v>
      </c>
      <c r="D7" t="s">
        <v>32</v>
      </c>
      <c r="H7" t="s">
        <v>41</v>
      </c>
      <c r="K7" t="s">
        <v>41</v>
      </c>
      <c r="N7" t="s">
        <v>41</v>
      </c>
    </row>
    <row r="8" spans="1:15" x14ac:dyDescent="0.35">
      <c r="A8">
        <v>2.08955</v>
      </c>
      <c r="B8">
        <v>10.639849999999999</v>
      </c>
      <c r="H8">
        <f>F2-E12*(SQRT(F3/50))</f>
        <v>1.8207213478604731</v>
      </c>
      <c r="I8">
        <f>F2+E12*(SQRT(F3/50))</f>
        <v>2.1028430121395258</v>
      </c>
      <c r="K8">
        <f>F2-E9*(SQRT(F3/50))</f>
        <v>1.8233882771442764</v>
      </c>
      <c r="L8">
        <f>F2+E9*(SQRT(F3/50))</f>
        <v>2.1001760828557225</v>
      </c>
      <c r="N8">
        <f>49*F3/E16</f>
        <v>0.24698451909937744</v>
      </c>
      <c r="O8">
        <f>49*F3/F16</f>
        <v>0.54964015085329343</v>
      </c>
    </row>
    <row r="9" spans="1:15" x14ac:dyDescent="0.35">
      <c r="A9">
        <v>2.4561500000000001</v>
      </c>
      <c r="B9">
        <v>8.4246800000000004</v>
      </c>
      <c r="D9" t="s">
        <v>33</v>
      </c>
      <c r="E9">
        <f>_xlfn.NORM.INV(0.95,0,1)</f>
        <v>1.6448536269514715</v>
      </c>
    </row>
    <row r="10" spans="1:15" x14ac:dyDescent="0.35">
      <c r="A10">
        <v>2.72661</v>
      </c>
      <c r="B10">
        <v>2.1817000000000002</v>
      </c>
    </row>
    <row r="11" spans="1:15" x14ac:dyDescent="0.35">
      <c r="A11">
        <v>2.9084699999999999</v>
      </c>
      <c r="B11">
        <v>2.8486600000000002</v>
      </c>
    </row>
    <row r="12" spans="1:15" x14ac:dyDescent="0.35">
      <c r="A12">
        <v>1.26769</v>
      </c>
      <c r="B12">
        <v>2.0169899999999998</v>
      </c>
      <c r="D12" t="s">
        <v>35</v>
      </c>
      <c r="E12">
        <f>_xlfn.T.INV(0.95,49)</f>
        <v>1.6765508926168529</v>
      </c>
    </row>
    <row r="13" spans="1:15" x14ac:dyDescent="0.35">
      <c r="A13">
        <v>1.7948599999999999</v>
      </c>
      <c r="B13">
        <v>1.13697</v>
      </c>
    </row>
    <row r="14" spans="1:15" x14ac:dyDescent="0.35">
      <c r="A14">
        <v>2.46258</v>
      </c>
      <c r="B14">
        <v>5.2546600000000003</v>
      </c>
    </row>
    <row r="15" spans="1:15" x14ac:dyDescent="0.35">
      <c r="A15">
        <v>1.3559600000000001</v>
      </c>
      <c r="B15">
        <v>4.67936</v>
      </c>
    </row>
    <row r="16" spans="1:15" x14ac:dyDescent="0.35">
      <c r="A16">
        <v>1.9734700000000001</v>
      </c>
      <c r="B16">
        <v>5.5770600000000004</v>
      </c>
      <c r="D16" t="s">
        <v>34</v>
      </c>
      <c r="E16">
        <f>_xlfn.CHISQ.INV(E21,49)</f>
        <v>70.22241356643454</v>
      </c>
      <c r="F16">
        <f>_xlfn.CHISQ.INV(E22,49)</f>
        <v>31.55491646266713</v>
      </c>
    </row>
    <row r="17" spans="1:5" x14ac:dyDescent="0.35">
      <c r="A17">
        <v>1.82836</v>
      </c>
      <c r="B17">
        <v>7.05016</v>
      </c>
    </row>
    <row r="18" spans="1:5" x14ac:dyDescent="0.35">
      <c r="A18">
        <v>1.3441099999999999</v>
      </c>
      <c r="B18">
        <v>8.7911699999999993</v>
      </c>
    </row>
    <row r="19" spans="1:5" x14ac:dyDescent="0.35">
      <c r="A19">
        <v>1.88008</v>
      </c>
      <c r="B19">
        <v>10.263999999999999</v>
      </c>
      <c r="D19" t="s">
        <v>43</v>
      </c>
    </row>
    <row r="20" spans="1:5" x14ac:dyDescent="0.35">
      <c r="A20">
        <v>2.65469</v>
      </c>
      <c r="B20">
        <v>1.1330499999999999</v>
      </c>
      <c r="D20" t="s">
        <v>42</v>
      </c>
      <c r="E20">
        <f>1-0.95</f>
        <v>5.0000000000000044E-2</v>
      </c>
    </row>
    <row r="21" spans="1:5" x14ac:dyDescent="0.35">
      <c r="A21">
        <v>1.7806299999999999</v>
      </c>
      <c r="B21">
        <v>2.1659299999999999</v>
      </c>
      <c r="D21" t="s">
        <v>44</v>
      </c>
      <c r="E21">
        <f>1-E20/2</f>
        <v>0.97499999999999998</v>
      </c>
    </row>
    <row r="22" spans="1:5" x14ac:dyDescent="0.35">
      <c r="A22">
        <v>2.5245600000000001</v>
      </c>
      <c r="B22">
        <v>4.09626</v>
      </c>
      <c r="D22" t="s">
        <v>45</v>
      </c>
      <c r="E22">
        <f>E20/2</f>
        <v>2.5000000000000022E-2</v>
      </c>
    </row>
    <row r="23" spans="1:5" x14ac:dyDescent="0.35">
      <c r="A23">
        <v>1.23054</v>
      </c>
      <c r="B23">
        <v>2.3341400000000001</v>
      </c>
    </row>
    <row r="24" spans="1:5" x14ac:dyDescent="0.35">
      <c r="A24">
        <v>1.2444299999999999</v>
      </c>
      <c r="B24">
        <v>9.4604800000000004</v>
      </c>
    </row>
    <row r="25" spans="1:5" x14ac:dyDescent="0.35">
      <c r="A25">
        <v>2.1318899999999998</v>
      </c>
      <c r="B25">
        <v>6.3081500000000004</v>
      </c>
    </row>
    <row r="26" spans="1:5" x14ac:dyDescent="0.35">
      <c r="A26">
        <v>1.45451</v>
      </c>
      <c r="B26">
        <v>4.0541200000000002</v>
      </c>
    </row>
    <row r="27" spans="1:5" x14ac:dyDescent="0.35">
      <c r="A27">
        <v>2.8380100000000001</v>
      </c>
      <c r="B27">
        <v>2.7465700000000002</v>
      </c>
    </row>
    <row r="28" spans="1:5" x14ac:dyDescent="0.35">
      <c r="A28">
        <v>1.2317800000000001</v>
      </c>
      <c r="B28">
        <v>2.3625500000000001</v>
      </c>
    </row>
    <row r="29" spans="1:5" x14ac:dyDescent="0.35">
      <c r="A29">
        <v>2.7359800000000001</v>
      </c>
      <c r="B29">
        <v>-1.51603</v>
      </c>
    </row>
    <row r="30" spans="1:5" x14ac:dyDescent="0.35">
      <c r="A30">
        <v>2.0678200000000002</v>
      </c>
      <c r="B30">
        <v>7.6174799999999996</v>
      </c>
    </row>
    <row r="31" spans="1:5" x14ac:dyDescent="0.35">
      <c r="A31">
        <v>2.03674</v>
      </c>
      <c r="B31">
        <v>0.29575800000000002</v>
      </c>
    </row>
    <row r="32" spans="1:5" x14ac:dyDescent="0.35">
      <c r="A32">
        <v>2.80681</v>
      </c>
      <c r="B32">
        <v>7.3238899999999996</v>
      </c>
    </row>
    <row r="33" spans="1:2" x14ac:dyDescent="0.35">
      <c r="A33">
        <v>2.7911600000000001</v>
      </c>
      <c r="B33">
        <v>2.8535900000000001</v>
      </c>
    </row>
    <row r="34" spans="1:2" x14ac:dyDescent="0.35">
      <c r="A34">
        <v>1.35772</v>
      </c>
      <c r="B34">
        <v>2.7207699999999999</v>
      </c>
    </row>
    <row r="35" spans="1:2" x14ac:dyDescent="0.35">
      <c r="A35">
        <v>2.4147799999999999</v>
      </c>
      <c r="B35">
        <v>6.1454000000000004</v>
      </c>
    </row>
    <row r="36" spans="1:2" x14ac:dyDescent="0.35">
      <c r="A36">
        <v>1.29125</v>
      </c>
      <c r="B36">
        <v>1.12967</v>
      </c>
    </row>
    <row r="37" spans="1:2" x14ac:dyDescent="0.35">
      <c r="A37">
        <v>2.69475</v>
      </c>
      <c r="B37">
        <v>0.73295500000000002</v>
      </c>
    </row>
    <row r="38" spans="1:2" x14ac:dyDescent="0.35">
      <c r="A38">
        <v>2.2817099999999999</v>
      </c>
      <c r="B38">
        <v>2.0230700000000001</v>
      </c>
    </row>
    <row r="39" spans="1:2" x14ac:dyDescent="0.35">
      <c r="A39">
        <v>1.2373099999999999</v>
      </c>
      <c r="B39">
        <v>4.7182700000000004</v>
      </c>
    </row>
    <row r="40" spans="1:2" x14ac:dyDescent="0.35">
      <c r="A40">
        <v>2.9272100000000001</v>
      </c>
      <c r="B40">
        <v>3.2783500000000001</v>
      </c>
    </row>
    <row r="41" spans="1:2" x14ac:dyDescent="0.35">
      <c r="A41">
        <v>1.5619799999999999</v>
      </c>
      <c r="B41">
        <v>7.3078500000000002</v>
      </c>
    </row>
    <row r="42" spans="1:2" x14ac:dyDescent="0.35">
      <c r="A42">
        <v>1.2929900000000001</v>
      </c>
      <c r="B42">
        <v>1.7641899999999999</v>
      </c>
    </row>
    <row r="43" spans="1:2" x14ac:dyDescent="0.35">
      <c r="A43">
        <v>2.6832699999999998</v>
      </c>
      <c r="B43">
        <v>4.7862799999999996</v>
      </c>
    </row>
    <row r="44" spans="1:2" x14ac:dyDescent="0.35">
      <c r="A44">
        <v>1.37456</v>
      </c>
      <c r="B44">
        <v>9.3262300000000007</v>
      </c>
    </row>
    <row r="45" spans="1:2" x14ac:dyDescent="0.35">
      <c r="A45">
        <v>1.18757</v>
      </c>
      <c r="B45">
        <v>2.7852100000000002</v>
      </c>
    </row>
    <row r="46" spans="1:2" x14ac:dyDescent="0.35">
      <c r="A46">
        <v>1.0218100000000001</v>
      </c>
      <c r="B46">
        <v>12.2189</v>
      </c>
    </row>
    <row r="47" spans="1:2" x14ac:dyDescent="0.35">
      <c r="A47">
        <v>1.62961</v>
      </c>
      <c r="B47">
        <v>2.7725499999999998</v>
      </c>
    </row>
    <row r="48" spans="1:2" x14ac:dyDescent="0.35">
      <c r="A48">
        <v>1.4418800000000001</v>
      </c>
      <c r="B48">
        <v>4.7862299999999998</v>
      </c>
    </row>
    <row r="49" spans="1:2" x14ac:dyDescent="0.35">
      <c r="A49">
        <v>2.8650799999999998</v>
      </c>
      <c r="B49">
        <v>5.0236499999999999</v>
      </c>
    </row>
    <row r="50" spans="1:2" x14ac:dyDescent="0.35">
      <c r="A50">
        <v>1.22424</v>
      </c>
      <c r="B50">
        <v>2.9275000000000002</v>
      </c>
    </row>
    <row r="51" spans="1:2" x14ac:dyDescent="0.35">
      <c r="A51">
        <v>2.24743</v>
      </c>
      <c r="B51">
        <v>6.2996100000000004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zoomScale="83" zoomScaleNormal="70" workbookViewId="0">
      <selection activeCell="D2" sqref="D2"/>
    </sheetView>
  </sheetViews>
  <sheetFormatPr defaultRowHeight="14.5" x14ac:dyDescent="0.35"/>
  <cols>
    <col min="3" max="3" width="22.6328125" customWidth="1"/>
    <col min="14" max="14" width="10.54296875" customWidth="1"/>
    <col min="15" max="15" width="10.26953125" customWidth="1"/>
    <col min="16" max="16" width="15.26953125" customWidth="1"/>
    <col min="17" max="17" width="13.36328125" customWidth="1"/>
    <col min="18" max="18" width="15.36328125" customWidth="1"/>
    <col min="19" max="19" width="8.7265625" customWidth="1"/>
    <col min="20" max="20" width="10.453125" customWidth="1"/>
    <col min="23" max="23" width="10.36328125" customWidth="1"/>
    <col min="24" max="24" width="17.26953125" customWidth="1"/>
  </cols>
  <sheetData>
    <row r="1" spans="1:24" x14ac:dyDescent="0.35">
      <c r="A1">
        <v>5.1363300000000001</v>
      </c>
    </row>
    <row r="2" spans="1:24" x14ac:dyDescent="0.35">
      <c r="A2">
        <v>6.6862700000000004</v>
      </c>
      <c r="C2" t="s">
        <v>46</v>
      </c>
      <c r="D2">
        <f>AVERAGE(A1:A50)</f>
        <v>4.4752872799999999</v>
      </c>
      <c r="F2" t="s">
        <v>66</v>
      </c>
      <c r="G2" t="s">
        <v>67</v>
      </c>
    </row>
    <row r="3" spans="1:24" x14ac:dyDescent="0.35">
      <c r="A3">
        <v>0.29131499999999999</v>
      </c>
      <c r="C3" t="s">
        <v>47</v>
      </c>
      <c r="D3">
        <f>_xlfn.VAR.S(A1:A50)</f>
        <v>9.359999798686129</v>
      </c>
      <c r="F3" t="s">
        <v>68</v>
      </c>
      <c r="G3" t="s">
        <v>69</v>
      </c>
    </row>
    <row r="4" spans="1:24" x14ac:dyDescent="0.35">
      <c r="A4">
        <v>5.1470700000000003</v>
      </c>
      <c r="C4" t="s">
        <v>48</v>
      </c>
      <c r="D4">
        <f>SQRT(D3)</f>
        <v>3.0594116752549221</v>
      </c>
    </row>
    <row r="5" spans="1:24" x14ac:dyDescent="0.35">
      <c r="A5">
        <v>5.0792099999999998</v>
      </c>
    </row>
    <row r="6" spans="1:24" x14ac:dyDescent="0.35">
      <c r="A6">
        <v>0.57628599999999996</v>
      </c>
      <c r="C6" t="s">
        <v>49</v>
      </c>
      <c r="D6">
        <v>0.1</v>
      </c>
    </row>
    <row r="7" spans="1:24" x14ac:dyDescent="0.35">
      <c r="A7">
        <v>10.639849999999999</v>
      </c>
    </row>
    <row r="8" spans="1:24" x14ac:dyDescent="0.35">
      <c r="A8">
        <v>8.4246800000000004</v>
      </c>
      <c r="C8" t="s">
        <v>50</v>
      </c>
    </row>
    <row r="9" spans="1:24" x14ac:dyDescent="0.35">
      <c r="A9">
        <v>2.1817000000000002</v>
      </c>
    </row>
    <row r="10" spans="1:24" x14ac:dyDescent="0.35">
      <c r="A10">
        <v>2.8486600000000002</v>
      </c>
    </row>
    <row r="11" spans="1:24" x14ac:dyDescent="0.35">
      <c r="A11">
        <v>2.0169899999999998</v>
      </c>
    </row>
    <row r="12" spans="1:24" x14ac:dyDescent="0.35">
      <c r="A12">
        <v>1.13697</v>
      </c>
    </row>
    <row r="13" spans="1:24" x14ac:dyDescent="0.35">
      <c r="A13">
        <v>5.2546600000000003</v>
      </c>
      <c r="K13" s="18"/>
      <c r="L13" s="18"/>
      <c r="M13" s="18"/>
      <c r="N13" s="18"/>
      <c r="O13" s="18"/>
      <c r="P13" s="18"/>
      <c r="Q13" t="s">
        <v>79</v>
      </c>
      <c r="U13" s="18"/>
      <c r="V13" s="18"/>
      <c r="W13" s="18"/>
      <c r="X13" s="18"/>
    </row>
    <row r="14" spans="1:24" x14ac:dyDescent="0.35">
      <c r="A14">
        <v>4.67936</v>
      </c>
      <c r="D14" t="s">
        <v>7</v>
      </c>
      <c r="I14">
        <v>-1.51603</v>
      </c>
      <c r="K14" s="18"/>
      <c r="L14" s="18"/>
      <c r="M14" s="18"/>
      <c r="N14" s="18"/>
      <c r="O14" s="18"/>
      <c r="P14" s="18"/>
      <c r="R14" t="s">
        <v>80</v>
      </c>
      <c r="U14" s="18"/>
      <c r="V14" s="18" t="s">
        <v>81</v>
      </c>
      <c r="W14" s="18"/>
      <c r="X14" s="18"/>
    </row>
    <row r="15" spans="1:24" ht="46" customHeight="1" x14ac:dyDescent="0.35">
      <c r="A15">
        <v>5.5770600000000004</v>
      </c>
      <c r="C15" s="1"/>
      <c r="D15" s="1" t="s">
        <v>8</v>
      </c>
      <c r="F15">
        <f>MIN(I14:I63)</f>
        <v>-1.51603</v>
      </c>
      <c r="I15">
        <v>0.29131499999999999</v>
      </c>
      <c r="K15" s="19"/>
      <c r="L15" s="29" t="s">
        <v>11</v>
      </c>
      <c r="M15" s="29"/>
      <c r="N15" s="19" t="s">
        <v>51</v>
      </c>
      <c r="O15" s="19" t="s">
        <v>52</v>
      </c>
      <c r="P15" s="20" t="s">
        <v>53</v>
      </c>
      <c r="Q15" s="14" t="s">
        <v>54</v>
      </c>
      <c r="R15" s="14" t="s">
        <v>55</v>
      </c>
      <c r="S15" s="10"/>
      <c r="T15" s="12"/>
      <c r="U15" s="18"/>
      <c r="V15" s="19" t="s">
        <v>56</v>
      </c>
      <c r="W15" s="19" t="s">
        <v>57</v>
      </c>
      <c r="X15" s="19" t="s">
        <v>62</v>
      </c>
    </row>
    <row r="16" spans="1:24" x14ac:dyDescent="0.35">
      <c r="A16">
        <v>7.05016</v>
      </c>
      <c r="C16" s="1"/>
      <c r="D16" s="1" t="s">
        <v>15</v>
      </c>
      <c r="F16">
        <f>MAX(I14:I63)</f>
        <v>12.2189</v>
      </c>
      <c r="I16">
        <v>0.29575800000000002</v>
      </c>
      <c r="K16" s="19">
        <v>1</v>
      </c>
      <c r="L16" s="19">
        <f>I14</f>
        <v>-1.51603</v>
      </c>
      <c r="M16" s="19">
        <f>L16+F19</f>
        <v>0.44610285714285713</v>
      </c>
      <c r="N16" s="19">
        <f>AVERAGE(L16:M16)</f>
        <v>-0.53496357142857143</v>
      </c>
      <c r="O16" s="19">
        <f t="array" ref="O16:O22">FREQUENCY(I14:I63,L17:L22)</f>
        <v>3</v>
      </c>
      <c r="P16" s="19">
        <f>(N16-$D$2)/$D$4</f>
        <v>-1.6376517393694974</v>
      </c>
      <c r="Q16" s="15">
        <f>_xlfn.NORM.DIST(P16,0,1,0)</f>
        <v>0.10436194902249266</v>
      </c>
      <c r="R16" s="15">
        <f>$F$19*$O$23/$D$4*Q16</f>
        <v>3.3465912885920841</v>
      </c>
      <c r="U16" s="18"/>
      <c r="V16" s="19">
        <f>O16+O17</f>
        <v>15</v>
      </c>
      <c r="W16" s="19">
        <f>Q32+Q33</f>
        <v>12.481779431272086</v>
      </c>
      <c r="X16" s="19">
        <f>(V16-W16)^2/W16</f>
        <v>0.50805535121670142</v>
      </c>
    </row>
    <row r="17" spans="1:24" x14ac:dyDescent="0.35">
      <c r="A17">
        <v>8.7911699999999993</v>
      </c>
      <c r="C17" s="1"/>
      <c r="D17" t="s">
        <v>16</v>
      </c>
      <c r="F17">
        <f>F16-F15</f>
        <v>13.73493</v>
      </c>
      <c r="I17">
        <v>0.57628599999999996</v>
      </c>
      <c r="K17" s="19">
        <v>2</v>
      </c>
      <c r="L17" s="19">
        <f>M16</f>
        <v>0.44610285714285713</v>
      </c>
      <c r="M17" s="19">
        <f>L17+$F$19</f>
        <v>2.4082357142857145</v>
      </c>
      <c r="N17" s="19">
        <f t="shared" ref="N17:N22" si="0">AVERAGE(L17:M17)</f>
        <v>1.4271692857142857</v>
      </c>
      <c r="O17" s="19">
        <v>12</v>
      </c>
      <c r="P17" s="19">
        <f t="shared" ref="P17:P22" si="1">(N17-$D$2)/$D$4</f>
        <v>-0.99630854485502773</v>
      </c>
      <c r="Q17" s="15">
        <f t="shared" ref="Q17:Q22" si="2">_xlfn.NORM.DIST(P17,0,1,0)</f>
        <v>0.24286394453409205</v>
      </c>
      <c r="R17" s="15">
        <f t="shared" ref="R17:R22" si="3">$F$19*$O$23/$D$4*Q17</f>
        <v>7.7879569009939784</v>
      </c>
      <c r="U17" s="18"/>
      <c r="V17" s="19">
        <f>O17</f>
        <v>12</v>
      </c>
      <c r="W17" s="19">
        <f>R17</f>
        <v>7.7879569009939784</v>
      </c>
      <c r="X17" s="19">
        <f t="shared" ref="X17:X20" si="4">(V17-W17)^2/W17</f>
        <v>2.2780438173226054</v>
      </c>
    </row>
    <row r="18" spans="1:24" x14ac:dyDescent="0.35">
      <c r="A18">
        <v>10.263999999999999</v>
      </c>
      <c r="C18" s="1"/>
      <c r="D18" s="1" t="s">
        <v>9</v>
      </c>
      <c r="F18">
        <v>7</v>
      </c>
      <c r="I18">
        <v>0.73295500000000002</v>
      </c>
      <c r="K18" s="19">
        <v>3</v>
      </c>
      <c r="L18" s="19">
        <f t="shared" ref="L18:L22" si="5">M17</f>
        <v>2.4082357142857145</v>
      </c>
      <c r="M18" s="19">
        <f t="shared" ref="M18:M22" si="6">L18+$F$19</f>
        <v>4.3703685714285712</v>
      </c>
      <c r="N18" s="19">
        <f t="shared" si="0"/>
        <v>3.3893021428571428</v>
      </c>
      <c r="O18" s="19">
        <v>10</v>
      </c>
      <c r="P18" s="19">
        <f t="shared" si="1"/>
        <v>-0.35496535034055804</v>
      </c>
      <c r="Q18" s="15">
        <f t="shared" si="2"/>
        <v>0.37458417565553176</v>
      </c>
      <c r="R18" s="15">
        <f t="shared" si="3"/>
        <v>12.011850591474399</v>
      </c>
      <c r="U18" s="18"/>
      <c r="V18" s="19">
        <f t="shared" ref="V18:V19" si="7">O18</f>
        <v>10</v>
      </c>
      <c r="W18" s="19">
        <f t="shared" ref="W18:W19" si="8">R18</f>
        <v>12.011850591474399</v>
      </c>
      <c r="X18" s="19">
        <f t="shared" si="4"/>
        <v>0.33696246649027567</v>
      </c>
    </row>
    <row r="19" spans="1:24" x14ac:dyDescent="0.35">
      <c r="A19">
        <v>1.1330499999999999</v>
      </c>
      <c r="C19" s="9" t="s">
        <v>22</v>
      </c>
      <c r="D19" s="1" t="s">
        <v>10</v>
      </c>
      <c r="F19">
        <f>F17/F18</f>
        <v>1.9621328571428571</v>
      </c>
      <c r="I19">
        <v>1.12967</v>
      </c>
      <c r="K19" s="19">
        <v>4</v>
      </c>
      <c r="L19" s="19">
        <f t="shared" si="5"/>
        <v>4.3703685714285712</v>
      </c>
      <c r="M19" s="19">
        <f t="shared" si="6"/>
        <v>6.3325014285714278</v>
      </c>
      <c r="N19" s="19">
        <f t="shared" si="0"/>
        <v>5.3514349999999995</v>
      </c>
      <c r="O19" s="19">
        <v>13</v>
      </c>
      <c r="P19" s="19">
        <f t="shared" si="1"/>
        <v>0.28637784417391149</v>
      </c>
      <c r="Q19" s="15">
        <f t="shared" si="2"/>
        <v>0.38291407278218703</v>
      </c>
      <c r="R19" s="15">
        <f t="shared" si="3"/>
        <v>12.2789667331337</v>
      </c>
      <c r="U19" s="18"/>
      <c r="V19" s="19">
        <f t="shared" si="7"/>
        <v>13</v>
      </c>
      <c r="W19" s="19">
        <f t="shared" si="8"/>
        <v>12.2789667331337</v>
      </c>
      <c r="X19" s="19">
        <f t="shared" si="4"/>
        <v>4.2339798065012653E-2</v>
      </c>
    </row>
    <row r="20" spans="1:24" x14ac:dyDescent="0.35">
      <c r="A20">
        <v>2.1659299999999999</v>
      </c>
      <c r="I20">
        <v>1.1330499999999999</v>
      </c>
      <c r="K20" s="19">
        <v>5</v>
      </c>
      <c r="L20" s="19">
        <f t="shared" si="5"/>
        <v>6.3325014285714278</v>
      </c>
      <c r="M20" s="19">
        <f t="shared" si="6"/>
        <v>8.2946342857142845</v>
      </c>
      <c r="N20" s="19">
        <f t="shared" si="0"/>
        <v>7.3135678571428562</v>
      </c>
      <c r="O20" s="19">
        <v>5</v>
      </c>
      <c r="P20" s="19">
        <f t="shared" si="1"/>
        <v>0.92772103868838107</v>
      </c>
      <c r="Q20" s="15">
        <f t="shared" si="2"/>
        <v>0.25942913513089394</v>
      </c>
      <c r="R20" s="15">
        <f t="shared" si="3"/>
        <v>8.3191555137486777</v>
      </c>
      <c r="U20" s="18"/>
      <c r="V20" s="19">
        <f>SUM(O20:O22)</f>
        <v>12</v>
      </c>
      <c r="W20" s="19">
        <f>SUM(R20:R22)</f>
        <v>13.166530091003064</v>
      </c>
      <c r="X20" s="19">
        <f t="shared" si="4"/>
        <v>0.10335239761806893</v>
      </c>
    </row>
    <row r="21" spans="1:24" x14ac:dyDescent="0.35">
      <c r="A21">
        <v>4.09626</v>
      </c>
      <c r="I21">
        <v>1.13697</v>
      </c>
      <c r="K21" s="19">
        <v>6</v>
      </c>
      <c r="L21" s="19">
        <f t="shared" si="5"/>
        <v>8.2946342857142845</v>
      </c>
      <c r="M21" s="19">
        <f t="shared" si="6"/>
        <v>10.256767142857141</v>
      </c>
      <c r="N21" s="19">
        <f t="shared" si="0"/>
        <v>9.275700714285712</v>
      </c>
      <c r="O21" s="19">
        <v>4</v>
      </c>
      <c r="P21" s="19">
        <f t="shared" si="1"/>
        <v>1.5690642332028504</v>
      </c>
      <c r="Q21" s="15">
        <f t="shared" si="2"/>
        <v>0.11649349817820985</v>
      </c>
      <c r="R21" s="15">
        <f t="shared" si="3"/>
        <v>3.7356156130889331</v>
      </c>
      <c r="U21" s="18"/>
      <c r="V21" s="18"/>
      <c r="W21" s="18" t="s">
        <v>63</v>
      </c>
      <c r="X21" s="21">
        <f>SUM(X16:X20)</f>
        <v>3.2687538307126642</v>
      </c>
    </row>
    <row r="22" spans="1:24" x14ac:dyDescent="0.35">
      <c r="A22">
        <v>2.3341400000000001</v>
      </c>
      <c r="I22">
        <v>1.7641899999999999</v>
      </c>
      <c r="K22" s="19">
        <v>7</v>
      </c>
      <c r="L22" s="19">
        <f t="shared" si="5"/>
        <v>10.256767142857141</v>
      </c>
      <c r="M22" s="19">
        <f t="shared" si="6"/>
        <v>12.218899999999998</v>
      </c>
      <c r="N22" s="19">
        <f t="shared" si="0"/>
        <v>11.23783357142857</v>
      </c>
      <c r="O22" s="19">
        <v>3</v>
      </c>
      <c r="P22" s="19">
        <f t="shared" si="1"/>
        <v>2.2104074277173207</v>
      </c>
      <c r="Q22" s="16">
        <f t="shared" si="2"/>
        <v>3.4669704884203609E-2</v>
      </c>
      <c r="R22" s="16">
        <f t="shared" si="3"/>
        <v>1.1117589641654528</v>
      </c>
      <c r="U22" s="18"/>
      <c r="V22" s="18"/>
      <c r="W22" s="18"/>
      <c r="X22" s="18"/>
    </row>
    <row r="23" spans="1:24" x14ac:dyDescent="0.35">
      <c r="A23">
        <v>9.4604800000000004</v>
      </c>
      <c r="I23">
        <v>2.0169899999999998</v>
      </c>
      <c r="K23" s="18"/>
      <c r="L23" s="18"/>
      <c r="M23" s="18"/>
      <c r="N23" s="18"/>
      <c r="O23" s="18">
        <f>SUM(O16:O22)</f>
        <v>50</v>
      </c>
      <c r="P23" s="18"/>
      <c r="Q23" s="17">
        <f>SUM(Q16:Q22)</f>
        <v>1.5153164801876107</v>
      </c>
      <c r="R23" s="17">
        <f>SUM(R16:R22)</f>
        <v>48.591895605197223</v>
      </c>
      <c r="U23" s="18"/>
      <c r="V23" s="18"/>
      <c r="W23" s="18"/>
      <c r="X23" s="18"/>
    </row>
    <row r="24" spans="1:24" x14ac:dyDescent="0.35">
      <c r="A24">
        <v>6.3081500000000004</v>
      </c>
      <c r="I24">
        <v>2.0230700000000001</v>
      </c>
    </row>
    <row r="25" spans="1:24" x14ac:dyDescent="0.35">
      <c r="A25">
        <v>4.0541200000000002</v>
      </c>
      <c r="I25">
        <v>2.1659299999999999</v>
      </c>
      <c r="Q25" s="23" t="s">
        <v>58</v>
      </c>
    </row>
    <row r="26" spans="1:24" x14ac:dyDescent="0.35">
      <c r="A26">
        <v>2.7465700000000002</v>
      </c>
      <c r="I26">
        <v>2.1817000000000002</v>
      </c>
      <c r="Q26" s="23" t="s">
        <v>59</v>
      </c>
    </row>
    <row r="27" spans="1:24" x14ac:dyDescent="0.35">
      <c r="A27">
        <v>2.3625500000000001</v>
      </c>
      <c r="I27">
        <v>2.3341400000000001</v>
      </c>
      <c r="Q27" s="23" t="s">
        <v>60</v>
      </c>
    </row>
    <row r="28" spans="1:24" x14ac:dyDescent="0.35">
      <c r="A28">
        <v>-1.51603</v>
      </c>
      <c r="I28">
        <v>2.3625500000000001</v>
      </c>
      <c r="Q28" s="23" t="s">
        <v>61</v>
      </c>
    </row>
    <row r="29" spans="1:24" x14ac:dyDescent="0.35">
      <c r="A29">
        <v>7.6174799999999996</v>
      </c>
      <c r="I29">
        <v>2.7207699999999999</v>
      </c>
      <c r="W29" t="s">
        <v>64</v>
      </c>
      <c r="X29" s="11">
        <f>_xlfn.CHISQ.INV(Q30,3)</f>
        <v>6.2513886311703235</v>
      </c>
    </row>
    <row r="30" spans="1:24" x14ac:dyDescent="0.35">
      <c r="A30">
        <v>0.29575800000000002</v>
      </c>
      <c r="I30">
        <v>2.7465700000000002</v>
      </c>
      <c r="Q30">
        <f>1-D6</f>
        <v>0.9</v>
      </c>
    </row>
    <row r="31" spans="1:24" ht="69.5" customHeight="1" x14ac:dyDescent="0.35">
      <c r="A31">
        <v>7.3238899999999996</v>
      </c>
      <c r="I31">
        <v>2.7725499999999998</v>
      </c>
      <c r="L31" s="30" t="s">
        <v>11</v>
      </c>
      <c r="M31" s="30"/>
      <c r="N31" s="10" t="s">
        <v>72</v>
      </c>
      <c r="O31" s="10" t="s">
        <v>73</v>
      </c>
      <c r="P31" s="10" t="s">
        <v>74</v>
      </c>
      <c r="Q31" s="10" t="s">
        <v>75</v>
      </c>
      <c r="R31" s="10" t="s">
        <v>52</v>
      </c>
      <c r="S31" s="10" t="s">
        <v>76</v>
      </c>
      <c r="T31" s="10" t="s">
        <v>77</v>
      </c>
      <c r="V31" t="s">
        <v>65</v>
      </c>
      <c r="W31" s="23" t="str">
        <f>IF(T38&lt;X29,"Следует принять теорию H0","Следует принять теорию H1")</f>
        <v>Следует принять теорию H0</v>
      </c>
    </row>
    <row r="32" spans="1:24" x14ac:dyDescent="0.35">
      <c r="A32">
        <v>2.8535900000000001</v>
      </c>
      <c r="I32">
        <v>2.7852100000000002</v>
      </c>
      <c r="L32">
        <v>-1.51603</v>
      </c>
      <c r="M32">
        <v>0.44610285714285713</v>
      </c>
      <c r="N32">
        <v>0</v>
      </c>
      <c r="O32">
        <f>_xlfn.NORM.DIST(M32,$D$2,$D$4,1)</f>
        <v>9.3922640480563452E-2</v>
      </c>
      <c r="P32">
        <f>O32-N32</f>
        <v>9.3922640480563452E-2</v>
      </c>
      <c r="Q32">
        <f>P32*$O$23</f>
        <v>4.6961320240281728</v>
      </c>
      <c r="R32">
        <f>O16</f>
        <v>3</v>
      </c>
      <c r="S32">
        <f>Q32</f>
        <v>4.6961320240281728</v>
      </c>
      <c r="T32">
        <f>(R32-S32)^2/S32</f>
        <v>0.61260284596220438</v>
      </c>
    </row>
    <row r="33" spans="1:25" x14ac:dyDescent="0.35">
      <c r="A33">
        <v>2.7207699999999999</v>
      </c>
      <c r="I33">
        <v>2.8486600000000002</v>
      </c>
      <c r="L33">
        <v>0.44610285714285713</v>
      </c>
      <c r="M33">
        <v>2.4082357142857145</v>
      </c>
      <c r="N33">
        <f t="shared" ref="N33:N38" si="9">_xlfn.NORM.DIST(L33,$D$2,$D$4,1)</f>
        <v>9.3922640480563452E-2</v>
      </c>
      <c r="O33">
        <f t="shared" ref="O33:O37" si="10">_xlfn.NORM.DIST(M33,$D$2,$D$4,1)</f>
        <v>0.24963558862544172</v>
      </c>
      <c r="P33">
        <f t="shared" ref="P33:P38" si="11">O33-N33</f>
        <v>0.15571294814487827</v>
      </c>
      <c r="Q33">
        <f t="shared" ref="Q33:Q38" si="12">P33*$O$23</f>
        <v>7.7856474072439132</v>
      </c>
      <c r="R33">
        <f t="shared" ref="R33:R35" si="13">O17</f>
        <v>12</v>
      </c>
      <c r="S33">
        <f t="shared" ref="S33:S36" si="14">Q33</f>
        <v>7.7856474072439132</v>
      </c>
      <c r="T33">
        <f t="shared" ref="T33:T37" si="15">(R33-S33)^2/S33</f>
        <v>2.281219126304769</v>
      </c>
      <c r="W33" s="22" t="s">
        <v>70</v>
      </c>
      <c r="X33" s="22"/>
      <c r="Y33" s="22"/>
    </row>
    <row r="34" spans="1:25" x14ac:dyDescent="0.35">
      <c r="A34">
        <v>6.1454000000000004</v>
      </c>
      <c r="I34">
        <v>2.8535900000000001</v>
      </c>
      <c r="L34">
        <v>2.4082357142857145</v>
      </c>
      <c r="M34">
        <v>4.3703685714285712</v>
      </c>
      <c r="N34">
        <f t="shared" si="9"/>
        <v>0.24963558862544172</v>
      </c>
      <c r="O34">
        <f t="shared" si="10"/>
        <v>0.48632145312934516</v>
      </c>
      <c r="P34">
        <f t="shared" si="11"/>
        <v>0.23668586450390344</v>
      </c>
      <c r="Q34">
        <f t="shared" si="12"/>
        <v>11.834293225195172</v>
      </c>
      <c r="R34">
        <f t="shared" si="13"/>
        <v>10</v>
      </c>
      <c r="S34">
        <f t="shared" si="14"/>
        <v>11.834293225195172</v>
      </c>
      <c r="T34">
        <f t="shared" si="15"/>
        <v>0.28431200511692706</v>
      </c>
      <c r="W34" s="22" t="s">
        <v>71</v>
      </c>
      <c r="X34" s="22"/>
      <c r="Y34" s="22"/>
    </row>
    <row r="35" spans="1:25" x14ac:dyDescent="0.35">
      <c r="A35">
        <v>1.12967</v>
      </c>
      <c r="I35">
        <v>2.9275000000000002</v>
      </c>
      <c r="L35">
        <v>4.3703685714285712</v>
      </c>
      <c r="M35">
        <v>6.3325014285714278</v>
      </c>
      <c r="N35">
        <f t="shared" si="9"/>
        <v>0.48632145312934516</v>
      </c>
      <c r="O35">
        <f t="shared" si="10"/>
        <v>0.72809094933259866</v>
      </c>
      <c r="P35">
        <f t="shared" si="11"/>
        <v>0.2417694962032535</v>
      </c>
      <c r="Q35">
        <f t="shared" si="12"/>
        <v>12.088474810162674</v>
      </c>
      <c r="R35">
        <f t="shared" si="13"/>
        <v>13</v>
      </c>
      <c r="S35">
        <f t="shared" si="14"/>
        <v>12.088474810162674</v>
      </c>
      <c r="T35">
        <f t="shared" si="15"/>
        <v>6.8733085418638623E-2</v>
      </c>
    </row>
    <row r="36" spans="1:25" x14ac:dyDescent="0.35">
      <c r="A36">
        <v>0.73295500000000002</v>
      </c>
      <c r="I36">
        <v>3.2783500000000001</v>
      </c>
      <c r="L36">
        <v>6.3325014285714278</v>
      </c>
      <c r="M36">
        <v>8.2946342857142845</v>
      </c>
      <c r="N36">
        <f t="shared" si="9"/>
        <v>0.72809094933259866</v>
      </c>
      <c r="O36">
        <f t="shared" si="10"/>
        <v>0.89405634775290266</v>
      </c>
      <c r="P36">
        <f t="shared" si="11"/>
        <v>0.165965398420304</v>
      </c>
      <c r="Q36">
        <f t="shared" si="12"/>
        <v>8.2982699210151996</v>
      </c>
      <c r="R36">
        <f>O20</f>
        <v>5</v>
      </c>
      <c r="S36">
        <f t="shared" si="14"/>
        <v>8.2982699210151996</v>
      </c>
      <c r="T36">
        <f t="shared" si="15"/>
        <v>1.3109460858008266</v>
      </c>
    </row>
    <row r="37" spans="1:25" x14ac:dyDescent="0.35">
      <c r="A37">
        <v>2.0230700000000001</v>
      </c>
      <c r="I37">
        <v>4.0541200000000002</v>
      </c>
      <c r="L37">
        <v>8.2946342857142845</v>
      </c>
      <c r="M37">
        <v>10.256767142857141</v>
      </c>
      <c r="N37">
        <f t="shared" si="9"/>
        <v>0.89405634775290266</v>
      </c>
      <c r="O37">
        <f t="shared" si="10"/>
        <v>0.9706033502438437</v>
      </c>
      <c r="P37">
        <f t="shared" si="11"/>
        <v>7.6547002490941041E-2</v>
      </c>
      <c r="Q37">
        <f t="shared" si="12"/>
        <v>3.8273501245470518</v>
      </c>
      <c r="R37">
        <f>O21+O22</f>
        <v>7</v>
      </c>
      <c r="S37">
        <f>Q37+Q38</f>
        <v>5.2971826123548666</v>
      </c>
      <c r="T37">
        <f t="shared" si="15"/>
        <v>0.54738287649433748</v>
      </c>
    </row>
    <row r="38" spans="1:25" x14ac:dyDescent="0.35">
      <c r="A38">
        <v>4.7182700000000004</v>
      </c>
      <c r="I38">
        <v>4.09626</v>
      </c>
      <c r="L38">
        <v>10.256767142857141</v>
      </c>
      <c r="M38">
        <v>12.218899999999998</v>
      </c>
      <c r="N38">
        <f t="shared" si="9"/>
        <v>0.9706033502438437</v>
      </c>
      <c r="O38">
        <v>1</v>
      </c>
      <c r="P38">
        <f t="shared" si="11"/>
        <v>2.9396649756156301E-2</v>
      </c>
      <c r="Q38">
        <f t="shared" si="12"/>
        <v>1.4698324878078151</v>
      </c>
      <c r="T38">
        <f>SUM(T32:T37)</f>
        <v>5.1051960250977038</v>
      </c>
    </row>
    <row r="39" spans="1:25" x14ac:dyDescent="0.35">
      <c r="A39">
        <v>3.2783500000000001</v>
      </c>
      <c r="I39">
        <v>4.67936</v>
      </c>
      <c r="P39">
        <f>SUM(P32:P38)</f>
        <v>1</v>
      </c>
      <c r="Q39">
        <f>SUM(Q32:Q38)</f>
        <v>49.999999999999993</v>
      </c>
    </row>
    <row r="40" spans="1:25" x14ac:dyDescent="0.35">
      <c r="A40">
        <v>7.3078500000000002</v>
      </c>
      <c r="I40">
        <v>4.7182700000000004</v>
      </c>
    </row>
    <row r="41" spans="1:25" x14ac:dyDescent="0.35">
      <c r="A41">
        <v>1.7641899999999999</v>
      </c>
      <c r="I41">
        <v>4.7862299999999998</v>
      </c>
      <c r="Q41" t="s">
        <v>58</v>
      </c>
    </row>
    <row r="42" spans="1:25" x14ac:dyDescent="0.35">
      <c r="A42">
        <v>4.7862799999999996</v>
      </c>
      <c r="I42">
        <v>4.7862799999999996</v>
      </c>
      <c r="Q42" t="s">
        <v>78</v>
      </c>
      <c r="V42" s="13"/>
    </row>
    <row r="43" spans="1:25" x14ac:dyDescent="0.35">
      <c r="A43">
        <v>9.3262300000000007</v>
      </c>
      <c r="I43">
        <v>5.0236499999999999</v>
      </c>
      <c r="Q43" t="s">
        <v>60</v>
      </c>
    </row>
    <row r="44" spans="1:25" x14ac:dyDescent="0.35">
      <c r="A44">
        <v>2.7852100000000002</v>
      </c>
      <c r="I44">
        <v>5.0792099999999998</v>
      </c>
      <c r="Q44" t="s">
        <v>61</v>
      </c>
    </row>
    <row r="45" spans="1:25" x14ac:dyDescent="0.35">
      <c r="A45">
        <v>12.2189</v>
      </c>
      <c r="I45">
        <v>5.1363300000000001</v>
      </c>
    </row>
    <row r="46" spans="1:25" x14ac:dyDescent="0.35">
      <c r="A46">
        <v>2.7725499999999998</v>
      </c>
      <c r="I46">
        <v>5.1470700000000003</v>
      </c>
    </row>
    <row r="47" spans="1:25" x14ac:dyDescent="0.35">
      <c r="A47">
        <v>4.7862299999999998</v>
      </c>
      <c r="I47">
        <v>5.2546600000000003</v>
      </c>
    </row>
    <row r="48" spans="1:25" x14ac:dyDescent="0.35">
      <c r="A48">
        <v>5.0236499999999999</v>
      </c>
      <c r="I48">
        <v>5.5770600000000004</v>
      </c>
    </row>
    <row r="49" spans="1:9" x14ac:dyDescent="0.35">
      <c r="A49">
        <v>2.9275000000000002</v>
      </c>
      <c r="I49">
        <v>6.1454000000000004</v>
      </c>
    </row>
    <row r="50" spans="1:9" x14ac:dyDescent="0.35">
      <c r="A50">
        <v>6.2996100000000004</v>
      </c>
      <c r="I50">
        <v>6.2996100000000004</v>
      </c>
    </row>
    <row r="51" spans="1:9" x14ac:dyDescent="0.35">
      <c r="I51">
        <v>6.3081500000000004</v>
      </c>
    </row>
    <row r="52" spans="1:9" x14ac:dyDescent="0.35">
      <c r="I52">
        <v>6.6862700000000004</v>
      </c>
    </row>
    <row r="53" spans="1:9" x14ac:dyDescent="0.35">
      <c r="I53">
        <v>7.05016</v>
      </c>
    </row>
    <row r="54" spans="1:9" x14ac:dyDescent="0.35">
      <c r="I54">
        <v>7.3078500000000002</v>
      </c>
    </row>
    <row r="55" spans="1:9" x14ac:dyDescent="0.35">
      <c r="I55">
        <v>7.3238899999999996</v>
      </c>
    </row>
    <row r="56" spans="1:9" x14ac:dyDescent="0.35">
      <c r="I56">
        <v>7.6174799999999996</v>
      </c>
    </row>
    <row r="57" spans="1:9" x14ac:dyDescent="0.35">
      <c r="I57">
        <v>8.4246800000000004</v>
      </c>
    </row>
    <row r="58" spans="1:9" x14ac:dyDescent="0.35">
      <c r="I58">
        <v>8.7911699999999993</v>
      </c>
    </row>
    <row r="59" spans="1:9" x14ac:dyDescent="0.35">
      <c r="I59">
        <v>9.3262300000000007</v>
      </c>
    </row>
    <row r="60" spans="1:9" x14ac:dyDescent="0.35">
      <c r="I60">
        <v>9.4604800000000004</v>
      </c>
    </row>
    <row r="61" spans="1:9" x14ac:dyDescent="0.35">
      <c r="I61">
        <v>10.263999999999999</v>
      </c>
    </row>
    <row r="62" spans="1:9" x14ac:dyDescent="0.35">
      <c r="I62">
        <v>10.639849999999999</v>
      </c>
    </row>
    <row r="63" spans="1:9" x14ac:dyDescent="0.35">
      <c r="I63">
        <v>12.2189</v>
      </c>
    </row>
  </sheetData>
  <sortState xmlns:xlrd2="http://schemas.microsoft.com/office/spreadsheetml/2017/richdata2" ref="I14:I63">
    <sortCondition ref="I14"/>
  </sortState>
  <mergeCells count="2">
    <mergeCell ref="L15:M15"/>
    <mergeCell ref="L31:M3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zoomScaleNormal="100" workbookViewId="0">
      <selection activeCell="A4" sqref="A4"/>
    </sheetView>
  </sheetViews>
  <sheetFormatPr defaultRowHeight="14.5" x14ac:dyDescent="0.35"/>
  <cols>
    <col min="1" max="1" width="12.7265625" customWidth="1"/>
    <col min="3" max="3" width="8.7265625" customWidth="1"/>
    <col min="8" max="8" width="13.90625" customWidth="1"/>
    <col min="9" max="9" width="11" customWidth="1"/>
  </cols>
  <sheetData>
    <row r="1" spans="1:14" x14ac:dyDescent="0.35">
      <c r="A1" t="s">
        <v>96</v>
      </c>
    </row>
    <row r="2" spans="1:14" x14ac:dyDescent="0.35">
      <c r="A2" t="s">
        <v>110</v>
      </c>
      <c r="H2" t="s">
        <v>87</v>
      </c>
    </row>
    <row r="3" spans="1:14" x14ac:dyDescent="0.35">
      <c r="D3" t="s">
        <v>83</v>
      </c>
      <c r="E3" t="s">
        <v>82</v>
      </c>
      <c r="F3" t="s">
        <v>84</v>
      </c>
      <c r="G3" t="s">
        <v>85</v>
      </c>
      <c r="H3" t="s">
        <v>86</v>
      </c>
      <c r="J3" t="s">
        <v>89</v>
      </c>
      <c r="K3" t="s">
        <v>88</v>
      </c>
      <c r="M3" t="s">
        <v>90</v>
      </c>
      <c r="N3">
        <v>0.1</v>
      </c>
    </row>
    <row r="4" spans="1:14" x14ac:dyDescent="0.35">
      <c r="A4" t="s">
        <v>46</v>
      </c>
      <c r="B4">
        <f>AVERAGE(D4:D53)</f>
        <v>4.4752872799999999</v>
      </c>
      <c r="D4">
        <v>-1.51603</v>
      </c>
      <c r="E4">
        <v>1</v>
      </c>
      <c r="F4">
        <f>(E4-1)/50</f>
        <v>0</v>
      </c>
      <c r="G4">
        <f>E4/50</f>
        <v>0.02</v>
      </c>
      <c r="H4">
        <f>_xlfn.NORM.DIST(D4,$B$4,$B$6,TRUE)</f>
        <v>2.5096042072974854E-2</v>
      </c>
      <c r="J4">
        <f>ABS(G4-H4)</f>
        <v>5.0960420729748539E-3</v>
      </c>
      <c r="K4">
        <f>ABS(H4-F4)</f>
        <v>2.5096042072974854E-2</v>
      </c>
      <c r="M4" t="s">
        <v>91</v>
      </c>
      <c r="N4">
        <f>1-N3</f>
        <v>0.9</v>
      </c>
    </row>
    <row r="5" spans="1:14" x14ac:dyDescent="0.35">
      <c r="A5" t="s">
        <v>47</v>
      </c>
      <c r="B5">
        <f>_xlfn.VAR.S(D4:D53)</f>
        <v>9.3599997986861254</v>
      </c>
      <c r="D5">
        <v>0.29131499999999999</v>
      </c>
      <c r="E5">
        <v>2</v>
      </c>
      <c r="F5">
        <f t="shared" ref="F5:F53" si="0">(E5-1)/50</f>
        <v>0.02</v>
      </c>
      <c r="G5">
        <f t="shared" ref="G5:G53" si="1">E5/50</f>
        <v>0.04</v>
      </c>
      <c r="H5">
        <f t="shared" ref="H5:H53" si="2">_xlfn.NORM.DIST(D5,$B$4,$B$6,TRUE)</f>
        <v>8.5722708355491034E-2</v>
      </c>
      <c r="J5">
        <f t="shared" ref="J5:J53" si="3">ABS(G5-H5)</f>
        <v>4.5722708355491033E-2</v>
      </c>
      <c r="K5">
        <f t="shared" ref="K5:K53" si="4">ABS(H5-F5)</f>
        <v>6.572270835549103E-2</v>
      </c>
      <c r="M5" t="s">
        <v>93</v>
      </c>
      <c r="N5">
        <v>1.22</v>
      </c>
    </row>
    <row r="6" spans="1:14" x14ac:dyDescent="0.35">
      <c r="A6" t="s">
        <v>48</v>
      </c>
      <c r="B6">
        <f>SQRT(B5)</f>
        <v>3.0594116752549216</v>
      </c>
      <c r="D6">
        <v>0.29575800000000002</v>
      </c>
      <c r="E6">
        <v>3</v>
      </c>
      <c r="F6">
        <f t="shared" si="0"/>
        <v>0.04</v>
      </c>
      <c r="G6">
        <f t="shared" si="1"/>
        <v>0.06</v>
      </c>
      <c r="H6">
        <f t="shared" si="2"/>
        <v>8.5950353324400833E-2</v>
      </c>
      <c r="J6">
        <f t="shared" si="3"/>
        <v>2.5950353324400835E-2</v>
      </c>
      <c r="K6">
        <f t="shared" si="4"/>
        <v>4.5950353324400832E-2</v>
      </c>
    </row>
    <row r="7" spans="1:14" x14ac:dyDescent="0.35">
      <c r="D7">
        <v>0.57628599999999996</v>
      </c>
      <c r="E7">
        <v>4</v>
      </c>
      <c r="F7">
        <f t="shared" si="0"/>
        <v>0.06</v>
      </c>
      <c r="G7">
        <f t="shared" si="1"/>
        <v>0.08</v>
      </c>
      <c r="H7">
        <f t="shared" si="2"/>
        <v>0.10125580744131638</v>
      </c>
      <c r="J7">
        <f t="shared" si="3"/>
        <v>2.1255807441316374E-2</v>
      </c>
      <c r="K7">
        <f t="shared" si="4"/>
        <v>4.1255807441316378E-2</v>
      </c>
      <c r="M7" t="s">
        <v>94</v>
      </c>
      <c r="N7">
        <f>MAX(J56:K56)</f>
        <v>0.13354012069519983</v>
      </c>
    </row>
    <row r="8" spans="1:14" x14ac:dyDescent="0.35">
      <c r="D8">
        <v>0.73295500000000002</v>
      </c>
      <c r="E8">
        <v>5</v>
      </c>
      <c r="F8">
        <f t="shared" si="0"/>
        <v>0.08</v>
      </c>
      <c r="G8">
        <f t="shared" si="1"/>
        <v>0.1</v>
      </c>
      <c r="H8">
        <f t="shared" si="2"/>
        <v>0.11062338510642773</v>
      </c>
      <c r="J8">
        <f t="shared" si="3"/>
        <v>1.0623385106427727E-2</v>
      </c>
      <c r="K8">
        <f t="shared" si="4"/>
        <v>3.0623385106427731E-2</v>
      </c>
    </row>
    <row r="9" spans="1:14" x14ac:dyDescent="0.35">
      <c r="D9">
        <v>1.12967</v>
      </c>
      <c r="E9">
        <v>6</v>
      </c>
      <c r="F9">
        <f t="shared" si="0"/>
        <v>0.1</v>
      </c>
      <c r="G9">
        <f t="shared" si="1"/>
        <v>0.12</v>
      </c>
      <c r="H9">
        <f t="shared" si="2"/>
        <v>0.13707636332167203</v>
      </c>
      <c r="J9">
        <f t="shared" si="3"/>
        <v>1.7076363321672033E-2</v>
      </c>
      <c r="K9">
        <f t="shared" si="4"/>
        <v>3.7076363321672023E-2</v>
      </c>
    </row>
    <row r="10" spans="1:14" x14ac:dyDescent="0.35">
      <c r="D10">
        <v>1.1330499999999999</v>
      </c>
      <c r="E10">
        <v>7</v>
      </c>
      <c r="F10">
        <f t="shared" si="0"/>
        <v>0.12</v>
      </c>
      <c r="G10">
        <f t="shared" si="1"/>
        <v>0.14000000000000001</v>
      </c>
      <c r="H10">
        <f t="shared" si="2"/>
        <v>0.13731889899093655</v>
      </c>
      <c r="J10">
        <f t="shared" si="3"/>
        <v>2.6811010090634635E-3</v>
      </c>
      <c r="K10">
        <f t="shared" si="4"/>
        <v>1.7318898990936554E-2</v>
      </c>
      <c r="M10">
        <f>SQRT(50)*N7</f>
        <v>0.94427124904045812</v>
      </c>
      <c r="N10">
        <v>1.22</v>
      </c>
    </row>
    <row r="11" spans="1:14" x14ac:dyDescent="0.35">
      <c r="D11">
        <v>1.13697</v>
      </c>
      <c r="E11">
        <v>8</v>
      </c>
      <c r="F11">
        <f t="shared" si="0"/>
        <v>0.14000000000000001</v>
      </c>
      <c r="G11">
        <f t="shared" si="1"/>
        <v>0.16</v>
      </c>
      <c r="H11">
        <f t="shared" si="2"/>
        <v>0.13760054979324807</v>
      </c>
      <c r="J11">
        <f t="shared" si="3"/>
        <v>2.2399450206751936E-2</v>
      </c>
      <c r="K11">
        <f t="shared" si="4"/>
        <v>2.3994502067519463E-3</v>
      </c>
      <c r="N11" s="13"/>
    </row>
    <row r="12" spans="1:14" x14ac:dyDescent="0.35">
      <c r="D12">
        <v>1.7641899999999999</v>
      </c>
      <c r="E12">
        <v>9</v>
      </c>
      <c r="F12">
        <f t="shared" si="0"/>
        <v>0.16</v>
      </c>
      <c r="G12">
        <f t="shared" si="1"/>
        <v>0.18</v>
      </c>
      <c r="H12">
        <f t="shared" si="2"/>
        <v>0.18776838448980629</v>
      </c>
      <c r="J12">
        <f t="shared" si="3"/>
        <v>7.7683844898062959E-3</v>
      </c>
      <c r="K12">
        <f t="shared" si="4"/>
        <v>2.7768384489806286E-2</v>
      </c>
    </row>
    <row r="13" spans="1:14" x14ac:dyDescent="0.35">
      <c r="D13">
        <v>2.0169899999999998</v>
      </c>
      <c r="E13">
        <v>10</v>
      </c>
      <c r="F13">
        <f t="shared" si="0"/>
        <v>0.18</v>
      </c>
      <c r="G13">
        <f t="shared" si="1"/>
        <v>0.2</v>
      </c>
      <c r="H13">
        <f t="shared" si="2"/>
        <v>0.21083723312588046</v>
      </c>
      <c r="J13">
        <f t="shared" si="3"/>
        <v>1.0837233125880447E-2</v>
      </c>
      <c r="K13">
        <f t="shared" si="4"/>
        <v>3.0837233125880464E-2</v>
      </c>
      <c r="M13" t="s">
        <v>95</v>
      </c>
    </row>
    <row r="14" spans="1:14" x14ac:dyDescent="0.35">
      <c r="D14">
        <v>2.0230700000000001</v>
      </c>
      <c r="E14">
        <v>11</v>
      </c>
      <c r="F14">
        <f t="shared" si="0"/>
        <v>0.2</v>
      </c>
      <c r="G14">
        <f t="shared" si="1"/>
        <v>0.22</v>
      </c>
      <c r="H14">
        <f t="shared" si="2"/>
        <v>0.21141177604047204</v>
      </c>
      <c r="J14">
        <f t="shared" si="3"/>
        <v>8.588223959527963E-3</v>
      </c>
      <c r="K14">
        <f t="shared" si="4"/>
        <v>1.1411776040472027E-2</v>
      </c>
    </row>
    <row r="15" spans="1:14" x14ac:dyDescent="0.35">
      <c r="D15">
        <v>2.1659299999999999</v>
      </c>
      <c r="E15">
        <v>12</v>
      </c>
      <c r="F15">
        <f t="shared" si="0"/>
        <v>0.22</v>
      </c>
      <c r="G15">
        <f t="shared" si="1"/>
        <v>0.24</v>
      </c>
      <c r="H15">
        <f t="shared" si="2"/>
        <v>0.22517338054268043</v>
      </c>
      <c r="J15">
        <f t="shared" si="3"/>
        <v>1.4826619457319556E-2</v>
      </c>
      <c r="K15">
        <f t="shared" si="4"/>
        <v>5.1733805426804336E-3</v>
      </c>
    </row>
    <row r="16" spans="1:14" x14ac:dyDescent="0.35">
      <c r="D16">
        <v>2.1817000000000002</v>
      </c>
      <c r="E16">
        <v>13</v>
      </c>
      <c r="F16">
        <f t="shared" si="0"/>
        <v>0.24</v>
      </c>
      <c r="G16">
        <f t="shared" si="1"/>
        <v>0.26</v>
      </c>
      <c r="H16">
        <f t="shared" si="2"/>
        <v>0.22672298604286401</v>
      </c>
      <c r="J16">
        <f t="shared" si="3"/>
        <v>3.3277013957136004E-2</v>
      </c>
      <c r="K16">
        <f t="shared" si="4"/>
        <v>1.3277013957135986E-2</v>
      </c>
    </row>
    <row r="17" spans="4:11" x14ac:dyDescent="0.35">
      <c r="D17">
        <v>2.3341400000000001</v>
      </c>
      <c r="E17">
        <v>14</v>
      </c>
      <c r="F17">
        <f t="shared" si="0"/>
        <v>0.26</v>
      </c>
      <c r="G17">
        <f t="shared" si="1"/>
        <v>0.28000000000000003</v>
      </c>
      <c r="H17">
        <f t="shared" si="2"/>
        <v>0.24200865349498857</v>
      </c>
      <c r="J17">
        <f t="shared" si="3"/>
        <v>3.7991346505011458E-2</v>
      </c>
      <c r="K17">
        <f t="shared" si="4"/>
        <v>1.7991346505011441E-2</v>
      </c>
    </row>
    <row r="18" spans="4:11" x14ac:dyDescent="0.35">
      <c r="D18">
        <v>2.3625500000000001</v>
      </c>
      <c r="E18">
        <v>15</v>
      </c>
      <c r="F18">
        <f t="shared" si="0"/>
        <v>0.28000000000000003</v>
      </c>
      <c r="G18">
        <f t="shared" si="1"/>
        <v>0.3</v>
      </c>
      <c r="H18">
        <f t="shared" si="2"/>
        <v>0.24491796868961446</v>
      </c>
      <c r="J18">
        <f t="shared" si="3"/>
        <v>5.5082031310385526E-2</v>
      </c>
      <c r="K18">
        <f t="shared" si="4"/>
        <v>3.5082031310385564E-2</v>
      </c>
    </row>
    <row r="19" spans="4:11" x14ac:dyDescent="0.35">
      <c r="D19">
        <v>2.7207699999999999</v>
      </c>
      <c r="E19">
        <v>16</v>
      </c>
      <c r="F19">
        <f t="shared" si="0"/>
        <v>0.3</v>
      </c>
      <c r="G19">
        <f t="shared" si="1"/>
        <v>0.32</v>
      </c>
      <c r="H19">
        <f t="shared" si="2"/>
        <v>0.2831592188690778</v>
      </c>
      <c r="J19">
        <f t="shared" si="3"/>
        <v>3.6840781130922207E-2</v>
      </c>
      <c r="K19">
        <f t="shared" si="4"/>
        <v>1.6840781130922189E-2</v>
      </c>
    </row>
    <row r="20" spans="4:11" x14ac:dyDescent="0.35">
      <c r="D20">
        <v>2.7465700000000002</v>
      </c>
      <c r="E20">
        <v>17</v>
      </c>
      <c r="F20">
        <f t="shared" si="0"/>
        <v>0.32</v>
      </c>
      <c r="G20">
        <f t="shared" si="1"/>
        <v>0.34</v>
      </c>
      <c r="H20">
        <f t="shared" si="2"/>
        <v>0.28602024332107945</v>
      </c>
      <c r="J20">
        <f t="shared" si="3"/>
        <v>5.3979756678920576E-2</v>
      </c>
      <c r="K20">
        <f t="shared" si="4"/>
        <v>3.3979756678920559E-2</v>
      </c>
    </row>
    <row r="21" spans="4:11" x14ac:dyDescent="0.35">
      <c r="D21">
        <v>2.7725499999999998</v>
      </c>
      <c r="E21">
        <v>18</v>
      </c>
      <c r="F21">
        <f t="shared" si="0"/>
        <v>0.34</v>
      </c>
      <c r="G21">
        <f t="shared" si="1"/>
        <v>0.36</v>
      </c>
      <c r="H21">
        <f t="shared" si="2"/>
        <v>0.28891503681118802</v>
      </c>
      <c r="J21">
        <f t="shared" si="3"/>
        <v>7.1084963188811967E-2</v>
      </c>
      <c r="K21">
        <f t="shared" si="4"/>
        <v>5.1084963188812005E-2</v>
      </c>
    </row>
    <row r="22" spans="4:11" x14ac:dyDescent="0.35">
      <c r="D22">
        <v>2.7852100000000002</v>
      </c>
      <c r="E22">
        <v>19</v>
      </c>
      <c r="F22">
        <f t="shared" si="0"/>
        <v>0.36</v>
      </c>
      <c r="G22">
        <f t="shared" si="1"/>
        <v>0.38</v>
      </c>
      <c r="H22">
        <f t="shared" si="2"/>
        <v>0.29033064215459536</v>
      </c>
      <c r="J22">
        <f t="shared" si="3"/>
        <v>8.966935784540464E-2</v>
      </c>
      <c r="K22">
        <f t="shared" si="4"/>
        <v>6.9669357845404623E-2</v>
      </c>
    </row>
    <row r="23" spans="4:11" x14ac:dyDescent="0.35">
      <c r="D23">
        <v>2.8486600000000002</v>
      </c>
      <c r="E23">
        <v>20</v>
      </c>
      <c r="F23">
        <f t="shared" si="0"/>
        <v>0.38</v>
      </c>
      <c r="G23">
        <f t="shared" si="1"/>
        <v>0.4</v>
      </c>
      <c r="H23">
        <f t="shared" si="2"/>
        <v>0.29747390456032408</v>
      </c>
      <c r="J23">
        <f t="shared" si="3"/>
        <v>0.10252609543967595</v>
      </c>
      <c r="K23">
        <f t="shared" si="4"/>
        <v>8.2526095439675928E-2</v>
      </c>
    </row>
    <row r="24" spans="4:11" x14ac:dyDescent="0.35">
      <c r="D24">
        <v>2.8535900000000001</v>
      </c>
      <c r="E24">
        <v>21</v>
      </c>
      <c r="F24">
        <f t="shared" si="0"/>
        <v>0.4</v>
      </c>
      <c r="G24">
        <f t="shared" si="1"/>
        <v>0.42</v>
      </c>
      <c r="H24">
        <f t="shared" si="2"/>
        <v>0.29803227320112224</v>
      </c>
      <c r="J24">
        <f t="shared" si="3"/>
        <v>0.12196772679887774</v>
      </c>
      <c r="K24">
        <f t="shared" si="4"/>
        <v>0.10196772679887778</v>
      </c>
    </row>
    <row r="25" spans="4:11" x14ac:dyDescent="0.35">
      <c r="D25">
        <v>2.9275000000000002</v>
      </c>
      <c r="E25">
        <v>22</v>
      </c>
      <c r="F25">
        <f t="shared" si="0"/>
        <v>0.42</v>
      </c>
      <c r="G25">
        <f t="shared" si="1"/>
        <v>0.44</v>
      </c>
      <c r="H25">
        <f t="shared" si="2"/>
        <v>0.30645987930480018</v>
      </c>
      <c r="J25">
        <f t="shared" si="3"/>
        <v>0.13354012069519983</v>
      </c>
      <c r="K25">
        <f t="shared" si="4"/>
        <v>0.11354012069519981</v>
      </c>
    </row>
    <row r="26" spans="4:11" x14ac:dyDescent="0.35">
      <c r="D26">
        <v>3.2783500000000001</v>
      </c>
      <c r="E26">
        <v>23</v>
      </c>
      <c r="F26">
        <f t="shared" si="0"/>
        <v>0.44</v>
      </c>
      <c r="G26">
        <f t="shared" si="1"/>
        <v>0.46</v>
      </c>
      <c r="H26">
        <f t="shared" si="2"/>
        <v>0.34781317666224132</v>
      </c>
      <c r="J26">
        <f t="shared" si="3"/>
        <v>0.1121868233377587</v>
      </c>
      <c r="K26">
        <f t="shared" si="4"/>
        <v>9.2186823337758683E-2</v>
      </c>
    </row>
    <row r="27" spans="4:11" x14ac:dyDescent="0.35">
      <c r="D27">
        <v>4.0541200000000002</v>
      </c>
      <c r="E27">
        <v>24</v>
      </c>
      <c r="F27">
        <f t="shared" si="0"/>
        <v>0.46</v>
      </c>
      <c r="G27">
        <f t="shared" si="1"/>
        <v>0.48</v>
      </c>
      <c r="H27">
        <f t="shared" si="2"/>
        <v>0.44525344712549525</v>
      </c>
      <c r="J27">
        <f t="shared" si="3"/>
        <v>3.4746552874504733E-2</v>
      </c>
      <c r="K27">
        <f t="shared" si="4"/>
        <v>1.474655287450477E-2</v>
      </c>
    </row>
    <row r="28" spans="4:11" x14ac:dyDescent="0.35">
      <c r="D28">
        <v>4.09626</v>
      </c>
      <c r="E28">
        <v>25</v>
      </c>
      <c r="F28">
        <f t="shared" si="0"/>
        <v>0.48</v>
      </c>
      <c r="G28">
        <f t="shared" si="1"/>
        <v>0.5</v>
      </c>
      <c r="H28">
        <f t="shared" si="2"/>
        <v>0.45070160367901069</v>
      </c>
      <c r="J28">
        <f t="shared" si="3"/>
        <v>4.9298396320989313E-2</v>
      </c>
      <c r="K28">
        <f t="shared" si="4"/>
        <v>2.9298396320989295E-2</v>
      </c>
    </row>
    <row r="29" spans="4:11" x14ac:dyDescent="0.35">
      <c r="D29">
        <v>4.67936</v>
      </c>
      <c r="E29">
        <v>26</v>
      </c>
      <c r="F29">
        <f t="shared" si="0"/>
        <v>0.5</v>
      </c>
      <c r="G29">
        <f t="shared" si="1"/>
        <v>0.52</v>
      </c>
      <c r="H29">
        <f t="shared" si="2"/>
        <v>0.52659102888891351</v>
      </c>
      <c r="J29">
        <f t="shared" si="3"/>
        <v>6.5910288889134971E-3</v>
      </c>
      <c r="K29">
        <f t="shared" si="4"/>
        <v>2.6591028888913515E-2</v>
      </c>
    </row>
    <row r="30" spans="4:11" x14ac:dyDescent="0.35">
      <c r="D30">
        <v>4.7182700000000004</v>
      </c>
      <c r="E30">
        <v>27</v>
      </c>
      <c r="F30">
        <f t="shared" si="0"/>
        <v>0.52</v>
      </c>
      <c r="G30">
        <f t="shared" si="1"/>
        <v>0.54</v>
      </c>
      <c r="H30">
        <f t="shared" si="2"/>
        <v>0.53165127117232835</v>
      </c>
      <c r="J30">
        <f t="shared" si="3"/>
        <v>8.3487288276716809E-3</v>
      </c>
      <c r="K30">
        <f t="shared" si="4"/>
        <v>1.1651271172328337E-2</v>
      </c>
    </row>
    <row r="31" spans="4:11" x14ac:dyDescent="0.35">
      <c r="D31">
        <v>4.7862299999999998</v>
      </c>
      <c r="E31">
        <v>28</v>
      </c>
      <c r="F31">
        <f t="shared" si="0"/>
        <v>0.54</v>
      </c>
      <c r="G31">
        <f t="shared" si="1"/>
        <v>0.56000000000000005</v>
      </c>
      <c r="H31">
        <f t="shared" si="2"/>
        <v>0.54047672537895375</v>
      </c>
      <c r="J31">
        <f t="shared" si="3"/>
        <v>1.9523274621046305E-2</v>
      </c>
      <c r="K31">
        <f t="shared" si="4"/>
        <v>4.7672537895371292E-4</v>
      </c>
    </row>
    <row r="32" spans="4:11" x14ac:dyDescent="0.35">
      <c r="D32">
        <v>4.7862799999999996</v>
      </c>
      <c r="E32">
        <v>29</v>
      </c>
      <c r="F32">
        <f t="shared" si="0"/>
        <v>0.56000000000000005</v>
      </c>
      <c r="G32">
        <f t="shared" si="1"/>
        <v>0.57999999999999996</v>
      </c>
      <c r="H32">
        <f t="shared" si="2"/>
        <v>0.54048321170444324</v>
      </c>
      <c r="J32">
        <f t="shared" si="3"/>
        <v>3.9516788295556715E-2</v>
      </c>
      <c r="K32">
        <f t="shared" si="4"/>
        <v>1.9516788295556808E-2</v>
      </c>
    </row>
    <row r="33" spans="4:11" x14ac:dyDescent="0.35">
      <c r="D33">
        <v>5.0236499999999999</v>
      </c>
      <c r="E33">
        <v>30</v>
      </c>
      <c r="F33">
        <f t="shared" si="0"/>
        <v>0.57999999999999996</v>
      </c>
      <c r="G33">
        <f t="shared" si="1"/>
        <v>0.6</v>
      </c>
      <c r="H33">
        <f t="shared" si="2"/>
        <v>0.57112457232995784</v>
      </c>
      <c r="J33">
        <f t="shared" si="3"/>
        <v>2.8875427670042142E-2</v>
      </c>
      <c r="K33">
        <f t="shared" si="4"/>
        <v>8.8754276700421242E-3</v>
      </c>
    </row>
    <row r="34" spans="4:11" x14ac:dyDescent="0.35">
      <c r="D34">
        <v>5.0792099999999998</v>
      </c>
      <c r="E34">
        <v>31</v>
      </c>
      <c r="F34">
        <f t="shared" si="0"/>
        <v>0.6</v>
      </c>
      <c r="G34">
        <f t="shared" si="1"/>
        <v>0.62</v>
      </c>
      <c r="H34">
        <f t="shared" si="2"/>
        <v>0.57824207727416299</v>
      </c>
      <c r="J34">
        <f t="shared" si="3"/>
        <v>4.1757922725837004E-2</v>
      </c>
      <c r="K34">
        <f t="shared" si="4"/>
        <v>2.1757922725836987E-2</v>
      </c>
    </row>
    <row r="35" spans="4:11" x14ac:dyDescent="0.35">
      <c r="D35">
        <v>5.1363300000000001</v>
      </c>
      <c r="E35">
        <v>32</v>
      </c>
      <c r="F35">
        <f t="shared" si="0"/>
        <v>0.62</v>
      </c>
      <c r="G35">
        <f t="shared" si="1"/>
        <v>0.64</v>
      </c>
      <c r="H35">
        <f t="shared" si="2"/>
        <v>0.58553285254909349</v>
      </c>
      <c r="J35">
        <f t="shared" si="3"/>
        <v>5.4467147450906528E-2</v>
      </c>
      <c r="K35">
        <f t="shared" si="4"/>
        <v>3.446714745090651E-2</v>
      </c>
    </row>
    <row r="36" spans="4:11" x14ac:dyDescent="0.35">
      <c r="D36">
        <v>5.1470700000000003</v>
      </c>
      <c r="E36">
        <v>33</v>
      </c>
      <c r="F36">
        <f t="shared" si="0"/>
        <v>0.64</v>
      </c>
      <c r="G36">
        <f t="shared" si="1"/>
        <v>0.66</v>
      </c>
      <c r="H36">
        <f t="shared" si="2"/>
        <v>0.58690049692363822</v>
      </c>
      <c r="J36">
        <f t="shared" si="3"/>
        <v>7.3099503076361816E-2</v>
      </c>
      <c r="K36">
        <f t="shared" si="4"/>
        <v>5.3099503076361798E-2</v>
      </c>
    </row>
    <row r="37" spans="4:11" x14ac:dyDescent="0.35">
      <c r="D37">
        <v>5.2546600000000003</v>
      </c>
      <c r="E37">
        <v>34</v>
      </c>
      <c r="F37">
        <f t="shared" si="0"/>
        <v>0.66</v>
      </c>
      <c r="G37">
        <f t="shared" si="1"/>
        <v>0.68</v>
      </c>
      <c r="H37">
        <f t="shared" si="2"/>
        <v>0.6005403363897569</v>
      </c>
      <c r="J37">
        <f t="shared" si="3"/>
        <v>7.9459663610243148E-2</v>
      </c>
      <c r="K37">
        <f t="shared" si="4"/>
        <v>5.945966361024313E-2</v>
      </c>
    </row>
    <row r="38" spans="4:11" x14ac:dyDescent="0.35">
      <c r="D38">
        <v>5.5770600000000004</v>
      </c>
      <c r="E38">
        <v>35</v>
      </c>
      <c r="F38">
        <f t="shared" si="0"/>
        <v>0.68</v>
      </c>
      <c r="G38">
        <f t="shared" si="1"/>
        <v>0.7</v>
      </c>
      <c r="H38">
        <f t="shared" si="2"/>
        <v>0.64062342646775428</v>
      </c>
      <c r="J38">
        <f t="shared" si="3"/>
        <v>5.937657353224568E-2</v>
      </c>
      <c r="K38">
        <f t="shared" si="4"/>
        <v>3.9376573532245773E-2</v>
      </c>
    </row>
    <row r="39" spans="4:11" x14ac:dyDescent="0.35">
      <c r="D39">
        <v>6.1454000000000004</v>
      </c>
      <c r="E39">
        <v>36</v>
      </c>
      <c r="F39">
        <f t="shared" si="0"/>
        <v>0.7</v>
      </c>
      <c r="G39">
        <f t="shared" si="1"/>
        <v>0.72</v>
      </c>
      <c r="H39">
        <f t="shared" si="2"/>
        <v>0.70743040112176292</v>
      </c>
      <c r="J39">
        <f t="shared" si="3"/>
        <v>1.2569598878237054E-2</v>
      </c>
      <c r="K39">
        <f t="shared" si="4"/>
        <v>7.430401121762964E-3</v>
      </c>
    </row>
    <row r="40" spans="4:11" x14ac:dyDescent="0.35">
      <c r="D40">
        <v>6.2996100000000004</v>
      </c>
      <c r="E40">
        <v>37</v>
      </c>
      <c r="F40">
        <f t="shared" si="0"/>
        <v>0.72</v>
      </c>
      <c r="G40">
        <f t="shared" si="1"/>
        <v>0.74</v>
      </c>
      <c r="H40">
        <f t="shared" si="2"/>
        <v>0.72451209740676337</v>
      </c>
      <c r="J40">
        <f t="shared" si="3"/>
        <v>1.5487902593236624E-2</v>
      </c>
      <c r="K40">
        <f t="shared" si="4"/>
        <v>4.5120974067633934E-3</v>
      </c>
    </row>
    <row r="41" spans="4:11" x14ac:dyDescent="0.35">
      <c r="D41">
        <v>6.3081500000000004</v>
      </c>
      <c r="E41">
        <v>38</v>
      </c>
      <c r="F41">
        <f t="shared" si="0"/>
        <v>0.74</v>
      </c>
      <c r="G41">
        <f t="shared" si="1"/>
        <v>0.76</v>
      </c>
      <c r="H41">
        <f t="shared" si="2"/>
        <v>0.72544354107250675</v>
      </c>
      <c r="J41">
        <f t="shared" si="3"/>
        <v>3.4556458927493261E-2</v>
      </c>
      <c r="K41">
        <f t="shared" si="4"/>
        <v>1.4556458927493243E-2</v>
      </c>
    </row>
    <row r="42" spans="4:11" x14ac:dyDescent="0.35">
      <c r="D42">
        <v>6.6862700000000004</v>
      </c>
      <c r="E42">
        <v>39</v>
      </c>
      <c r="F42">
        <f t="shared" si="0"/>
        <v>0.76</v>
      </c>
      <c r="G42">
        <f t="shared" si="1"/>
        <v>0.78</v>
      </c>
      <c r="H42">
        <f t="shared" si="2"/>
        <v>0.76506245922540028</v>
      </c>
      <c r="J42">
        <f t="shared" si="3"/>
        <v>1.4937540774599745E-2</v>
      </c>
      <c r="K42">
        <f t="shared" si="4"/>
        <v>5.0624592254002732E-3</v>
      </c>
    </row>
    <row r="43" spans="4:11" x14ac:dyDescent="0.35">
      <c r="D43">
        <v>7.05016</v>
      </c>
      <c r="E43">
        <v>40</v>
      </c>
      <c r="F43">
        <f t="shared" si="0"/>
        <v>0.78</v>
      </c>
      <c r="G43">
        <f t="shared" si="1"/>
        <v>0.8</v>
      </c>
      <c r="H43">
        <f t="shared" si="2"/>
        <v>0.80000063066302218</v>
      </c>
      <c r="J43">
        <f t="shared" si="3"/>
        <v>6.3066302213865555E-7</v>
      </c>
      <c r="K43">
        <f t="shared" si="4"/>
        <v>2.0000630663022156E-2</v>
      </c>
    </row>
    <row r="44" spans="4:11" x14ac:dyDescent="0.35">
      <c r="D44">
        <v>7.3078500000000002</v>
      </c>
      <c r="E44">
        <v>41</v>
      </c>
      <c r="F44">
        <f t="shared" si="0"/>
        <v>0.8</v>
      </c>
      <c r="G44">
        <f t="shared" si="1"/>
        <v>0.82</v>
      </c>
      <c r="H44">
        <f t="shared" si="2"/>
        <v>0.82273857605462886</v>
      </c>
      <c r="J44">
        <f t="shared" si="3"/>
        <v>2.7385760546289051E-3</v>
      </c>
      <c r="K44">
        <f t="shared" si="4"/>
        <v>2.2738576054628812E-2</v>
      </c>
    </row>
    <row r="45" spans="4:11" x14ac:dyDescent="0.35">
      <c r="D45">
        <v>7.3238899999999996</v>
      </c>
      <c r="E45">
        <v>42</v>
      </c>
      <c r="F45">
        <f t="shared" si="0"/>
        <v>0.82</v>
      </c>
      <c r="G45">
        <f t="shared" si="1"/>
        <v>0.84</v>
      </c>
      <c r="H45">
        <f t="shared" si="2"/>
        <v>0.82409777122800565</v>
      </c>
      <c r="J45">
        <f t="shared" si="3"/>
        <v>1.590222877199432E-2</v>
      </c>
      <c r="K45">
        <f t="shared" si="4"/>
        <v>4.0977712280056977E-3</v>
      </c>
    </row>
    <row r="46" spans="4:11" x14ac:dyDescent="0.35">
      <c r="D46">
        <v>7.6174799999999996</v>
      </c>
      <c r="E46">
        <v>43</v>
      </c>
      <c r="F46">
        <f t="shared" si="0"/>
        <v>0.84</v>
      </c>
      <c r="G46">
        <f t="shared" si="1"/>
        <v>0.86</v>
      </c>
      <c r="H46">
        <f t="shared" si="2"/>
        <v>0.84780338328476978</v>
      </c>
      <c r="J46">
        <f t="shared" si="3"/>
        <v>1.2196616715230202E-2</v>
      </c>
      <c r="K46">
        <f t="shared" si="4"/>
        <v>7.8033832847698159E-3</v>
      </c>
    </row>
    <row r="47" spans="4:11" x14ac:dyDescent="0.35">
      <c r="D47">
        <v>8.4246800000000004</v>
      </c>
      <c r="E47">
        <v>44</v>
      </c>
      <c r="F47">
        <f t="shared" si="0"/>
        <v>0.86</v>
      </c>
      <c r="G47">
        <f t="shared" si="1"/>
        <v>0.88</v>
      </c>
      <c r="H47">
        <f t="shared" si="2"/>
        <v>0.90163071961129571</v>
      </c>
      <c r="J47">
        <f t="shared" si="3"/>
        <v>2.1630719611295701E-2</v>
      </c>
      <c r="K47">
        <f t="shared" si="4"/>
        <v>4.1630719611295719E-2</v>
      </c>
    </row>
    <row r="48" spans="4:11" x14ac:dyDescent="0.35">
      <c r="D48">
        <v>8.7911699999999993</v>
      </c>
      <c r="E48">
        <v>45</v>
      </c>
      <c r="F48">
        <f t="shared" si="0"/>
        <v>0.88</v>
      </c>
      <c r="G48">
        <f t="shared" si="1"/>
        <v>0.9</v>
      </c>
      <c r="H48">
        <f t="shared" si="2"/>
        <v>0.92083204049718659</v>
      </c>
      <c r="J48">
        <f t="shared" si="3"/>
        <v>2.0832040497186566E-2</v>
      </c>
      <c r="K48">
        <f t="shared" si="4"/>
        <v>4.0832040497186584E-2</v>
      </c>
    </row>
    <row r="49" spans="4:11" x14ac:dyDescent="0.35">
      <c r="D49">
        <v>9.3262300000000007</v>
      </c>
      <c r="E49">
        <v>46</v>
      </c>
      <c r="F49">
        <f t="shared" si="0"/>
        <v>0.9</v>
      </c>
      <c r="G49">
        <f t="shared" si="1"/>
        <v>0.92</v>
      </c>
      <c r="H49">
        <f t="shared" si="2"/>
        <v>0.94358271999599308</v>
      </c>
      <c r="J49">
        <f t="shared" si="3"/>
        <v>2.358271999599304E-2</v>
      </c>
      <c r="K49">
        <f t="shared" si="4"/>
        <v>4.3582719995993058E-2</v>
      </c>
    </row>
    <row r="50" spans="4:11" x14ac:dyDescent="0.35">
      <c r="D50">
        <v>9.4604800000000004</v>
      </c>
      <c r="E50">
        <v>47</v>
      </c>
      <c r="F50">
        <f t="shared" si="0"/>
        <v>0.92</v>
      </c>
      <c r="G50">
        <f t="shared" si="1"/>
        <v>0.94</v>
      </c>
      <c r="H50">
        <f t="shared" si="2"/>
        <v>0.94839229237298761</v>
      </c>
      <c r="J50">
        <f t="shared" si="3"/>
        <v>8.3922923729876642E-3</v>
      </c>
      <c r="K50">
        <f t="shared" si="4"/>
        <v>2.8392292372987571E-2</v>
      </c>
    </row>
    <row r="51" spans="4:11" x14ac:dyDescent="0.35">
      <c r="D51">
        <v>10.263999999999999</v>
      </c>
      <c r="E51">
        <v>48</v>
      </c>
      <c r="F51">
        <f t="shared" si="0"/>
        <v>0.94</v>
      </c>
      <c r="G51">
        <f t="shared" si="1"/>
        <v>0.96</v>
      </c>
      <c r="H51">
        <f t="shared" si="2"/>
        <v>0.97076116842230775</v>
      </c>
      <c r="J51">
        <f t="shared" si="3"/>
        <v>1.0761168422307787E-2</v>
      </c>
      <c r="K51">
        <f t="shared" si="4"/>
        <v>3.0761168422307805E-2</v>
      </c>
    </row>
    <row r="52" spans="4:11" x14ac:dyDescent="0.35">
      <c r="D52">
        <v>10.639849999999999</v>
      </c>
      <c r="E52">
        <v>49</v>
      </c>
      <c r="F52">
        <f t="shared" si="0"/>
        <v>0.96</v>
      </c>
      <c r="G52">
        <f t="shared" si="1"/>
        <v>0.98</v>
      </c>
      <c r="H52">
        <f t="shared" si="2"/>
        <v>0.97804507581100886</v>
      </c>
      <c r="J52">
        <f t="shared" si="3"/>
        <v>1.9549241889911251E-3</v>
      </c>
      <c r="K52">
        <f t="shared" si="4"/>
        <v>1.8045075811008893E-2</v>
      </c>
    </row>
    <row r="53" spans="4:11" x14ac:dyDescent="0.35">
      <c r="D53">
        <v>12.2189</v>
      </c>
      <c r="E53">
        <v>50</v>
      </c>
      <c r="F53">
        <f t="shared" si="0"/>
        <v>0.98</v>
      </c>
      <c r="G53">
        <f t="shared" si="1"/>
        <v>1</v>
      </c>
      <c r="H53">
        <f t="shared" si="2"/>
        <v>0.99431438870332589</v>
      </c>
      <c r="J53">
        <f t="shared" si="3"/>
        <v>5.685611296674109E-3</v>
      </c>
      <c r="K53">
        <f t="shared" si="4"/>
        <v>1.4314388703325909E-2</v>
      </c>
    </row>
    <row r="56" spans="4:11" x14ac:dyDescent="0.35">
      <c r="I56" t="s">
        <v>92</v>
      </c>
      <c r="J56">
        <f>MAX(J4:J53)</f>
        <v>0.13354012069519983</v>
      </c>
      <c r="K56">
        <f>MAX(K4:K53)</f>
        <v>0.11354012069519981</v>
      </c>
    </row>
  </sheetData>
  <sortState xmlns:xlrd2="http://schemas.microsoft.com/office/spreadsheetml/2017/richdata2" ref="D2:D51">
    <sortCondition ref="D2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5"/>
  <sheetViews>
    <sheetView zoomScale="70" zoomScaleNormal="70" workbookViewId="0">
      <selection activeCell="Q9" sqref="Q9"/>
    </sheetView>
  </sheetViews>
  <sheetFormatPr defaultRowHeight="14.5" x14ac:dyDescent="0.35"/>
  <cols>
    <col min="4" max="4" width="10" customWidth="1"/>
    <col min="8" max="8" width="9.81640625" customWidth="1"/>
    <col min="13" max="13" width="11.1796875" customWidth="1"/>
    <col min="14" max="14" width="12.453125" customWidth="1"/>
  </cols>
  <sheetData>
    <row r="1" spans="1:17" x14ac:dyDescent="0.35">
      <c r="A1" t="s">
        <v>97</v>
      </c>
    </row>
    <row r="2" spans="1:17" ht="15.5" x14ac:dyDescent="0.35">
      <c r="D2" t="s">
        <v>98</v>
      </c>
      <c r="E2" t="s">
        <v>66</v>
      </c>
      <c r="G2" s="25"/>
    </row>
    <row r="4" spans="1:17" x14ac:dyDescent="0.35">
      <c r="A4" t="s">
        <v>100</v>
      </c>
      <c r="H4" t="s">
        <v>99</v>
      </c>
      <c r="I4" t="s">
        <v>82</v>
      </c>
      <c r="J4" t="s">
        <v>85</v>
      </c>
      <c r="K4" t="s">
        <v>105</v>
      </c>
      <c r="L4" t="s">
        <v>102</v>
      </c>
      <c r="M4" t="s">
        <v>106</v>
      </c>
      <c r="N4" t="s">
        <v>107</v>
      </c>
      <c r="P4" t="s">
        <v>90</v>
      </c>
      <c r="Q4">
        <v>0.1</v>
      </c>
    </row>
    <row r="5" spans="1:17" x14ac:dyDescent="0.35">
      <c r="A5">
        <v>-1.51603</v>
      </c>
      <c r="H5">
        <v>1.0218100000000001</v>
      </c>
      <c r="I5">
        <v>1</v>
      </c>
      <c r="J5">
        <f>I5/$D$9</f>
        <v>0.02</v>
      </c>
      <c r="K5">
        <f>(I5-1)/$D$9</f>
        <v>0</v>
      </c>
      <c r="L5">
        <f>COUNTIF($A$5:$A$54,"&lt;"&amp;H5)/$D$9</f>
        <v>0.1</v>
      </c>
      <c r="M5">
        <f>ABS(J5-L5)</f>
        <v>0.08</v>
      </c>
      <c r="N5">
        <f>ABS(K5-L5)</f>
        <v>0.1</v>
      </c>
      <c r="P5" t="s">
        <v>103</v>
      </c>
      <c r="Q5">
        <v>1.22</v>
      </c>
    </row>
    <row r="6" spans="1:17" x14ac:dyDescent="0.35">
      <c r="A6">
        <v>0.29131499999999999</v>
      </c>
      <c r="H6">
        <v>1.18757</v>
      </c>
      <c r="I6">
        <v>2</v>
      </c>
      <c r="J6">
        <f t="shared" ref="J6:J54" si="0">I6/$D$9</f>
        <v>0.04</v>
      </c>
      <c r="K6">
        <f t="shared" ref="K6:K54" si="1">(I6-1)/$D$9</f>
        <v>0.02</v>
      </c>
      <c r="L6">
        <f t="shared" ref="L6:L54" si="2">COUNTIF($A$5:$A$54,"&lt;"&amp;H6)/$D$9</f>
        <v>0.16</v>
      </c>
      <c r="M6">
        <f t="shared" ref="M6:M54" si="3">ABS(J6-L6)</f>
        <v>0.12</v>
      </c>
      <c r="N6">
        <f t="shared" ref="N6:N54" si="4">ABS(K6-L6)</f>
        <v>0.14000000000000001</v>
      </c>
      <c r="Q6">
        <f>MAX(M55:N55)</f>
        <v>0.58000000000000007</v>
      </c>
    </row>
    <row r="7" spans="1:17" x14ac:dyDescent="0.35">
      <c r="A7">
        <v>0.29575800000000002</v>
      </c>
      <c r="H7">
        <v>1.22424</v>
      </c>
      <c r="I7">
        <v>3</v>
      </c>
      <c r="J7">
        <f t="shared" si="0"/>
        <v>0.06</v>
      </c>
      <c r="K7">
        <f t="shared" si="1"/>
        <v>0.04</v>
      </c>
      <c r="L7">
        <f t="shared" si="2"/>
        <v>0.16</v>
      </c>
      <c r="M7">
        <f t="shared" si="3"/>
        <v>0.1</v>
      </c>
      <c r="N7">
        <f t="shared" si="4"/>
        <v>0.12</v>
      </c>
    </row>
    <row r="8" spans="1:17" x14ac:dyDescent="0.35">
      <c r="A8">
        <v>0.57628599999999996</v>
      </c>
      <c r="H8">
        <v>1.23054</v>
      </c>
      <c r="I8">
        <v>4</v>
      </c>
      <c r="J8">
        <f t="shared" si="0"/>
        <v>0.08</v>
      </c>
      <c r="K8">
        <f t="shared" si="1"/>
        <v>0.06</v>
      </c>
      <c r="L8">
        <f t="shared" si="2"/>
        <v>0.16</v>
      </c>
      <c r="M8">
        <f t="shared" si="3"/>
        <v>0.08</v>
      </c>
      <c r="N8">
        <f t="shared" si="4"/>
        <v>0.1</v>
      </c>
      <c r="Q8">
        <f>SQRT(D9*D10/(D9+D10))</f>
        <v>5</v>
      </c>
    </row>
    <row r="9" spans="1:17" x14ac:dyDescent="0.35">
      <c r="A9">
        <v>0.73295500000000002</v>
      </c>
      <c r="C9" t="s">
        <v>101</v>
      </c>
      <c r="D9">
        <v>50</v>
      </c>
      <c r="H9">
        <v>1.2317800000000001</v>
      </c>
      <c r="I9">
        <v>5</v>
      </c>
      <c r="J9">
        <f t="shared" si="0"/>
        <v>0.1</v>
      </c>
      <c r="K9">
        <f t="shared" si="1"/>
        <v>0.08</v>
      </c>
      <c r="L9">
        <f t="shared" si="2"/>
        <v>0.16</v>
      </c>
      <c r="M9">
        <f t="shared" si="3"/>
        <v>0.06</v>
      </c>
      <c r="N9">
        <f t="shared" si="4"/>
        <v>0.08</v>
      </c>
    </row>
    <row r="10" spans="1:17" x14ac:dyDescent="0.35">
      <c r="A10">
        <v>1.12967</v>
      </c>
      <c r="C10" t="s">
        <v>104</v>
      </c>
      <c r="D10">
        <v>50</v>
      </c>
      <c r="H10">
        <v>1.2373099999999999</v>
      </c>
      <c r="I10">
        <v>6</v>
      </c>
      <c r="J10">
        <f t="shared" si="0"/>
        <v>0.12</v>
      </c>
      <c r="K10">
        <f t="shared" si="1"/>
        <v>0.1</v>
      </c>
      <c r="L10">
        <f t="shared" si="2"/>
        <v>0.16</v>
      </c>
      <c r="M10">
        <f t="shared" si="3"/>
        <v>4.0000000000000008E-2</v>
      </c>
      <c r="N10">
        <f t="shared" si="4"/>
        <v>0.06</v>
      </c>
    </row>
    <row r="11" spans="1:17" x14ac:dyDescent="0.35">
      <c r="A11">
        <v>1.1330499999999999</v>
      </c>
      <c r="H11">
        <v>1.2444299999999999</v>
      </c>
      <c r="I11">
        <v>7</v>
      </c>
      <c r="J11">
        <f t="shared" si="0"/>
        <v>0.14000000000000001</v>
      </c>
      <c r="K11">
        <f t="shared" si="1"/>
        <v>0.12</v>
      </c>
      <c r="L11">
        <f t="shared" si="2"/>
        <v>0.16</v>
      </c>
      <c r="M11">
        <f t="shared" si="3"/>
        <v>1.999999999999999E-2</v>
      </c>
      <c r="N11">
        <f t="shared" si="4"/>
        <v>4.0000000000000008E-2</v>
      </c>
      <c r="P11" t="s">
        <v>108</v>
      </c>
    </row>
    <row r="12" spans="1:17" x14ac:dyDescent="0.35">
      <c r="A12">
        <v>1.13697</v>
      </c>
      <c r="H12">
        <v>1.26769</v>
      </c>
      <c r="I12">
        <v>8</v>
      </c>
      <c r="J12">
        <f t="shared" si="0"/>
        <v>0.16</v>
      </c>
      <c r="K12">
        <f t="shared" si="1"/>
        <v>0.14000000000000001</v>
      </c>
      <c r="L12">
        <f t="shared" si="2"/>
        <v>0.16</v>
      </c>
      <c r="M12">
        <f t="shared" si="3"/>
        <v>0</v>
      </c>
      <c r="N12">
        <f t="shared" si="4"/>
        <v>1.999999999999999E-2</v>
      </c>
    </row>
    <row r="13" spans="1:17" x14ac:dyDescent="0.35">
      <c r="A13">
        <v>1.7641899999999999</v>
      </c>
      <c r="H13">
        <v>1.29125</v>
      </c>
      <c r="I13">
        <v>9</v>
      </c>
      <c r="J13">
        <f t="shared" si="0"/>
        <v>0.18</v>
      </c>
      <c r="K13">
        <f t="shared" si="1"/>
        <v>0.16</v>
      </c>
      <c r="L13">
        <f t="shared" si="2"/>
        <v>0.16</v>
      </c>
      <c r="M13">
        <f t="shared" si="3"/>
        <v>1.999999999999999E-2</v>
      </c>
      <c r="N13">
        <f t="shared" si="4"/>
        <v>0</v>
      </c>
    </row>
    <row r="14" spans="1:17" x14ac:dyDescent="0.35">
      <c r="A14">
        <v>2.0169899999999998</v>
      </c>
      <c r="H14">
        <v>1.2929900000000001</v>
      </c>
      <c r="I14">
        <v>10</v>
      </c>
      <c r="J14">
        <f t="shared" si="0"/>
        <v>0.2</v>
      </c>
      <c r="K14">
        <f t="shared" si="1"/>
        <v>0.18</v>
      </c>
      <c r="L14">
        <f t="shared" si="2"/>
        <v>0.16</v>
      </c>
      <c r="M14">
        <f t="shared" si="3"/>
        <v>4.0000000000000008E-2</v>
      </c>
      <c r="N14">
        <f t="shared" si="4"/>
        <v>1.999999999999999E-2</v>
      </c>
    </row>
    <row r="15" spans="1:17" x14ac:dyDescent="0.35">
      <c r="A15">
        <v>2.0230700000000001</v>
      </c>
      <c r="H15">
        <v>1.3166599999999999</v>
      </c>
      <c r="I15">
        <v>11</v>
      </c>
      <c r="J15">
        <f t="shared" si="0"/>
        <v>0.22</v>
      </c>
      <c r="K15">
        <f t="shared" si="1"/>
        <v>0.2</v>
      </c>
      <c r="L15">
        <f t="shared" si="2"/>
        <v>0.16</v>
      </c>
      <c r="M15">
        <f t="shared" si="3"/>
        <v>0.06</v>
      </c>
      <c r="N15">
        <f t="shared" si="4"/>
        <v>4.0000000000000008E-2</v>
      </c>
      <c r="P15" t="str">
        <f>IF(Q8*Q6&lt;Q5,"Гипотеза не противоречит опытным данным","Гипотеза противоречит опытным данным")</f>
        <v>Гипотеза противоречит опытным данным</v>
      </c>
    </row>
    <row r="16" spans="1:17" x14ac:dyDescent="0.35">
      <c r="A16">
        <v>2.1659299999999999</v>
      </c>
      <c r="H16">
        <v>1.3441099999999999</v>
      </c>
      <c r="I16">
        <v>12</v>
      </c>
      <c r="J16">
        <f t="shared" si="0"/>
        <v>0.24</v>
      </c>
      <c r="K16">
        <f t="shared" si="1"/>
        <v>0.22</v>
      </c>
      <c r="L16">
        <f t="shared" si="2"/>
        <v>0.16</v>
      </c>
      <c r="M16">
        <f t="shared" si="3"/>
        <v>7.9999999999999988E-2</v>
      </c>
      <c r="N16">
        <f t="shared" si="4"/>
        <v>0.06</v>
      </c>
    </row>
    <row r="17" spans="1:14" x14ac:dyDescent="0.35">
      <c r="A17">
        <v>2.1817000000000002</v>
      </c>
      <c r="H17">
        <v>1.3559600000000001</v>
      </c>
      <c r="I17">
        <v>13</v>
      </c>
      <c r="J17">
        <f t="shared" si="0"/>
        <v>0.26</v>
      </c>
      <c r="K17">
        <f t="shared" si="1"/>
        <v>0.24</v>
      </c>
      <c r="L17">
        <f t="shared" si="2"/>
        <v>0.16</v>
      </c>
      <c r="M17">
        <f t="shared" si="3"/>
        <v>0.1</v>
      </c>
      <c r="N17">
        <f t="shared" si="4"/>
        <v>7.9999999999999988E-2</v>
      </c>
    </row>
    <row r="18" spans="1:14" x14ac:dyDescent="0.35">
      <c r="A18">
        <v>2.3341400000000001</v>
      </c>
      <c r="H18">
        <v>1.35772</v>
      </c>
      <c r="I18">
        <v>14</v>
      </c>
      <c r="J18">
        <f t="shared" si="0"/>
        <v>0.28000000000000003</v>
      </c>
      <c r="K18">
        <f t="shared" si="1"/>
        <v>0.26</v>
      </c>
      <c r="L18">
        <f t="shared" si="2"/>
        <v>0.16</v>
      </c>
      <c r="M18">
        <f t="shared" si="3"/>
        <v>0.12000000000000002</v>
      </c>
      <c r="N18">
        <f t="shared" si="4"/>
        <v>0.1</v>
      </c>
    </row>
    <row r="19" spans="1:14" x14ac:dyDescent="0.35">
      <c r="A19">
        <v>2.3625500000000001</v>
      </c>
      <c r="H19">
        <v>1.37456</v>
      </c>
      <c r="I19">
        <v>15</v>
      </c>
      <c r="J19">
        <f t="shared" si="0"/>
        <v>0.3</v>
      </c>
      <c r="K19">
        <f t="shared" si="1"/>
        <v>0.28000000000000003</v>
      </c>
      <c r="L19">
        <f t="shared" si="2"/>
        <v>0.16</v>
      </c>
      <c r="M19">
        <f t="shared" si="3"/>
        <v>0.13999999999999999</v>
      </c>
      <c r="N19">
        <f t="shared" si="4"/>
        <v>0.12000000000000002</v>
      </c>
    </row>
    <row r="20" spans="1:14" x14ac:dyDescent="0.35">
      <c r="A20">
        <v>2.7207699999999999</v>
      </c>
      <c r="H20">
        <v>1.4418800000000001</v>
      </c>
      <c r="I20">
        <v>16</v>
      </c>
      <c r="J20">
        <f t="shared" si="0"/>
        <v>0.32</v>
      </c>
      <c r="K20">
        <f t="shared" si="1"/>
        <v>0.3</v>
      </c>
      <c r="L20">
        <f t="shared" si="2"/>
        <v>0.16</v>
      </c>
      <c r="M20">
        <f t="shared" si="3"/>
        <v>0.16</v>
      </c>
      <c r="N20">
        <f t="shared" si="4"/>
        <v>0.13999999999999999</v>
      </c>
    </row>
    <row r="21" spans="1:14" x14ac:dyDescent="0.35">
      <c r="A21">
        <v>2.7465700000000002</v>
      </c>
      <c r="H21">
        <v>1.45451</v>
      </c>
      <c r="I21">
        <v>17</v>
      </c>
      <c r="J21">
        <f t="shared" si="0"/>
        <v>0.34</v>
      </c>
      <c r="K21">
        <f t="shared" si="1"/>
        <v>0.32</v>
      </c>
      <c r="L21">
        <f t="shared" si="2"/>
        <v>0.16</v>
      </c>
      <c r="M21">
        <f t="shared" si="3"/>
        <v>0.18000000000000002</v>
      </c>
      <c r="N21">
        <f t="shared" si="4"/>
        <v>0.16</v>
      </c>
    </row>
    <row r="22" spans="1:14" x14ac:dyDescent="0.35">
      <c r="A22">
        <v>2.7725499999999998</v>
      </c>
      <c r="H22">
        <v>1.5619799999999999</v>
      </c>
      <c r="I22">
        <v>18</v>
      </c>
      <c r="J22">
        <f t="shared" si="0"/>
        <v>0.36</v>
      </c>
      <c r="K22">
        <f t="shared" si="1"/>
        <v>0.34</v>
      </c>
      <c r="L22">
        <f t="shared" si="2"/>
        <v>0.16</v>
      </c>
      <c r="M22">
        <f t="shared" si="3"/>
        <v>0.19999999999999998</v>
      </c>
      <c r="N22">
        <f t="shared" si="4"/>
        <v>0.18000000000000002</v>
      </c>
    </row>
    <row r="23" spans="1:14" x14ac:dyDescent="0.35">
      <c r="A23">
        <v>2.7852100000000002</v>
      </c>
      <c r="H23">
        <v>1.62961</v>
      </c>
      <c r="I23">
        <v>19</v>
      </c>
      <c r="J23">
        <f t="shared" si="0"/>
        <v>0.38</v>
      </c>
      <c r="K23">
        <f t="shared" si="1"/>
        <v>0.36</v>
      </c>
      <c r="L23">
        <f>COUNTIF($A$5:$A$54,"&lt;"&amp;H23)/$D$9</f>
        <v>0.16</v>
      </c>
      <c r="M23">
        <f t="shared" si="3"/>
        <v>0.22</v>
      </c>
      <c r="N23">
        <f t="shared" si="4"/>
        <v>0.19999999999999998</v>
      </c>
    </row>
    <row r="24" spans="1:14" x14ac:dyDescent="0.35">
      <c r="A24">
        <v>2.8486600000000002</v>
      </c>
      <c r="H24">
        <v>1.7806299999999999</v>
      </c>
      <c r="I24">
        <v>20</v>
      </c>
      <c r="J24">
        <f t="shared" si="0"/>
        <v>0.4</v>
      </c>
      <c r="K24">
        <f t="shared" si="1"/>
        <v>0.38</v>
      </c>
      <c r="L24">
        <f t="shared" si="2"/>
        <v>0.18</v>
      </c>
      <c r="M24">
        <f t="shared" si="3"/>
        <v>0.22000000000000003</v>
      </c>
      <c r="N24">
        <f t="shared" si="4"/>
        <v>0.2</v>
      </c>
    </row>
    <row r="25" spans="1:14" x14ac:dyDescent="0.35">
      <c r="A25">
        <v>2.8535900000000001</v>
      </c>
      <c r="H25">
        <v>1.7948599999999999</v>
      </c>
      <c r="I25">
        <v>21</v>
      </c>
      <c r="J25">
        <f t="shared" si="0"/>
        <v>0.42</v>
      </c>
      <c r="K25">
        <f t="shared" si="1"/>
        <v>0.4</v>
      </c>
      <c r="L25">
        <f t="shared" si="2"/>
        <v>0.18</v>
      </c>
      <c r="M25">
        <f t="shared" si="3"/>
        <v>0.24</v>
      </c>
      <c r="N25">
        <f t="shared" si="4"/>
        <v>0.22000000000000003</v>
      </c>
    </row>
    <row r="26" spans="1:14" x14ac:dyDescent="0.35">
      <c r="A26">
        <v>2.9275000000000002</v>
      </c>
      <c r="H26">
        <v>1.82836</v>
      </c>
      <c r="I26">
        <v>22</v>
      </c>
      <c r="J26">
        <f t="shared" si="0"/>
        <v>0.44</v>
      </c>
      <c r="K26">
        <f t="shared" si="1"/>
        <v>0.42</v>
      </c>
      <c r="L26">
        <f t="shared" si="2"/>
        <v>0.18</v>
      </c>
      <c r="M26">
        <f t="shared" si="3"/>
        <v>0.26</v>
      </c>
      <c r="N26">
        <f t="shared" si="4"/>
        <v>0.24</v>
      </c>
    </row>
    <row r="27" spans="1:14" x14ac:dyDescent="0.35">
      <c r="A27">
        <v>3.2783500000000001</v>
      </c>
      <c r="H27">
        <v>1.8548500000000001</v>
      </c>
      <c r="I27">
        <v>23</v>
      </c>
      <c r="J27">
        <f t="shared" si="0"/>
        <v>0.46</v>
      </c>
      <c r="K27">
        <f t="shared" si="1"/>
        <v>0.44</v>
      </c>
      <c r="L27">
        <f t="shared" si="2"/>
        <v>0.18</v>
      </c>
      <c r="M27">
        <f t="shared" si="3"/>
        <v>0.28000000000000003</v>
      </c>
      <c r="N27">
        <f t="shared" si="4"/>
        <v>0.26</v>
      </c>
    </row>
    <row r="28" spans="1:14" x14ac:dyDescent="0.35">
      <c r="A28">
        <v>4.0541200000000002</v>
      </c>
      <c r="H28">
        <v>1.88008</v>
      </c>
      <c r="I28">
        <v>24</v>
      </c>
      <c r="J28">
        <f t="shared" si="0"/>
        <v>0.48</v>
      </c>
      <c r="K28">
        <f t="shared" si="1"/>
        <v>0.46</v>
      </c>
      <c r="L28">
        <f t="shared" si="2"/>
        <v>0.18</v>
      </c>
      <c r="M28">
        <f t="shared" si="3"/>
        <v>0.3</v>
      </c>
      <c r="N28">
        <f t="shared" si="4"/>
        <v>0.28000000000000003</v>
      </c>
    </row>
    <row r="29" spans="1:14" x14ac:dyDescent="0.35">
      <c r="A29">
        <v>4.09626</v>
      </c>
      <c r="H29">
        <v>1.9734700000000001</v>
      </c>
      <c r="I29">
        <v>25</v>
      </c>
      <c r="J29">
        <f t="shared" si="0"/>
        <v>0.5</v>
      </c>
      <c r="K29">
        <f t="shared" si="1"/>
        <v>0.48</v>
      </c>
      <c r="L29">
        <f t="shared" si="2"/>
        <v>0.18</v>
      </c>
      <c r="M29">
        <f t="shared" si="3"/>
        <v>0.32</v>
      </c>
      <c r="N29">
        <f t="shared" si="4"/>
        <v>0.3</v>
      </c>
    </row>
    <row r="30" spans="1:14" x14ac:dyDescent="0.35">
      <c r="A30">
        <v>4.67936</v>
      </c>
      <c r="H30">
        <v>2.0126400000000002</v>
      </c>
      <c r="I30">
        <v>26</v>
      </c>
      <c r="J30">
        <f t="shared" si="0"/>
        <v>0.52</v>
      </c>
      <c r="K30">
        <f t="shared" si="1"/>
        <v>0.5</v>
      </c>
      <c r="L30">
        <f t="shared" si="2"/>
        <v>0.18</v>
      </c>
      <c r="M30">
        <f t="shared" si="3"/>
        <v>0.34</v>
      </c>
      <c r="N30">
        <f t="shared" si="4"/>
        <v>0.32</v>
      </c>
    </row>
    <row r="31" spans="1:14" x14ac:dyDescent="0.35">
      <c r="A31">
        <v>4.7182700000000004</v>
      </c>
      <c r="H31">
        <v>2.0194589999999999</v>
      </c>
      <c r="I31">
        <v>27</v>
      </c>
      <c r="J31">
        <f t="shared" si="0"/>
        <v>0.54</v>
      </c>
      <c r="K31">
        <f t="shared" si="1"/>
        <v>0.52</v>
      </c>
      <c r="L31">
        <f t="shared" si="2"/>
        <v>0.2</v>
      </c>
      <c r="M31">
        <f t="shared" si="3"/>
        <v>0.34</v>
      </c>
      <c r="N31">
        <f t="shared" si="4"/>
        <v>0.32</v>
      </c>
    </row>
    <row r="32" spans="1:14" x14ac:dyDescent="0.35">
      <c r="A32">
        <v>4.7862299999999998</v>
      </c>
      <c r="H32">
        <v>2.03674</v>
      </c>
      <c r="I32">
        <v>28</v>
      </c>
      <c r="J32">
        <f t="shared" si="0"/>
        <v>0.56000000000000005</v>
      </c>
      <c r="K32">
        <f t="shared" si="1"/>
        <v>0.54</v>
      </c>
      <c r="L32">
        <f t="shared" si="2"/>
        <v>0.22</v>
      </c>
      <c r="M32">
        <f t="shared" si="3"/>
        <v>0.34000000000000008</v>
      </c>
      <c r="N32">
        <f t="shared" si="4"/>
        <v>0.32000000000000006</v>
      </c>
    </row>
    <row r="33" spans="1:14" x14ac:dyDescent="0.35">
      <c r="A33">
        <v>4.7862799999999996</v>
      </c>
      <c r="H33">
        <v>2.0678200000000002</v>
      </c>
      <c r="I33">
        <v>29</v>
      </c>
      <c r="J33">
        <f t="shared" si="0"/>
        <v>0.57999999999999996</v>
      </c>
      <c r="K33">
        <f t="shared" si="1"/>
        <v>0.56000000000000005</v>
      </c>
      <c r="L33">
        <f t="shared" si="2"/>
        <v>0.22</v>
      </c>
      <c r="M33">
        <f t="shared" si="3"/>
        <v>0.36</v>
      </c>
      <c r="N33">
        <f t="shared" si="4"/>
        <v>0.34000000000000008</v>
      </c>
    </row>
    <row r="34" spans="1:14" x14ac:dyDescent="0.35">
      <c r="A34">
        <v>5.0236499999999999</v>
      </c>
      <c r="H34">
        <v>2.0776699999999999</v>
      </c>
      <c r="I34">
        <v>30</v>
      </c>
      <c r="J34">
        <f t="shared" si="0"/>
        <v>0.6</v>
      </c>
      <c r="K34">
        <f t="shared" si="1"/>
        <v>0.57999999999999996</v>
      </c>
      <c r="L34">
        <f t="shared" si="2"/>
        <v>0.22</v>
      </c>
      <c r="M34">
        <f t="shared" si="3"/>
        <v>0.38</v>
      </c>
      <c r="N34">
        <f t="shared" si="4"/>
        <v>0.36</v>
      </c>
    </row>
    <row r="35" spans="1:14" x14ac:dyDescent="0.35">
      <c r="A35">
        <v>5.0792099999999998</v>
      </c>
      <c r="H35">
        <v>2.08955</v>
      </c>
      <c r="I35">
        <v>31</v>
      </c>
      <c r="J35">
        <f t="shared" si="0"/>
        <v>0.62</v>
      </c>
      <c r="K35">
        <f t="shared" si="1"/>
        <v>0.6</v>
      </c>
      <c r="L35">
        <f t="shared" si="2"/>
        <v>0.22</v>
      </c>
      <c r="M35">
        <f t="shared" si="3"/>
        <v>0.4</v>
      </c>
      <c r="N35">
        <f t="shared" si="4"/>
        <v>0.38</v>
      </c>
    </row>
    <row r="36" spans="1:14" x14ac:dyDescent="0.35">
      <c r="A36">
        <v>5.1363300000000001</v>
      </c>
      <c r="H36">
        <v>2.1318899999999998</v>
      </c>
      <c r="I36">
        <v>32</v>
      </c>
      <c r="J36">
        <f t="shared" si="0"/>
        <v>0.64</v>
      </c>
      <c r="K36">
        <f t="shared" si="1"/>
        <v>0.62</v>
      </c>
      <c r="L36">
        <f t="shared" si="2"/>
        <v>0.22</v>
      </c>
      <c r="M36">
        <f t="shared" si="3"/>
        <v>0.42000000000000004</v>
      </c>
      <c r="N36">
        <f t="shared" si="4"/>
        <v>0.4</v>
      </c>
    </row>
    <row r="37" spans="1:14" x14ac:dyDescent="0.35">
      <c r="A37">
        <v>5.1470700000000003</v>
      </c>
      <c r="H37">
        <v>2.24743</v>
      </c>
      <c r="I37">
        <v>33</v>
      </c>
      <c r="J37">
        <f t="shared" si="0"/>
        <v>0.66</v>
      </c>
      <c r="K37">
        <f t="shared" si="1"/>
        <v>0.64</v>
      </c>
      <c r="L37">
        <f t="shared" si="2"/>
        <v>0.26</v>
      </c>
      <c r="M37">
        <f t="shared" si="3"/>
        <v>0.4</v>
      </c>
      <c r="N37">
        <f t="shared" si="4"/>
        <v>0.38</v>
      </c>
    </row>
    <row r="38" spans="1:14" x14ac:dyDescent="0.35">
      <c r="A38">
        <v>5.2546600000000003</v>
      </c>
      <c r="H38">
        <v>2.2817099999999999</v>
      </c>
      <c r="I38">
        <v>34</v>
      </c>
      <c r="J38">
        <f t="shared" si="0"/>
        <v>0.68</v>
      </c>
      <c r="K38">
        <f t="shared" si="1"/>
        <v>0.66</v>
      </c>
      <c r="L38">
        <f t="shared" si="2"/>
        <v>0.26</v>
      </c>
      <c r="M38">
        <f t="shared" si="3"/>
        <v>0.42000000000000004</v>
      </c>
      <c r="N38">
        <f t="shared" si="4"/>
        <v>0.4</v>
      </c>
    </row>
    <row r="39" spans="1:14" x14ac:dyDescent="0.35">
      <c r="A39">
        <v>5.5770600000000004</v>
      </c>
      <c r="H39">
        <v>2.4147799999999999</v>
      </c>
      <c r="I39">
        <v>35</v>
      </c>
      <c r="J39">
        <f t="shared" si="0"/>
        <v>0.7</v>
      </c>
      <c r="K39">
        <f t="shared" si="1"/>
        <v>0.68</v>
      </c>
      <c r="L39">
        <f t="shared" si="2"/>
        <v>0.3</v>
      </c>
      <c r="M39">
        <f t="shared" si="3"/>
        <v>0.39999999999999997</v>
      </c>
      <c r="N39">
        <f t="shared" si="4"/>
        <v>0.38000000000000006</v>
      </c>
    </row>
    <row r="40" spans="1:14" x14ac:dyDescent="0.35">
      <c r="A40">
        <v>6.1454000000000004</v>
      </c>
      <c r="H40">
        <v>2.4552399999999999</v>
      </c>
      <c r="I40">
        <v>36</v>
      </c>
      <c r="J40">
        <f t="shared" si="0"/>
        <v>0.72</v>
      </c>
      <c r="K40">
        <f t="shared" si="1"/>
        <v>0.7</v>
      </c>
      <c r="L40">
        <f t="shared" si="2"/>
        <v>0.3</v>
      </c>
      <c r="M40">
        <f t="shared" si="3"/>
        <v>0.42</v>
      </c>
      <c r="N40">
        <f t="shared" si="4"/>
        <v>0.39999999999999997</v>
      </c>
    </row>
    <row r="41" spans="1:14" x14ac:dyDescent="0.35">
      <c r="A41">
        <v>6.2996100000000004</v>
      </c>
      <c r="H41">
        <v>2.4561500000000001</v>
      </c>
      <c r="I41">
        <v>37</v>
      </c>
      <c r="J41">
        <f t="shared" si="0"/>
        <v>0.74</v>
      </c>
      <c r="K41">
        <f t="shared" si="1"/>
        <v>0.72</v>
      </c>
      <c r="L41">
        <f t="shared" si="2"/>
        <v>0.3</v>
      </c>
      <c r="M41">
        <f t="shared" si="3"/>
        <v>0.44</v>
      </c>
      <c r="N41">
        <f t="shared" si="4"/>
        <v>0.42</v>
      </c>
    </row>
    <row r="42" spans="1:14" x14ac:dyDescent="0.35">
      <c r="A42">
        <v>6.3081500000000004</v>
      </c>
      <c r="H42">
        <v>2.46258</v>
      </c>
      <c r="I42">
        <v>38</v>
      </c>
      <c r="J42">
        <f t="shared" si="0"/>
        <v>0.76</v>
      </c>
      <c r="K42">
        <f t="shared" si="1"/>
        <v>0.74</v>
      </c>
      <c r="L42">
        <f t="shared" si="2"/>
        <v>0.3</v>
      </c>
      <c r="M42">
        <f t="shared" si="3"/>
        <v>0.46</v>
      </c>
      <c r="N42">
        <f t="shared" si="4"/>
        <v>0.44</v>
      </c>
    </row>
    <row r="43" spans="1:14" x14ac:dyDescent="0.35">
      <c r="A43">
        <v>6.6862700000000004</v>
      </c>
      <c r="H43">
        <v>2.5245600000000001</v>
      </c>
      <c r="I43">
        <v>39</v>
      </c>
      <c r="J43">
        <f t="shared" si="0"/>
        <v>0.78</v>
      </c>
      <c r="K43">
        <f t="shared" si="1"/>
        <v>0.76</v>
      </c>
      <c r="L43">
        <f t="shared" si="2"/>
        <v>0.3</v>
      </c>
      <c r="M43">
        <f t="shared" si="3"/>
        <v>0.48000000000000004</v>
      </c>
      <c r="N43">
        <f t="shared" si="4"/>
        <v>0.46</v>
      </c>
    </row>
    <row r="44" spans="1:14" x14ac:dyDescent="0.35">
      <c r="A44">
        <v>7.05016</v>
      </c>
      <c r="H44">
        <v>2.65469</v>
      </c>
      <c r="I44">
        <v>40</v>
      </c>
      <c r="J44">
        <f t="shared" si="0"/>
        <v>0.8</v>
      </c>
      <c r="K44">
        <f t="shared" si="1"/>
        <v>0.78</v>
      </c>
      <c r="L44">
        <f t="shared" si="2"/>
        <v>0.3</v>
      </c>
      <c r="M44">
        <f t="shared" si="3"/>
        <v>0.5</v>
      </c>
      <c r="N44">
        <f t="shared" si="4"/>
        <v>0.48000000000000004</v>
      </c>
    </row>
    <row r="45" spans="1:14" x14ac:dyDescent="0.35">
      <c r="A45">
        <v>7.3078500000000002</v>
      </c>
      <c r="H45">
        <v>2.6832699999999998</v>
      </c>
      <c r="I45">
        <v>41</v>
      </c>
      <c r="J45">
        <f t="shared" si="0"/>
        <v>0.82</v>
      </c>
      <c r="K45">
        <f t="shared" si="1"/>
        <v>0.8</v>
      </c>
      <c r="L45">
        <f t="shared" si="2"/>
        <v>0.3</v>
      </c>
      <c r="M45">
        <f t="shared" si="3"/>
        <v>0.52</v>
      </c>
      <c r="N45">
        <f t="shared" si="4"/>
        <v>0.5</v>
      </c>
    </row>
    <row r="46" spans="1:14" x14ac:dyDescent="0.35">
      <c r="A46">
        <v>7.3238899999999996</v>
      </c>
      <c r="H46">
        <v>2.69475</v>
      </c>
      <c r="I46">
        <v>42</v>
      </c>
      <c r="J46">
        <f t="shared" si="0"/>
        <v>0.84</v>
      </c>
      <c r="K46">
        <f t="shared" si="1"/>
        <v>0.82</v>
      </c>
      <c r="L46">
        <f t="shared" si="2"/>
        <v>0.3</v>
      </c>
      <c r="M46">
        <f t="shared" si="3"/>
        <v>0.54</v>
      </c>
      <c r="N46">
        <f t="shared" si="4"/>
        <v>0.52</v>
      </c>
    </row>
    <row r="47" spans="1:14" x14ac:dyDescent="0.35">
      <c r="A47">
        <v>7.6174799999999996</v>
      </c>
      <c r="H47">
        <v>2.72661</v>
      </c>
      <c r="I47">
        <v>43</v>
      </c>
      <c r="J47">
        <f t="shared" si="0"/>
        <v>0.86</v>
      </c>
      <c r="K47">
        <f t="shared" si="1"/>
        <v>0.84</v>
      </c>
      <c r="L47">
        <f t="shared" si="2"/>
        <v>0.32</v>
      </c>
      <c r="M47">
        <f t="shared" si="3"/>
        <v>0.54</v>
      </c>
      <c r="N47">
        <f t="shared" si="4"/>
        <v>0.52</v>
      </c>
    </row>
    <row r="48" spans="1:14" x14ac:dyDescent="0.35">
      <c r="A48">
        <v>8.4246800000000004</v>
      </c>
      <c r="H48">
        <v>2.7359800000000001</v>
      </c>
      <c r="I48">
        <v>44</v>
      </c>
      <c r="J48">
        <f t="shared" si="0"/>
        <v>0.88</v>
      </c>
      <c r="K48">
        <f t="shared" si="1"/>
        <v>0.86</v>
      </c>
      <c r="L48">
        <f t="shared" si="2"/>
        <v>0.32</v>
      </c>
      <c r="M48">
        <f t="shared" si="3"/>
        <v>0.56000000000000005</v>
      </c>
      <c r="N48">
        <f t="shared" si="4"/>
        <v>0.54</v>
      </c>
    </row>
    <row r="49" spans="1:14" x14ac:dyDescent="0.35">
      <c r="A49">
        <v>8.7911699999999993</v>
      </c>
      <c r="H49">
        <v>2.7911600000000001</v>
      </c>
      <c r="I49">
        <v>45</v>
      </c>
      <c r="J49">
        <f t="shared" si="0"/>
        <v>0.9</v>
      </c>
      <c r="K49">
        <f t="shared" si="1"/>
        <v>0.88</v>
      </c>
      <c r="L49">
        <f t="shared" si="2"/>
        <v>0.38</v>
      </c>
      <c r="M49">
        <f t="shared" si="3"/>
        <v>0.52</v>
      </c>
      <c r="N49">
        <f t="shared" si="4"/>
        <v>0.5</v>
      </c>
    </row>
    <row r="50" spans="1:14" x14ac:dyDescent="0.35">
      <c r="A50">
        <v>9.3262300000000007</v>
      </c>
      <c r="H50">
        <v>2.80681</v>
      </c>
      <c r="I50">
        <v>46</v>
      </c>
      <c r="J50">
        <f t="shared" si="0"/>
        <v>0.92</v>
      </c>
      <c r="K50">
        <f t="shared" si="1"/>
        <v>0.9</v>
      </c>
      <c r="L50">
        <f t="shared" si="2"/>
        <v>0.38</v>
      </c>
      <c r="M50">
        <f t="shared" si="3"/>
        <v>0.54</v>
      </c>
      <c r="N50">
        <f t="shared" si="4"/>
        <v>0.52</v>
      </c>
    </row>
    <row r="51" spans="1:14" x14ac:dyDescent="0.35">
      <c r="A51">
        <v>9.4604800000000004</v>
      </c>
      <c r="H51">
        <v>2.8380100000000001</v>
      </c>
      <c r="I51">
        <v>47</v>
      </c>
      <c r="J51">
        <f t="shared" si="0"/>
        <v>0.94</v>
      </c>
      <c r="K51">
        <f t="shared" si="1"/>
        <v>0.92</v>
      </c>
      <c r="L51">
        <f t="shared" si="2"/>
        <v>0.38</v>
      </c>
      <c r="M51">
        <f t="shared" si="3"/>
        <v>0.55999999999999994</v>
      </c>
      <c r="N51">
        <f t="shared" si="4"/>
        <v>0.54</v>
      </c>
    </row>
    <row r="52" spans="1:14" x14ac:dyDescent="0.35">
      <c r="A52">
        <v>10.263999999999999</v>
      </c>
      <c r="H52">
        <v>2.8650799999999998</v>
      </c>
      <c r="I52">
        <v>48</v>
      </c>
      <c r="J52">
        <f t="shared" si="0"/>
        <v>0.96</v>
      </c>
      <c r="K52">
        <f t="shared" si="1"/>
        <v>0.94</v>
      </c>
      <c r="L52">
        <f t="shared" si="2"/>
        <v>0.42</v>
      </c>
      <c r="M52">
        <f t="shared" si="3"/>
        <v>0.54</v>
      </c>
      <c r="N52">
        <f t="shared" si="4"/>
        <v>0.52</v>
      </c>
    </row>
    <row r="53" spans="1:14" x14ac:dyDescent="0.35">
      <c r="A53">
        <v>10.639849999999999</v>
      </c>
      <c r="H53">
        <v>2.9084699999999999</v>
      </c>
      <c r="I53">
        <v>49</v>
      </c>
      <c r="J53">
        <f t="shared" si="0"/>
        <v>0.98</v>
      </c>
      <c r="K53">
        <f t="shared" si="1"/>
        <v>0.96</v>
      </c>
      <c r="L53">
        <f t="shared" si="2"/>
        <v>0.42</v>
      </c>
      <c r="M53">
        <f t="shared" si="3"/>
        <v>0.56000000000000005</v>
      </c>
      <c r="N53">
        <f t="shared" si="4"/>
        <v>0.54</v>
      </c>
    </row>
    <row r="54" spans="1:14" x14ac:dyDescent="0.35">
      <c r="A54">
        <v>12.2189</v>
      </c>
      <c r="H54">
        <v>2.9272100000000001</v>
      </c>
      <c r="I54">
        <v>50</v>
      </c>
      <c r="J54">
        <f t="shared" si="0"/>
        <v>1</v>
      </c>
      <c r="K54">
        <f t="shared" si="1"/>
        <v>0.98</v>
      </c>
      <c r="L54">
        <f t="shared" si="2"/>
        <v>0.42</v>
      </c>
      <c r="M54">
        <f t="shared" si="3"/>
        <v>0.58000000000000007</v>
      </c>
      <c r="N54">
        <f t="shared" si="4"/>
        <v>0.56000000000000005</v>
      </c>
    </row>
    <row r="55" spans="1:14" x14ac:dyDescent="0.35">
      <c r="M55">
        <f>MAX(M5:M54)</f>
        <v>0.58000000000000007</v>
      </c>
      <c r="N55">
        <f>MAX(N5:N54)</f>
        <v>0.56000000000000005</v>
      </c>
    </row>
  </sheetData>
  <sortState xmlns:xlrd2="http://schemas.microsoft.com/office/spreadsheetml/2017/richdata2" ref="H5:H54">
    <sortCondition ref="H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4"/>
  <sheetViews>
    <sheetView topLeftCell="E1" workbookViewId="0">
      <selection activeCell="P4" sqref="P4"/>
    </sheetView>
  </sheetViews>
  <sheetFormatPr defaultRowHeight="14.5" x14ac:dyDescent="0.35"/>
  <cols>
    <col min="1" max="1" width="15" customWidth="1"/>
    <col min="13" max="13" width="12.26953125" customWidth="1"/>
  </cols>
  <sheetData>
    <row r="1" spans="1:19" x14ac:dyDescent="0.35">
      <c r="A1" s="24" t="s">
        <v>109</v>
      </c>
      <c r="E1" t="s">
        <v>142</v>
      </c>
    </row>
    <row r="2" spans="1:19" ht="52.5" customHeight="1" x14ac:dyDescent="0.35">
      <c r="M2" s="10" t="s">
        <v>118</v>
      </c>
    </row>
    <row r="3" spans="1:19" ht="36.5" customHeight="1" x14ac:dyDescent="0.35">
      <c r="A3" s="10" t="s">
        <v>111</v>
      </c>
      <c r="B3" s="10" t="s">
        <v>112</v>
      </c>
      <c r="C3" t="s">
        <v>82</v>
      </c>
      <c r="E3" t="s">
        <v>113</v>
      </c>
      <c r="F3">
        <f>SUMIF(B4:B103,1,C4:C103)</f>
        <v>1850</v>
      </c>
      <c r="I3" t="s">
        <v>115</v>
      </c>
      <c r="J3" t="s">
        <v>116</v>
      </c>
      <c r="M3" t="s">
        <v>119</v>
      </c>
      <c r="N3" t="s">
        <v>135</v>
      </c>
      <c r="O3" t="s">
        <v>137</v>
      </c>
      <c r="P3" t="s">
        <v>138</v>
      </c>
      <c r="Q3" t="s">
        <v>139</v>
      </c>
      <c r="R3" t="s">
        <v>136</v>
      </c>
      <c r="S3" t="s">
        <v>140</v>
      </c>
    </row>
    <row r="4" spans="1:19" x14ac:dyDescent="0.35">
      <c r="A4">
        <v>-1.51603</v>
      </c>
      <c r="B4">
        <v>2</v>
      </c>
      <c r="C4">
        <v>1</v>
      </c>
      <c r="E4" t="s">
        <v>114</v>
      </c>
      <c r="F4">
        <f>SUMIF(B4:B103,2,C4:C103)</f>
        <v>3200</v>
      </c>
      <c r="I4">
        <f>F6*F7+F6*(F6+1)/2-F3</f>
        <v>1925</v>
      </c>
      <c r="J4">
        <f>F6*F7+F7*(F7+1)/2-F4</f>
        <v>575</v>
      </c>
      <c r="M4">
        <f>MIN(I4:J4)</f>
        <v>575</v>
      </c>
      <c r="N4">
        <f>_xlfn.NORM.S.INV(1-F9/2)</f>
        <v>1.6448536269514715</v>
      </c>
      <c r="O4">
        <f>0.5*F6*F7</f>
        <v>1250</v>
      </c>
      <c r="P4">
        <f>(F6*F7/12)*(F6+F7-1)</f>
        <v>20625</v>
      </c>
      <c r="Q4">
        <f>(M4-O4)/SQRT(P4)</f>
        <v>-4.7000967108038409</v>
      </c>
      <c r="R4">
        <f>ABS(Q4)</f>
        <v>4.7000967108038409</v>
      </c>
      <c r="S4" t="b">
        <f>IF(R4&lt;N4,TRUE,FALSE)</f>
        <v>0</v>
      </c>
    </row>
    <row r="5" spans="1:19" x14ac:dyDescent="0.35">
      <c r="A5">
        <v>0.29131499999999999</v>
      </c>
      <c r="B5">
        <v>2</v>
      </c>
      <c r="C5">
        <v>2</v>
      </c>
      <c r="F5">
        <f>SUM(F3:F4)</f>
        <v>5050</v>
      </c>
    </row>
    <row r="6" spans="1:19" x14ac:dyDescent="0.35">
      <c r="A6">
        <v>0.29575800000000002</v>
      </c>
      <c r="B6">
        <v>2</v>
      </c>
      <c r="C6">
        <v>3</v>
      </c>
      <c r="E6" t="s">
        <v>101</v>
      </c>
      <c r="F6">
        <v>50</v>
      </c>
      <c r="I6" t="s">
        <v>117</v>
      </c>
    </row>
    <row r="7" spans="1:19" x14ac:dyDescent="0.35">
      <c r="A7">
        <v>0.57628599999999996</v>
      </c>
      <c r="B7">
        <v>2</v>
      </c>
      <c r="C7">
        <v>4</v>
      </c>
      <c r="E7" t="s">
        <v>104</v>
      </c>
      <c r="F7">
        <v>50</v>
      </c>
      <c r="N7" t="s">
        <v>65</v>
      </c>
    </row>
    <row r="8" spans="1:19" x14ac:dyDescent="0.35">
      <c r="A8">
        <v>0.73295500000000002</v>
      </c>
      <c r="B8">
        <v>2</v>
      </c>
      <c r="C8">
        <v>5</v>
      </c>
      <c r="N8" t="s">
        <v>141</v>
      </c>
    </row>
    <row r="9" spans="1:19" x14ac:dyDescent="0.35">
      <c r="A9">
        <v>1.0218100000000001</v>
      </c>
      <c r="B9">
        <v>1</v>
      </c>
      <c r="C9">
        <v>6</v>
      </c>
      <c r="E9" t="s">
        <v>90</v>
      </c>
      <c r="F9">
        <v>0.1</v>
      </c>
      <c r="I9">
        <f>I4+J4</f>
        <v>2500</v>
      </c>
      <c r="J9">
        <f>F6*F7</f>
        <v>2500</v>
      </c>
    </row>
    <row r="10" spans="1:19" x14ac:dyDescent="0.35">
      <c r="A10">
        <v>1.12967</v>
      </c>
      <c r="B10">
        <v>2</v>
      </c>
      <c r="C10">
        <v>7</v>
      </c>
    </row>
    <row r="11" spans="1:19" x14ac:dyDescent="0.35">
      <c r="A11">
        <v>1.1330499999999999</v>
      </c>
      <c r="B11">
        <v>2</v>
      </c>
      <c r="C11">
        <v>8</v>
      </c>
    </row>
    <row r="12" spans="1:19" x14ac:dyDescent="0.35">
      <c r="A12">
        <v>1.13697</v>
      </c>
      <c r="B12">
        <v>2</v>
      </c>
      <c r="C12">
        <v>9</v>
      </c>
    </row>
    <row r="13" spans="1:19" x14ac:dyDescent="0.35">
      <c r="A13">
        <v>1.18757</v>
      </c>
      <c r="B13">
        <v>1</v>
      </c>
      <c r="C13">
        <v>10</v>
      </c>
    </row>
    <row r="14" spans="1:19" x14ac:dyDescent="0.35">
      <c r="A14">
        <v>1.22424</v>
      </c>
      <c r="B14">
        <v>1</v>
      </c>
      <c r="C14">
        <v>11</v>
      </c>
    </row>
    <row r="15" spans="1:19" x14ac:dyDescent="0.35">
      <c r="A15">
        <v>1.23054</v>
      </c>
      <c r="B15">
        <v>1</v>
      </c>
      <c r="C15">
        <v>12</v>
      </c>
    </row>
    <row r="16" spans="1:19" x14ac:dyDescent="0.35">
      <c r="A16">
        <v>1.2317800000000001</v>
      </c>
      <c r="B16">
        <v>1</v>
      </c>
      <c r="C16">
        <v>13</v>
      </c>
    </row>
    <row r="17" spans="1:3" x14ac:dyDescent="0.35">
      <c r="A17">
        <v>1.2373099999999999</v>
      </c>
      <c r="B17">
        <v>1</v>
      </c>
      <c r="C17">
        <v>14</v>
      </c>
    </row>
    <row r="18" spans="1:3" x14ac:dyDescent="0.35">
      <c r="A18">
        <v>1.2444299999999999</v>
      </c>
      <c r="B18">
        <v>1</v>
      </c>
      <c r="C18">
        <v>15</v>
      </c>
    </row>
    <row r="19" spans="1:3" x14ac:dyDescent="0.35">
      <c r="A19">
        <v>1.26769</v>
      </c>
      <c r="B19">
        <v>1</v>
      </c>
      <c r="C19">
        <v>16</v>
      </c>
    </row>
    <row r="20" spans="1:3" x14ac:dyDescent="0.35">
      <c r="A20">
        <v>1.29125</v>
      </c>
      <c r="B20">
        <v>1</v>
      </c>
      <c r="C20">
        <v>17</v>
      </c>
    </row>
    <row r="21" spans="1:3" x14ac:dyDescent="0.35">
      <c r="A21">
        <v>1.2929900000000001</v>
      </c>
      <c r="B21">
        <v>1</v>
      </c>
      <c r="C21">
        <v>18</v>
      </c>
    </row>
    <row r="22" spans="1:3" x14ac:dyDescent="0.35">
      <c r="A22">
        <v>1.3166599999999999</v>
      </c>
      <c r="B22">
        <v>1</v>
      </c>
      <c r="C22">
        <v>19</v>
      </c>
    </row>
    <row r="23" spans="1:3" x14ac:dyDescent="0.35">
      <c r="A23">
        <v>1.3441099999999999</v>
      </c>
      <c r="B23">
        <v>1</v>
      </c>
      <c r="C23">
        <v>20</v>
      </c>
    </row>
    <row r="24" spans="1:3" x14ac:dyDescent="0.35">
      <c r="A24">
        <v>1.3559600000000001</v>
      </c>
      <c r="B24">
        <v>1</v>
      </c>
      <c r="C24">
        <v>21</v>
      </c>
    </row>
    <row r="25" spans="1:3" x14ac:dyDescent="0.35">
      <c r="A25">
        <v>1.35772</v>
      </c>
      <c r="B25">
        <v>1</v>
      </c>
      <c r="C25">
        <v>22</v>
      </c>
    </row>
    <row r="26" spans="1:3" x14ac:dyDescent="0.35">
      <c r="A26">
        <v>1.37456</v>
      </c>
      <c r="B26">
        <v>1</v>
      </c>
      <c r="C26">
        <v>23</v>
      </c>
    </row>
    <row r="27" spans="1:3" x14ac:dyDescent="0.35">
      <c r="A27">
        <v>1.4418800000000001</v>
      </c>
      <c r="B27">
        <v>1</v>
      </c>
      <c r="C27">
        <v>24</v>
      </c>
    </row>
    <row r="28" spans="1:3" x14ac:dyDescent="0.35">
      <c r="A28">
        <v>1.45451</v>
      </c>
      <c r="B28">
        <v>1</v>
      </c>
      <c r="C28">
        <v>25</v>
      </c>
    </row>
    <row r="29" spans="1:3" x14ac:dyDescent="0.35">
      <c r="A29">
        <v>1.5619799999999999</v>
      </c>
      <c r="B29">
        <v>1</v>
      </c>
      <c r="C29">
        <v>26</v>
      </c>
    </row>
    <row r="30" spans="1:3" x14ac:dyDescent="0.35">
      <c r="A30">
        <v>1.62961</v>
      </c>
      <c r="B30">
        <v>1</v>
      </c>
      <c r="C30">
        <v>27</v>
      </c>
    </row>
    <row r="31" spans="1:3" x14ac:dyDescent="0.35">
      <c r="A31">
        <v>1.7641899999999999</v>
      </c>
      <c r="B31">
        <v>2</v>
      </c>
      <c r="C31">
        <v>28</v>
      </c>
    </row>
    <row r="32" spans="1:3" x14ac:dyDescent="0.35">
      <c r="A32">
        <v>1.7806299999999999</v>
      </c>
      <c r="B32">
        <v>1</v>
      </c>
      <c r="C32">
        <v>29</v>
      </c>
    </row>
    <row r="33" spans="1:3" x14ac:dyDescent="0.35">
      <c r="A33">
        <v>1.7948599999999999</v>
      </c>
      <c r="B33">
        <v>1</v>
      </c>
      <c r="C33">
        <v>30</v>
      </c>
    </row>
    <row r="34" spans="1:3" x14ac:dyDescent="0.35">
      <c r="A34">
        <v>1.82836</v>
      </c>
      <c r="B34">
        <v>1</v>
      </c>
      <c r="C34">
        <v>31</v>
      </c>
    </row>
    <row r="35" spans="1:3" x14ac:dyDescent="0.35">
      <c r="A35">
        <v>1.8548500000000001</v>
      </c>
      <c r="B35">
        <v>1</v>
      </c>
      <c r="C35">
        <v>32</v>
      </c>
    </row>
    <row r="36" spans="1:3" x14ac:dyDescent="0.35">
      <c r="A36">
        <v>1.88008</v>
      </c>
      <c r="B36">
        <v>1</v>
      </c>
      <c r="C36">
        <v>33</v>
      </c>
    </row>
    <row r="37" spans="1:3" x14ac:dyDescent="0.35">
      <c r="A37">
        <v>1.9734700000000001</v>
      </c>
      <c r="B37">
        <v>1</v>
      </c>
      <c r="C37">
        <v>34</v>
      </c>
    </row>
    <row r="38" spans="1:3" x14ac:dyDescent="0.35">
      <c r="A38">
        <v>2.0126400000000002</v>
      </c>
      <c r="B38">
        <v>1</v>
      </c>
      <c r="C38">
        <v>35</v>
      </c>
    </row>
    <row r="39" spans="1:3" x14ac:dyDescent="0.35">
      <c r="A39">
        <v>2.0169899999999998</v>
      </c>
      <c r="B39">
        <v>2</v>
      </c>
      <c r="C39">
        <v>36</v>
      </c>
    </row>
    <row r="40" spans="1:3" x14ac:dyDescent="0.35">
      <c r="A40">
        <v>2.0194589999999999</v>
      </c>
      <c r="B40">
        <v>1</v>
      </c>
      <c r="C40">
        <v>37</v>
      </c>
    </row>
    <row r="41" spans="1:3" x14ac:dyDescent="0.35">
      <c r="A41">
        <v>2.0230700000000001</v>
      </c>
      <c r="B41">
        <v>2</v>
      </c>
      <c r="C41">
        <v>38</v>
      </c>
    </row>
    <row r="42" spans="1:3" x14ac:dyDescent="0.35">
      <c r="A42">
        <v>2.03674</v>
      </c>
      <c r="B42">
        <v>1</v>
      </c>
      <c r="C42">
        <v>39</v>
      </c>
    </row>
    <row r="43" spans="1:3" x14ac:dyDescent="0.35">
      <c r="A43">
        <v>2.0678200000000002</v>
      </c>
      <c r="B43">
        <v>1</v>
      </c>
      <c r="C43">
        <v>40</v>
      </c>
    </row>
    <row r="44" spans="1:3" x14ac:dyDescent="0.35">
      <c r="A44">
        <v>2.0776699999999999</v>
      </c>
      <c r="B44">
        <v>1</v>
      </c>
      <c r="C44">
        <v>41</v>
      </c>
    </row>
    <row r="45" spans="1:3" x14ac:dyDescent="0.35">
      <c r="A45">
        <v>2.08955</v>
      </c>
      <c r="B45">
        <v>1</v>
      </c>
      <c r="C45">
        <v>42</v>
      </c>
    </row>
    <row r="46" spans="1:3" x14ac:dyDescent="0.35">
      <c r="A46">
        <v>2.1318899999999998</v>
      </c>
      <c r="B46">
        <v>1</v>
      </c>
      <c r="C46">
        <v>43</v>
      </c>
    </row>
    <row r="47" spans="1:3" x14ac:dyDescent="0.35">
      <c r="A47">
        <v>2.1659299999999999</v>
      </c>
      <c r="B47">
        <v>2</v>
      </c>
      <c r="C47">
        <v>44</v>
      </c>
    </row>
    <row r="48" spans="1:3" x14ac:dyDescent="0.35">
      <c r="A48">
        <v>2.1817000000000002</v>
      </c>
      <c r="B48">
        <v>2</v>
      </c>
      <c r="C48">
        <v>45</v>
      </c>
    </row>
    <row r="49" spans="1:3" x14ac:dyDescent="0.35">
      <c r="A49">
        <v>2.24743</v>
      </c>
      <c r="B49">
        <v>1</v>
      </c>
      <c r="C49">
        <v>46</v>
      </c>
    </row>
    <row r="50" spans="1:3" x14ac:dyDescent="0.35">
      <c r="A50">
        <v>2.2817099999999999</v>
      </c>
      <c r="B50">
        <v>1</v>
      </c>
      <c r="C50">
        <v>47</v>
      </c>
    </row>
    <row r="51" spans="1:3" x14ac:dyDescent="0.35">
      <c r="A51">
        <v>2.3341400000000001</v>
      </c>
      <c r="B51">
        <v>2</v>
      </c>
      <c r="C51">
        <v>48</v>
      </c>
    </row>
    <row r="52" spans="1:3" x14ac:dyDescent="0.35">
      <c r="A52">
        <v>2.3625500000000001</v>
      </c>
      <c r="B52">
        <v>2</v>
      </c>
      <c r="C52">
        <v>49</v>
      </c>
    </row>
    <row r="53" spans="1:3" x14ac:dyDescent="0.35">
      <c r="A53">
        <v>2.4147799999999999</v>
      </c>
      <c r="B53">
        <v>1</v>
      </c>
      <c r="C53">
        <v>50</v>
      </c>
    </row>
    <row r="54" spans="1:3" x14ac:dyDescent="0.35">
      <c r="A54">
        <v>2.4552399999999999</v>
      </c>
      <c r="B54">
        <v>1</v>
      </c>
      <c r="C54">
        <v>51</v>
      </c>
    </row>
    <row r="55" spans="1:3" x14ac:dyDescent="0.35">
      <c r="A55">
        <v>2.4561500000000001</v>
      </c>
      <c r="B55">
        <v>1</v>
      </c>
      <c r="C55">
        <v>52</v>
      </c>
    </row>
    <row r="56" spans="1:3" x14ac:dyDescent="0.35">
      <c r="A56">
        <v>2.46258</v>
      </c>
      <c r="B56">
        <v>1</v>
      </c>
      <c r="C56">
        <v>53</v>
      </c>
    </row>
    <row r="57" spans="1:3" x14ac:dyDescent="0.35">
      <c r="A57">
        <v>2.5245600000000001</v>
      </c>
      <c r="B57">
        <v>1</v>
      </c>
      <c r="C57">
        <v>54</v>
      </c>
    </row>
    <row r="58" spans="1:3" x14ac:dyDescent="0.35">
      <c r="A58">
        <v>2.65469</v>
      </c>
      <c r="B58">
        <v>1</v>
      </c>
      <c r="C58">
        <v>55</v>
      </c>
    </row>
    <row r="59" spans="1:3" x14ac:dyDescent="0.35">
      <c r="A59">
        <v>2.6832699999999998</v>
      </c>
      <c r="B59">
        <v>1</v>
      </c>
      <c r="C59">
        <v>56</v>
      </c>
    </row>
    <row r="60" spans="1:3" x14ac:dyDescent="0.35">
      <c r="A60">
        <v>2.69475</v>
      </c>
      <c r="B60">
        <v>1</v>
      </c>
      <c r="C60">
        <v>57</v>
      </c>
    </row>
    <row r="61" spans="1:3" x14ac:dyDescent="0.35">
      <c r="A61">
        <v>2.7207699999999999</v>
      </c>
      <c r="B61">
        <v>2</v>
      </c>
      <c r="C61">
        <v>58</v>
      </c>
    </row>
    <row r="62" spans="1:3" x14ac:dyDescent="0.35">
      <c r="A62">
        <v>2.72661</v>
      </c>
      <c r="B62">
        <v>1</v>
      </c>
      <c r="C62">
        <v>59</v>
      </c>
    </row>
    <row r="63" spans="1:3" x14ac:dyDescent="0.35">
      <c r="A63">
        <v>2.7359800000000001</v>
      </c>
      <c r="B63">
        <v>1</v>
      </c>
      <c r="C63">
        <v>60</v>
      </c>
    </row>
    <row r="64" spans="1:3" x14ac:dyDescent="0.35">
      <c r="A64">
        <v>2.7465700000000002</v>
      </c>
      <c r="B64">
        <v>2</v>
      </c>
      <c r="C64">
        <v>61</v>
      </c>
    </row>
    <row r="65" spans="1:3" x14ac:dyDescent="0.35">
      <c r="A65">
        <v>2.7725499999999998</v>
      </c>
      <c r="B65">
        <v>2</v>
      </c>
      <c r="C65">
        <v>62</v>
      </c>
    </row>
    <row r="66" spans="1:3" x14ac:dyDescent="0.35">
      <c r="A66">
        <v>2.7852100000000002</v>
      </c>
      <c r="B66">
        <v>2</v>
      </c>
      <c r="C66">
        <v>63</v>
      </c>
    </row>
    <row r="67" spans="1:3" x14ac:dyDescent="0.35">
      <c r="A67">
        <v>2.7911600000000001</v>
      </c>
      <c r="B67">
        <v>1</v>
      </c>
      <c r="C67">
        <v>64</v>
      </c>
    </row>
    <row r="68" spans="1:3" x14ac:dyDescent="0.35">
      <c r="A68">
        <v>2.80681</v>
      </c>
      <c r="B68">
        <v>1</v>
      </c>
      <c r="C68">
        <v>65</v>
      </c>
    </row>
    <row r="69" spans="1:3" x14ac:dyDescent="0.35">
      <c r="A69">
        <v>2.8380100000000001</v>
      </c>
      <c r="B69">
        <v>1</v>
      </c>
      <c r="C69">
        <v>66</v>
      </c>
    </row>
    <row r="70" spans="1:3" x14ac:dyDescent="0.35">
      <c r="A70">
        <v>2.8486600000000002</v>
      </c>
      <c r="B70">
        <v>2</v>
      </c>
      <c r="C70">
        <v>67</v>
      </c>
    </row>
    <row r="71" spans="1:3" x14ac:dyDescent="0.35">
      <c r="A71">
        <v>2.8535900000000001</v>
      </c>
      <c r="B71">
        <v>2</v>
      </c>
      <c r="C71">
        <v>68</v>
      </c>
    </row>
    <row r="72" spans="1:3" x14ac:dyDescent="0.35">
      <c r="A72">
        <v>2.8650799999999998</v>
      </c>
      <c r="B72">
        <v>1</v>
      </c>
      <c r="C72">
        <v>69</v>
      </c>
    </row>
    <row r="73" spans="1:3" x14ac:dyDescent="0.35">
      <c r="A73">
        <v>2.9084699999999999</v>
      </c>
      <c r="B73">
        <v>1</v>
      </c>
      <c r="C73">
        <v>70</v>
      </c>
    </row>
    <row r="74" spans="1:3" x14ac:dyDescent="0.35">
      <c r="A74">
        <v>2.9272100000000001</v>
      </c>
      <c r="B74">
        <v>1</v>
      </c>
      <c r="C74">
        <v>71</v>
      </c>
    </row>
    <row r="75" spans="1:3" x14ac:dyDescent="0.35">
      <c r="A75">
        <v>2.9275000000000002</v>
      </c>
      <c r="B75">
        <v>2</v>
      </c>
      <c r="C75">
        <v>72</v>
      </c>
    </row>
    <row r="76" spans="1:3" x14ac:dyDescent="0.35">
      <c r="A76">
        <v>3.2783500000000001</v>
      </c>
      <c r="B76">
        <v>2</v>
      </c>
      <c r="C76">
        <v>73</v>
      </c>
    </row>
    <row r="77" spans="1:3" x14ac:dyDescent="0.35">
      <c r="A77">
        <v>4.0541200000000002</v>
      </c>
      <c r="B77">
        <v>2</v>
      </c>
      <c r="C77">
        <v>74</v>
      </c>
    </row>
    <row r="78" spans="1:3" x14ac:dyDescent="0.35">
      <c r="A78">
        <v>4.09626</v>
      </c>
      <c r="B78">
        <v>2</v>
      </c>
      <c r="C78">
        <v>75</v>
      </c>
    </row>
    <row r="79" spans="1:3" x14ac:dyDescent="0.35">
      <c r="A79">
        <v>4.67936</v>
      </c>
      <c r="B79">
        <v>2</v>
      </c>
      <c r="C79">
        <v>76</v>
      </c>
    </row>
    <row r="80" spans="1:3" x14ac:dyDescent="0.35">
      <c r="A80">
        <v>4.7182700000000004</v>
      </c>
      <c r="B80">
        <v>2</v>
      </c>
      <c r="C80">
        <v>77</v>
      </c>
    </row>
    <row r="81" spans="1:3" x14ac:dyDescent="0.35">
      <c r="A81">
        <v>4.7862299999999998</v>
      </c>
      <c r="B81">
        <v>2</v>
      </c>
      <c r="C81">
        <v>78</v>
      </c>
    </row>
    <row r="82" spans="1:3" x14ac:dyDescent="0.35">
      <c r="A82">
        <v>4.7862799999999996</v>
      </c>
      <c r="B82">
        <v>2</v>
      </c>
      <c r="C82">
        <v>79</v>
      </c>
    </row>
    <row r="83" spans="1:3" x14ac:dyDescent="0.35">
      <c r="A83">
        <v>5.0236499999999999</v>
      </c>
      <c r="B83">
        <v>2</v>
      </c>
      <c r="C83">
        <v>80</v>
      </c>
    </row>
    <row r="84" spans="1:3" x14ac:dyDescent="0.35">
      <c r="A84">
        <v>5.0792099999999998</v>
      </c>
      <c r="B84">
        <v>2</v>
      </c>
      <c r="C84">
        <v>81</v>
      </c>
    </row>
    <row r="85" spans="1:3" x14ac:dyDescent="0.35">
      <c r="A85">
        <v>5.1363300000000001</v>
      </c>
      <c r="B85">
        <v>2</v>
      </c>
      <c r="C85">
        <v>82</v>
      </c>
    </row>
    <row r="86" spans="1:3" x14ac:dyDescent="0.35">
      <c r="A86">
        <v>5.1470700000000003</v>
      </c>
      <c r="B86">
        <v>2</v>
      </c>
      <c r="C86">
        <v>83</v>
      </c>
    </row>
    <row r="87" spans="1:3" x14ac:dyDescent="0.35">
      <c r="A87">
        <v>5.2546600000000003</v>
      </c>
      <c r="B87">
        <v>2</v>
      </c>
      <c r="C87">
        <v>84</v>
      </c>
    </row>
    <row r="88" spans="1:3" x14ac:dyDescent="0.35">
      <c r="A88">
        <v>5.5770600000000004</v>
      </c>
      <c r="B88">
        <v>2</v>
      </c>
      <c r="C88">
        <v>85</v>
      </c>
    </row>
    <row r="89" spans="1:3" x14ac:dyDescent="0.35">
      <c r="A89">
        <v>6.1454000000000004</v>
      </c>
      <c r="B89">
        <v>2</v>
      </c>
      <c r="C89">
        <v>86</v>
      </c>
    </row>
    <row r="90" spans="1:3" x14ac:dyDescent="0.35">
      <c r="A90">
        <v>6.2996100000000004</v>
      </c>
      <c r="B90">
        <v>2</v>
      </c>
      <c r="C90">
        <v>87</v>
      </c>
    </row>
    <row r="91" spans="1:3" x14ac:dyDescent="0.35">
      <c r="A91">
        <v>6.3081500000000004</v>
      </c>
      <c r="B91">
        <v>2</v>
      </c>
      <c r="C91">
        <v>88</v>
      </c>
    </row>
    <row r="92" spans="1:3" x14ac:dyDescent="0.35">
      <c r="A92">
        <v>6.6862700000000004</v>
      </c>
      <c r="B92">
        <v>2</v>
      </c>
      <c r="C92">
        <v>89</v>
      </c>
    </row>
    <row r="93" spans="1:3" x14ac:dyDescent="0.35">
      <c r="A93">
        <v>7.05016</v>
      </c>
      <c r="B93">
        <v>2</v>
      </c>
      <c r="C93">
        <v>90</v>
      </c>
    </row>
    <row r="94" spans="1:3" x14ac:dyDescent="0.35">
      <c r="A94">
        <v>7.3078500000000002</v>
      </c>
      <c r="B94">
        <v>2</v>
      </c>
      <c r="C94">
        <v>91</v>
      </c>
    </row>
    <row r="95" spans="1:3" x14ac:dyDescent="0.35">
      <c r="A95">
        <v>7.3238899999999996</v>
      </c>
      <c r="B95">
        <v>2</v>
      </c>
      <c r="C95">
        <v>92</v>
      </c>
    </row>
    <row r="96" spans="1:3" x14ac:dyDescent="0.35">
      <c r="A96">
        <v>7.6174799999999996</v>
      </c>
      <c r="B96">
        <v>2</v>
      </c>
      <c r="C96">
        <v>93</v>
      </c>
    </row>
    <row r="97" spans="1:3" x14ac:dyDescent="0.35">
      <c r="A97">
        <v>8.4246800000000004</v>
      </c>
      <c r="B97">
        <v>2</v>
      </c>
      <c r="C97">
        <v>94</v>
      </c>
    </row>
    <row r="98" spans="1:3" x14ac:dyDescent="0.35">
      <c r="A98">
        <v>8.7911699999999993</v>
      </c>
      <c r="B98">
        <v>2</v>
      </c>
      <c r="C98">
        <v>95</v>
      </c>
    </row>
    <row r="99" spans="1:3" x14ac:dyDescent="0.35">
      <c r="A99">
        <v>9.3262300000000007</v>
      </c>
      <c r="B99">
        <v>2</v>
      </c>
      <c r="C99">
        <v>96</v>
      </c>
    </row>
    <row r="100" spans="1:3" x14ac:dyDescent="0.35">
      <c r="A100">
        <v>9.4604800000000004</v>
      </c>
      <c r="B100">
        <v>2</v>
      </c>
      <c r="C100">
        <v>97</v>
      </c>
    </row>
    <row r="101" spans="1:3" x14ac:dyDescent="0.35">
      <c r="A101">
        <v>10.263999999999999</v>
      </c>
      <c r="B101">
        <v>2</v>
      </c>
      <c r="C101">
        <v>98</v>
      </c>
    </row>
    <row r="102" spans="1:3" x14ac:dyDescent="0.35">
      <c r="A102">
        <v>10.639849999999999</v>
      </c>
      <c r="B102">
        <v>2</v>
      </c>
      <c r="C102">
        <v>99</v>
      </c>
    </row>
    <row r="103" spans="1:3" x14ac:dyDescent="0.35">
      <c r="A103">
        <v>12.2189</v>
      </c>
      <c r="B103">
        <v>2</v>
      </c>
      <c r="C103">
        <v>100</v>
      </c>
    </row>
    <row r="104" spans="1:3" x14ac:dyDescent="0.35">
      <c r="C104">
        <f>SUM(C4:C103)</f>
        <v>5050</v>
      </c>
    </row>
  </sheetData>
  <sortState xmlns:xlrd2="http://schemas.microsoft.com/office/spreadsheetml/2017/richdata2" ref="A4:B103">
    <sortCondition ref="A4:A103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1"/>
  <sheetViews>
    <sheetView tabSelected="1" zoomScale="71" zoomScaleNormal="100" workbookViewId="0">
      <selection activeCell="U7" sqref="U7"/>
    </sheetView>
  </sheetViews>
  <sheetFormatPr defaultRowHeight="14.5" x14ac:dyDescent="0.35"/>
  <cols>
    <col min="9" max="9" width="20" customWidth="1"/>
    <col min="21" max="21" width="11.54296875" customWidth="1"/>
    <col min="22" max="22" width="11" customWidth="1"/>
    <col min="23" max="23" width="10.7265625" customWidth="1"/>
    <col min="26" max="26" width="10.7265625" customWidth="1"/>
    <col min="27" max="27" width="11.36328125" customWidth="1"/>
  </cols>
  <sheetData>
    <row r="1" spans="1:28" x14ac:dyDescent="0.35">
      <c r="A1" t="s">
        <v>126</v>
      </c>
      <c r="D1" t="s">
        <v>123</v>
      </c>
      <c r="E1" t="s">
        <v>124</v>
      </c>
      <c r="S1" t="s">
        <v>123</v>
      </c>
      <c r="T1" t="s">
        <v>124</v>
      </c>
      <c r="U1" t="s">
        <v>130</v>
      </c>
      <c r="V1" t="s">
        <v>131</v>
      </c>
      <c r="W1" t="s">
        <v>134</v>
      </c>
    </row>
    <row r="2" spans="1:28" x14ac:dyDescent="0.35">
      <c r="A2">
        <v>1.8548500000000001</v>
      </c>
      <c r="B2">
        <v>5.1363300000000001</v>
      </c>
      <c r="D2">
        <f>_xlfn.RANK.AVG(A2,$A$2:$A$51,1)</f>
        <v>23</v>
      </c>
      <c r="E2">
        <f>_xlfn.RANK.AVG(B2,$B$2:$B$51,1)</f>
        <v>32</v>
      </c>
      <c r="F2">
        <f>D2-E2</f>
        <v>-9</v>
      </c>
      <c r="G2">
        <f>F2^2</f>
        <v>81</v>
      </c>
      <c r="I2" t="s">
        <v>120</v>
      </c>
      <c r="J2">
        <f>CORREL(A2:A51,B2:B51)</f>
        <v>-0.17413566941976999</v>
      </c>
      <c r="S2">
        <v>1</v>
      </c>
      <c r="T2">
        <v>50</v>
      </c>
      <c r="U2">
        <f>COUNTIF(T2:$T$51,"&gt;"&amp;T2)</f>
        <v>0</v>
      </c>
      <c r="V2">
        <f>COUNTIF(T2:$T$51,"&lt;"&amp;T2)</f>
        <v>49</v>
      </c>
      <c r="W2">
        <f>U2-V2</f>
        <v>-49</v>
      </c>
      <c r="X2" t="s">
        <v>132</v>
      </c>
      <c r="Y2" t="s">
        <v>133</v>
      </c>
    </row>
    <row r="3" spans="1:28" ht="15.5" x14ac:dyDescent="0.35">
      <c r="A3">
        <v>2.0194589999999999</v>
      </c>
      <c r="B3">
        <v>6.6862700000000004</v>
      </c>
      <c r="D3">
        <f t="shared" ref="D3:D51" si="0">_xlfn.RANK.AVG(A3,$A$2:$A$51,1)</f>
        <v>27</v>
      </c>
      <c r="E3">
        <f t="shared" ref="E3:E51" si="1">_xlfn.RANK.AVG(B3,$B$2:$B$51,1)</f>
        <v>39</v>
      </c>
      <c r="F3">
        <f t="shared" ref="F3:F51" si="2">D3-E3</f>
        <v>-12</v>
      </c>
      <c r="G3">
        <f t="shared" ref="G3:G51" si="3">F3^2</f>
        <v>144</v>
      </c>
      <c r="S3">
        <v>2</v>
      </c>
      <c r="T3">
        <v>19</v>
      </c>
      <c r="U3">
        <f>COUNTIF(T3:$T$51,"&gt;"&amp;T3)</f>
        <v>30</v>
      </c>
      <c r="V3">
        <f>COUNTIF(T3:$T$51,"&lt;"&amp;T3)</f>
        <v>18</v>
      </c>
      <c r="W3">
        <f t="shared" ref="W3:W51" si="4">U3-V3</f>
        <v>12</v>
      </c>
      <c r="X3">
        <f>SUM(U2:U51)</f>
        <v>571</v>
      </c>
      <c r="Y3">
        <f>SUM(V2:V51)</f>
        <v>654</v>
      </c>
      <c r="AA3" s="25" t="s">
        <v>129</v>
      </c>
    </row>
    <row r="4" spans="1:28" x14ac:dyDescent="0.35">
      <c r="A4">
        <v>2.0776699999999999</v>
      </c>
      <c r="B4">
        <v>0.29131499999999999</v>
      </c>
      <c r="D4">
        <f t="shared" si="0"/>
        <v>30</v>
      </c>
      <c r="E4">
        <f t="shared" si="1"/>
        <v>2</v>
      </c>
      <c r="F4">
        <f t="shared" si="2"/>
        <v>28</v>
      </c>
      <c r="G4">
        <f t="shared" si="3"/>
        <v>784</v>
      </c>
      <c r="I4" t="s">
        <v>121</v>
      </c>
      <c r="M4" t="s">
        <v>122</v>
      </c>
      <c r="S4">
        <v>3</v>
      </c>
      <c r="T4">
        <v>22</v>
      </c>
      <c r="U4">
        <f>COUNTIF(T4:$T$51,"&gt;"&amp;T4)</f>
        <v>27</v>
      </c>
      <c r="V4">
        <f>COUNTIF(T4:$T$51,"&lt;"&amp;T4)</f>
        <v>20</v>
      </c>
      <c r="W4">
        <f t="shared" si="4"/>
        <v>7</v>
      </c>
    </row>
    <row r="5" spans="1:28" x14ac:dyDescent="0.35">
      <c r="A5">
        <v>1.3166599999999999</v>
      </c>
      <c r="B5">
        <v>5.1470700000000003</v>
      </c>
      <c r="D5">
        <f t="shared" si="0"/>
        <v>11</v>
      </c>
      <c r="E5">
        <f t="shared" si="1"/>
        <v>33</v>
      </c>
      <c r="F5">
        <f t="shared" si="2"/>
        <v>-22</v>
      </c>
      <c r="G5">
        <f t="shared" si="3"/>
        <v>484</v>
      </c>
      <c r="S5">
        <v>4</v>
      </c>
      <c r="T5">
        <v>14</v>
      </c>
      <c r="U5">
        <f>COUNTIF(T5:$T$51,"&gt;"&amp;T5)</f>
        <v>33</v>
      </c>
      <c r="V5">
        <f>COUNTIF(T5:$T$51,"&lt;"&amp;T5)</f>
        <v>13</v>
      </c>
      <c r="W5">
        <f t="shared" si="4"/>
        <v>20</v>
      </c>
    </row>
    <row r="6" spans="1:28" x14ac:dyDescent="0.35">
      <c r="A6">
        <v>2.4552399999999999</v>
      </c>
      <c r="B6">
        <v>5.0792099999999998</v>
      </c>
      <c r="D6">
        <f t="shared" si="0"/>
        <v>36</v>
      </c>
      <c r="E6">
        <f t="shared" si="1"/>
        <v>31</v>
      </c>
      <c r="F6">
        <f t="shared" si="2"/>
        <v>5</v>
      </c>
      <c r="G6">
        <f t="shared" si="3"/>
        <v>25</v>
      </c>
      <c r="S6">
        <v>5</v>
      </c>
      <c r="T6">
        <v>15</v>
      </c>
      <c r="U6">
        <f>COUNTIF(T6:$T$51,"&gt;"&amp;T6)</f>
        <v>32</v>
      </c>
      <c r="V6">
        <f>COUNTIF(T6:$T$51,"&lt;"&amp;T6)</f>
        <v>13</v>
      </c>
      <c r="W6">
        <f t="shared" si="4"/>
        <v>19</v>
      </c>
    </row>
    <row r="7" spans="1:28" x14ac:dyDescent="0.35">
      <c r="A7">
        <v>2.0126400000000002</v>
      </c>
      <c r="B7">
        <v>0.57628599999999996</v>
      </c>
      <c r="D7">
        <f t="shared" si="0"/>
        <v>26</v>
      </c>
      <c r="E7">
        <f t="shared" si="1"/>
        <v>4</v>
      </c>
      <c r="F7">
        <f t="shared" si="2"/>
        <v>22</v>
      </c>
      <c r="G7">
        <f t="shared" si="3"/>
        <v>484</v>
      </c>
      <c r="I7" s="26" t="s">
        <v>101</v>
      </c>
      <c r="J7">
        <v>50</v>
      </c>
      <c r="S7">
        <v>6</v>
      </c>
      <c r="T7">
        <v>27</v>
      </c>
      <c r="U7">
        <f>COUNTIF(T7:$T$51,"&gt;"&amp;T7)</f>
        <v>22</v>
      </c>
      <c r="V7">
        <f>COUNTIF(T7:$T$51,"&lt;"&amp;T7)</f>
        <v>22</v>
      </c>
      <c r="W7">
        <f t="shared" si="4"/>
        <v>0</v>
      </c>
    </row>
    <row r="8" spans="1:28" x14ac:dyDescent="0.35">
      <c r="A8">
        <v>2.08955</v>
      </c>
      <c r="B8">
        <v>10.639849999999999</v>
      </c>
      <c r="D8">
        <f t="shared" si="0"/>
        <v>31</v>
      </c>
      <c r="E8">
        <f t="shared" si="1"/>
        <v>49</v>
      </c>
      <c r="F8">
        <f t="shared" si="2"/>
        <v>-18</v>
      </c>
      <c r="G8">
        <f t="shared" si="3"/>
        <v>324</v>
      </c>
      <c r="I8" s="26"/>
      <c r="S8">
        <v>7</v>
      </c>
      <c r="T8">
        <v>47</v>
      </c>
      <c r="U8">
        <f>COUNTIF(T8:$T$51,"&gt;"&amp;T8)</f>
        <v>2</v>
      </c>
      <c r="V8">
        <f>COUNTIF(T8:$T$51,"&lt;"&amp;T8)</f>
        <v>41</v>
      </c>
      <c r="W8">
        <f t="shared" si="4"/>
        <v>-39</v>
      </c>
    </row>
    <row r="9" spans="1:28" x14ac:dyDescent="0.35">
      <c r="A9">
        <v>2.4561500000000001</v>
      </c>
      <c r="B9">
        <v>8.4246800000000004</v>
      </c>
      <c r="D9">
        <f t="shared" si="0"/>
        <v>37</v>
      </c>
      <c r="E9">
        <f t="shared" si="1"/>
        <v>44</v>
      </c>
      <c r="F9">
        <f t="shared" si="2"/>
        <v>-7</v>
      </c>
      <c r="G9">
        <f t="shared" si="3"/>
        <v>49</v>
      </c>
      <c r="S9">
        <v>8</v>
      </c>
      <c r="T9">
        <v>10</v>
      </c>
      <c r="U9">
        <f>COUNTIF(T9:$T$51,"&gt;"&amp;T9)</f>
        <v>33</v>
      </c>
      <c r="V9">
        <f>COUNTIF(T9:$T$51,"&lt;"&amp;T9)</f>
        <v>9</v>
      </c>
      <c r="W9">
        <f t="shared" si="4"/>
        <v>24</v>
      </c>
      <c r="AB9">
        <f>SUM(W2:W51)/(0.5*50*(50-1))</f>
        <v>-6.775510204081632E-2</v>
      </c>
    </row>
    <row r="10" spans="1:28" x14ac:dyDescent="0.35">
      <c r="A10">
        <v>2.72661</v>
      </c>
      <c r="B10">
        <v>2.1817000000000002</v>
      </c>
      <c r="D10">
        <f t="shared" si="0"/>
        <v>43</v>
      </c>
      <c r="E10">
        <f t="shared" si="1"/>
        <v>13</v>
      </c>
      <c r="F10">
        <f t="shared" si="2"/>
        <v>30</v>
      </c>
      <c r="G10">
        <f t="shared" si="3"/>
        <v>900</v>
      </c>
      <c r="J10">
        <f>SUM(G2:G51)</f>
        <v>22212</v>
      </c>
      <c r="S10">
        <v>9</v>
      </c>
      <c r="T10">
        <v>6</v>
      </c>
      <c r="U10">
        <f>COUNTIF(T10:$T$51,"&gt;"&amp;T10)</f>
        <v>36</v>
      </c>
      <c r="V10">
        <f>COUNTIF(T10:$T$51,"&lt;"&amp;T10)</f>
        <v>5</v>
      </c>
      <c r="W10">
        <f t="shared" si="4"/>
        <v>31</v>
      </c>
    </row>
    <row r="11" spans="1:28" x14ac:dyDescent="0.35">
      <c r="A11">
        <v>2.9084699999999999</v>
      </c>
      <c r="B11">
        <v>2.8486600000000002</v>
      </c>
      <c r="D11">
        <f t="shared" si="0"/>
        <v>49</v>
      </c>
      <c r="E11">
        <f t="shared" si="1"/>
        <v>20</v>
      </c>
      <c r="F11">
        <f t="shared" si="2"/>
        <v>29</v>
      </c>
      <c r="G11">
        <f t="shared" si="3"/>
        <v>841</v>
      </c>
      <c r="S11">
        <v>10</v>
      </c>
      <c r="T11">
        <v>9</v>
      </c>
      <c r="U11">
        <f>COUNTIF(T11:$T$51,"&gt;"&amp;T11)</f>
        <v>33</v>
      </c>
      <c r="V11">
        <f>COUNTIF(T11:$T$51,"&lt;"&amp;T11)</f>
        <v>7</v>
      </c>
      <c r="W11">
        <f t="shared" si="4"/>
        <v>26</v>
      </c>
      <c r="AA11" t="s">
        <v>143</v>
      </c>
    </row>
    <row r="12" spans="1:28" x14ac:dyDescent="0.35">
      <c r="A12">
        <v>1.26769</v>
      </c>
      <c r="B12">
        <v>2.0169899999999998</v>
      </c>
      <c r="D12">
        <f t="shared" si="0"/>
        <v>8</v>
      </c>
      <c r="E12">
        <f t="shared" si="1"/>
        <v>10</v>
      </c>
      <c r="F12">
        <f t="shared" si="2"/>
        <v>-2</v>
      </c>
      <c r="G12">
        <f t="shared" si="3"/>
        <v>4</v>
      </c>
      <c r="S12">
        <v>11</v>
      </c>
      <c r="T12">
        <v>33</v>
      </c>
      <c r="U12">
        <f>COUNTIF(T12:$T$51,"&gt;"&amp;T12)</f>
        <v>15</v>
      </c>
      <c r="V12">
        <f>COUNTIF(T12:$T$51,"&lt;"&amp;T12)</f>
        <v>24</v>
      </c>
      <c r="W12">
        <f t="shared" si="4"/>
        <v>-9</v>
      </c>
    </row>
    <row r="13" spans="1:28" x14ac:dyDescent="0.35">
      <c r="A13">
        <v>1.7948599999999999</v>
      </c>
      <c r="B13">
        <v>1.13697</v>
      </c>
      <c r="D13">
        <f t="shared" si="0"/>
        <v>21</v>
      </c>
      <c r="E13">
        <f t="shared" si="1"/>
        <v>8</v>
      </c>
      <c r="F13">
        <f t="shared" si="2"/>
        <v>13</v>
      </c>
      <c r="G13">
        <f t="shared" si="3"/>
        <v>169</v>
      </c>
      <c r="J13">
        <f>1-(6*J10)/(J7*(J7^2-1))</f>
        <v>-6.6602641056422662E-2</v>
      </c>
      <c r="S13">
        <v>12</v>
      </c>
      <c r="T13">
        <v>45</v>
      </c>
      <c r="U13">
        <f>COUNTIF(T13:$T$51,"&gt;"&amp;T13)</f>
        <v>3</v>
      </c>
      <c r="V13">
        <f>COUNTIF(T13:$T$51,"&lt;"&amp;T13)</f>
        <v>35</v>
      </c>
      <c r="W13">
        <f t="shared" si="4"/>
        <v>-32</v>
      </c>
    </row>
    <row r="14" spans="1:28" x14ac:dyDescent="0.35">
      <c r="A14">
        <v>2.46258</v>
      </c>
      <c r="B14">
        <v>5.2546600000000003</v>
      </c>
      <c r="D14">
        <f t="shared" si="0"/>
        <v>38</v>
      </c>
      <c r="E14">
        <f t="shared" si="1"/>
        <v>34</v>
      </c>
      <c r="F14">
        <f t="shared" si="2"/>
        <v>4</v>
      </c>
      <c r="G14">
        <f t="shared" si="3"/>
        <v>16</v>
      </c>
      <c r="J14">
        <f>ABS(J13)</f>
        <v>6.6602641056422662E-2</v>
      </c>
      <c r="S14">
        <v>13</v>
      </c>
      <c r="T14">
        <v>26</v>
      </c>
      <c r="U14">
        <f>COUNTIF(T14:$T$51,"&gt;"&amp;T14)</f>
        <v>19</v>
      </c>
      <c r="V14">
        <f>COUNTIF(T14:$T$51,"&lt;"&amp;T14)</f>
        <v>18</v>
      </c>
      <c r="W14">
        <f t="shared" si="4"/>
        <v>1</v>
      </c>
    </row>
    <row r="15" spans="1:28" x14ac:dyDescent="0.35">
      <c r="A15">
        <v>1.3559600000000001</v>
      </c>
      <c r="B15">
        <v>4.67936</v>
      </c>
      <c r="D15">
        <f t="shared" si="0"/>
        <v>13</v>
      </c>
      <c r="E15">
        <f t="shared" si="1"/>
        <v>26</v>
      </c>
      <c r="F15">
        <f t="shared" si="2"/>
        <v>-13</v>
      </c>
      <c r="G15">
        <f t="shared" si="3"/>
        <v>169</v>
      </c>
      <c r="I15" t="s">
        <v>125</v>
      </c>
      <c r="S15">
        <v>14</v>
      </c>
      <c r="T15">
        <v>16</v>
      </c>
      <c r="U15">
        <f>COUNTIF(T15:$T$51,"&gt;"&amp;T15)</f>
        <v>26</v>
      </c>
      <c r="V15">
        <f>COUNTIF(T15:$T$51,"&lt;"&amp;T15)</f>
        <v>10</v>
      </c>
      <c r="W15">
        <f t="shared" si="4"/>
        <v>16</v>
      </c>
    </row>
    <row r="16" spans="1:28" x14ac:dyDescent="0.35">
      <c r="A16">
        <v>1.9734700000000001</v>
      </c>
      <c r="B16">
        <v>5.5770600000000004</v>
      </c>
      <c r="D16">
        <f t="shared" si="0"/>
        <v>25</v>
      </c>
      <c r="E16">
        <f t="shared" si="1"/>
        <v>35</v>
      </c>
      <c r="F16">
        <f t="shared" si="2"/>
        <v>-10</v>
      </c>
      <c r="G16">
        <f t="shared" si="3"/>
        <v>100</v>
      </c>
      <c r="S16">
        <v>15</v>
      </c>
      <c r="T16">
        <v>46</v>
      </c>
      <c r="U16">
        <f>COUNTIF(T16:$T$51,"&gt;"&amp;T16)</f>
        <v>2</v>
      </c>
      <c r="V16">
        <f>COUNTIF(T16:$T$51,"&lt;"&amp;T16)</f>
        <v>33</v>
      </c>
      <c r="W16">
        <f t="shared" si="4"/>
        <v>-31</v>
      </c>
    </row>
    <row r="17" spans="1:28" x14ac:dyDescent="0.35">
      <c r="A17">
        <v>1.82836</v>
      </c>
      <c r="B17">
        <v>7.05016</v>
      </c>
      <c r="D17">
        <f t="shared" si="0"/>
        <v>22</v>
      </c>
      <c r="E17">
        <f t="shared" si="1"/>
        <v>40</v>
      </c>
      <c r="F17">
        <f t="shared" si="2"/>
        <v>-18</v>
      </c>
      <c r="G17">
        <f t="shared" si="3"/>
        <v>324</v>
      </c>
      <c r="S17">
        <v>16</v>
      </c>
      <c r="T17">
        <v>28</v>
      </c>
      <c r="U17">
        <f>COUNTIF(T17:$T$51,"&gt;"&amp;T17)</f>
        <v>17</v>
      </c>
      <c r="V17">
        <f>COUNTIF(T17:$T$51,"&lt;"&amp;T17)</f>
        <v>17</v>
      </c>
      <c r="W17">
        <f t="shared" si="4"/>
        <v>0</v>
      </c>
      <c r="Z17" t="s">
        <v>48</v>
      </c>
      <c r="AB17">
        <f>SQRT((2*(2*J7+5))/(9*J7*(J7-1)))</f>
        <v>9.7590007294853329E-2</v>
      </c>
    </row>
    <row r="18" spans="1:28" x14ac:dyDescent="0.35">
      <c r="A18">
        <v>1.3441099999999999</v>
      </c>
      <c r="B18">
        <v>8.7911699999999993</v>
      </c>
      <c r="D18">
        <f t="shared" si="0"/>
        <v>12</v>
      </c>
      <c r="E18">
        <f t="shared" si="1"/>
        <v>45</v>
      </c>
      <c r="F18">
        <f t="shared" si="2"/>
        <v>-33</v>
      </c>
      <c r="G18">
        <f t="shared" si="3"/>
        <v>1089</v>
      </c>
      <c r="S18">
        <v>17</v>
      </c>
      <c r="T18">
        <v>24</v>
      </c>
      <c r="U18">
        <f>COUNTIF(T18:$T$51,"&gt;"&amp;T18)</f>
        <v>18</v>
      </c>
      <c r="V18">
        <f>COUNTIF(T18:$T$51,"&lt;"&amp;T18)</f>
        <v>15</v>
      </c>
      <c r="W18">
        <f t="shared" si="4"/>
        <v>3</v>
      </c>
    </row>
    <row r="19" spans="1:28" x14ac:dyDescent="0.35">
      <c r="A19">
        <v>1.88008</v>
      </c>
      <c r="B19">
        <v>10.263999999999999</v>
      </c>
      <c r="D19">
        <f t="shared" si="0"/>
        <v>24</v>
      </c>
      <c r="E19">
        <f t="shared" si="1"/>
        <v>48</v>
      </c>
      <c r="F19">
        <f t="shared" si="2"/>
        <v>-24</v>
      </c>
      <c r="G19">
        <f t="shared" si="3"/>
        <v>576</v>
      </c>
      <c r="S19">
        <v>18</v>
      </c>
      <c r="T19">
        <v>41</v>
      </c>
      <c r="U19">
        <f>COUNTIF(T19:$T$51,"&gt;"&amp;T19)</f>
        <v>5</v>
      </c>
      <c r="V19">
        <f>COUNTIF(T19:$T$51,"&lt;"&amp;T19)</f>
        <v>27</v>
      </c>
      <c r="W19">
        <f t="shared" si="4"/>
        <v>-22</v>
      </c>
      <c r="AA19" t="s">
        <v>90</v>
      </c>
      <c r="AB19">
        <v>0.1</v>
      </c>
    </row>
    <row r="20" spans="1:28" x14ac:dyDescent="0.35">
      <c r="A20">
        <v>2.65469</v>
      </c>
      <c r="B20">
        <v>1.1330499999999999</v>
      </c>
      <c r="D20">
        <f t="shared" si="0"/>
        <v>40</v>
      </c>
      <c r="E20">
        <f t="shared" si="1"/>
        <v>7</v>
      </c>
      <c r="F20">
        <f t="shared" si="2"/>
        <v>33</v>
      </c>
      <c r="G20">
        <f t="shared" si="3"/>
        <v>1089</v>
      </c>
      <c r="S20">
        <v>19</v>
      </c>
      <c r="T20">
        <v>18</v>
      </c>
      <c r="U20">
        <f>COUNTIF(T20:$T$51,"&gt;"&amp;T20)</f>
        <v>20</v>
      </c>
      <c r="V20">
        <f>COUNTIF(T20:$T$51,"&lt;"&amp;T20)</f>
        <v>11</v>
      </c>
      <c r="W20">
        <f t="shared" si="4"/>
        <v>9</v>
      </c>
      <c r="AA20" t="s">
        <v>144</v>
      </c>
      <c r="AB20">
        <f>_xlfn.NORM.INV(0.9,0,AB17)</f>
        <v>0.12506662663022827</v>
      </c>
    </row>
    <row r="21" spans="1:28" x14ac:dyDescent="0.35">
      <c r="A21">
        <v>1.7806299999999999</v>
      </c>
      <c r="B21">
        <v>2.1659299999999999</v>
      </c>
      <c r="D21">
        <f t="shared" si="0"/>
        <v>20</v>
      </c>
      <c r="E21">
        <f t="shared" si="1"/>
        <v>12</v>
      </c>
      <c r="F21">
        <f t="shared" si="2"/>
        <v>8</v>
      </c>
      <c r="G21">
        <f t="shared" si="3"/>
        <v>64</v>
      </c>
      <c r="J21">
        <f>J14*SQRT((J7-2)/(1-J14^2))</f>
        <v>0.46246349658663066</v>
      </c>
      <c r="S21">
        <v>20</v>
      </c>
      <c r="T21">
        <v>12</v>
      </c>
      <c r="U21">
        <f>COUNTIF(T21:$T$51,"&gt;"&amp;T21)</f>
        <v>22</v>
      </c>
      <c r="V21">
        <f>COUNTIF(T21:$T$51,"&lt;"&amp;T21)</f>
        <v>8</v>
      </c>
      <c r="W21">
        <f t="shared" si="4"/>
        <v>14</v>
      </c>
    </row>
    <row r="22" spans="1:28" x14ac:dyDescent="0.35">
      <c r="A22">
        <v>2.5245600000000001</v>
      </c>
      <c r="B22">
        <v>4.09626</v>
      </c>
      <c r="D22">
        <f t="shared" si="0"/>
        <v>39</v>
      </c>
      <c r="E22">
        <f t="shared" si="1"/>
        <v>25</v>
      </c>
      <c r="F22">
        <f t="shared" si="2"/>
        <v>14</v>
      </c>
      <c r="G22">
        <f t="shared" si="3"/>
        <v>196</v>
      </c>
      <c r="S22">
        <v>21</v>
      </c>
      <c r="T22">
        <v>8</v>
      </c>
      <c r="U22">
        <f>COUNTIF(T22:$T$51,"&gt;"&amp;T22)</f>
        <v>23</v>
      </c>
      <c r="V22">
        <f>COUNTIF(T22:$T$51,"&lt;"&amp;T22)</f>
        <v>6</v>
      </c>
      <c r="W22">
        <f t="shared" si="4"/>
        <v>17</v>
      </c>
    </row>
    <row r="23" spans="1:28" x14ac:dyDescent="0.35">
      <c r="A23">
        <v>1.23054</v>
      </c>
      <c r="B23">
        <v>2.3341400000000001</v>
      </c>
      <c r="D23">
        <f t="shared" si="0"/>
        <v>4</v>
      </c>
      <c r="E23">
        <f t="shared" si="1"/>
        <v>14</v>
      </c>
      <c r="F23">
        <f t="shared" si="2"/>
        <v>-10</v>
      </c>
      <c r="G23">
        <f t="shared" si="3"/>
        <v>100</v>
      </c>
      <c r="S23">
        <v>22</v>
      </c>
      <c r="T23">
        <v>40</v>
      </c>
      <c r="U23">
        <f>COUNTIF(T23:$T$51,"&gt;"&amp;T23)</f>
        <v>5</v>
      </c>
      <c r="V23">
        <f>COUNTIF(T23:$T$51,"&lt;"&amp;T23)</f>
        <v>23</v>
      </c>
      <c r="W23">
        <f t="shared" si="4"/>
        <v>-18</v>
      </c>
      <c r="AA23" t="s">
        <v>145</v>
      </c>
    </row>
    <row r="24" spans="1:28" x14ac:dyDescent="0.35">
      <c r="A24">
        <v>1.2444299999999999</v>
      </c>
      <c r="B24">
        <v>9.4604800000000004</v>
      </c>
      <c r="D24">
        <f t="shared" si="0"/>
        <v>7</v>
      </c>
      <c r="E24">
        <f t="shared" si="1"/>
        <v>47</v>
      </c>
      <c r="F24">
        <f t="shared" si="2"/>
        <v>-40</v>
      </c>
      <c r="G24">
        <f t="shared" si="3"/>
        <v>1600</v>
      </c>
      <c r="J24">
        <f>_xlfn.T.INV(0.9,48)</f>
        <v>1.2994388786713924</v>
      </c>
      <c r="S24">
        <v>23</v>
      </c>
      <c r="T24">
        <v>32</v>
      </c>
      <c r="U24">
        <f>COUNTIF(T24:$T$51,"&gt;"&amp;T24)</f>
        <v>11</v>
      </c>
      <c r="V24">
        <f>COUNTIF(T24:$T$51,"&lt;"&amp;T24)</f>
        <v>16</v>
      </c>
      <c r="W24">
        <f t="shared" si="4"/>
        <v>-5</v>
      </c>
      <c r="AA24" t="s">
        <v>146</v>
      </c>
    </row>
    <row r="25" spans="1:28" x14ac:dyDescent="0.35">
      <c r="A25">
        <v>2.1318899999999998</v>
      </c>
      <c r="B25">
        <v>6.3081500000000004</v>
      </c>
      <c r="D25">
        <f t="shared" si="0"/>
        <v>32</v>
      </c>
      <c r="E25">
        <f t="shared" si="1"/>
        <v>38</v>
      </c>
      <c r="F25">
        <f t="shared" si="2"/>
        <v>-6</v>
      </c>
      <c r="G25">
        <f t="shared" si="3"/>
        <v>36</v>
      </c>
      <c r="S25">
        <v>24</v>
      </c>
      <c r="T25">
        <v>48</v>
      </c>
      <c r="U25">
        <f>COUNTIF(T25:$T$51,"&gt;"&amp;T25)</f>
        <v>1</v>
      </c>
      <c r="V25">
        <f>COUNTIF(T25:$T$51,"&lt;"&amp;T25)</f>
        <v>25</v>
      </c>
      <c r="W25">
        <f t="shared" si="4"/>
        <v>-24</v>
      </c>
    </row>
    <row r="26" spans="1:28" x14ac:dyDescent="0.35">
      <c r="A26">
        <v>1.45451</v>
      </c>
      <c r="B26">
        <v>4.0541200000000002</v>
      </c>
      <c r="D26">
        <f t="shared" si="0"/>
        <v>17</v>
      </c>
      <c r="E26">
        <f t="shared" si="1"/>
        <v>24</v>
      </c>
      <c r="F26">
        <f t="shared" si="2"/>
        <v>-7</v>
      </c>
      <c r="G26">
        <f t="shared" si="3"/>
        <v>49</v>
      </c>
      <c r="S26">
        <v>25</v>
      </c>
      <c r="T26">
        <v>35</v>
      </c>
      <c r="U26">
        <f>COUNTIF(T26:$T$51,"&gt;"&amp;T26)</f>
        <v>8</v>
      </c>
      <c r="V26">
        <f>COUNTIF(T26:$T$51,"&lt;"&amp;T26)</f>
        <v>17</v>
      </c>
      <c r="W26">
        <f t="shared" si="4"/>
        <v>-9</v>
      </c>
    </row>
    <row r="27" spans="1:28" x14ac:dyDescent="0.35">
      <c r="A27">
        <v>2.8380100000000001</v>
      </c>
      <c r="B27">
        <v>2.7465700000000002</v>
      </c>
      <c r="D27">
        <f t="shared" si="0"/>
        <v>47</v>
      </c>
      <c r="E27">
        <f t="shared" si="1"/>
        <v>17</v>
      </c>
      <c r="F27">
        <f t="shared" si="2"/>
        <v>30</v>
      </c>
      <c r="G27">
        <f t="shared" si="3"/>
        <v>900</v>
      </c>
      <c r="I27" t="s">
        <v>127</v>
      </c>
      <c r="S27">
        <v>26</v>
      </c>
      <c r="T27">
        <v>4</v>
      </c>
      <c r="U27">
        <f>COUNTIF(T27:$T$51,"&gt;"&amp;T27)</f>
        <v>21</v>
      </c>
      <c r="V27">
        <f>COUNTIF(T27:$T$51,"&lt;"&amp;T27)</f>
        <v>3</v>
      </c>
      <c r="W27">
        <f t="shared" si="4"/>
        <v>18</v>
      </c>
    </row>
    <row r="28" spans="1:28" x14ac:dyDescent="0.35">
      <c r="A28">
        <v>1.2317800000000001</v>
      </c>
      <c r="B28">
        <v>2.3625500000000001</v>
      </c>
      <c r="D28">
        <f t="shared" si="0"/>
        <v>5</v>
      </c>
      <c r="E28">
        <f t="shared" si="1"/>
        <v>15</v>
      </c>
      <c r="F28">
        <f t="shared" si="2"/>
        <v>-10</v>
      </c>
      <c r="G28">
        <f t="shared" si="3"/>
        <v>100</v>
      </c>
      <c r="I28" t="s">
        <v>128</v>
      </c>
      <c r="S28">
        <v>27</v>
      </c>
      <c r="T28">
        <v>39</v>
      </c>
      <c r="U28">
        <f>COUNTIF(T28:$T$51,"&gt;"&amp;T28)</f>
        <v>4</v>
      </c>
      <c r="V28">
        <f>COUNTIF(T28:$T$51,"&lt;"&amp;T28)</f>
        <v>19</v>
      </c>
      <c r="W28">
        <f t="shared" si="4"/>
        <v>-15</v>
      </c>
    </row>
    <row r="29" spans="1:28" x14ac:dyDescent="0.35">
      <c r="A29">
        <v>2.7359800000000001</v>
      </c>
      <c r="B29">
        <v>-1.51603</v>
      </c>
      <c r="D29">
        <f t="shared" si="0"/>
        <v>44</v>
      </c>
      <c r="E29">
        <f t="shared" si="1"/>
        <v>1</v>
      </c>
      <c r="F29">
        <f t="shared" si="2"/>
        <v>43</v>
      </c>
      <c r="G29">
        <f t="shared" si="3"/>
        <v>1849</v>
      </c>
      <c r="S29">
        <v>28</v>
      </c>
      <c r="T29">
        <v>3</v>
      </c>
      <c r="U29">
        <f>COUNTIF(T29:$T$51,"&gt;"&amp;T29)</f>
        <v>20</v>
      </c>
      <c r="V29">
        <f>COUNTIF(T29:$T$51,"&lt;"&amp;T29)</f>
        <v>2</v>
      </c>
      <c r="W29">
        <f t="shared" si="4"/>
        <v>18</v>
      </c>
    </row>
    <row r="30" spans="1:28" x14ac:dyDescent="0.35">
      <c r="A30">
        <v>2.0678200000000002</v>
      </c>
      <c r="B30">
        <v>7.6174799999999996</v>
      </c>
      <c r="D30">
        <f t="shared" si="0"/>
        <v>29</v>
      </c>
      <c r="E30">
        <f t="shared" si="1"/>
        <v>43</v>
      </c>
      <c r="F30">
        <f t="shared" si="2"/>
        <v>-14</v>
      </c>
      <c r="G30">
        <f t="shared" si="3"/>
        <v>196</v>
      </c>
      <c r="S30">
        <v>29</v>
      </c>
      <c r="T30">
        <v>43</v>
      </c>
      <c r="U30">
        <f>COUNTIF(T30:$T$51,"&gt;"&amp;T30)</f>
        <v>2</v>
      </c>
      <c r="V30">
        <f>COUNTIF(T30:$T$51,"&lt;"&amp;T30)</f>
        <v>19</v>
      </c>
      <c r="W30">
        <f t="shared" si="4"/>
        <v>-17</v>
      </c>
    </row>
    <row r="31" spans="1:28" x14ac:dyDescent="0.35">
      <c r="A31">
        <v>2.03674</v>
      </c>
      <c r="B31">
        <v>0.29575800000000002</v>
      </c>
      <c r="D31">
        <f t="shared" si="0"/>
        <v>28</v>
      </c>
      <c r="E31">
        <f t="shared" si="1"/>
        <v>3</v>
      </c>
      <c r="F31">
        <f t="shared" si="2"/>
        <v>25</v>
      </c>
      <c r="G31">
        <f t="shared" si="3"/>
        <v>625</v>
      </c>
      <c r="S31">
        <v>30</v>
      </c>
      <c r="T31">
        <v>2</v>
      </c>
      <c r="U31">
        <f>COUNTIF(T31:$T$51,"&gt;"&amp;T31)</f>
        <v>19</v>
      </c>
      <c r="V31">
        <f>COUNTIF(T31:$T$51,"&lt;"&amp;T31)</f>
        <v>1</v>
      </c>
      <c r="W31">
        <f t="shared" si="4"/>
        <v>18</v>
      </c>
    </row>
    <row r="32" spans="1:28" x14ac:dyDescent="0.35">
      <c r="A32">
        <v>2.80681</v>
      </c>
      <c r="B32">
        <v>7.3238899999999996</v>
      </c>
      <c r="D32">
        <f t="shared" si="0"/>
        <v>46</v>
      </c>
      <c r="E32">
        <f t="shared" si="1"/>
        <v>42</v>
      </c>
      <c r="F32">
        <f t="shared" si="2"/>
        <v>4</v>
      </c>
      <c r="G32">
        <f t="shared" si="3"/>
        <v>16</v>
      </c>
      <c r="S32">
        <v>31</v>
      </c>
      <c r="T32">
        <v>49</v>
      </c>
      <c r="U32">
        <f>COUNTIF(T32:$T$51,"&gt;"&amp;T32)</f>
        <v>0</v>
      </c>
      <c r="V32">
        <f>COUNTIF(T32:$T$51,"&lt;"&amp;T32)</f>
        <v>19</v>
      </c>
      <c r="W32">
        <f t="shared" si="4"/>
        <v>-19</v>
      </c>
    </row>
    <row r="33" spans="1:23" x14ac:dyDescent="0.35">
      <c r="A33">
        <v>2.7911600000000001</v>
      </c>
      <c r="B33">
        <v>2.8535900000000001</v>
      </c>
      <c r="D33">
        <f t="shared" si="0"/>
        <v>45</v>
      </c>
      <c r="E33">
        <f t="shared" si="1"/>
        <v>21</v>
      </c>
      <c r="F33">
        <f t="shared" si="2"/>
        <v>24</v>
      </c>
      <c r="G33">
        <f t="shared" si="3"/>
        <v>576</v>
      </c>
      <c r="S33">
        <v>32</v>
      </c>
      <c r="T33">
        <v>38</v>
      </c>
      <c r="U33">
        <f>COUNTIF(T33:$T$51,"&gt;"&amp;T33)</f>
        <v>2</v>
      </c>
      <c r="V33">
        <f>COUNTIF(T33:$T$51,"&lt;"&amp;T33)</f>
        <v>16</v>
      </c>
      <c r="W33">
        <f t="shared" si="4"/>
        <v>-14</v>
      </c>
    </row>
    <row r="34" spans="1:23" x14ac:dyDescent="0.35">
      <c r="A34">
        <v>1.35772</v>
      </c>
      <c r="B34">
        <v>2.7207699999999999</v>
      </c>
      <c r="D34">
        <f t="shared" si="0"/>
        <v>14</v>
      </c>
      <c r="E34">
        <f t="shared" si="1"/>
        <v>16</v>
      </c>
      <c r="F34">
        <f t="shared" si="2"/>
        <v>-2</v>
      </c>
      <c r="G34">
        <f t="shared" si="3"/>
        <v>4</v>
      </c>
      <c r="S34">
        <v>33</v>
      </c>
      <c r="T34">
        <v>37</v>
      </c>
      <c r="U34">
        <f>COUNTIF(T34:$T$51,"&gt;"&amp;T34)</f>
        <v>2</v>
      </c>
      <c r="V34">
        <f>COUNTIF(T34:$T$51,"&lt;"&amp;T34)</f>
        <v>15</v>
      </c>
      <c r="W34">
        <f t="shared" si="4"/>
        <v>-13</v>
      </c>
    </row>
    <row r="35" spans="1:23" x14ac:dyDescent="0.35">
      <c r="A35">
        <v>2.4147799999999999</v>
      </c>
      <c r="B35">
        <v>6.1454000000000004</v>
      </c>
      <c r="D35">
        <f t="shared" si="0"/>
        <v>35</v>
      </c>
      <c r="E35">
        <f t="shared" si="1"/>
        <v>36</v>
      </c>
      <c r="F35">
        <f t="shared" si="2"/>
        <v>-1</v>
      </c>
      <c r="G35">
        <f t="shared" si="3"/>
        <v>1</v>
      </c>
      <c r="S35">
        <v>34</v>
      </c>
      <c r="T35">
        <v>11</v>
      </c>
      <c r="U35">
        <f>COUNTIF(T35:$T$51,"&gt;"&amp;T35)</f>
        <v>13</v>
      </c>
      <c r="V35">
        <f>COUNTIF(T35:$T$51,"&lt;"&amp;T35)</f>
        <v>3</v>
      </c>
      <c r="W35">
        <f t="shared" si="4"/>
        <v>10</v>
      </c>
    </row>
    <row r="36" spans="1:23" x14ac:dyDescent="0.35">
      <c r="A36">
        <v>1.29125</v>
      </c>
      <c r="B36">
        <v>1.12967</v>
      </c>
      <c r="D36">
        <f t="shared" si="0"/>
        <v>9</v>
      </c>
      <c r="E36">
        <f t="shared" si="1"/>
        <v>6</v>
      </c>
      <c r="F36">
        <f t="shared" si="2"/>
        <v>3</v>
      </c>
      <c r="G36">
        <f t="shared" si="3"/>
        <v>9</v>
      </c>
      <c r="S36">
        <v>35</v>
      </c>
      <c r="T36">
        <v>36</v>
      </c>
      <c r="U36">
        <f>COUNTIF(T36:$T$51,"&gt;"&amp;T36)</f>
        <v>2</v>
      </c>
      <c r="V36">
        <f>COUNTIF(T36:$T$51,"&lt;"&amp;T36)</f>
        <v>13</v>
      </c>
      <c r="W36">
        <f t="shared" si="4"/>
        <v>-11</v>
      </c>
    </row>
    <row r="37" spans="1:23" x14ac:dyDescent="0.35">
      <c r="A37">
        <v>2.69475</v>
      </c>
      <c r="B37">
        <v>0.73295500000000002</v>
      </c>
      <c r="D37">
        <f t="shared" si="0"/>
        <v>42</v>
      </c>
      <c r="E37">
        <f t="shared" si="1"/>
        <v>5</v>
      </c>
      <c r="F37">
        <f t="shared" si="2"/>
        <v>37</v>
      </c>
      <c r="G37">
        <f t="shared" si="3"/>
        <v>1369</v>
      </c>
      <c r="S37">
        <v>36</v>
      </c>
      <c r="T37">
        <v>31</v>
      </c>
      <c r="U37">
        <f>COUNTIF(T37:$T$51,"&gt;"&amp;T37)</f>
        <v>3</v>
      </c>
      <c r="V37">
        <f>COUNTIF(T37:$T$51,"&lt;"&amp;T37)</f>
        <v>11</v>
      </c>
      <c r="W37">
        <f t="shared" si="4"/>
        <v>-8</v>
      </c>
    </row>
    <row r="38" spans="1:23" x14ac:dyDescent="0.35">
      <c r="A38">
        <v>2.2817099999999999</v>
      </c>
      <c r="B38">
        <v>2.0230700000000001</v>
      </c>
      <c r="D38">
        <f t="shared" si="0"/>
        <v>34</v>
      </c>
      <c r="E38">
        <f t="shared" si="1"/>
        <v>11</v>
      </c>
      <c r="F38">
        <f t="shared" si="2"/>
        <v>23</v>
      </c>
      <c r="G38">
        <f t="shared" si="3"/>
        <v>529</v>
      </c>
      <c r="S38">
        <v>37</v>
      </c>
      <c r="T38">
        <v>44</v>
      </c>
      <c r="U38">
        <f>COUNTIF(T38:$T$51,"&gt;"&amp;T38)</f>
        <v>0</v>
      </c>
      <c r="V38">
        <f>COUNTIF(T38:$T$51,"&lt;"&amp;T38)</f>
        <v>13</v>
      </c>
      <c r="W38">
        <f t="shared" si="4"/>
        <v>-13</v>
      </c>
    </row>
    <row r="39" spans="1:23" x14ac:dyDescent="0.35">
      <c r="A39">
        <v>1.2373099999999999</v>
      </c>
      <c r="B39">
        <v>4.7182700000000004</v>
      </c>
      <c r="D39">
        <f t="shared" si="0"/>
        <v>6</v>
      </c>
      <c r="E39">
        <f t="shared" si="1"/>
        <v>27</v>
      </c>
      <c r="F39">
        <f t="shared" si="2"/>
        <v>-21</v>
      </c>
      <c r="G39">
        <f t="shared" si="3"/>
        <v>441</v>
      </c>
      <c r="S39">
        <v>38</v>
      </c>
      <c r="T39">
        <v>34</v>
      </c>
      <c r="U39">
        <f>COUNTIF(T39:$T$51,"&gt;"&amp;T39)</f>
        <v>1</v>
      </c>
      <c r="V39">
        <f>COUNTIF(T39:$T$51,"&lt;"&amp;T39)</f>
        <v>11</v>
      </c>
      <c r="W39">
        <f t="shared" si="4"/>
        <v>-10</v>
      </c>
    </row>
    <row r="40" spans="1:23" x14ac:dyDescent="0.35">
      <c r="A40">
        <v>2.9272100000000001</v>
      </c>
      <c r="B40">
        <v>3.2783500000000001</v>
      </c>
      <c r="D40">
        <f t="shared" si="0"/>
        <v>50</v>
      </c>
      <c r="E40">
        <f t="shared" si="1"/>
        <v>23</v>
      </c>
      <c r="F40">
        <f t="shared" si="2"/>
        <v>27</v>
      </c>
      <c r="G40">
        <f t="shared" si="3"/>
        <v>729</v>
      </c>
      <c r="S40">
        <v>39</v>
      </c>
      <c r="T40">
        <v>25</v>
      </c>
      <c r="U40">
        <f>COUNTIF(T40:$T$51,"&gt;"&amp;T40)</f>
        <v>3</v>
      </c>
      <c r="V40">
        <f>COUNTIF(T40:$T$51,"&lt;"&amp;T40)</f>
        <v>8</v>
      </c>
      <c r="W40">
        <f t="shared" si="4"/>
        <v>-5</v>
      </c>
    </row>
    <row r="41" spans="1:23" x14ac:dyDescent="0.35">
      <c r="A41">
        <v>1.5619799999999999</v>
      </c>
      <c r="B41">
        <v>7.3078500000000002</v>
      </c>
      <c r="D41">
        <f t="shared" si="0"/>
        <v>18</v>
      </c>
      <c r="E41">
        <f t="shared" si="1"/>
        <v>41</v>
      </c>
      <c r="F41">
        <f t="shared" si="2"/>
        <v>-23</v>
      </c>
      <c r="G41">
        <f t="shared" si="3"/>
        <v>529</v>
      </c>
      <c r="S41">
        <v>40</v>
      </c>
      <c r="T41">
        <v>7</v>
      </c>
      <c r="U41">
        <f>COUNTIF(T41:$T$51,"&gt;"&amp;T41)</f>
        <v>8</v>
      </c>
      <c r="V41">
        <f>COUNTIF(T41:$T$51,"&lt;"&amp;T41)</f>
        <v>2</v>
      </c>
      <c r="W41">
        <f t="shared" si="4"/>
        <v>6</v>
      </c>
    </row>
    <row r="42" spans="1:23" x14ac:dyDescent="0.35">
      <c r="A42">
        <v>1.2929900000000001</v>
      </c>
      <c r="B42">
        <v>1.7641899999999999</v>
      </c>
      <c r="D42">
        <f t="shared" si="0"/>
        <v>10</v>
      </c>
      <c r="E42">
        <f t="shared" si="1"/>
        <v>9</v>
      </c>
      <c r="F42">
        <f t="shared" si="2"/>
        <v>1</v>
      </c>
      <c r="G42">
        <f t="shared" si="3"/>
        <v>1</v>
      </c>
      <c r="S42">
        <v>41</v>
      </c>
      <c r="T42">
        <v>29</v>
      </c>
      <c r="U42">
        <f>COUNTIF(T42:$T$51,"&gt;"&amp;T42)</f>
        <v>2</v>
      </c>
      <c r="V42">
        <f>COUNTIF(T42:$T$51,"&lt;"&amp;T42)</f>
        <v>7</v>
      </c>
      <c r="W42">
        <f t="shared" si="4"/>
        <v>-5</v>
      </c>
    </row>
    <row r="43" spans="1:23" x14ac:dyDescent="0.35">
      <c r="A43">
        <v>2.6832699999999998</v>
      </c>
      <c r="B43">
        <v>4.7862799999999996</v>
      </c>
      <c r="D43">
        <f t="shared" si="0"/>
        <v>41</v>
      </c>
      <c r="E43">
        <f t="shared" si="1"/>
        <v>29</v>
      </c>
      <c r="F43">
        <f t="shared" si="2"/>
        <v>12</v>
      </c>
      <c r="G43">
        <f t="shared" si="3"/>
        <v>144</v>
      </c>
      <c r="S43">
        <v>42</v>
      </c>
      <c r="T43">
        <v>5</v>
      </c>
      <c r="U43">
        <f>COUNTIF(T43:$T$51,"&gt;"&amp;T43)</f>
        <v>7</v>
      </c>
      <c r="V43">
        <f>COUNTIF(T43:$T$51,"&lt;"&amp;T43)</f>
        <v>1</v>
      </c>
      <c r="W43">
        <f t="shared" si="4"/>
        <v>6</v>
      </c>
    </row>
    <row r="44" spans="1:23" x14ac:dyDescent="0.35">
      <c r="A44">
        <v>1.37456</v>
      </c>
      <c r="B44">
        <v>9.3262300000000007</v>
      </c>
      <c r="D44">
        <f t="shared" si="0"/>
        <v>15</v>
      </c>
      <c r="E44">
        <f t="shared" si="1"/>
        <v>46</v>
      </c>
      <c r="F44">
        <f t="shared" si="2"/>
        <v>-31</v>
      </c>
      <c r="G44">
        <f t="shared" si="3"/>
        <v>961</v>
      </c>
      <c r="S44">
        <v>43</v>
      </c>
      <c r="T44">
        <v>13</v>
      </c>
      <c r="U44">
        <f>COUNTIF(T44:$T$51,"&gt;"&amp;T44)</f>
        <v>6</v>
      </c>
      <c r="V44">
        <f>COUNTIF(T44:$T$51,"&lt;"&amp;T44)</f>
        <v>1</v>
      </c>
      <c r="W44">
        <f t="shared" si="4"/>
        <v>5</v>
      </c>
    </row>
    <row r="45" spans="1:23" x14ac:dyDescent="0.35">
      <c r="A45">
        <v>1.18757</v>
      </c>
      <c r="B45">
        <v>2.7852100000000002</v>
      </c>
      <c r="D45">
        <f t="shared" si="0"/>
        <v>2</v>
      </c>
      <c r="E45">
        <f t="shared" si="1"/>
        <v>19</v>
      </c>
      <c r="F45">
        <f t="shared" si="2"/>
        <v>-17</v>
      </c>
      <c r="G45">
        <f t="shared" si="3"/>
        <v>289</v>
      </c>
      <c r="S45">
        <v>44</v>
      </c>
      <c r="T45">
        <v>1</v>
      </c>
      <c r="U45">
        <f>COUNTIF(T45:$T$51,"&gt;"&amp;T45)</f>
        <v>6</v>
      </c>
      <c r="V45">
        <f>COUNTIF(T45:$T$51,"&lt;"&amp;T45)</f>
        <v>0</v>
      </c>
      <c r="W45">
        <f t="shared" si="4"/>
        <v>6</v>
      </c>
    </row>
    <row r="46" spans="1:23" x14ac:dyDescent="0.35">
      <c r="A46">
        <v>1.0218100000000001</v>
      </c>
      <c r="B46">
        <v>12.2189</v>
      </c>
      <c r="D46">
        <f t="shared" si="0"/>
        <v>1</v>
      </c>
      <c r="E46">
        <f t="shared" si="1"/>
        <v>50</v>
      </c>
      <c r="F46">
        <f t="shared" si="2"/>
        <v>-49</v>
      </c>
      <c r="G46">
        <f t="shared" si="3"/>
        <v>2401</v>
      </c>
      <c r="S46">
        <v>45</v>
      </c>
      <c r="T46">
        <v>21</v>
      </c>
      <c r="U46">
        <f>COUNTIF(T46:$T$51,"&gt;"&amp;T46)</f>
        <v>3</v>
      </c>
      <c r="V46">
        <f>COUNTIF(T46:$T$51,"&lt;"&amp;T46)</f>
        <v>2</v>
      </c>
      <c r="W46">
        <f t="shared" si="4"/>
        <v>1</v>
      </c>
    </row>
    <row r="47" spans="1:23" x14ac:dyDescent="0.35">
      <c r="A47">
        <v>1.62961</v>
      </c>
      <c r="B47">
        <v>2.7725499999999998</v>
      </c>
      <c r="D47">
        <f t="shared" si="0"/>
        <v>19</v>
      </c>
      <c r="E47">
        <f t="shared" si="1"/>
        <v>18</v>
      </c>
      <c r="F47">
        <f t="shared" si="2"/>
        <v>1</v>
      </c>
      <c r="G47">
        <f t="shared" si="3"/>
        <v>1</v>
      </c>
      <c r="S47">
        <v>46</v>
      </c>
      <c r="T47">
        <v>42</v>
      </c>
      <c r="U47">
        <f>COUNTIF(T47:$T$51,"&gt;"&amp;T47)</f>
        <v>0</v>
      </c>
      <c r="V47">
        <f>COUNTIF(T47:$T$51,"&lt;"&amp;T47)</f>
        <v>4</v>
      </c>
      <c r="W47">
        <f t="shared" si="4"/>
        <v>-4</v>
      </c>
    </row>
    <row r="48" spans="1:23" x14ac:dyDescent="0.35">
      <c r="A48">
        <v>1.4418800000000001</v>
      </c>
      <c r="B48">
        <v>4.7862299999999998</v>
      </c>
      <c r="D48">
        <f t="shared" si="0"/>
        <v>16</v>
      </c>
      <c r="E48">
        <f t="shared" si="1"/>
        <v>28</v>
      </c>
      <c r="F48">
        <f t="shared" si="2"/>
        <v>-12</v>
      </c>
      <c r="G48">
        <f t="shared" si="3"/>
        <v>144</v>
      </c>
      <c r="S48">
        <v>47</v>
      </c>
      <c r="T48">
        <v>17</v>
      </c>
      <c r="U48">
        <f>COUNTIF(T48:$T$51,"&gt;"&amp;T48)</f>
        <v>3</v>
      </c>
      <c r="V48">
        <f>COUNTIF(T48:$T$51,"&lt;"&amp;T48)</f>
        <v>0</v>
      </c>
      <c r="W48">
        <f t="shared" si="4"/>
        <v>3</v>
      </c>
    </row>
    <row r="49" spans="1:23" x14ac:dyDescent="0.35">
      <c r="A49">
        <v>2.8650799999999998</v>
      </c>
      <c r="B49">
        <v>5.0236499999999999</v>
      </c>
      <c r="D49">
        <f t="shared" si="0"/>
        <v>48</v>
      </c>
      <c r="E49">
        <f t="shared" si="1"/>
        <v>30</v>
      </c>
      <c r="F49">
        <f t="shared" si="2"/>
        <v>18</v>
      </c>
      <c r="G49">
        <f t="shared" si="3"/>
        <v>324</v>
      </c>
      <c r="S49">
        <v>48</v>
      </c>
      <c r="T49">
        <v>30</v>
      </c>
      <c r="U49">
        <f>COUNTIF(T49:$T$51,"&gt;"&amp;T49)</f>
        <v>0</v>
      </c>
      <c r="V49">
        <f>COUNTIF(T49:$T$51,"&lt;"&amp;T49)</f>
        <v>2</v>
      </c>
      <c r="W49">
        <f t="shared" si="4"/>
        <v>-2</v>
      </c>
    </row>
    <row r="50" spans="1:23" x14ac:dyDescent="0.35">
      <c r="A50">
        <v>1.22424</v>
      </c>
      <c r="B50">
        <v>2.9275000000000002</v>
      </c>
      <c r="D50">
        <f t="shared" si="0"/>
        <v>3</v>
      </c>
      <c r="E50">
        <f t="shared" si="1"/>
        <v>22</v>
      </c>
      <c r="F50">
        <f t="shared" si="2"/>
        <v>-19</v>
      </c>
      <c r="G50">
        <f t="shared" si="3"/>
        <v>361</v>
      </c>
      <c r="S50">
        <v>49</v>
      </c>
      <c r="T50">
        <v>20</v>
      </c>
      <c r="U50">
        <f>COUNTIF(T50:$T$51,"&gt;"&amp;T50)</f>
        <v>1</v>
      </c>
      <c r="V50">
        <f>COUNTIF(T50:$T$51,"&lt;"&amp;T50)</f>
        <v>0</v>
      </c>
      <c r="W50">
        <f t="shared" si="4"/>
        <v>1</v>
      </c>
    </row>
    <row r="51" spans="1:23" x14ac:dyDescent="0.35">
      <c r="A51">
        <v>2.24743</v>
      </c>
      <c r="B51">
        <v>6.2996100000000004</v>
      </c>
      <c r="D51">
        <f t="shared" si="0"/>
        <v>33</v>
      </c>
      <c r="E51">
        <f t="shared" si="1"/>
        <v>37</v>
      </c>
      <c r="F51">
        <f t="shared" si="2"/>
        <v>-4</v>
      </c>
      <c r="G51">
        <f t="shared" si="3"/>
        <v>16</v>
      </c>
      <c r="S51">
        <v>50</v>
      </c>
      <c r="T51">
        <v>23</v>
      </c>
      <c r="U51">
        <f>COUNTIF(T51:$T$51,"&gt;"&amp;T51)</f>
        <v>0</v>
      </c>
      <c r="V51">
        <f>COUNTIF(T51:$T$51,"&lt;"&amp;T51)</f>
        <v>0</v>
      </c>
      <c r="W51">
        <f t="shared" si="4"/>
        <v>0</v>
      </c>
    </row>
  </sheetData>
  <sortState xmlns:xlrd2="http://schemas.microsoft.com/office/spreadsheetml/2017/richdata2" ref="S2:T51">
    <sortCondition ref="S2:S51"/>
  </sortState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2"/>
  <sheetViews>
    <sheetView topLeftCell="A4" zoomScaleNormal="100" workbookViewId="0">
      <selection activeCell="K11" sqref="K11"/>
    </sheetView>
  </sheetViews>
  <sheetFormatPr defaultRowHeight="14.5" x14ac:dyDescent="0.35"/>
  <cols>
    <col min="4" max="4" width="12.1796875" customWidth="1"/>
    <col min="17" max="17" width="13.81640625" customWidth="1"/>
  </cols>
  <sheetData>
    <row r="1" spans="1:23" x14ac:dyDescent="0.35">
      <c r="A1" t="s">
        <v>148</v>
      </c>
      <c r="B1">
        <f>AVERAGE(B3:B52)</f>
        <v>1.9617821799999995</v>
      </c>
      <c r="C1">
        <f>AVERAGE(C3:C52)</f>
        <v>4.4752872799999999</v>
      </c>
      <c r="D1" s="18">
        <f>SUM(D3:D52)</f>
        <v>-15.530893511943523</v>
      </c>
      <c r="E1" s="18">
        <f t="shared" ref="E1:F1" si="0">SUM(E3:E52)</f>
        <v>17.343849044703379</v>
      </c>
      <c r="F1" s="18">
        <f t="shared" si="0"/>
        <v>458.63999013562</v>
      </c>
    </row>
    <row r="2" spans="1:23" x14ac:dyDescent="0.35">
      <c r="B2" t="s">
        <v>0</v>
      </c>
      <c r="C2" t="s">
        <v>1</v>
      </c>
      <c r="D2" t="s">
        <v>149</v>
      </c>
      <c r="E2" t="s">
        <v>150</v>
      </c>
      <c r="F2" t="s">
        <v>151</v>
      </c>
    </row>
    <row r="3" spans="1:23" x14ac:dyDescent="0.35">
      <c r="B3">
        <v>1.8548500000000001</v>
      </c>
      <c r="C3">
        <v>5.1363300000000001</v>
      </c>
      <c r="D3">
        <f>(B3-$B$1)*(C3-$C$1)</f>
        <v>-7.0686739122729214E-2</v>
      </c>
      <c r="E3">
        <f>(B3-$B$1)^2</f>
        <v>1.1434491119552267E-2</v>
      </c>
      <c r="F3">
        <f>(C3-$C$1)^2</f>
        <v>0.43697747766499867</v>
      </c>
      <c r="H3" s="27" t="s">
        <v>147</v>
      </c>
      <c r="R3">
        <v>5.1363300000000001</v>
      </c>
      <c r="S3">
        <v>1.8548500000000001</v>
      </c>
      <c r="T3">
        <f>$I$13+$I$12*B3</f>
        <v>5.1363299999999992</v>
      </c>
      <c r="V3">
        <v>5.1363300000000001</v>
      </c>
      <c r="W3">
        <f>$I$37+$I$36*V3</f>
        <v>1.9393973371777904</v>
      </c>
    </row>
    <row r="4" spans="1:23" x14ac:dyDescent="0.35">
      <c r="B4">
        <v>2.0194589999999999</v>
      </c>
      <c r="C4">
        <v>6.6862700000000004</v>
      </c>
      <c r="D4">
        <f t="shared" ref="D4:D52" si="1">(B4-$B$1)*(C4-$C$1)</f>
        <v>0.12752245236455131</v>
      </c>
      <c r="E4">
        <f t="shared" ref="E4:E52" si="2">(B4-$B$1)^2</f>
        <v>3.3266155653124468E-3</v>
      </c>
      <c r="F4">
        <f t="shared" ref="F4:F52" si="3">(C4-$C$1)^2</f>
        <v>4.8884445881386007</v>
      </c>
      <c r="R4">
        <v>6.6862700000000004</v>
      </c>
      <c r="S4">
        <v>2.0194589999999999</v>
      </c>
      <c r="T4">
        <f t="shared" ref="T4:T52" si="4">$I$13+$I$12*B4</f>
        <v>4.11873566033087</v>
      </c>
      <c r="V4">
        <v>6.6862700000000004</v>
      </c>
      <c r="W4">
        <f t="shared" ref="W4:W52" si="5">$I$37+$I$36*V4</f>
        <v>1.8869118287013409</v>
      </c>
    </row>
    <row r="5" spans="1:23" x14ac:dyDescent="0.35">
      <c r="B5">
        <v>2.0776699999999999</v>
      </c>
      <c r="C5">
        <v>0.29131499999999999</v>
      </c>
      <c r="D5">
        <f t="shared" si="1"/>
        <v>-0.48487142646963133</v>
      </c>
      <c r="E5">
        <f t="shared" si="2"/>
        <v>1.3429986824352497E-2</v>
      </c>
      <c r="F5">
        <f t="shared" si="3"/>
        <v>17.505624039808396</v>
      </c>
      <c r="H5" t="s">
        <v>152</v>
      </c>
      <c r="R5">
        <v>0.29131499999999999</v>
      </c>
      <c r="S5">
        <v>2.0776699999999999</v>
      </c>
      <c r="T5">
        <f t="shared" si="4"/>
        <v>3.7588817999314994</v>
      </c>
      <c r="V5">
        <v>0.29131499999999999</v>
      </c>
      <c r="W5">
        <f t="shared" si="5"/>
        <v>2.1034637370713503</v>
      </c>
    </row>
    <row r="6" spans="1:23" x14ac:dyDescent="0.35">
      <c r="B6">
        <v>1.3166599999999999</v>
      </c>
      <c r="C6">
        <v>5.1470700000000003</v>
      </c>
      <c r="D6">
        <f t="shared" si="1"/>
        <v>-0.43338193281272952</v>
      </c>
      <c r="E6">
        <f t="shared" si="2"/>
        <v>0.41618262712795179</v>
      </c>
      <c r="F6">
        <f t="shared" si="3"/>
        <v>0.45129202289059894</v>
      </c>
      <c r="R6">
        <v>5.1470700000000003</v>
      </c>
      <c r="S6">
        <v>1.3166599999999999</v>
      </c>
      <c r="T6">
        <f t="shared" si="4"/>
        <v>8.4633600996089502</v>
      </c>
      <c r="V6">
        <v>5.1470700000000003</v>
      </c>
      <c r="W6">
        <f t="shared" si="5"/>
        <v>1.9390336493182363</v>
      </c>
    </row>
    <row r="7" spans="1:23" x14ac:dyDescent="0.35">
      <c r="B7">
        <v>2.4552399999999999</v>
      </c>
      <c r="C7">
        <v>5.0792099999999998</v>
      </c>
      <c r="D7">
        <f t="shared" si="1"/>
        <v>0.29801038885967057</v>
      </c>
      <c r="E7">
        <f t="shared" si="2"/>
        <v>0.24350062011915277</v>
      </c>
      <c r="F7">
        <f t="shared" si="3"/>
        <v>0.36472265173219831</v>
      </c>
      <c r="H7" t="s">
        <v>154</v>
      </c>
      <c r="R7">
        <v>5.0792099999999998</v>
      </c>
      <c r="S7">
        <v>2.4552399999999999</v>
      </c>
      <c r="T7">
        <f t="shared" si="4"/>
        <v>1.4247864902651166</v>
      </c>
      <c r="V7">
        <v>5.0792099999999998</v>
      </c>
      <c r="W7">
        <f t="shared" si="5"/>
        <v>1.941331587693407</v>
      </c>
    </row>
    <row r="8" spans="1:23" x14ac:dyDescent="0.35">
      <c r="B8">
        <v>2.0126400000000002</v>
      </c>
      <c r="C8">
        <v>0.57628599999999996</v>
      </c>
      <c r="D8">
        <f t="shared" si="1"/>
        <v>-0.19829470527801241</v>
      </c>
      <c r="E8">
        <f t="shared" si="2"/>
        <v>2.5865178551524731E-3</v>
      </c>
      <c r="F8">
        <f t="shared" si="3"/>
        <v>15.202210981441636</v>
      </c>
      <c r="R8">
        <v>0.57628599999999996</v>
      </c>
      <c r="S8">
        <v>2.0126400000000002</v>
      </c>
      <c r="T8">
        <f t="shared" si="4"/>
        <v>4.1608899520294003</v>
      </c>
      <c r="V8">
        <v>0.57628599999999996</v>
      </c>
      <c r="W8">
        <f t="shared" si="5"/>
        <v>2.0938137842757309</v>
      </c>
    </row>
    <row r="9" spans="1:23" x14ac:dyDescent="0.35">
      <c r="B9">
        <v>2.08955</v>
      </c>
      <c r="C9">
        <v>10.639849999999999</v>
      </c>
      <c r="D9">
        <f t="shared" si="1"/>
        <v>0.78763273998767358</v>
      </c>
      <c r="E9">
        <f t="shared" si="2"/>
        <v>1.6324615827552534E-2</v>
      </c>
      <c r="F9">
        <f t="shared" si="3"/>
        <v>38.001833528813791</v>
      </c>
      <c r="R9">
        <v>10.639849999999999</v>
      </c>
      <c r="S9">
        <v>2.08955</v>
      </c>
      <c r="T9">
        <f t="shared" si="4"/>
        <v>3.6854409749749699</v>
      </c>
      <c r="V9">
        <v>10.639849999999999</v>
      </c>
      <c r="W9">
        <f t="shared" si="5"/>
        <v>1.7530320290946977</v>
      </c>
    </row>
    <row r="10" spans="1:23" x14ac:dyDescent="0.35">
      <c r="B10">
        <v>2.4561500000000001</v>
      </c>
      <c r="C10">
        <v>8.4246800000000004</v>
      </c>
      <c r="D10">
        <f t="shared" si="1"/>
        <v>1.9524526693102728</v>
      </c>
      <c r="E10">
        <f t="shared" si="2"/>
        <v>0.24439954145155296</v>
      </c>
      <c r="F10">
        <f t="shared" si="3"/>
        <v>15.597702856789002</v>
      </c>
      <c r="R10">
        <v>8.4246800000000004</v>
      </c>
      <c r="S10">
        <v>2.4561500000000001</v>
      </c>
      <c r="T10">
        <f t="shared" si="4"/>
        <v>1.4191609725285463</v>
      </c>
      <c r="V10">
        <v>8.4246800000000004</v>
      </c>
      <c r="W10">
        <f t="shared" si="5"/>
        <v>1.8280441739595159</v>
      </c>
    </row>
    <row r="11" spans="1:23" x14ac:dyDescent="0.35">
      <c r="B11">
        <v>2.72661</v>
      </c>
      <c r="C11">
        <v>2.1817000000000002</v>
      </c>
      <c r="D11">
        <f t="shared" si="1"/>
        <v>-1.7541993593421306</v>
      </c>
      <c r="E11">
        <f t="shared" si="2"/>
        <v>0.58496159424595318</v>
      </c>
      <c r="F11">
        <f t="shared" si="3"/>
        <v>5.2605426109777973</v>
      </c>
      <c r="R11">
        <v>2.1817000000000002</v>
      </c>
      <c r="S11">
        <v>2.72661</v>
      </c>
      <c r="T11">
        <f t="shared" si="4"/>
        <v>-0.25279235388078192</v>
      </c>
      <c r="V11">
        <v>2.1817000000000002</v>
      </c>
      <c r="W11">
        <f t="shared" si="5"/>
        <v>2.0394497636651199</v>
      </c>
    </row>
    <row r="12" spans="1:23" x14ac:dyDescent="0.35">
      <c r="B12">
        <v>2.9084699999999999</v>
      </c>
      <c r="C12">
        <v>2.8486600000000002</v>
      </c>
      <c r="D12">
        <f t="shared" si="1"/>
        <v>-1.5399082336557299</v>
      </c>
      <c r="E12">
        <f t="shared" si="2"/>
        <v>0.89621782853635312</v>
      </c>
      <c r="F12">
        <f t="shared" si="3"/>
        <v>2.6459163080401975</v>
      </c>
      <c r="H12" t="s">
        <v>153</v>
      </c>
      <c r="I12">
        <f>D3/E3</f>
        <v>-6.1818876226034494</v>
      </c>
      <c r="R12">
        <v>2.8486600000000002</v>
      </c>
      <c r="S12">
        <v>2.9084699999999999</v>
      </c>
      <c r="T12">
        <f t="shared" si="4"/>
        <v>-1.3770304369274449</v>
      </c>
      <c r="V12">
        <v>2.8486600000000002</v>
      </c>
      <c r="W12">
        <f t="shared" si="5"/>
        <v>2.0168645444092439</v>
      </c>
    </row>
    <row r="13" spans="1:23" x14ac:dyDescent="0.35">
      <c r="B13">
        <v>1.26769</v>
      </c>
      <c r="C13">
        <v>2.0169899999999998</v>
      </c>
      <c r="D13">
        <f t="shared" si="1"/>
        <v>1.7062849181632691</v>
      </c>
      <c r="E13">
        <f t="shared" si="2"/>
        <v>0.48176395433715169</v>
      </c>
      <c r="F13">
        <f t="shared" si="3"/>
        <v>6.0432255168553981</v>
      </c>
      <c r="H13" t="s">
        <v>90</v>
      </c>
      <c r="I13">
        <f>C1-I12*B1</f>
        <v>16.602804256786008</v>
      </c>
      <c r="R13">
        <v>2.0169899999999998</v>
      </c>
      <c r="S13">
        <v>1.26769</v>
      </c>
      <c r="T13">
        <f t="shared" si="4"/>
        <v>8.7660871364878421</v>
      </c>
      <c r="V13">
        <v>2.0169899999999998</v>
      </c>
      <c r="W13">
        <f t="shared" si="5"/>
        <v>2.0450273267328232</v>
      </c>
    </row>
    <row r="14" spans="1:23" x14ac:dyDescent="0.35">
      <c r="B14">
        <v>1.7948599999999999</v>
      </c>
      <c r="C14">
        <v>1.13697</v>
      </c>
      <c r="D14">
        <f t="shared" si="1"/>
        <v>0.55723919790926901</v>
      </c>
      <c r="E14">
        <f t="shared" si="2"/>
        <v>2.7863014175952262E-2</v>
      </c>
      <c r="F14">
        <f t="shared" si="3"/>
        <v>11.144362261946599</v>
      </c>
      <c r="R14">
        <v>1.13697</v>
      </c>
      <c r="S14">
        <v>1.7948599999999999</v>
      </c>
      <c r="T14">
        <f t="shared" si="4"/>
        <v>5.5071814384799822</v>
      </c>
      <c r="V14">
        <v>1.13697</v>
      </c>
      <c r="W14">
        <f t="shared" si="5"/>
        <v>2.0748273816829794</v>
      </c>
    </row>
    <row r="15" spans="1:23" x14ac:dyDescent="0.35">
      <c r="B15">
        <v>2.46258</v>
      </c>
      <c r="C15">
        <v>5.2546600000000003</v>
      </c>
      <c r="D15">
        <f t="shared" si="1"/>
        <v>0.390308159143471</v>
      </c>
      <c r="E15">
        <f t="shared" si="2"/>
        <v>0.25079845651675292</v>
      </c>
      <c r="F15">
        <f t="shared" si="3"/>
        <v>0.60742183668019911</v>
      </c>
      <c r="R15">
        <v>5.2546600000000003</v>
      </c>
      <c r="S15">
        <v>2.46258</v>
      </c>
      <c r="T15">
        <f t="shared" si="4"/>
        <v>1.3794114351152054</v>
      </c>
      <c r="V15">
        <v>5.2546600000000003</v>
      </c>
      <c r="W15">
        <f t="shared" si="5"/>
        <v>1.9353903367661498</v>
      </c>
    </row>
    <row r="16" spans="1:23" x14ac:dyDescent="0.35">
      <c r="B16">
        <v>1.3559600000000001</v>
      </c>
      <c r="C16">
        <v>4.67936</v>
      </c>
      <c r="D16">
        <f t="shared" si="1"/>
        <v>-0.12363178010892954</v>
      </c>
      <c r="E16">
        <f t="shared" si="2"/>
        <v>0.36702051377995171</v>
      </c>
      <c r="F16">
        <f t="shared" si="3"/>
        <v>4.1645675048198438E-2</v>
      </c>
      <c r="R16">
        <v>4.67936</v>
      </c>
      <c r="S16">
        <v>1.3559600000000001</v>
      </c>
      <c r="T16">
        <f t="shared" si="4"/>
        <v>8.2204119160406339</v>
      </c>
      <c r="V16">
        <v>4.67936</v>
      </c>
      <c r="W16">
        <f t="shared" si="5"/>
        <v>1.9548716799320152</v>
      </c>
    </row>
    <row r="17" spans="2:23" x14ac:dyDescent="0.35">
      <c r="B17">
        <v>1.9734700000000001</v>
      </c>
      <c r="C17">
        <v>5.5770600000000004</v>
      </c>
      <c r="D17">
        <f t="shared" si="1"/>
        <v>1.2877321232271035E-2</v>
      </c>
      <c r="E17">
        <f t="shared" si="2"/>
        <v>1.3660513635241334E-4</v>
      </c>
      <c r="F17">
        <f t="shared" si="3"/>
        <v>1.2139031265361995</v>
      </c>
      <c r="R17">
        <v>5.5770600000000004</v>
      </c>
      <c r="S17">
        <v>1.9734700000000001</v>
      </c>
      <c r="T17">
        <f t="shared" si="4"/>
        <v>4.4030344902067782</v>
      </c>
      <c r="V17">
        <v>5.5770600000000004</v>
      </c>
      <c r="W17">
        <f t="shared" si="5"/>
        <v>1.9244729283936919</v>
      </c>
    </row>
    <row r="18" spans="2:23" x14ac:dyDescent="0.35">
      <c r="B18">
        <v>1.82836</v>
      </c>
      <c r="C18">
        <v>7.05016</v>
      </c>
      <c r="D18">
        <f t="shared" si="1"/>
        <v>-0.34354513152492833</v>
      </c>
      <c r="E18">
        <f t="shared" si="2"/>
        <v>1.7801478115952268E-2</v>
      </c>
      <c r="F18">
        <f t="shared" si="3"/>
        <v>6.6299695242001988</v>
      </c>
      <c r="R18">
        <v>7.05016</v>
      </c>
      <c r="S18">
        <v>1.82836</v>
      </c>
      <c r="T18">
        <f t="shared" si="4"/>
        <v>5.3000882031227654</v>
      </c>
      <c r="V18">
        <v>7.05016</v>
      </c>
      <c r="W18">
        <f t="shared" si="5"/>
        <v>1.8745894473965838</v>
      </c>
    </row>
    <row r="19" spans="2:23" x14ac:dyDescent="0.35">
      <c r="B19">
        <v>1.3441099999999999</v>
      </c>
      <c r="C19">
        <v>8.7911699999999993</v>
      </c>
      <c r="D19">
        <f t="shared" si="1"/>
        <v>-2.6658006882867276</v>
      </c>
      <c r="E19">
        <f t="shared" si="2"/>
        <v>0.38151892194595188</v>
      </c>
      <c r="F19">
        <f t="shared" si="3"/>
        <v>18.626843652794594</v>
      </c>
      <c r="R19">
        <v>8.7911699999999993</v>
      </c>
      <c r="S19">
        <v>1.3441099999999999</v>
      </c>
      <c r="T19">
        <f t="shared" si="4"/>
        <v>8.2936672843684871</v>
      </c>
      <c r="V19">
        <v>8.7911699999999993</v>
      </c>
      <c r="W19">
        <f t="shared" si="5"/>
        <v>1.8156337490388519</v>
      </c>
    </row>
    <row r="20" spans="2:23" x14ac:dyDescent="0.35">
      <c r="B20">
        <v>1.88008</v>
      </c>
      <c r="C20">
        <v>10.263999999999999</v>
      </c>
      <c r="D20">
        <f t="shared" si="1"/>
        <v>-0.47295044861772673</v>
      </c>
      <c r="E20">
        <f t="shared" si="2"/>
        <v>6.6752462167523202E-3</v>
      </c>
      <c r="F20">
        <f t="shared" si="3"/>
        <v>33.509194954689789</v>
      </c>
      <c r="R20">
        <v>10.263999999999999</v>
      </c>
      <c r="S20">
        <v>1.88008</v>
      </c>
      <c r="T20">
        <f t="shared" si="4"/>
        <v>4.980360975281716</v>
      </c>
      <c r="V20">
        <v>10.263999999999999</v>
      </c>
      <c r="W20">
        <f t="shared" si="5"/>
        <v>1.7657594110326267</v>
      </c>
    </row>
    <row r="21" spans="2:23" x14ac:dyDescent="0.35">
      <c r="B21">
        <v>2.65469</v>
      </c>
      <c r="C21">
        <v>1.1330499999999999</v>
      </c>
      <c r="D21">
        <f t="shared" si="1"/>
        <v>-2.3158623476075313</v>
      </c>
      <c r="E21">
        <f t="shared" si="2"/>
        <v>0.48012124701715309</v>
      </c>
      <c r="F21">
        <f t="shared" si="3"/>
        <v>11.170550035821798</v>
      </c>
      <c r="R21">
        <v>1.1330499999999999</v>
      </c>
      <c r="S21">
        <v>2.65469</v>
      </c>
      <c r="T21">
        <f t="shared" si="4"/>
        <v>0.19180900393685718</v>
      </c>
      <c r="V21">
        <v>1.1330499999999999</v>
      </c>
      <c r="W21">
        <f t="shared" si="5"/>
        <v>2.0749601243654237</v>
      </c>
    </row>
    <row r="22" spans="2:23" x14ac:dyDescent="0.35">
      <c r="B22">
        <v>1.7806299999999999</v>
      </c>
      <c r="C22">
        <v>2.1659299999999999</v>
      </c>
      <c r="D22">
        <f t="shared" si="1"/>
        <v>0.41834510567086935</v>
      </c>
      <c r="E22">
        <f t="shared" si="2"/>
        <v>3.2816112318752234E-2</v>
      </c>
      <c r="F22">
        <f t="shared" si="3"/>
        <v>5.3331310466889983</v>
      </c>
      <c r="R22">
        <v>2.1659299999999999</v>
      </c>
      <c r="S22">
        <v>1.7806299999999999</v>
      </c>
      <c r="T22">
        <f t="shared" si="4"/>
        <v>5.5951496993496281</v>
      </c>
      <c r="V22">
        <v>2.1659299999999999</v>
      </c>
      <c r="W22">
        <f t="shared" si="5"/>
        <v>2.0399837820585245</v>
      </c>
    </row>
    <row r="23" spans="2:23" x14ac:dyDescent="0.35">
      <c r="B23">
        <v>2.5245600000000001</v>
      </c>
      <c r="C23">
        <v>4.09626</v>
      </c>
      <c r="D23">
        <f t="shared" si="1"/>
        <v>-0.21330814635892978</v>
      </c>
      <c r="E23">
        <f t="shared" si="2"/>
        <v>0.31671887468395316</v>
      </c>
      <c r="F23">
        <f t="shared" si="3"/>
        <v>0.14366167898419829</v>
      </c>
      <c r="R23">
        <v>4.09626</v>
      </c>
      <c r="S23">
        <v>2.5245600000000001</v>
      </c>
      <c r="T23">
        <f t="shared" si="4"/>
        <v>0.99625804026624287</v>
      </c>
      <c r="V23">
        <v>4.09626</v>
      </c>
      <c r="W23">
        <f t="shared" si="5"/>
        <v>1.9746171539456012</v>
      </c>
    </row>
    <row r="24" spans="2:23" x14ac:dyDescent="0.35">
      <c r="B24">
        <v>1.23054</v>
      </c>
      <c r="C24">
        <v>2.3341400000000001</v>
      </c>
      <c r="D24">
        <f t="shared" si="1"/>
        <v>1.5656972047282691</v>
      </c>
      <c r="E24">
        <f t="shared" si="2"/>
        <v>0.53471512581115166</v>
      </c>
      <c r="F24">
        <f t="shared" si="3"/>
        <v>4.584511674651397</v>
      </c>
      <c r="R24">
        <v>2.3341400000000001</v>
      </c>
      <c r="S24">
        <v>1.23054</v>
      </c>
      <c r="T24">
        <f t="shared" si="4"/>
        <v>8.9957442616675607</v>
      </c>
      <c r="V24">
        <v>2.3341400000000001</v>
      </c>
      <c r="W24">
        <f t="shared" si="5"/>
        <v>2.0342876987386389</v>
      </c>
    </row>
    <row r="25" spans="2:23" x14ac:dyDescent="0.35">
      <c r="B25">
        <v>1.2444299999999999</v>
      </c>
      <c r="C25">
        <v>9.4604800000000004</v>
      </c>
      <c r="D25">
        <f t="shared" si="1"/>
        <v>-3.576138865412128</v>
      </c>
      <c r="E25">
        <f t="shared" si="2"/>
        <v>0.51459415015075172</v>
      </c>
      <c r="F25">
        <f t="shared" si="3"/>
        <v>24.852146455541003</v>
      </c>
      <c r="R25">
        <v>9.4604800000000004</v>
      </c>
      <c r="S25">
        <v>1.2444299999999999</v>
      </c>
      <c r="T25">
        <f t="shared" si="4"/>
        <v>8.9098778425895979</v>
      </c>
      <c r="V25">
        <v>9.4604800000000004</v>
      </c>
      <c r="W25">
        <f t="shared" si="5"/>
        <v>1.7929689518993674</v>
      </c>
    </row>
    <row r="26" spans="2:23" x14ac:dyDescent="0.35">
      <c r="B26">
        <v>2.1318899999999998</v>
      </c>
      <c r="C26">
        <v>6.3081500000000004</v>
      </c>
      <c r="D26">
        <f t="shared" si="1"/>
        <v>0.31178428165847111</v>
      </c>
      <c r="E26">
        <f t="shared" si="2"/>
        <v>2.8936670425152522E-2</v>
      </c>
      <c r="F26">
        <f t="shared" si="3"/>
        <v>3.3593857503658002</v>
      </c>
      <c r="R26">
        <v>6.3081500000000004</v>
      </c>
      <c r="S26">
        <v>2.1318899999999998</v>
      </c>
      <c r="T26">
        <f t="shared" si="4"/>
        <v>3.4236998530339413</v>
      </c>
      <c r="V26">
        <v>6.3081500000000004</v>
      </c>
      <c r="W26">
        <f t="shared" si="5"/>
        <v>1.8997160794885424</v>
      </c>
    </row>
    <row r="27" spans="2:23" x14ac:dyDescent="0.35">
      <c r="B27">
        <v>1.45451</v>
      </c>
      <c r="C27">
        <v>4.0541200000000002</v>
      </c>
      <c r="D27">
        <f t="shared" si="1"/>
        <v>0.21364644427027005</v>
      </c>
      <c r="E27">
        <f t="shared" si="2"/>
        <v>0.25732506460195192</v>
      </c>
      <c r="F27">
        <f t="shared" si="3"/>
        <v>0.17738187774259814</v>
      </c>
      <c r="R27">
        <v>4.0541200000000002</v>
      </c>
      <c r="S27">
        <v>1.45451</v>
      </c>
      <c r="T27">
        <f t="shared" si="4"/>
        <v>7.611186890833066</v>
      </c>
      <c r="V27">
        <v>4.0541200000000002</v>
      </c>
      <c r="W27">
        <f t="shared" si="5"/>
        <v>1.9760441377818772</v>
      </c>
    </row>
    <row r="28" spans="2:23" x14ac:dyDescent="0.35">
      <c r="B28">
        <v>2.8380100000000001</v>
      </c>
      <c r="C28">
        <v>2.7465700000000002</v>
      </c>
      <c r="D28">
        <f t="shared" si="1"/>
        <v>-1.5147501736507305</v>
      </c>
      <c r="E28">
        <f t="shared" si="2"/>
        <v>0.76777519254195359</v>
      </c>
      <c r="F28">
        <f t="shared" si="3"/>
        <v>2.9884634341705971</v>
      </c>
      <c r="R28">
        <v>2.7465700000000002</v>
      </c>
      <c r="S28">
        <v>2.8380100000000001</v>
      </c>
      <c r="T28">
        <f t="shared" si="4"/>
        <v>-0.94145463503880933</v>
      </c>
      <c r="V28">
        <v>2.7465700000000002</v>
      </c>
      <c r="W28">
        <f t="shared" si="5"/>
        <v>2.020321610850758</v>
      </c>
    </row>
    <row r="29" spans="2:23" x14ac:dyDescent="0.35">
      <c r="B29">
        <v>1.2317800000000001</v>
      </c>
      <c r="C29">
        <v>2.3625500000000001</v>
      </c>
      <c r="D29">
        <f t="shared" si="1"/>
        <v>1.5423028201672688</v>
      </c>
      <c r="E29">
        <f t="shared" si="2"/>
        <v>0.53290318280475146</v>
      </c>
      <c r="F29">
        <f t="shared" si="3"/>
        <v>4.4636588143017972</v>
      </c>
      <c r="R29">
        <v>2.3625500000000001</v>
      </c>
      <c r="S29">
        <v>1.2317800000000001</v>
      </c>
      <c r="T29">
        <f t="shared" si="4"/>
        <v>8.9880787210155297</v>
      </c>
      <c r="V29">
        <v>2.3625500000000001</v>
      </c>
      <c r="W29">
        <f t="shared" si="5"/>
        <v>2.0333256529202099</v>
      </c>
    </row>
    <row r="30" spans="2:23" x14ac:dyDescent="0.35">
      <c r="B30">
        <v>2.7359800000000001</v>
      </c>
      <c r="C30">
        <v>-1.51603</v>
      </c>
      <c r="D30">
        <f t="shared" si="1"/>
        <v>-4.6384647771043328</v>
      </c>
      <c r="E30">
        <f t="shared" si="2"/>
        <v>0.59938226449275334</v>
      </c>
      <c r="F30">
        <f t="shared" si="3"/>
        <v>35.895882749626594</v>
      </c>
      <c r="R30">
        <v>-1.51603</v>
      </c>
      <c r="S30">
        <v>2.7359800000000001</v>
      </c>
      <c r="T30">
        <f t="shared" si="4"/>
        <v>-0.31071664090457674</v>
      </c>
      <c r="V30">
        <v>-1.51603</v>
      </c>
      <c r="W30">
        <f t="shared" si="5"/>
        <v>2.1646657328372307</v>
      </c>
    </row>
    <row r="31" spans="2:23" x14ac:dyDescent="0.35">
      <c r="B31">
        <v>2.0678200000000002</v>
      </c>
      <c r="C31">
        <v>7.6174799999999996</v>
      </c>
      <c r="D31">
        <f t="shared" si="1"/>
        <v>0.33319126604867266</v>
      </c>
      <c r="E31">
        <f t="shared" si="2"/>
        <v>1.1244019270352554E-2</v>
      </c>
      <c r="F31">
        <f t="shared" si="3"/>
        <v>9.8733750896209962</v>
      </c>
      <c r="R31">
        <v>7.6174799999999996</v>
      </c>
      <c r="S31">
        <v>2.0678200000000002</v>
      </c>
      <c r="T31">
        <f t="shared" si="4"/>
        <v>3.8197733930141418</v>
      </c>
      <c r="V31">
        <v>7.6174799999999996</v>
      </c>
      <c r="W31">
        <f t="shared" si="5"/>
        <v>1.8553783304056943</v>
      </c>
    </row>
    <row r="32" spans="2:23" x14ac:dyDescent="0.35">
      <c r="B32">
        <v>2.03674</v>
      </c>
      <c r="C32">
        <v>0.29575800000000002</v>
      </c>
      <c r="D32">
        <f t="shared" si="1"/>
        <v>-0.31328840345497172</v>
      </c>
      <c r="E32">
        <f t="shared" si="2"/>
        <v>5.6186747791524758E-3</v>
      </c>
      <c r="F32">
        <f t="shared" si="3"/>
        <v>17.468465002377314</v>
      </c>
      <c r="R32">
        <v>0.29575800000000002</v>
      </c>
      <c r="S32">
        <v>2.03674</v>
      </c>
      <c r="T32">
        <f t="shared" si="4"/>
        <v>4.0119064603246581</v>
      </c>
      <c r="V32">
        <v>0.29575800000000002</v>
      </c>
      <c r="W32">
        <f t="shared" si="5"/>
        <v>2.1033132840769371</v>
      </c>
    </row>
    <row r="33" spans="2:23" x14ac:dyDescent="0.35">
      <c r="B33">
        <v>2.80681</v>
      </c>
      <c r="C33">
        <v>7.3238899999999996</v>
      </c>
      <c r="D33">
        <f t="shared" si="1"/>
        <v>2.4071485465276719</v>
      </c>
      <c r="E33">
        <f t="shared" si="2"/>
        <v>0.71407201657395336</v>
      </c>
      <c r="F33">
        <f t="shared" si="3"/>
        <v>8.1145374563913961</v>
      </c>
      <c r="R33">
        <v>7.3238899999999996</v>
      </c>
      <c r="S33">
        <v>2.80681</v>
      </c>
      <c r="T33">
        <f t="shared" si="4"/>
        <v>-0.74857974121357884</v>
      </c>
      <c r="V33">
        <v>7.3238899999999996</v>
      </c>
      <c r="W33">
        <f t="shared" si="5"/>
        <v>1.8653201477880452</v>
      </c>
    </row>
    <row r="34" spans="2:23" x14ac:dyDescent="0.35">
      <c r="B34">
        <v>2.7911600000000001</v>
      </c>
      <c r="C34">
        <v>2.8535900000000001</v>
      </c>
      <c r="D34">
        <f t="shared" si="1"/>
        <v>-1.3449997547863304</v>
      </c>
      <c r="E34">
        <f t="shared" si="2"/>
        <v>0.68786756830795337</v>
      </c>
      <c r="F34">
        <f t="shared" si="3"/>
        <v>2.6299020679593976</v>
      </c>
      <c r="H34" t="s">
        <v>155</v>
      </c>
      <c r="R34">
        <v>2.8535900000000001</v>
      </c>
      <c r="S34">
        <v>2.7911600000000001</v>
      </c>
      <c r="T34">
        <f t="shared" si="4"/>
        <v>-0.65183319991983524</v>
      </c>
      <c r="V34">
        <v>2.8535900000000001</v>
      </c>
      <c r="W34">
        <f t="shared" si="5"/>
        <v>2.0166976001683126</v>
      </c>
    </row>
    <row r="35" spans="2:23" x14ac:dyDescent="0.35">
      <c r="B35">
        <v>1.35772</v>
      </c>
      <c r="C35">
        <v>2.7207699999999999</v>
      </c>
      <c r="D35">
        <f t="shared" si="1"/>
        <v>1.0598375330044694</v>
      </c>
      <c r="E35">
        <f t="shared" si="2"/>
        <v>0.36489111730635171</v>
      </c>
      <c r="F35">
        <f t="shared" si="3"/>
        <v>3.0783308858185983</v>
      </c>
      <c r="R35">
        <v>2.7207699999999999</v>
      </c>
      <c r="S35">
        <v>1.35772</v>
      </c>
      <c r="T35">
        <f t="shared" si="4"/>
        <v>8.2095317938248531</v>
      </c>
      <c r="V35">
        <v>2.7207699999999999</v>
      </c>
      <c r="W35">
        <f t="shared" si="5"/>
        <v>2.0211952744239885</v>
      </c>
    </row>
    <row r="36" spans="2:23" x14ac:dyDescent="0.35">
      <c r="B36">
        <v>2.4147799999999999</v>
      </c>
      <c r="C36">
        <v>6.1454000000000004</v>
      </c>
      <c r="D36">
        <f t="shared" si="1"/>
        <v>0.75655742131427139</v>
      </c>
      <c r="E36">
        <f t="shared" si="2"/>
        <v>0.20520702492475279</v>
      </c>
      <c r="F36">
        <f t="shared" si="3"/>
        <v>2.7892764975058002</v>
      </c>
      <c r="H36" t="s">
        <v>153</v>
      </c>
      <c r="I36">
        <f>D1/F1</f>
        <v>-3.3862929194968437E-2</v>
      </c>
      <c r="R36">
        <v>6.1454000000000004</v>
      </c>
      <c r="S36">
        <v>2.4147799999999999</v>
      </c>
      <c r="T36">
        <f t="shared" si="4"/>
        <v>1.6749056634756521</v>
      </c>
      <c r="V36">
        <v>6.1454000000000004</v>
      </c>
      <c r="W36">
        <f t="shared" si="5"/>
        <v>1.9052272712150236</v>
      </c>
    </row>
    <row r="37" spans="2:23" x14ac:dyDescent="0.35">
      <c r="B37">
        <v>1.29125</v>
      </c>
      <c r="C37">
        <v>1.12967</v>
      </c>
      <c r="D37">
        <f t="shared" si="1"/>
        <v>2.2433440482040687</v>
      </c>
      <c r="E37">
        <f t="shared" si="2"/>
        <v>0.4496134044155517</v>
      </c>
      <c r="F37">
        <f t="shared" si="3"/>
        <v>11.193154984234598</v>
      </c>
      <c r="H37" t="s">
        <v>90</v>
      </c>
      <c r="I37">
        <f>B1-I36*C1</f>
        <v>2.1133285162897826</v>
      </c>
      <c r="R37">
        <v>1.12967</v>
      </c>
      <c r="S37">
        <v>1.29125</v>
      </c>
      <c r="T37">
        <f t="shared" si="4"/>
        <v>8.6204418640993055</v>
      </c>
      <c r="V37">
        <v>1.12967</v>
      </c>
      <c r="W37">
        <f t="shared" si="5"/>
        <v>2.0750745810661027</v>
      </c>
    </row>
    <row r="38" spans="2:23" x14ac:dyDescent="0.35">
      <c r="B38">
        <v>2.69475</v>
      </c>
      <c r="C38">
        <v>0.73295500000000002</v>
      </c>
      <c r="D38">
        <f t="shared" si="1"/>
        <v>-2.7430091329872313</v>
      </c>
      <c r="E38">
        <f t="shared" si="2"/>
        <v>0.53724182515555308</v>
      </c>
      <c r="F38">
        <f t="shared" si="3"/>
        <v>14.005050893929997</v>
      </c>
      <c r="R38">
        <v>0.73295500000000002</v>
      </c>
      <c r="S38">
        <v>2.69475</v>
      </c>
      <c r="T38">
        <f t="shared" si="4"/>
        <v>-5.5837414224637172E-2</v>
      </c>
      <c r="V38">
        <v>0.73295500000000002</v>
      </c>
      <c r="W38">
        <f t="shared" si="5"/>
        <v>2.0885085130216843</v>
      </c>
    </row>
    <row r="39" spans="2:23" x14ac:dyDescent="0.35">
      <c r="B39">
        <v>2.2817099999999999</v>
      </c>
      <c r="C39">
        <v>2.0230700000000001</v>
      </c>
      <c r="D39">
        <f t="shared" si="1"/>
        <v>-0.7845325285567305</v>
      </c>
      <c r="E39">
        <f t="shared" si="2"/>
        <v>0.10235381000995267</v>
      </c>
      <c r="F39">
        <f t="shared" si="3"/>
        <v>6.0133695883305966</v>
      </c>
      <c r="R39">
        <v>2.0230700000000001</v>
      </c>
      <c r="S39">
        <v>2.2817099999999999</v>
      </c>
      <c r="T39">
        <f t="shared" si="4"/>
        <v>2.4975294494154916</v>
      </c>
      <c r="V39">
        <v>2.0230700000000001</v>
      </c>
      <c r="W39">
        <f t="shared" si="5"/>
        <v>2.0448214401233176</v>
      </c>
    </row>
    <row r="40" spans="2:23" x14ac:dyDescent="0.35">
      <c r="B40">
        <v>1.2373099999999999</v>
      </c>
      <c r="C40">
        <v>4.7182700000000004</v>
      </c>
      <c r="D40">
        <f t="shared" si="1"/>
        <v>-0.1760342208607299</v>
      </c>
      <c r="E40">
        <f t="shared" si="2"/>
        <v>0.52485993959395183</v>
      </c>
      <c r="F40">
        <f t="shared" si="3"/>
        <v>5.9040602218598665E-2</v>
      </c>
      <c r="R40">
        <v>4.7182700000000004</v>
      </c>
      <c r="S40">
        <v>1.2373099999999999</v>
      </c>
      <c r="T40">
        <f t="shared" si="4"/>
        <v>8.9538928824625348</v>
      </c>
      <c r="V40">
        <v>4.7182700000000004</v>
      </c>
      <c r="W40">
        <f t="shared" si="5"/>
        <v>1.9535540733570389</v>
      </c>
    </row>
    <row r="41" spans="2:23" x14ac:dyDescent="0.35">
      <c r="B41">
        <v>2.9272100000000001</v>
      </c>
      <c r="C41">
        <v>3.2783500000000001</v>
      </c>
      <c r="D41">
        <f t="shared" si="1"/>
        <v>-1.15555654890713</v>
      </c>
      <c r="E41">
        <f t="shared" si="2"/>
        <v>0.93205087562995359</v>
      </c>
      <c r="F41">
        <f t="shared" si="3"/>
        <v>1.4326588522537977</v>
      </c>
      <c r="R41">
        <v>3.2783500000000001</v>
      </c>
      <c r="S41">
        <v>2.9272100000000001</v>
      </c>
      <c r="T41">
        <f t="shared" si="4"/>
        <v>-1.4928790109750345</v>
      </c>
      <c r="V41">
        <v>3.2783500000000001</v>
      </c>
      <c r="W41">
        <f t="shared" si="5"/>
        <v>2.0023139823634577</v>
      </c>
    </row>
    <row r="42" spans="2:23" x14ac:dyDescent="0.35">
      <c r="B42">
        <v>1.5619799999999999</v>
      </c>
      <c r="C42">
        <v>7.3078500000000002</v>
      </c>
      <c r="D42">
        <f t="shared" si="1"/>
        <v>-1.1324647504427285</v>
      </c>
      <c r="E42">
        <f t="shared" si="2"/>
        <v>0.15984178313275205</v>
      </c>
      <c r="F42">
        <f t="shared" si="3"/>
        <v>8.0234115627338003</v>
      </c>
      <c r="R42">
        <v>7.3078500000000002</v>
      </c>
      <c r="S42">
        <v>1.5619799999999999</v>
      </c>
      <c r="T42">
        <f t="shared" si="4"/>
        <v>6.9468194280318727</v>
      </c>
      <c r="V42">
        <v>7.3078500000000002</v>
      </c>
      <c r="W42">
        <f t="shared" si="5"/>
        <v>1.8658633091723325</v>
      </c>
    </row>
    <row r="43" spans="2:23" x14ac:dyDescent="0.35">
      <c r="B43">
        <v>1.2929900000000001</v>
      </c>
      <c r="C43">
        <v>1.7641899999999999</v>
      </c>
      <c r="D43">
        <f t="shared" si="1"/>
        <v>1.8131606600832686</v>
      </c>
      <c r="E43">
        <f t="shared" si="2"/>
        <v>0.44728298002915162</v>
      </c>
      <c r="F43">
        <f t="shared" si="3"/>
        <v>7.3500484616233965</v>
      </c>
      <c r="R43">
        <v>1.7641899999999999</v>
      </c>
      <c r="S43">
        <v>1.2929900000000001</v>
      </c>
      <c r="T43">
        <f t="shared" si="4"/>
        <v>8.6096853796359731</v>
      </c>
      <c r="V43">
        <v>1.7641899999999999</v>
      </c>
      <c r="W43">
        <f t="shared" si="5"/>
        <v>2.053587875233311</v>
      </c>
    </row>
    <row r="44" spans="2:23" x14ac:dyDescent="0.35">
      <c r="B44">
        <v>2.6832699999999998</v>
      </c>
      <c r="C44">
        <v>4.7862799999999996</v>
      </c>
      <c r="D44">
        <f t="shared" si="1"/>
        <v>0.22437745958867034</v>
      </c>
      <c r="E44">
        <f t="shared" si="2"/>
        <v>0.52054467440835284</v>
      </c>
      <c r="F44">
        <f t="shared" si="3"/>
        <v>9.6716471892998257E-2</v>
      </c>
      <c r="R44">
        <v>4.7862799999999996</v>
      </c>
      <c r="S44">
        <v>2.6832699999999998</v>
      </c>
      <c r="T44">
        <f t="shared" si="4"/>
        <v>1.5130655682852989E-2</v>
      </c>
      <c r="V44">
        <v>4.7862799999999996</v>
      </c>
      <c r="W44">
        <f t="shared" si="5"/>
        <v>1.9512510555424891</v>
      </c>
    </row>
    <row r="45" spans="2:23" x14ac:dyDescent="0.35">
      <c r="B45">
        <v>1.37456</v>
      </c>
      <c r="C45">
        <v>9.3262300000000007</v>
      </c>
      <c r="D45">
        <f t="shared" si="1"/>
        <v>-2.8485811590935275</v>
      </c>
      <c r="E45">
        <f t="shared" si="2"/>
        <v>0.34482988868395181</v>
      </c>
      <c r="F45">
        <f t="shared" si="3"/>
        <v>23.531645272721008</v>
      </c>
      <c r="R45">
        <v>9.3262300000000007</v>
      </c>
      <c r="S45">
        <v>1.37456</v>
      </c>
      <c r="T45">
        <f t="shared" si="4"/>
        <v>8.1054288062602105</v>
      </c>
      <c r="V45">
        <v>9.3262300000000007</v>
      </c>
      <c r="W45">
        <f t="shared" si="5"/>
        <v>1.797515050143792</v>
      </c>
    </row>
    <row r="46" spans="2:23" x14ac:dyDescent="0.35">
      <c r="B46">
        <v>1.18757</v>
      </c>
      <c r="C46">
        <v>2.7852100000000002</v>
      </c>
      <c r="D46">
        <f t="shared" si="1"/>
        <v>1.3084784153172693</v>
      </c>
      <c r="E46">
        <f t="shared" si="2"/>
        <v>0.59940449966035159</v>
      </c>
      <c r="F46">
        <f t="shared" si="3"/>
        <v>2.8563612123721973</v>
      </c>
      <c r="R46">
        <v>2.7852100000000002</v>
      </c>
      <c r="S46">
        <v>1.18757</v>
      </c>
      <c r="T46">
        <f t="shared" si="4"/>
        <v>9.261379972810829</v>
      </c>
      <c r="V46">
        <v>2.7852100000000002</v>
      </c>
      <c r="W46">
        <f t="shared" si="5"/>
        <v>2.0190131472666644</v>
      </c>
    </row>
    <row r="47" spans="2:23" x14ac:dyDescent="0.35">
      <c r="B47">
        <v>1.0218100000000001</v>
      </c>
      <c r="C47">
        <v>12.2189</v>
      </c>
      <c r="D47">
        <f t="shared" si="1"/>
        <v>-7.2787805294941244</v>
      </c>
      <c r="E47">
        <f t="shared" si="2"/>
        <v>0.88354769917395126</v>
      </c>
      <c r="F47">
        <f t="shared" si="3"/>
        <v>59.963537957345793</v>
      </c>
      <c r="R47">
        <v>12.2189</v>
      </c>
      <c r="S47">
        <v>1.0218100000000001</v>
      </c>
      <c r="T47">
        <f t="shared" si="4"/>
        <v>10.286089665133577</v>
      </c>
      <c r="V47">
        <v>12.2189</v>
      </c>
      <c r="W47">
        <f t="shared" si="5"/>
        <v>1.6995607707493827</v>
      </c>
    </row>
    <row r="48" spans="2:23" x14ac:dyDescent="0.35">
      <c r="B48">
        <v>1.62961</v>
      </c>
      <c r="C48">
        <v>2.7725499999999998</v>
      </c>
      <c r="D48">
        <f t="shared" si="1"/>
        <v>0.56560195426486948</v>
      </c>
      <c r="E48">
        <f t="shared" si="2"/>
        <v>0.11033835716595206</v>
      </c>
      <c r="F48">
        <f t="shared" si="3"/>
        <v>2.8993142447017983</v>
      </c>
      <c r="R48">
        <v>2.7725499999999998</v>
      </c>
      <c r="S48">
        <v>1.62961</v>
      </c>
      <c r="T48">
        <f t="shared" si="4"/>
        <v>6.5287383681152011</v>
      </c>
      <c r="V48">
        <v>2.7725499999999998</v>
      </c>
      <c r="W48">
        <f t="shared" si="5"/>
        <v>2.019441851950273</v>
      </c>
    </row>
    <row r="49" spans="2:23" x14ac:dyDescent="0.35">
      <c r="B49">
        <v>1.4418800000000001</v>
      </c>
      <c r="C49">
        <v>4.7862299999999998</v>
      </c>
      <c r="D49">
        <f t="shared" si="1"/>
        <v>-0.16165979798312938</v>
      </c>
      <c r="E49">
        <f t="shared" si="2"/>
        <v>0.27029827676875179</v>
      </c>
      <c r="F49">
        <f t="shared" si="3"/>
        <v>9.668537512099834E-2</v>
      </c>
      <c r="R49">
        <v>4.7862299999999998</v>
      </c>
      <c r="S49">
        <v>1.4418800000000001</v>
      </c>
      <c r="T49">
        <f t="shared" si="4"/>
        <v>7.6892641315065458</v>
      </c>
      <c r="V49">
        <v>4.7862299999999998</v>
      </c>
      <c r="W49">
        <f t="shared" si="5"/>
        <v>1.9512527486889488</v>
      </c>
    </row>
    <row r="50" spans="2:23" x14ac:dyDescent="0.35">
      <c r="B50">
        <v>2.8650799999999998</v>
      </c>
      <c r="C50">
        <v>5.0236499999999999</v>
      </c>
      <c r="D50">
        <f t="shared" si="1"/>
        <v>0.49533484954527068</v>
      </c>
      <c r="E50">
        <f t="shared" si="2"/>
        <v>0.81594695161675301</v>
      </c>
      <c r="F50">
        <f t="shared" si="3"/>
        <v>0.3007016726857985</v>
      </c>
      <c r="R50">
        <v>5.0236499999999999</v>
      </c>
      <c r="S50">
        <v>2.8650799999999998</v>
      </c>
      <c r="T50">
        <f t="shared" si="4"/>
        <v>-1.1087983329826798</v>
      </c>
      <c r="V50">
        <v>5.0236499999999999</v>
      </c>
      <c r="W50">
        <f t="shared" si="5"/>
        <v>1.9432130120394793</v>
      </c>
    </row>
    <row r="51" spans="2:23" x14ac:dyDescent="0.35">
      <c r="B51">
        <v>1.22424</v>
      </c>
      <c r="C51">
        <v>2.9275000000000002</v>
      </c>
      <c r="D51">
        <f t="shared" si="1"/>
        <v>1.1415584046674694</v>
      </c>
      <c r="E51">
        <f t="shared" si="2"/>
        <v>0.5439684672791516</v>
      </c>
      <c r="F51">
        <f t="shared" si="3"/>
        <v>2.3956454641297973</v>
      </c>
      <c r="R51">
        <v>2.9275000000000002</v>
      </c>
      <c r="S51">
        <v>1.22424</v>
      </c>
      <c r="T51">
        <f t="shared" si="4"/>
        <v>9.0346901536899615</v>
      </c>
      <c r="V51">
        <v>2.9275000000000002</v>
      </c>
      <c r="W51">
        <f t="shared" si="5"/>
        <v>2.0141947910715126</v>
      </c>
    </row>
    <row r="52" spans="2:23" x14ac:dyDescent="0.35">
      <c r="B52">
        <v>2.24743</v>
      </c>
      <c r="C52">
        <v>6.2996100000000004</v>
      </c>
      <c r="D52">
        <f t="shared" si="1"/>
        <v>0.5211138079444716</v>
      </c>
      <c r="E52">
        <f t="shared" si="2"/>
        <v>8.1594677070752714E-2</v>
      </c>
      <c r="F52">
        <f t="shared" si="3"/>
        <v>3.3281533867082</v>
      </c>
      <c r="R52">
        <v>6.2996100000000004</v>
      </c>
      <c r="S52">
        <v>2.24743</v>
      </c>
      <c r="T52">
        <f t="shared" si="4"/>
        <v>2.7094445571183385</v>
      </c>
      <c r="V52">
        <v>6.2996100000000004</v>
      </c>
      <c r="W52">
        <f t="shared" si="5"/>
        <v>1.9000052689038673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 1</vt:lpstr>
      <vt:lpstr>Задание 2</vt:lpstr>
      <vt:lpstr>Задание 3</vt:lpstr>
      <vt:lpstr>Задание 4.1</vt:lpstr>
      <vt:lpstr>Задание 4.2</vt:lpstr>
      <vt:lpstr>Задание 4.3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2023-12-05T09:46:13Z</dcterms:modified>
</cp:coreProperties>
</file>