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lemson-my.sharepoint.com/personal/ipalmer_clemson_edu/Documents/[01] Year 4/IE 3610/Final Exam Review/"/>
    </mc:Choice>
  </mc:AlternateContent>
  <xr:revisionPtr revIDLastSave="519" documentId="8_{2D0F88B9-369E-444F-87DC-0D216E18B6E9}" xr6:coauthVersionLast="47" xr6:coauthVersionMax="47" xr10:uidLastSave="{C74ACA12-0285-FC4B-9560-1B2985040548}"/>
  <bookViews>
    <workbookView xWindow="0" yWindow="500" windowWidth="16800" windowHeight="20500" activeTab="3" xr2:uid="{804B7B61-0B48-42EE-9574-7871DD0D92E2}"/>
  </bookViews>
  <sheets>
    <sheet name="Sheet1" sheetId="1" r:id="rId1"/>
    <sheet name="chapter 8" sheetId="2" r:id="rId2"/>
    <sheet name="chapter 9" sheetId="3" r:id="rId3"/>
    <sheet name="chapter 1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4" l="1"/>
  <c r="E2" i="4"/>
  <c r="H34" i="3"/>
  <c r="H33" i="3"/>
  <c r="G24" i="3"/>
  <c r="G26" i="3"/>
  <c r="B12" i="4" l="1"/>
  <c r="E3" i="4"/>
  <c r="B10" i="4"/>
  <c r="B9" i="4"/>
  <c r="K24" i="3"/>
  <c r="G3" i="2"/>
  <c r="B34" i="3"/>
  <c r="G25" i="3" s="1"/>
  <c r="B33" i="3"/>
  <c r="L25" i="3"/>
  <c r="L26" i="3"/>
  <c r="L27" i="3"/>
  <c r="L28" i="3"/>
  <c r="L29" i="3"/>
  <c r="L30" i="3"/>
  <c r="L31" i="3"/>
  <c r="L24" i="3"/>
  <c r="K25" i="3"/>
  <c r="K26" i="3"/>
  <c r="K27" i="3"/>
  <c r="K28" i="3"/>
  <c r="K29" i="3"/>
  <c r="K30" i="3"/>
  <c r="K31" i="3"/>
  <c r="H17" i="3"/>
  <c r="H18" i="3" s="1"/>
  <c r="B11" i="4" l="1"/>
  <c r="B14" i="4" s="1"/>
  <c r="H4" i="4" s="1"/>
  <c r="B32" i="3"/>
  <c r="B29" i="3"/>
  <c r="B27" i="3"/>
  <c r="G12" i="3"/>
  <c r="B20" i="3"/>
  <c r="B17" i="3"/>
  <c r="B15" i="3"/>
  <c r="E2" i="3"/>
  <c r="E4" i="3" s="1"/>
  <c r="E3" i="3"/>
  <c r="E5" i="3" s="1"/>
  <c r="F5" i="3" s="1"/>
  <c r="E6" i="2" a="1"/>
  <c r="E6" i="2" s="1"/>
  <c r="G4" i="2"/>
  <c r="E2" i="2"/>
  <c r="N12" i="1"/>
  <c r="N11" i="1"/>
  <c r="H6" i="1"/>
  <c r="H11" i="1"/>
  <c r="H12" i="1"/>
  <c r="H10" i="1"/>
  <c r="H9" i="1"/>
  <c r="H8" i="1"/>
  <c r="H5" i="1"/>
  <c r="H4" i="1"/>
  <c r="H3" i="1"/>
  <c r="B13" i="4" l="1"/>
  <c r="E7" i="4" s="1"/>
  <c r="F2" i="3"/>
  <c r="F4" i="3"/>
  <c r="H13" i="1"/>
  <c r="H15" i="1" s="1"/>
  <c r="E9" i="4" l="1"/>
  <c r="E8" i="4"/>
  <c r="G2" i="3"/>
  <c r="G3" i="3"/>
  <c r="H6" i="3" s="1"/>
  <c r="H7" i="3" s="1"/>
  <c r="H14" i="1"/>
  <c r="H16" i="1"/>
  <c r="H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<sst xmlns="http://schemas.openxmlformats.org/spreadsheetml/2006/main" count="130" uniqueCount="107">
  <si>
    <t>Input data here</t>
  </si>
  <si>
    <t>Calculations</t>
  </si>
  <si>
    <t>median</t>
  </si>
  <si>
    <t>mean</t>
  </si>
  <si>
    <t>std dev (.s)</t>
  </si>
  <si>
    <t>variance</t>
  </si>
  <si>
    <t>Data&gt;Text to columns</t>
  </si>
  <si>
    <t xml:space="preserve">copy&gt;paste below exisitng text&gt;transpose </t>
  </si>
  <si>
    <t>trimmed percent</t>
  </si>
  <si>
    <t>trimmed mean</t>
  </si>
  <si>
    <t>mode</t>
  </si>
  <si>
    <t>range</t>
  </si>
  <si>
    <t>upper quartile</t>
  </si>
  <si>
    <t>lower quartile</t>
  </si>
  <si>
    <t>inner quartile (fourth spread)</t>
  </si>
  <si>
    <t>extreme outlier lower bound</t>
  </si>
  <si>
    <t>extreme outlier upper bound</t>
  </si>
  <si>
    <t>outlier lower bound</t>
  </si>
  <si>
    <t>outlier upper bound</t>
  </si>
  <si>
    <t xml:space="preserve">anything equal to or below </t>
  </si>
  <si>
    <t>anything equal to or above</t>
  </si>
  <si>
    <t>x bar</t>
  </si>
  <si>
    <t>sum of xi</t>
  </si>
  <si>
    <t>sim of xi sqaured</t>
  </si>
  <si>
    <t>Input</t>
  </si>
  <si>
    <t>n</t>
  </si>
  <si>
    <t>s squared</t>
  </si>
  <si>
    <t>output</t>
  </si>
  <si>
    <t>miu 0</t>
  </si>
  <si>
    <t>std dev</t>
  </si>
  <si>
    <t>Case 1/2/3</t>
  </si>
  <si>
    <t>Case 5: binomial</t>
  </si>
  <si>
    <t>Case 4: unknown std dev, non-normal, small n</t>
  </si>
  <si>
    <t>z value</t>
  </si>
  <si>
    <t>miu 1</t>
  </si>
  <si>
    <t>type 2 error</t>
  </si>
  <si>
    <t>miu &gt; miu 0</t>
  </si>
  <si>
    <t xml:space="preserve">miu &lt; miu 0 </t>
  </si>
  <si>
    <t>miu not equal to miu 0</t>
  </si>
  <si>
    <t>z-alpha</t>
  </si>
  <si>
    <t>z-beta</t>
  </si>
  <si>
    <t>phi of:</t>
  </si>
  <si>
    <t>1- phi of:</t>
  </si>
  <si>
    <t>2 times phi of:</t>
  </si>
  <si>
    <t>s1</t>
  </si>
  <si>
    <t>s2</t>
  </si>
  <si>
    <t>m</t>
  </si>
  <si>
    <t>X bar</t>
  </si>
  <si>
    <t>Y bar</t>
  </si>
  <si>
    <t>DOF</t>
  </si>
  <si>
    <t xml:space="preserve">n </t>
  </si>
  <si>
    <t>miu 1 - miu 2</t>
  </si>
  <si>
    <t>s1 squared</t>
  </si>
  <si>
    <t>s2 squared</t>
  </si>
  <si>
    <t>s1 squard / m</t>
  </si>
  <si>
    <t>s2 sqaured / n</t>
  </si>
  <si>
    <t>Normal, variance unknown (2 sample t-test)</t>
  </si>
  <si>
    <t>Pooled t-test (normal, var unknown, var1 = var2)</t>
  </si>
  <si>
    <t>M</t>
  </si>
  <si>
    <t>N</t>
  </si>
  <si>
    <t xml:space="preserve">s1 </t>
  </si>
  <si>
    <t>s1 suared</t>
  </si>
  <si>
    <t>sp squared</t>
  </si>
  <si>
    <t>m + n - 2</t>
  </si>
  <si>
    <t>Paired t-test</t>
  </si>
  <si>
    <t>d</t>
  </si>
  <si>
    <t>sum of di</t>
  </si>
  <si>
    <t>sum of (di squared)</t>
  </si>
  <si>
    <t>population proportions</t>
  </si>
  <si>
    <t>v</t>
  </si>
  <si>
    <t>X</t>
  </si>
  <si>
    <t>T(area)</t>
  </si>
  <si>
    <t>***ensure using right tail</t>
  </si>
  <si>
    <t>x</t>
  </si>
  <si>
    <t>V</t>
  </si>
  <si>
    <t>2 * T(area)</t>
  </si>
  <si>
    <t>y</t>
  </si>
  <si>
    <t>d squared</t>
  </si>
  <si>
    <t>sum of…</t>
  </si>
  <si>
    <t>xi</t>
  </si>
  <si>
    <t>yi</t>
  </si>
  <si>
    <t>xi ^2</t>
  </si>
  <si>
    <t>xi * yi</t>
  </si>
  <si>
    <t>yi^2</t>
  </si>
  <si>
    <t>B1</t>
  </si>
  <si>
    <t>B0</t>
  </si>
  <si>
    <t>SSE</t>
  </si>
  <si>
    <t>Sxx</t>
  </si>
  <si>
    <t>Sb1</t>
  </si>
  <si>
    <t>t…</t>
  </si>
  <si>
    <t>a OR a/2</t>
  </si>
  <si>
    <t>b10 (usually 0)</t>
  </si>
  <si>
    <t>t</t>
  </si>
  <si>
    <t>t(a,v) use pg 745</t>
  </si>
  <si>
    <t>P(T&gt;t)</t>
  </si>
  <si>
    <t>2P(T&gt;t)</t>
  </si>
  <si>
    <t>^OR USE TABLE A.8</t>
  </si>
  <si>
    <t>s</t>
  </si>
  <si>
    <t>x*</t>
  </si>
  <si>
    <t>s y hat</t>
  </si>
  <si>
    <t>hypothesis for future value</t>
  </si>
  <si>
    <t>Sd ^2</t>
  </si>
  <si>
    <t xml:space="preserve">Sd </t>
  </si>
  <si>
    <t>2 tail t test</t>
  </si>
  <si>
    <t>1 tail t test</t>
  </si>
  <si>
    <t>Yhat</t>
  </si>
  <si>
    <t>Created by Skyler Fabish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</si>
</sst>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0" fontId="0" fillId="0" borderId="1" xfId="0" applyBorder="1"/>
    <xf numFmtId="0" fontId="0" fillId="2" borderId="0" xfId="0" applyFill="1"/>
    <xf numFmtId="0" fontId="1" fillId="0" borderId="1" xfId="0" applyFont="1" applyBorder="1"/>
    <xf numFmtId="0" fontId="1" fillId="0" borderId="2" xfId="0" applyFont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34829-8188-4B09-8D1F-5A07317EA32B}">
  <sheetPr codeName="Sheet1"/>
  <dimension ref="A1:O22"/>
  <sheetViews>
    <sheetView workbookViewId="0">
      <selection activeCell="G19" sqref="G19"/>
    </sheetView>
  </sheetViews>
  <sheetFormatPr baseColWidth="10" defaultColWidth="8.83203125" defaultRowHeight="15" x14ac:dyDescent="0.2"/>
  <cols>
    <col min="7" max="7" width="24.6640625" bestFit="1" customWidth="1"/>
    <col min="13" max="13" width="14.83203125" bestFit="1" customWidth="1"/>
  </cols>
  <sheetData>
    <row r="1" spans="1:15" x14ac:dyDescent="0.2">
      <c r="A1" t="s">
        <v>0</v>
      </c>
      <c r="G1" t="s">
        <v>1</v>
      </c>
      <c r="J1" t="s">
        <v>6</v>
      </c>
    </row>
    <row r="2" spans="1:15" x14ac:dyDescent="0.2">
      <c r="J2" t="s">
        <v>7</v>
      </c>
    </row>
    <row r="3" spans="1:15" x14ac:dyDescent="0.2">
      <c r="A3">
        <v>156</v>
      </c>
      <c r="G3" t="s">
        <v>3</v>
      </c>
      <c r="H3">
        <f>AVERAGE(A:A)</f>
        <v>203.3</v>
      </c>
    </row>
    <row r="4" spans="1:15" x14ac:dyDescent="0.2">
      <c r="A4">
        <v>236</v>
      </c>
      <c r="G4" t="s">
        <v>2</v>
      </c>
      <c r="H4">
        <f>MEDIAN(A:A)</f>
        <v>208</v>
      </c>
    </row>
    <row r="5" spans="1:15" x14ac:dyDescent="0.2">
      <c r="A5">
        <v>286</v>
      </c>
      <c r="G5" t="s">
        <v>5</v>
      </c>
      <c r="H5">
        <f>H6^2</f>
        <v>1486.1157894736816</v>
      </c>
    </row>
    <row r="6" spans="1:15" x14ac:dyDescent="0.2">
      <c r="A6">
        <v>225</v>
      </c>
      <c r="G6" t="s">
        <v>4</v>
      </c>
      <c r="H6">
        <f>_xlfn.STDEV.S(A3:A22)</f>
        <v>38.550172366329072</v>
      </c>
    </row>
    <row r="7" spans="1:15" x14ac:dyDescent="0.2">
      <c r="A7">
        <v>138</v>
      </c>
      <c r="G7" t="s">
        <v>8</v>
      </c>
      <c r="H7" s="1">
        <v>0.15</v>
      </c>
    </row>
    <row r="8" spans="1:15" x14ac:dyDescent="0.2">
      <c r="A8">
        <v>250</v>
      </c>
      <c r="G8" t="s">
        <v>9</v>
      </c>
      <c r="H8">
        <f>TRIMMEAN(A3:A12,H7)</f>
        <v>209.1</v>
      </c>
      <c r="M8" s="2" t="s">
        <v>22</v>
      </c>
      <c r="N8" s="2">
        <v>49</v>
      </c>
      <c r="O8" s="6" t="s">
        <v>24</v>
      </c>
    </row>
    <row r="9" spans="1:15" x14ac:dyDescent="0.2">
      <c r="A9">
        <v>167</v>
      </c>
      <c r="G9" t="s">
        <v>10</v>
      </c>
      <c r="H9">
        <f>MODE(A:A)</f>
        <v>208</v>
      </c>
      <c r="M9" s="2" t="s">
        <v>23</v>
      </c>
      <c r="N9" s="2">
        <v>200</v>
      </c>
      <c r="O9" s="6"/>
    </row>
    <row r="10" spans="1:15" x14ac:dyDescent="0.2">
      <c r="A10">
        <v>173</v>
      </c>
      <c r="G10" t="s">
        <v>11</v>
      </c>
      <c r="H10">
        <f>MAX(A:A)-MIN(A:A)</f>
        <v>148</v>
      </c>
      <c r="M10" s="2" t="s">
        <v>25</v>
      </c>
      <c r="N10" s="2">
        <v>20</v>
      </c>
      <c r="O10" s="6"/>
    </row>
    <row r="11" spans="1:15" x14ac:dyDescent="0.2">
      <c r="A11">
        <v>208</v>
      </c>
      <c r="G11" t="s">
        <v>12</v>
      </c>
      <c r="H11">
        <f>QUARTILE(A:A,3)</f>
        <v>225.25</v>
      </c>
      <c r="M11" s="2" t="s">
        <v>21</v>
      </c>
      <c r="N11" s="2">
        <f>N8/N10</f>
        <v>2.4500000000000002</v>
      </c>
      <c r="O11" s="6" t="s">
        <v>27</v>
      </c>
    </row>
    <row r="12" spans="1:15" x14ac:dyDescent="0.2">
      <c r="A12">
        <v>252</v>
      </c>
      <c r="G12" t="s">
        <v>13</v>
      </c>
      <c r="H12">
        <f>QUARTILE(A:A,1)</f>
        <v>175.25</v>
      </c>
      <c r="M12" s="2" t="s">
        <v>26</v>
      </c>
      <c r="N12" s="2">
        <f>(1/(N10-1))*(N9-((N8^2)/N10))</f>
        <v>4.2078947368421051</v>
      </c>
      <c r="O12" s="6"/>
    </row>
    <row r="13" spans="1:15" x14ac:dyDescent="0.2">
      <c r="A13">
        <v>226</v>
      </c>
      <c r="G13" t="s">
        <v>14</v>
      </c>
      <c r="H13">
        <f>H11-H12</f>
        <v>50</v>
      </c>
    </row>
    <row r="14" spans="1:15" x14ac:dyDescent="0.2">
      <c r="A14">
        <v>179</v>
      </c>
      <c r="G14" t="s">
        <v>17</v>
      </c>
      <c r="H14">
        <f>H12-1.5*(H13)</f>
        <v>100.25</v>
      </c>
      <c r="I14" t="s">
        <v>19</v>
      </c>
    </row>
    <row r="15" spans="1:15" x14ac:dyDescent="0.2">
      <c r="A15">
        <v>214</v>
      </c>
      <c r="G15" t="s">
        <v>18</v>
      </c>
      <c r="H15">
        <f>H11+1.5*H13</f>
        <v>300.25</v>
      </c>
      <c r="I15" t="s">
        <v>20</v>
      </c>
    </row>
    <row r="16" spans="1:15" x14ac:dyDescent="0.2">
      <c r="A16">
        <v>217</v>
      </c>
      <c r="G16" t="s">
        <v>15</v>
      </c>
      <c r="H16">
        <f>H12-3*(H13)</f>
        <v>25.25</v>
      </c>
      <c r="I16" t="s">
        <v>19</v>
      </c>
    </row>
    <row r="17" spans="1:9" x14ac:dyDescent="0.2">
      <c r="A17">
        <v>176</v>
      </c>
      <c r="G17" t="s">
        <v>16</v>
      </c>
      <c r="H17">
        <f>H11+3*H13</f>
        <v>375.25</v>
      </c>
      <c r="I17" t="s">
        <v>20</v>
      </c>
    </row>
    <row r="18" spans="1:9" x14ac:dyDescent="0.2">
      <c r="A18">
        <v>208</v>
      </c>
    </row>
    <row r="19" spans="1:9" x14ac:dyDescent="0.2">
      <c r="A19">
        <v>200</v>
      </c>
    </row>
    <row r="20" spans="1:9" x14ac:dyDescent="0.2">
      <c r="A20">
        <v>192</v>
      </c>
    </row>
    <row r="21" spans="1:9" x14ac:dyDescent="0.2">
      <c r="A21">
        <v>222</v>
      </c>
    </row>
    <row r="22" spans="1:9" x14ac:dyDescent="0.2">
      <c r="A22">
        <v>141</v>
      </c>
    </row>
  </sheetData>
  <mergeCells count="2">
    <mergeCell ref="O8:O10"/>
    <mergeCell ref="O11:O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F1076-93D9-4467-AD80-AE4EC04F0EAC}">
  <dimension ref="A1:G14"/>
  <sheetViews>
    <sheetView workbookViewId="0">
      <selection activeCell="D10" sqref="D10"/>
    </sheetView>
  </sheetViews>
  <sheetFormatPr baseColWidth="10" defaultColWidth="8.83203125" defaultRowHeight="15" x14ac:dyDescent="0.2"/>
  <cols>
    <col min="5" max="5" width="19.5" bestFit="1" customWidth="1"/>
    <col min="6" max="6" width="12.5" bestFit="1" customWidth="1"/>
  </cols>
  <sheetData>
    <row r="1" spans="1:7" x14ac:dyDescent="0.2">
      <c r="A1" t="s">
        <v>30</v>
      </c>
    </row>
    <row r="2" spans="1:7" x14ac:dyDescent="0.2">
      <c r="A2" t="s">
        <v>28</v>
      </c>
      <c r="B2">
        <v>5</v>
      </c>
      <c r="D2" t="s">
        <v>33</v>
      </c>
      <c r="E2" s="2">
        <f>(B3-B2)/(B4/SQRT(B5))</f>
        <v>31.622776601683796</v>
      </c>
    </row>
    <row r="3" spans="1:7" x14ac:dyDescent="0.2">
      <c r="A3" t="s">
        <v>21</v>
      </c>
      <c r="B3">
        <v>5.5</v>
      </c>
      <c r="D3" t="s">
        <v>35</v>
      </c>
      <c r="E3" t="s">
        <v>36</v>
      </c>
      <c r="F3" t="s">
        <v>41</v>
      </c>
      <c r="G3" s="2">
        <f>B7+((B2-B6)/(B4/SQRT(B5)))</f>
        <v>-0.6173665961010435</v>
      </c>
    </row>
    <row r="4" spans="1:7" x14ac:dyDescent="0.2">
      <c r="A4" t="s">
        <v>29</v>
      </c>
      <c r="B4">
        <v>0.1</v>
      </c>
      <c r="E4" t="s">
        <v>37</v>
      </c>
      <c r="F4" t="s">
        <v>42</v>
      </c>
      <c r="G4" s="2">
        <f>-B7+((B2-B6)/(B4/SQRT(B5)))</f>
        <v>-3.1773665961010433</v>
      </c>
    </row>
    <row r="5" spans="1:7" x14ac:dyDescent="0.2">
      <c r="A5" t="s">
        <v>25</v>
      </c>
      <c r="B5">
        <v>40</v>
      </c>
      <c r="E5" t="s">
        <v>38</v>
      </c>
      <c r="F5" t="s">
        <v>43</v>
      </c>
      <c r="G5" s="2"/>
    </row>
    <row r="6" spans="1:7" x14ac:dyDescent="0.2">
      <c r="A6" t="s">
        <v>34</v>
      </c>
      <c r="B6">
        <v>5.03</v>
      </c>
      <c r="D6" t="s">
        <v>25</v>
      </c>
      <c r="E6" t="e" cm="1">
        <f t="array" aca="1" ref="E6" ca="1">((B4(B7+B8))/(B2-B6))^2</f>
        <v>#REF!</v>
      </c>
    </row>
    <row r="7" spans="1:7" x14ac:dyDescent="0.2">
      <c r="A7" t="s">
        <v>39</v>
      </c>
      <c r="B7">
        <v>1.28</v>
      </c>
    </row>
    <row r="8" spans="1:7" x14ac:dyDescent="0.2">
      <c r="A8" t="s">
        <v>40</v>
      </c>
      <c r="B8">
        <v>2</v>
      </c>
    </row>
    <row r="10" spans="1:7" x14ac:dyDescent="0.2">
      <c r="A10" t="s">
        <v>32</v>
      </c>
    </row>
    <row r="14" spans="1:7" x14ac:dyDescent="0.2">
      <c r="A1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E314B-F094-444B-8924-01D5CA6C9480}">
  <dimension ref="A1:L37"/>
  <sheetViews>
    <sheetView topLeftCell="A11" workbookViewId="0">
      <selection activeCell="H34" sqref="H34"/>
    </sheetView>
  </sheetViews>
  <sheetFormatPr baseColWidth="10" defaultColWidth="8.83203125" defaultRowHeight="15" x14ac:dyDescent="0.2"/>
  <cols>
    <col min="1" max="1" width="16.1640625" customWidth="1"/>
    <col min="4" max="4" width="12.33203125" hidden="1" customWidth="1"/>
    <col min="5" max="6" width="0" hidden="1" customWidth="1"/>
  </cols>
  <sheetData>
    <row r="1" spans="1:9" x14ac:dyDescent="0.2">
      <c r="A1" t="s">
        <v>56</v>
      </c>
    </row>
    <row r="2" spans="1:9" x14ac:dyDescent="0.2">
      <c r="A2" t="s">
        <v>44</v>
      </c>
      <c r="B2">
        <v>117</v>
      </c>
      <c r="C2" t="s">
        <v>49</v>
      </c>
      <c r="D2" t="s">
        <v>52</v>
      </c>
      <c r="E2">
        <f>B2^2</f>
        <v>13689</v>
      </c>
      <c r="F2">
        <f>(E4+E5)^2</f>
        <v>660794.79719387752</v>
      </c>
      <c r="G2" s="3">
        <f>(F2/((F4/(B4-1)) + F5/(B5-1)))</f>
        <v>41.688280452559823</v>
      </c>
    </row>
    <row r="3" spans="1:9" x14ac:dyDescent="0.2">
      <c r="A3" t="s">
        <v>45</v>
      </c>
      <c r="B3">
        <v>72</v>
      </c>
      <c r="D3" t="s">
        <v>53</v>
      </c>
      <c r="E3">
        <f>B3^2</f>
        <v>5184</v>
      </c>
      <c r="G3" s="3">
        <f>ROUNDDOWN(F2/((F4/(B4-1)) + F5/(B5-1)),0)</f>
        <v>41</v>
      </c>
    </row>
    <row r="4" spans="1:9" x14ac:dyDescent="0.2">
      <c r="A4" t="s">
        <v>46</v>
      </c>
      <c r="B4">
        <v>28</v>
      </c>
      <c r="D4" t="s">
        <v>54</v>
      </c>
      <c r="E4">
        <f>E2/B4</f>
        <v>488.89285714285717</v>
      </c>
      <c r="F4">
        <f>E4^2</f>
        <v>239016.22576530615</v>
      </c>
    </row>
    <row r="5" spans="1:9" x14ac:dyDescent="0.2">
      <c r="A5" t="s">
        <v>50</v>
      </c>
      <c r="B5">
        <v>16</v>
      </c>
      <c r="D5" t="s">
        <v>55</v>
      </c>
      <c r="E5">
        <f>E3/B5</f>
        <v>324</v>
      </c>
      <c r="F5">
        <f>E5^2</f>
        <v>104976</v>
      </c>
      <c r="G5" t="s">
        <v>70</v>
      </c>
      <c r="H5">
        <v>0.73699999999999999</v>
      </c>
    </row>
    <row r="6" spans="1:9" x14ac:dyDescent="0.2">
      <c r="A6" t="s">
        <v>47</v>
      </c>
      <c r="B6">
        <v>801</v>
      </c>
      <c r="G6" t="s">
        <v>74</v>
      </c>
      <c r="H6">
        <f>G3</f>
        <v>41</v>
      </c>
    </row>
    <row r="7" spans="1:9" x14ac:dyDescent="0.2">
      <c r="A7" t="s">
        <v>48</v>
      </c>
      <c r="B7">
        <v>780</v>
      </c>
      <c r="G7" t="s">
        <v>71</v>
      </c>
      <c r="H7" s="3">
        <f>_xlfn.T.DIST.RT(H5,H6)</f>
        <v>0.23265954965156327</v>
      </c>
      <c r="I7" t="s">
        <v>72</v>
      </c>
    </row>
    <row r="8" spans="1:9" x14ac:dyDescent="0.2">
      <c r="A8" t="s">
        <v>51</v>
      </c>
      <c r="B8">
        <v>0</v>
      </c>
    </row>
    <row r="11" spans="1:9" x14ac:dyDescent="0.2">
      <c r="A11" t="s">
        <v>57</v>
      </c>
    </row>
    <row r="12" spans="1:9" x14ac:dyDescent="0.2">
      <c r="A12" t="s">
        <v>58</v>
      </c>
      <c r="B12">
        <v>5</v>
      </c>
      <c r="C12" t="s">
        <v>62</v>
      </c>
      <c r="G12" s="3">
        <f>((B12-1)/B20)*B15 + ((B13-1)/B20)*B17</f>
        <v>6.222222222222222E-2</v>
      </c>
    </row>
    <row r="13" spans="1:9" x14ac:dyDescent="0.2">
      <c r="A13" t="s">
        <v>59</v>
      </c>
      <c r="B13">
        <v>6</v>
      </c>
    </row>
    <row r="14" spans="1:9" x14ac:dyDescent="0.2">
      <c r="A14" t="s">
        <v>60</v>
      </c>
      <c r="B14">
        <v>0.3</v>
      </c>
    </row>
    <row r="15" spans="1:9" x14ac:dyDescent="0.2">
      <c r="A15" t="s">
        <v>61</v>
      </c>
      <c r="B15" s="3">
        <f>B14^2</f>
        <v>0.09</v>
      </c>
      <c r="G15" t="s">
        <v>70</v>
      </c>
      <c r="H15">
        <v>0.63400000000000001</v>
      </c>
    </row>
    <row r="16" spans="1:9" x14ac:dyDescent="0.2">
      <c r="A16" t="s">
        <v>45</v>
      </c>
      <c r="B16">
        <v>0.2</v>
      </c>
      <c r="G16" t="s">
        <v>69</v>
      </c>
      <c r="H16">
        <v>7</v>
      </c>
    </row>
    <row r="17" spans="1:12" x14ac:dyDescent="0.2">
      <c r="A17" t="s">
        <v>53</v>
      </c>
      <c r="B17" s="3">
        <f>B16^2</f>
        <v>4.0000000000000008E-2</v>
      </c>
      <c r="G17" t="s">
        <v>71</v>
      </c>
      <c r="H17">
        <f>_xlfn.T.DIST.RT(H15,H16)</f>
        <v>0.27311607538640487</v>
      </c>
    </row>
    <row r="18" spans="1:12" x14ac:dyDescent="0.2">
      <c r="A18" t="s">
        <v>47</v>
      </c>
      <c r="B18">
        <v>8</v>
      </c>
      <c r="G18" t="s">
        <v>75</v>
      </c>
      <c r="H18">
        <f>H17*2</f>
        <v>0.54623215077280973</v>
      </c>
    </row>
    <row r="19" spans="1:12" x14ac:dyDescent="0.2">
      <c r="A19" t="s">
        <v>48</v>
      </c>
      <c r="B19">
        <v>9</v>
      </c>
    </row>
    <row r="20" spans="1:12" x14ac:dyDescent="0.2">
      <c r="A20" t="s">
        <v>63</v>
      </c>
      <c r="B20" s="3">
        <f>B12+B13-2</f>
        <v>9</v>
      </c>
    </row>
    <row r="23" spans="1:12" x14ac:dyDescent="0.2">
      <c r="A23" t="s">
        <v>64</v>
      </c>
      <c r="I23" t="s">
        <v>73</v>
      </c>
      <c r="J23" t="s">
        <v>76</v>
      </c>
      <c r="K23" t="s">
        <v>65</v>
      </c>
      <c r="L23" t="s">
        <v>77</v>
      </c>
    </row>
    <row r="24" spans="1:12" x14ac:dyDescent="0.2">
      <c r="C24" t="s">
        <v>65</v>
      </c>
      <c r="G24" s="3">
        <f>B30-B31</f>
        <v>-5.75</v>
      </c>
      <c r="I24">
        <v>250</v>
      </c>
      <c r="J24">
        <v>245</v>
      </c>
      <c r="K24">
        <f>I24-J24</f>
        <v>5</v>
      </c>
      <c r="L24">
        <f>K24^2</f>
        <v>25</v>
      </c>
    </row>
    <row r="25" spans="1:12" x14ac:dyDescent="0.2">
      <c r="A25" t="s">
        <v>59</v>
      </c>
      <c r="B25">
        <v>8</v>
      </c>
      <c r="C25" t="s">
        <v>101</v>
      </c>
      <c r="G25" s="3">
        <f>(1/(B25-1))*(B34-(B33^2/B25))</f>
        <v>25.642857142857142</v>
      </c>
      <c r="I25">
        <v>238</v>
      </c>
      <c r="J25">
        <v>249</v>
      </c>
      <c r="K25">
        <f t="shared" ref="K25:K31" si="0">I25-J25</f>
        <v>-11</v>
      </c>
      <c r="L25">
        <f t="shared" ref="L25:L31" si="1">K25^2</f>
        <v>121</v>
      </c>
    </row>
    <row r="26" spans="1:12" x14ac:dyDescent="0.2">
      <c r="A26" t="s">
        <v>60</v>
      </c>
      <c r="B26">
        <v>4.57</v>
      </c>
      <c r="C26" t="s">
        <v>102</v>
      </c>
      <c r="G26">
        <f>SQRT(G25)</f>
        <v>5.0638776785046007</v>
      </c>
      <c r="I26">
        <v>242</v>
      </c>
      <c r="J26">
        <v>250</v>
      </c>
      <c r="K26">
        <f t="shared" si="0"/>
        <v>-8</v>
      </c>
      <c r="L26">
        <f t="shared" si="1"/>
        <v>64</v>
      </c>
    </row>
    <row r="27" spans="1:12" x14ac:dyDescent="0.2">
      <c r="A27" t="s">
        <v>61</v>
      </c>
      <c r="B27" s="3">
        <f>B26^2</f>
        <v>20.884900000000002</v>
      </c>
      <c r="I27">
        <v>242</v>
      </c>
      <c r="J27">
        <v>250</v>
      </c>
      <c r="K27">
        <f t="shared" si="0"/>
        <v>-8</v>
      </c>
      <c r="L27">
        <f t="shared" si="1"/>
        <v>64</v>
      </c>
    </row>
    <row r="28" spans="1:12" x14ac:dyDescent="0.2">
      <c r="A28" t="s">
        <v>45</v>
      </c>
      <c r="B28">
        <v>3.45</v>
      </c>
      <c r="I28">
        <v>241</v>
      </c>
      <c r="J28">
        <v>244</v>
      </c>
      <c r="K28">
        <f t="shared" si="0"/>
        <v>-3</v>
      </c>
      <c r="L28">
        <f t="shared" si="1"/>
        <v>9</v>
      </c>
    </row>
    <row r="29" spans="1:12" x14ac:dyDescent="0.2">
      <c r="A29" t="s">
        <v>53</v>
      </c>
      <c r="B29" s="3">
        <f>B28^2</f>
        <v>11.902500000000002</v>
      </c>
      <c r="I29">
        <v>235</v>
      </c>
      <c r="J29">
        <v>243</v>
      </c>
      <c r="K29">
        <f t="shared" si="0"/>
        <v>-8</v>
      </c>
      <c r="L29">
        <f t="shared" si="1"/>
        <v>64</v>
      </c>
    </row>
    <row r="30" spans="1:12" x14ac:dyDescent="0.2">
      <c r="A30" t="s">
        <v>47</v>
      </c>
      <c r="B30">
        <v>240.5</v>
      </c>
      <c r="I30">
        <v>239</v>
      </c>
      <c r="J30">
        <v>248</v>
      </c>
      <c r="K30">
        <f t="shared" si="0"/>
        <v>-9</v>
      </c>
      <c r="L30">
        <f t="shared" si="1"/>
        <v>81</v>
      </c>
    </row>
    <row r="31" spans="1:12" x14ac:dyDescent="0.2">
      <c r="A31" t="s">
        <v>48</v>
      </c>
      <c r="B31">
        <v>246.25</v>
      </c>
      <c r="I31">
        <v>237</v>
      </c>
      <c r="J31">
        <v>241</v>
      </c>
      <c r="K31">
        <f t="shared" si="0"/>
        <v>-4</v>
      </c>
      <c r="L31">
        <f t="shared" si="1"/>
        <v>16</v>
      </c>
    </row>
    <row r="32" spans="1:12" x14ac:dyDescent="0.2">
      <c r="A32" t="s">
        <v>63</v>
      </c>
      <c r="B32" s="3">
        <f>B24+B25-2</f>
        <v>6</v>
      </c>
    </row>
    <row r="33" spans="1:8" x14ac:dyDescent="0.2">
      <c r="A33" t="s">
        <v>66</v>
      </c>
      <c r="B33">
        <f>SUM(K24:K31)</f>
        <v>-46</v>
      </c>
      <c r="G33" t="s">
        <v>103</v>
      </c>
      <c r="H33">
        <f>_xlfn.T.DIST.2T(0.99,5)</f>
        <v>0.36763305565750143</v>
      </c>
    </row>
    <row r="34" spans="1:8" x14ac:dyDescent="0.2">
      <c r="A34" t="s">
        <v>67</v>
      </c>
      <c r="B34">
        <f>SUM(L24:L31)</f>
        <v>444</v>
      </c>
      <c r="G34" t="s">
        <v>104</v>
      </c>
      <c r="H34">
        <f>_xlfn.T.DIST.RT(0.99,5)</f>
        <v>0.18381652782875071</v>
      </c>
    </row>
    <row r="37" spans="1:8" x14ac:dyDescent="0.2">
      <c r="A37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94095-BE01-45C3-BDA8-1188729D5BFE}">
  <dimension ref="A1:H18"/>
  <sheetViews>
    <sheetView tabSelected="1" zoomScale="132" workbookViewId="0">
      <selection activeCell="G26" sqref="G26"/>
    </sheetView>
  </sheetViews>
  <sheetFormatPr baseColWidth="10" defaultColWidth="8.83203125" defaultRowHeight="15" x14ac:dyDescent="0.2"/>
  <cols>
    <col min="4" max="4" width="14.1640625" bestFit="1" customWidth="1"/>
  </cols>
  <sheetData>
    <row r="1" spans="1:8" x14ac:dyDescent="0.2">
      <c r="A1" t="s">
        <v>78</v>
      </c>
      <c r="D1" t="s">
        <v>89</v>
      </c>
      <c r="G1" t="s">
        <v>100</v>
      </c>
    </row>
    <row r="2" spans="1:8" x14ac:dyDescent="0.2">
      <c r="A2" s="2" t="s">
        <v>79</v>
      </c>
      <c r="B2" s="2">
        <v>794</v>
      </c>
      <c r="D2" s="2" t="s">
        <v>90</v>
      </c>
      <c r="E2" s="2">
        <f>0.01/2</f>
        <v>5.0000000000000001E-3</v>
      </c>
      <c r="G2" s="2" t="s">
        <v>98</v>
      </c>
      <c r="H2" s="2">
        <v>70</v>
      </c>
    </row>
    <row r="3" spans="1:8" x14ac:dyDescent="0.2">
      <c r="A3" s="2" t="s">
        <v>80</v>
      </c>
      <c r="B3" s="2">
        <v>31.6</v>
      </c>
      <c r="D3" s="2" t="s">
        <v>69</v>
      </c>
      <c r="E3" s="2">
        <f>B7-2</f>
        <v>10</v>
      </c>
      <c r="G3" s="2" t="s">
        <v>21</v>
      </c>
      <c r="H3" s="2">
        <v>66.17</v>
      </c>
    </row>
    <row r="4" spans="1:8" x14ac:dyDescent="0.2">
      <c r="A4" s="2" t="s">
        <v>81</v>
      </c>
      <c r="B4" s="2">
        <v>55082</v>
      </c>
      <c r="D4" s="2" t="s">
        <v>91</v>
      </c>
      <c r="E4" s="2">
        <v>3.2</v>
      </c>
      <c r="G4" s="4" t="s">
        <v>99</v>
      </c>
      <c r="H4" s="2">
        <f>B14*(SQRT((1/B7)+((H2-H3)^2)/B12))</f>
        <v>0.12999500604418793</v>
      </c>
    </row>
    <row r="5" spans="1:8" x14ac:dyDescent="0.2">
      <c r="A5" s="2" t="s">
        <v>82</v>
      </c>
      <c r="B5" s="2">
        <v>2252.4</v>
      </c>
      <c r="D5" s="2" t="s">
        <v>93</v>
      </c>
      <c r="E5" s="2">
        <v>3.169</v>
      </c>
      <c r="G5" t="s">
        <v>105</v>
      </c>
      <c r="H5">
        <f>B10+(B9*H2)</f>
        <v>2.876574571166695</v>
      </c>
    </row>
    <row r="6" spans="1:8" x14ac:dyDescent="0.2">
      <c r="A6" s="2" t="s">
        <v>83</v>
      </c>
      <c r="B6" s="2">
        <v>95.36</v>
      </c>
    </row>
    <row r="7" spans="1:8" x14ac:dyDescent="0.2">
      <c r="A7" s="2" t="s">
        <v>25</v>
      </c>
      <c r="B7" s="2">
        <v>12</v>
      </c>
      <c r="D7" s="4" t="s">
        <v>92</v>
      </c>
      <c r="E7" s="2">
        <f>(B9-E4)/B13</f>
        <v>-363.37407760347077</v>
      </c>
    </row>
    <row r="8" spans="1:8" x14ac:dyDescent="0.2">
      <c r="D8" s="4" t="s">
        <v>94</v>
      </c>
      <c r="E8" s="2">
        <f>_xlfn.T.DIST.RT(E7,B7-2)</f>
        <v>1</v>
      </c>
    </row>
    <row r="9" spans="1:8" x14ac:dyDescent="0.2">
      <c r="A9" s="4" t="s">
        <v>84</v>
      </c>
      <c r="B9" s="2">
        <f>(B7*B5-B2*B3)/(B7*B4-(B2^2))</f>
        <v>6.345423595652748E-2</v>
      </c>
      <c r="D9" s="4" t="s">
        <v>95</v>
      </c>
      <c r="E9" s="2" t="e">
        <f>_xlfn.T.DIST.2T(E7,B7-2)</f>
        <v>#NUM!</v>
      </c>
    </row>
    <row r="10" spans="1:8" x14ac:dyDescent="0.2">
      <c r="A10" s="4" t="s">
        <v>85</v>
      </c>
      <c r="B10" s="2">
        <f>(B3*B4-B2*B5)/(B7*B4-(B2^2))</f>
        <v>-1.5652219457902288</v>
      </c>
      <c r="D10" t="s">
        <v>96</v>
      </c>
    </row>
    <row r="11" spans="1:8" x14ac:dyDescent="0.2">
      <c r="A11" s="4" t="s">
        <v>86</v>
      </c>
      <c r="B11" s="2">
        <f>B6-B10*B3-B9*B5</f>
        <v>1.8966924184887262</v>
      </c>
    </row>
    <row r="12" spans="1:8" x14ac:dyDescent="0.2">
      <c r="A12" s="4" t="s">
        <v>87</v>
      </c>
      <c r="B12" s="2">
        <f>B4-(B2^2)/B7</f>
        <v>2545.6666666666642</v>
      </c>
    </row>
    <row r="13" spans="1:8" x14ac:dyDescent="0.2">
      <c r="A13" s="4" t="s">
        <v>88</v>
      </c>
      <c r="B13" s="2">
        <f>SQRT((B11/(B7-2))/B12)</f>
        <v>8.631726799912802E-3</v>
      </c>
    </row>
    <row r="14" spans="1:8" x14ac:dyDescent="0.2">
      <c r="A14" s="5" t="s">
        <v>97</v>
      </c>
      <c r="B14">
        <f>SQRT(B11/(B7-2))</f>
        <v>0.43551032346991803</v>
      </c>
    </row>
    <row r="18" spans="1:1" x14ac:dyDescent="0.2">
      <c r="A18" t="s">
        <v>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chapter 8</vt:lpstr>
      <vt:lpstr>chapter 9</vt:lpstr>
      <vt:lpstr>chapter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Fabish</dc:creator>
  <cp:lastModifiedBy>Isaac Palmer</cp:lastModifiedBy>
  <dcterms:created xsi:type="dcterms:W3CDTF">2022-10-13T20:54:23Z</dcterms:created>
  <dcterms:modified xsi:type="dcterms:W3CDTF">2022-12-22T21:55:14Z</dcterms:modified>
</cp:coreProperties>
</file>