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nandy2\Desktop\JPM\Task 4\"/>
    </mc:Choice>
  </mc:AlternateContent>
  <xr:revisionPtr revIDLastSave="0" documentId="8_{BAD140DD-FFB8-4DB7-8F3A-2CC4F90007C2}" xr6:coauthVersionLast="47" xr6:coauthVersionMax="47" xr10:uidLastSave="{00000000-0000-0000-0000-000000000000}"/>
  <bookViews>
    <workbookView xWindow="2670" yWindow="315" windowWidth="23055" windowHeight="14805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<sst xmlns="http://schemas.openxmlformats.org/spreadsheetml/2006/main" count="263" uniqueCount="155">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</sst>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67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66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16" fillId="5" borderId="73" xfId="0" applyNumberFormat="1" applyFont="1" applyFill="1" applyBorder="1" applyAlignment="1"/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323" fontId="16" fillId="5" borderId="1" xfId="0" applyNumberFormat="1" applyFont="1" applyFill="1" applyBorder="1" applyAlignment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9" fillId="0" borderId="74" xfId="2311" applyNumberFormat="1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Fill="1" applyBorder="1"/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97" fillId="0" borderId="69" xfId="0" applyNumberFormat="1" applyFont="1" applyFill="1" applyBorder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66" fontId="297" fillId="0" borderId="0" xfId="0" applyNumberFormat="1" applyFont="1" applyFill="1" applyBorder="1"/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249" fontId="337" fillId="80" borderId="0" xfId="0" applyNumberFormat="1" applyFont="1" applyFill="1" applyAlignment="1">
      <alignment horizontal="center"/>
    </xf>
    <xf numFmtId="174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5"/>
    </row>
    <row r="13" spans="2:23">
      <c r="W13"/>
    </row>
    <row r="14" spans="2:23" ht="12.75" customHeight="1">
      <c r="C14" s="16"/>
      <c r="D14" s="407" t="s">
        <v>136</v>
      </c>
      <c r="E14" s="408"/>
      <c r="F14" s="408"/>
      <c r="G14" s="408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W14"/>
    </row>
    <row r="15" spans="2:23" ht="12.75" customHeight="1">
      <c r="C15" s="16"/>
      <c r="D15" s="409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W15"/>
    </row>
    <row r="16" spans="2:23" ht="12.75" customHeight="1">
      <c r="C16" s="16"/>
      <c r="D16" s="409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W16"/>
    </row>
    <row r="17" spans="3:23" ht="12.75" customHeight="1">
      <c r="D17" s="409"/>
      <c r="E17" s="408"/>
      <c r="F17" s="408"/>
      <c r="G17" s="408"/>
      <c r="H17" s="408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W17"/>
    </row>
    <row r="18" spans="3:23">
      <c r="W18"/>
    </row>
    <row r="19" spans="3:23" ht="18.75">
      <c r="C19" s="410" t="s">
        <v>20</v>
      </c>
      <c r="E19" s="397">
        <f>Assumptions!D12</f>
        <v>43921</v>
      </c>
      <c r="W19"/>
    </row>
    <row r="20" spans="3:23">
      <c r="C20" s="410"/>
      <c r="W20"/>
    </row>
    <row r="21" spans="3:23">
      <c r="C21" s="410"/>
      <c r="W21"/>
    </row>
    <row r="22" spans="3:23">
      <c r="C22" s="410"/>
      <c r="W22"/>
    </row>
    <row r="23" spans="3:23">
      <c r="C23" s="410"/>
    </row>
    <row r="24" spans="3:23">
      <c r="C24" s="410"/>
    </row>
    <row r="25" spans="3:23">
      <c r="C25" s="410"/>
    </row>
    <row r="26" spans="3:23" ht="12.75" customHeight="1">
      <c r="C26" s="410"/>
    </row>
    <row r="27" spans="3:23">
      <c r="C27" s="410"/>
    </row>
    <row r="28" spans="3:23">
      <c r="C28" s="410"/>
    </row>
    <row r="29" spans="3:23" ht="4.5" customHeight="1">
      <c r="C29" s="410"/>
    </row>
    <row r="30" spans="3:23">
      <c r="C30" s="410"/>
      <c r="Q30" s="207"/>
      <c r="R30" s="208"/>
      <c r="S30" s="208"/>
      <c r="T30" s="209"/>
    </row>
    <row r="31" spans="3:23">
      <c r="C31" s="410"/>
      <c r="Q31" s="208"/>
      <c r="R31" s="208"/>
      <c r="S31" s="208"/>
      <c r="T31" s="209"/>
      <c r="V31" s="52"/>
    </row>
    <row r="32" spans="3:23">
      <c r="C32" s="410"/>
      <c r="Q32" s="208"/>
      <c r="R32" s="208"/>
      <c r="S32" s="208"/>
      <c r="T32" s="209"/>
    </row>
    <row r="33" spans="3:21">
      <c r="C33" s="410"/>
      <c r="P33" s="396"/>
      <c r="Q33" s="210"/>
      <c r="R33" s="208"/>
      <c r="S33" s="208"/>
      <c r="T33" s="209"/>
      <c r="U33" s="396"/>
    </row>
    <row r="34" spans="3:21">
      <c r="C34" s="410"/>
      <c r="P34" s="396"/>
      <c r="Q34" s="210"/>
      <c r="R34" s="208"/>
      <c r="S34" s="208"/>
      <c r="T34" s="209"/>
      <c r="U34" s="396"/>
    </row>
    <row r="35" spans="3:21" ht="4.5" customHeight="1">
      <c r="C35" s="410"/>
      <c r="P35" s="396"/>
      <c r="Q35" s="210"/>
      <c r="R35" s="208"/>
      <c r="S35" s="208"/>
      <c r="T35" s="209"/>
      <c r="U35" s="396"/>
    </row>
    <row r="36" spans="3:21">
      <c r="C36" s="410"/>
      <c r="P36" s="396"/>
      <c r="Q36" s="210"/>
      <c r="R36" s="208"/>
      <c r="S36" s="208"/>
      <c r="T36" s="209"/>
      <c r="U36" s="396"/>
    </row>
    <row r="37" spans="3:21">
      <c r="C37" s="410"/>
      <c r="G37"/>
      <c r="P37" s="396"/>
      <c r="Q37" s="210"/>
      <c r="R37" s="208"/>
      <c r="S37" s="208"/>
      <c r="T37" s="209"/>
      <c r="U37" s="396"/>
    </row>
    <row r="38" spans="3:21">
      <c r="C38" s="410"/>
      <c r="P38" s="396"/>
      <c r="Q38" s="210"/>
      <c r="R38" s="208"/>
      <c r="S38" s="208"/>
      <c r="T38" s="209"/>
      <c r="U38" s="396"/>
    </row>
    <row r="39" spans="3:21">
      <c r="C39" s="410"/>
      <c r="P39" s="396"/>
      <c r="Q39" s="210"/>
      <c r="R39" s="208"/>
      <c r="S39" s="208"/>
      <c r="T39" s="209"/>
      <c r="U39" s="396"/>
    </row>
    <row r="40" spans="3:21">
      <c r="C40" s="410"/>
    </row>
    <row r="41" spans="3:21">
      <c r="C41" s="410"/>
    </row>
    <row r="42" spans="3:21">
      <c r="C42" s="410"/>
    </row>
    <row r="43" spans="3:21">
      <c r="C43" s="41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12" sqref="D12"/>
    </sheetView>
  </sheetViews>
  <sheetFormatPr defaultColWidth="8.85546875" defaultRowHeight="12.75"/>
  <cols>
    <col min="1" max="1" width="3" style="129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9" customFormat="1"/>
    <row r="3" spans="1:18" s="189" customFormat="1" ht="20.25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H31" sqref="H31"/>
    </sheetView>
  </sheetViews>
  <sheetFormatPr defaultColWidth="9.140625" defaultRowHeight="12.75"/>
  <cols>
    <col min="1" max="1" width="30.7109375" style="129" customWidth="1"/>
    <col min="2" max="2" width="9.85546875" style="129" customWidth="1"/>
    <col min="3" max="6" width="9.42578125" style="129" bestFit="1" customWidth="1"/>
    <col min="7" max="16384" width="9.140625" style="129"/>
  </cols>
  <sheetData>
    <row r="1" spans="1:12" ht="21">
      <c r="A1" s="362" t="s">
        <v>149</v>
      </c>
    </row>
    <row r="2" spans="1:12" ht="21">
      <c r="A2" s="362"/>
    </row>
    <row r="3" spans="1:12">
      <c r="B3" s="411" t="s">
        <v>150</v>
      </c>
      <c r="C3" s="411"/>
      <c r="D3" s="411"/>
      <c r="E3" s="411"/>
      <c r="F3" s="411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405">
        <v>1100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-4.2838389353970663E-2</v>
      </c>
      <c r="D6" s="365">
        <f t="shared" ref="D6:F6" si="0">D5/C5-1</f>
        <v>0.23076125975469219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405">
        <f>C8*C5</f>
        <v>550</v>
      </c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406">
        <v>0.5</v>
      </c>
      <c r="D8" s="365">
        <f t="shared" ref="D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-30.012889249967884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>
        <f t="shared" ref="C11:F11" si="3">C10/C5</f>
        <v>-2.7284444772698077E-2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-36.352889249967888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-54.357357914702661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-9.802064391353646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-90.683524032180841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-57.483524032180839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-175.30033757176582</v>
      </c>
      <c r="E34" s="376">
        <f t="shared" si="8"/>
        <v>-149.11850486259755</v>
      </c>
      <c r="F34" s="376">
        <f t="shared" si="8"/>
        <v>-83.939476454102362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-175.30033757176582</v>
      </c>
      <c r="D35" s="376">
        <f t="shared" si="9"/>
        <v>-149.11850486259755</v>
      </c>
      <c r="E35" s="376">
        <f t="shared" si="9"/>
        <v>-83.939476454102362</v>
      </c>
      <c r="F35" s="376">
        <f t="shared" si="9"/>
        <v>-52.801579215286409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21.371823642082553</v>
      </c>
      <c r="D36" s="378">
        <f t="shared" si="10"/>
        <v>1.3338359408473466</v>
      </c>
      <c r="E36" s="378">
        <f t="shared" si="10"/>
        <v>0.67478207527060774</v>
      </c>
      <c r="F36" s="378">
        <f t="shared" si="10"/>
        <v>0.4139088617375607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1100</v>
      </c>
      <c r="N11" s="127">
        <f t="shared" si="1"/>
        <v>1353.8373857301615</v>
      </c>
      <c r="O11" s="127">
        <f t="shared" si="1"/>
        <v>1446.9754795854415</v>
      </c>
      <c r="P11" s="127">
        <f t="shared" si="1"/>
        <v>1442.6203434361953</v>
      </c>
      <c r="Q11" s="127">
        <f t="shared" si="1"/>
        <v>1471.4727503049191</v>
      </c>
      <c r="R11" s="127">
        <f t="shared" ca="1" si="1"/>
        <v>1497.9592598104077</v>
      </c>
      <c r="S11" s="127">
        <f t="shared" ca="1" si="1"/>
        <v>1521.9266079673744</v>
      </c>
      <c r="T11" s="127">
        <f t="shared" ca="1" si="1"/>
        <v>1543.2335804789177</v>
      </c>
      <c r="U11" s="127">
        <f t="shared" ca="1" si="1"/>
        <v>1561.7523834446647</v>
      </c>
      <c r="V11" s="127">
        <f t="shared" ca="1" si="1"/>
        <v>1577.3699072791114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1100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-4.2838389353970663E-2</v>
      </c>
      <c r="N13" s="156">
        <f>IF(ISERROR(N12/M12-1),"n.a.",N12/M12-1)</f>
        <v>0.23076125975469219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8.2024042733811307</v>
      </c>
      <c r="N15" s="127">
        <f t="shared" si="3"/>
        <v>111.79673623719195</v>
      </c>
      <c r="O15" s="127">
        <f t="shared" si="3"/>
        <v>124.39494101920255</v>
      </c>
      <c r="P15" s="127">
        <f t="shared" si="3"/>
        <v>127.56812935492377</v>
      </c>
      <c r="Q15" s="127">
        <f t="shared" ca="1" si="3"/>
        <v>130.50500120625895</v>
      </c>
      <c r="R15" s="127">
        <f t="shared" ca="1" si="3"/>
        <v>133.24653965896459</v>
      </c>
      <c r="S15" s="127">
        <f t="shared" ca="1" si="3"/>
        <v>135.77721189939695</v>
      </c>
      <c r="T15" s="127">
        <f t="shared" ca="1" si="3"/>
        <v>138.08240265835985</v>
      </c>
      <c r="U15" s="127">
        <f t="shared" ca="1" si="3"/>
        <v>140.14855300014</v>
      </c>
      <c r="V15" s="127">
        <f t="shared" ca="1" si="3"/>
        <v>141.96329165512003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8.2024042733811307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7.4567311576192096E-3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3.6777539566680922E-2</v>
      </c>
      <c r="N23" s="156">
        <f t="shared" si="12"/>
        <v>3.4860359237571983E-2</v>
      </c>
      <c r="O23" s="156">
        <f t="shared" si="12"/>
        <v>3.581922729085453E-2</v>
      </c>
      <c r="P23" s="156">
        <f t="shared" si="12"/>
        <v>3.7986371391124714E-2</v>
      </c>
      <c r="Q23" s="156">
        <f t="shared" ca="1" si="12"/>
        <v>3.641471451466733E-2</v>
      </c>
      <c r="R23" s="156">
        <f t="shared" ca="1" si="12"/>
        <v>3.4958633054813976E-2</v>
      </c>
      <c r="S23" s="156">
        <f t="shared" ca="1" si="12"/>
        <v>3.3608687701040647E-2</v>
      </c>
      <c r="T23" s="156">
        <f t="shared" ca="1" si="12"/>
        <v>3.2356284025319364E-2</v>
      </c>
      <c r="U23" s="156">
        <f t="shared" ca="1" si="12"/>
        <v>3.1193582631993021E-2</v>
      </c>
      <c r="V23" s="156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-32.252889249967879</v>
      </c>
      <c r="N25" s="127">
        <f>+N15+N20</f>
        <v>64.601478621383222</v>
      </c>
      <c r="O25" s="127">
        <f>+O15+O20</f>
        <v>72.565397431638388</v>
      </c>
      <c r="P25" s="127">
        <f>+P15+P20</f>
        <v>72.768217212764569</v>
      </c>
      <c r="Q25" s="127">
        <f t="shared" ref="Q25:V25" ca="1" si="13">Q15+Q20</f>
        <v>76.921741087792952</v>
      </c>
      <c r="R25" s="127">
        <f t="shared" ca="1" si="13"/>
        <v>80.879931564191793</v>
      </c>
      <c r="S25" s="127">
        <f t="shared" ca="1" si="13"/>
        <v>84.627255828317345</v>
      </c>
      <c r="T25" s="127">
        <f t="shared" ca="1" si="13"/>
        <v>88.149098610973454</v>
      </c>
      <c r="U25" s="127">
        <f t="shared" ca="1" si="13"/>
        <v>91.431900976446798</v>
      </c>
      <c r="V25" s="127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-30.172898077473345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4.6363636363636364E-2</v>
      </c>
      <c r="N42" s="156">
        <f t="shared" si="22"/>
        <v>3.6932057370415751E-2</v>
      </c>
      <c r="O42" s="156">
        <f t="shared" si="22"/>
        <v>3.4554835728332456E-2</v>
      </c>
      <c r="P42" s="156">
        <f t="shared" si="22"/>
        <v>3.4659153551726836E-2</v>
      </c>
      <c r="Q42" s="156">
        <f t="shared" si="22"/>
        <v>3.3979562305614552E-2</v>
      </c>
      <c r="R42" s="156">
        <f t="shared" ca="1" si="22"/>
        <v>3.3378744897460261E-2</v>
      </c>
      <c r="S42" s="156">
        <f t="shared" ca="1" si="22"/>
        <v>3.2853095371516004E-2</v>
      </c>
      <c r="T42" s="156">
        <f t="shared" ca="1" si="22"/>
        <v>3.239950233877318E-2</v>
      </c>
      <c r="U42" s="156">
        <f t="shared" ca="1" si="22"/>
        <v>3.2015318516574284E-2</v>
      </c>
      <c r="V42" s="156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3.6932057370415751E-3</v>
      </c>
      <c r="O51" s="156">
        <f t="shared" si="45"/>
        <v>3.4554835728332453E-3</v>
      </c>
      <c r="P51" s="156">
        <f t="shared" si="45"/>
        <v>3.4659153551726838E-3</v>
      </c>
      <c r="Q51" s="156">
        <f t="shared" si="45"/>
        <v>3.3979562305614551E-3</v>
      </c>
      <c r="R51" s="156">
        <f t="shared" ca="1" si="45"/>
        <v>3.3378744897460265E-3</v>
      </c>
      <c r="S51" s="156">
        <f t="shared" ca="1" si="45"/>
        <v>3.2853095371516007E-3</v>
      </c>
      <c r="T51" s="156">
        <f t="shared" ca="1" si="45"/>
        <v>3.2399502338773178E-3</v>
      </c>
      <c r="U51" s="156">
        <f t="shared" ca="1" si="45"/>
        <v>3.2015318516574287E-3</v>
      </c>
      <c r="V51" s="156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1.6367698786122525E-2</v>
      </c>
      <c r="N55" s="156">
        <f t="shared" si="63"/>
        <v>4.9878354033911108E-3</v>
      </c>
      <c r="O55" s="156">
        <f t="shared" si="63"/>
        <v>-1.737310298687373E-2</v>
      </c>
      <c r="P55" s="156">
        <f t="shared" si="63"/>
        <v>3.3723637637475745E-3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1100</v>
      </c>
      <c r="N60" s="271">
        <f t="shared" si="65"/>
        <v>1353.8373857301615</v>
      </c>
      <c r="O60" s="271">
        <f t="shared" si="65"/>
        <v>1446.9754795854415</v>
      </c>
      <c r="P60" s="271">
        <f t="shared" ref="P60:V60" si="66">P11</f>
        <v>1442.6203434361953</v>
      </c>
      <c r="Q60" s="271">
        <f t="shared" si="66"/>
        <v>1471.4727503049191</v>
      </c>
      <c r="R60" s="271">
        <f t="shared" ca="1" si="66"/>
        <v>1497.9592598104077</v>
      </c>
      <c r="S60" s="271">
        <f t="shared" ca="1" si="66"/>
        <v>1521.9266079673744</v>
      </c>
      <c r="T60" s="271">
        <f t="shared" ca="1" si="66"/>
        <v>1543.2335804789177</v>
      </c>
      <c r="U60" s="271">
        <f t="shared" ca="1" si="66"/>
        <v>1561.7523834446647</v>
      </c>
      <c r="V60" s="271">
        <f t="shared" ca="1" si="66"/>
        <v>1577.3699072791114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-4.2838389353970663E-2</v>
      </c>
      <c r="N61" s="272">
        <f t="shared" si="67"/>
        <v>0.23076125975469219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8.2024042733811307</v>
      </c>
      <c r="N62" s="271">
        <f t="shared" si="68"/>
        <v>111.79673623719195</v>
      </c>
      <c r="O62" s="271">
        <f t="shared" si="68"/>
        <v>124.39494101920255</v>
      </c>
      <c r="P62" s="271">
        <f t="shared" si="68"/>
        <v>127.56812935492377</v>
      </c>
      <c r="Q62" s="271">
        <f t="shared" ref="Q62:V62" ca="1" si="69">Q15</f>
        <v>130.50500120625895</v>
      </c>
      <c r="R62" s="271">
        <f t="shared" ca="1" si="69"/>
        <v>133.24653965896459</v>
      </c>
      <c r="S62" s="271">
        <f t="shared" ca="1" si="69"/>
        <v>135.77721189939695</v>
      </c>
      <c r="T62" s="271">
        <f t="shared" ca="1" si="69"/>
        <v>138.08240265835985</v>
      </c>
      <c r="U62" s="271">
        <f t="shared" ca="1" si="69"/>
        <v>140.14855300014</v>
      </c>
      <c r="V62" s="271">
        <f t="shared" ca="1" si="69"/>
        <v>141.96329165512003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-0.9128768202186025</v>
      </c>
      <c r="N63" s="272">
        <f t="shared" si="70"/>
        <v>12.629752022830738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2.1007152426079978E-2</v>
      </c>
      <c r="S63" s="272">
        <f t="shared" ca="1" si="70"/>
        <v>1.8992404957828057E-2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7.4567311576192096E-3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8.8690056393647562E-2</v>
      </c>
      <c r="R64" s="274">
        <f t="shared" ca="1" si="73"/>
        <v>8.8952045114918027E-2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8.9738011278729504E-2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-51.82954358756416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-3.6777539566680922E-2</v>
      </c>
      <c r="N66" s="274">
        <f t="shared" si="75"/>
        <v>-3.4860359237571976E-2</v>
      </c>
      <c r="O66" s="274">
        <f t="shared" si="75"/>
        <v>-3.5819227290854523E-2</v>
      </c>
      <c r="P66" s="274">
        <f t="shared" si="75"/>
        <v>-3.7986371391124714E-2</v>
      </c>
      <c r="Q66" s="274">
        <f t="shared" ca="1" si="75"/>
        <v>-3.641471451466733E-2</v>
      </c>
      <c r="R66" s="274">
        <f t="shared" ca="1" si="75"/>
        <v>-3.4958633054813976E-2</v>
      </c>
      <c r="S66" s="274">
        <f t="shared" ca="1" si="75"/>
        <v>-3.360868770104064E-2</v>
      </c>
      <c r="T66" s="274">
        <f t="shared" ca="1" si="75"/>
        <v>-3.2356284025319357E-2</v>
      </c>
      <c r="U66" s="274">
        <f t="shared" ca="1" si="75"/>
        <v>-3.1193582631993021E-2</v>
      </c>
      <c r="V66" s="274">
        <f t="shared" ca="1" si="75"/>
        <v>-3.0113418406678784E-2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1.0365908717512833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-32.252889249967879</v>
      </c>
      <c r="N68" s="271">
        <f t="shared" si="77"/>
        <v>64.601478621383222</v>
      </c>
      <c r="O68" s="271">
        <f t="shared" si="77"/>
        <v>72.565397431638388</v>
      </c>
      <c r="P68" s="271">
        <f t="shared" si="77"/>
        <v>72.768217212764569</v>
      </c>
      <c r="Q68" s="271">
        <f t="shared" ca="1" si="77"/>
        <v>76.921741087792952</v>
      </c>
      <c r="R68" s="271">
        <f t="shared" ca="1" si="77"/>
        <v>80.879931564191793</v>
      </c>
      <c r="S68" s="271">
        <f t="shared" ca="1" si="77"/>
        <v>84.627255828317345</v>
      </c>
      <c r="T68" s="271">
        <f t="shared" ca="1" si="77"/>
        <v>88.149098610973454</v>
      </c>
      <c r="U68" s="271">
        <f t="shared" ca="1" si="77"/>
        <v>91.431900976446798</v>
      </c>
      <c r="V68" s="271">
        <f t="shared" ca="1" si="77"/>
        <v>94.463291655120031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-1.5559118280407485</v>
      </c>
      <c r="N69" s="276">
        <f t="shared" si="79"/>
        <v>-3.0029671797991728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5.1457369794597474E-2</v>
      </c>
      <c r="S69" s="276">
        <f t="shared" ca="1" si="79"/>
        <v>4.6331941578751534E-2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-2.9320808409061708E-2</v>
      </c>
      <c r="N70" s="386">
        <f t="shared" si="81"/>
        <v>4.7717310293172235E-2</v>
      </c>
      <c r="O70" s="386">
        <f t="shared" si="81"/>
        <v>5.0149707756228443E-2</v>
      </c>
      <c r="P70" s="386">
        <f t="shared" si="81"/>
        <v>5.0441696281252384E-2</v>
      </c>
      <c r="Q70" s="386">
        <f t="shared" ca="1" si="81"/>
        <v>5.2275341878980225E-2</v>
      </c>
      <c r="R70" s="386">
        <f t="shared" ca="1" si="81"/>
        <v>5.3993412060104044E-2</v>
      </c>
      <c r="S70" s="386">
        <f t="shared" ca="1" si="81"/>
        <v>5.5605346135147865E-2</v>
      </c>
      <c r="T70" s="386">
        <f t="shared" ca="1" si="81"/>
        <v>5.7119738532139641E-2</v>
      </c>
      <c r="U70" s="386">
        <f t="shared" ca="1" si="81"/>
        <v>5.8544428646736479E-2</v>
      </c>
      <c r="V70" s="386">
        <f t="shared" ca="1" si="81"/>
        <v>5.988658159332122E-2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8.2024042733811307</v>
      </c>
      <c r="N71" s="273">
        <f t="shared" si="82"/>
        <v>111.79673623719195</v>
      </c>
      <c r="O71" s="273">
        <f t="shared" si="82"/>
        <v>124.39494101920255</v>
      </c>
      <c r="P71" s="273">
        <f t="shared" si="82"/>
        <v>127.56812935492377</v>
      </c>
      <c r="Q71" s="273">
        <f t="shared" ca="1" si="82"/>
        <v>130.50500120625895</v>
      </c>
      <c r="R71" s="273">
        <f t="shared" ca="1" si="82"/>
        <v>133.24653965896459</v>
      </c>
      <c r="S71" s="273">
        <f t="shared" ca="1" si="82"/>
        <v>135.77721189939695</v>
      </c>
      <c r="T71" s="273">
        <f t="shared" ca="1" si="82"/>
        <v>138.08240265835985</v>
      </c>
      <c r="U71" s="273">
        <f t="shared" ca="1" si="82"/>
        <v>140.14855300014</v>
      </c>
      <c r="V71" s="273">
        <f t="shared" ca="1" si="82"/>
        <v>141.96329165512003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4.6363636363636364E-2</v>
      </c>
      <c r="N73" s="277">
        <f t="shared" si="84"/>
        <v>3.6932057370415751E-2</v>
      </c>
      <c r="O73" s="277">
        <f t="shared" si="84"/>
        <v>3.4554835728332456E-2</v>
      </c>
      <c r="P73" s="277">
        <f t="shared" si="84"/>
        <v>3.4659153551726836E-2</v>
      </c>
      <c r="Q73" s="277">
        <f t="shared" si="84"/>
        <v>3.3979562305614552E-2</v>
      </c>
      <c r="R73" s="277">
        <f t="shared" ca="1" si="84"/>
        <v>3.3378744897460261E-2</v>
      </c>
      <c r="S73" s="277">
        <f t="shared" ca="1" si="84"/>
        <v>3.2853095371516004E-2</v>
      </c>
      <c r="T73" s="277">
        <f t="shared" ca="1" si="84"/>
        <v>3.239950233877318E-2</v>
      </c>
      <c r="U73" s="277">
        <f t="shared" ca="1" si="84"/>
        <v>3.2015318516574284E-2</v>
      </c>
      <c r="V73" s="277">
        <f t="shared" ca="1" si="84"/>
        <v>3.1698335164925033E-2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1.4647231309912188E-2</v>
      </c>
      <c r="N75" s="276">
        <f t="shared" si="86"/>
        <v>1.1204368284322206E-2</v>
      </c>
      <c r="O75" s="276">
        <f t="shared" si="86"/>
        <v>7.6782343981749305E-3</v>
      </c>
      <c r="P75" s="276">
        <f t="shared" si="86"/>
        <v>2.741441690624511E-3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3.6932057370415751E-3</v>
      </c>
      <c r="O77" s="277">
        <f t="shared" si="88"/>
        <v>3.4554835728332453E-3</v>
      </c>
      <c r="P77" s="277">
        <f t="shared" si="88"/>
        <v>3.4659153551726838E-3</v>
      </c>
      <c r="Q77" s="277">
        <f t="shared" si="88"/>
        <v>3.3979562305614551E-3</v>
      </c>
      <c r="R77" s="277">
        <f t="shared" ca="1" si="88"/>
        <v>3.3378744897460265E-3</v>
      </c>
      <c r="S77" s="277">
        <f t="shared" ca="1" si="88"/>
        <v>3.2853095371516007E-3</v>
      </c>
      <c r="T77" s="277">
        <f t="shared" ca="1" si="88"/>
        <v>3.2399502338773178E-3</v>
      </c>
      <c r="U77" s="277">
        <f t="shared" ca="1" si="88"/>
        <v>3.2015318516574287E-3</v>
      </c>
      <c r="V77" s="277">
        <f t="shared" ca="1" si="88"/>
        <v>3.1698335164925037E-3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1.6367698786122525E-2</v>
      </c>
      <c r="N79" s="391">
        <f t="shared" si="90"/>
        <v>4.9878354033911108E-3</v>
      </c>
      <c r="O79" s="391">
        <f t="shared" si="90"/>
        <v>-1.737310298687373E-2</v>
      </c>
      <c r="P79" s="391">
        <f t="shared" si="90"/>
        <v>3.3723637637475745E-3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opLeftCell="A109" zoomScaleNormal="100" zoomScaleSheetLayoutView="100" workbookViewId="0">
      <selection activeCell="F8" sqref="F8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9" customWidth="1"/>
    <col min="21" max="21" width="2.85546875" style="28" customWidth="1"/>
    <col min="22" max="16384" width="9.140625" style="28"/>
  </cols>
  <sheetData>
    <row r="1" spans="4:21" s="129" customFormat="1"/>
    <row r="2" spans="4:21" s="7" customFormat="1" ht="12" customHeight="1">
      <c r="D2" s="39"/>
    </row>
    <row r="3" spans="4:21" s="189" customFormat="1" ht="20.25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1100</v>
      </c>
      <c r="K24" s="375">
        <f>' Financials'!N60</f>
        <v>1353.8373857301615</v>
      </c>
      <c r="L24" s="375">
        <f>' Financials'!O60</f>
        <v>1446.9754795854415</v>
      </c>
      <c r="M24" s="375">
        <f>' Financials'!P60</f>
        <v>1442.6203434361953</v>
      </c>
      <c r="N24" s="375">
        <f>' Financials'!Q60</f>
        <v>1471.4727503049191</v>
      </c>
      <c r="O24" s="375">
        <f ca="1">' Financials'!R60</f>
        <v>1497.9592598104077</v>
      </c>
      <c r="P24" s="375">
        <f ca="1">' Financials'!S60</f>
        <v>1521.9266079673744</v>
      </c>
      <c r="Q24" s="375">
        <f ca="1">' Financials'!T60</f>
        <v>1543.2335804789177</v>
      </c>
      <c r="R24" s="375">
        <f ca="1">' Financials'!U60</f>
        <v>1561.7523834446647</v>
      </c>
      <c r="S24" s="375">
        <f ca="1">' Financials'!V60</f>
        <v>1577.3699072791114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-4.2838389353970663E-2</v>
      </c>
      <c r="K25" s="66">
        <f t="shared" si="5"/>
        <v>0.23076125975469219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8.2024042733811307</v>
      </c>
      <c r="K27" s="375">
        <f>+' Financials'!N62</f>
        <v>111.79673623719195</v>
      </c>
      <c r="L27" s="375">
        <f>+' Financials'!O62</f>
        <v>124.39494101920255</v>
      </c>
      <c r="M27" s="375">
        <f>+' Financials'!P62</f>
        <v>127.56812935492377</v>
      </c>
      <c r="N27" s="375">
        <f ca="1">+' Financials'!Q62</f>
        <v>130.50500120625895</v>
      </c>
      <c r="O27" s="375">
        <f ca="1">+' Financials'!R62</f>
        <v>133.24653965896459</v>
      </c>
      <c r="P27" s="375">
        <f ca="1">+' Financials'!S62</f>
        <v>135.77721189939695</v>
      </c>
      <c r="Q27" s="375">
        <f ca="1">+' Financials'!T62</f>
        <v>138.08240265835985</v>
      </c>
      <c r="R27" s="375">
        <f ca="1">+' Financials'!U62</f>
        <v>140.14855300014</v>
      </c>
      <c r="S27" s="375">
        <f ca="1">+' Financials'!V62</f>
        <v>141.96329165512003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7.4567311576192096E-3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8.8690056393647562E-2</v>
      </c>
      <c r="O28" s="66">
        <f t="shared" ca="1" si="8"/>
        <v>8.8952045114918027E-2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8.9738011278729504E-2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-0.9128768202186025</v>
      </c>
      <c r="K29" s="66">
        <f t="shared" si="10"/>
        <v>12.629752022830738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2.1007152426079978E-2</v>
      </c>
      <c r="P29" s="66">
        <f t="shared" ca="1" si="10"/>
        <v>1.8992404957828057E-2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-51.82954358756416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3.6777539566680922E-2</v>
      </c>
      <c r="K32" s="66">
        <f t="shared" si="13"/>
        <v>3.4860359237571976E-2</v>
      </c>
      <c r="L32" s="66">
        <f t="shared" si="13"/>
        <v>3.5819227290854523E-2</v>
      </c>
      <c r="M32" s="66">
        <f t="shared" si="13"/>
        <v>3.7986371391124714E-2</v>
      </c>
      <c r="N32" s="66">
        <f t="shared" ca="1" si="13"/>
        <v>3.641471451466733E-2</v>
      </c>
      <c r="O32" s="66">
        <f t="shared" ca="1" si="13"/>
        <v>3.4958633054813976E-2</v>
      </c>
      <c r="P32" s="66">
        <f t="shared" ca="1" si="13"/>
        <v>3.360868770104064E-2</v>
      </c>
      <c r="Q32" s="66">
        <f t="shared" ca="1" si="13"/>
        <v>3.2356284025319357E-2</v>
      </c>
      <c r="R32" s="66">
        <f t="shared" ca="1" si="13"/>
        <v>3.1193582631993021E-2</v>
      </c>
      <c r="S32" s="66">
        <f t="shared" ref="S32" ca="1" si="14">IF(ISERROR(-S31/S$24),"n.a.",(-S31/S$24))</f>
        <v>3.0113418406678784E-2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1.0365908717512833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-32.252889249967879</v>
      </c>
      <c r="K35" s="159">
        <f t="shared" si="20"/>
        <v>64.601478621383222</v>
      </c>
      <c r="L35" s="159">
        <f t="shared" si="20"/>
        <v>72.565397431638388</v>
      </c>
      <c r="M35" s="159">
        <f t="shared" si="20"/>
        <v>72.768217212764569</v>
      </c>
      <c r="N35" s="159">
        <f t="shared" ca="1" si="20"/>
        <v>76.921741087792952</v>
      </c>
      <c r="O35" s="159">
        <f t="shared" ca="1" si="20"/>
        <v>80.879931564191793</v>
      </c>
      <c r="P35" s="159">
        <f t="shared" ca="1" si="20"/>
        <v>84.627255828317345</v>
      </c>
      <c r="Q35" s="159">
        <f t="shared" ca="1" si="20"/>
        <v>88.149098610973454</v>
      </c>
      <c r="R35" s="159">
        <f t="shared" ca="1" si="20"/>
        <v>91.431900976446798</v>
      </c>
      <c r="S35" s="159">
        <f t="shared" ref="S35" ca="1" si="21">S27+S31</f>
        <v>94.463291655120031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-2.9320808409061708E-2</v>
      </c>
      <c r="K36" s="66">
        <f t="shared" si="24"/>
        <v>4.7717310293172235E-2</v>
      </c>
      <c r="L36" s="66">
        <f t="shared" si="24"/>
        <v>5.0149707756228443E-2</v>
      </c>
      <c r="M36" s="66">
        <f t="shared" si="24"/>
        <v>5.0441696281252384E-2</v>
      </c>
      <c r="N36" s="66">
        <f t="shared" ca="1" si="24"/>
        <v>5.2275341878980225E-2</v>
      </c>
      <c r="O36" s="66">
        <f t="shared" ca="1" si="24"/>
        <v>5.3993412060104044E-2</v>
      </c>
      <c r="P36" s="66">
        <f t="shared" ca="1" si="24"/>
        <v>5.5605346135147865E-2</v>
      </c>
      <c r="Q36" s="66">
        <f t="shared" ca="1" si="24"/>
        <v>5.7119738532139641E-2</v>
      </c>
      <c r="R36" s="66">
        <f t="shared" ca="1" si="24"/>
        <v>5.8544428646736479E-2</v>
      </c>
      <c r="S36" s="66">
        <f t="shared" ref="S36" ca="1" si="25">IF(ISERROR(S35/S$24),"n.a.",(S35/S$24))</f>
        <v>5.988658159332122E-2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-1.5559118280407485</v>
      </c>
      <c r="K37" s="66">
        <f t="shared" si="26"/>
        <v>-3.0029671797991728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5.1457369794597474E-2</v>
      </c>
      <c r="P37" s="66">
        <f t="shared" ca="1" si="26"/>
        <v>4.6331941578751534E-2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5.4829911724945397</v>
      </c>
      <c r="K39" s="172">
        <f t="shared" si="27"/>
        <v>-10.982251365635149</v>
      </c>
      <c r="L39" s="172">
        <f t="shared" si="27"/>
        <v>-12.336117563378528</v>
      </c>
      <c r="M39" s="172">
        <f t="shared" si="27"/>
        <v>-12.370596926169977</v>
      </c>
      <c r="N39" s="172">
        <f t="shared" ca="1" si="27"/>
        <v>-13.076695984924802</v>
      </c>
      <c r="O39" s="172">
        <f t="shared" ca="1" si="27"/>
        <v>-13.749588365912606</v>
      </c>
      <c r="P39" s="172">
        <f t="shared" ca="1" si="27"/>
        <v>-14.386633490813949</v>
      </c>
      <c r="Q39" s="172">
        <f t="shared" ca="1" si="27"/>
        <v>-14.985346763865488</v>
      </c>
      <c r="R39" s="172">
        <f t="shared" ca="1" si="27"/>
        <v>-15.543423165995957</v>
      </c>
      <c r="S39" s="172">
        <f t="shared" ref="S39" ca="1" si="28">-S35*S40</f>
        <v>-16.058759581370406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-26.769898077473339</v>
      </c>
      <c r="K42" s="134">
        <f t="shared" si="30"/>
        <v>53.619227255748072</v>
      </c>
      <c r="L42" s="172">
        <f t="shared" si="30"/>
        <v>60.229279868259859</v>
      </c>
      <c r="M42" s="172">
        <f t="shared" si="30"/>
        <v>60.397620286594588</v>
      </c>
      <c r="N42" s="172">
        <f t="shared" ca="1" si="30"/>
        <v>63.845045102868148</v>
      </c>
      <c r="O42" s="172">
        <f t="shared" ca="1" si="30"/>
        <v>67.130343198279192</v>
      </c>
      <c r="P42" s="172">
        <f t="shared" ca="1" si="30"/>
        <v>70.240622337503396</v>
      </c>
      <c r="Q42" s="172">
        <f t="shared" ca="1" si="30"/>
        <v>73.16375184710796</v>
      </c>
      <c r="R42" s="172">
        <f t="shared" ca="1" si="30"/>
        <v>75.888477810450837</v>
      </c>
      <c r="S42" s="172">
        <f t="shared" ref="S42" ca="1" si="31">S35+S39</f>
        <v>78.404532073749621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-2.4336270979521218E-2</v>
      </c>
      <c r="K43" s="66">
        <f t="shared" si="33"/>
        <v>3.9605367543332951E-2</v>
      </c>
      <c r="L43" s="66">
        <f t="shared" si="33"/>
        <v>4.1624257437669607E-2</v>
      </c>
      <c r="M43" s="66">
        <f t="shared" si="33"/>
        <v>4.1866607913439477E-2</v>
      </c>
      <c r="N43" s="66">
        <f t="shared" ca="1" si="33"/>
        <v>4.3388533759553587E-2</v>
      </c>
      <c r="O43" s="66">
        <f t="shared" ca="1" si="33"/>
        <v>4.481453200988636E-2</v>
      </c>
      <c r="P43" s="66">
        <f t="shared" ca="1" si="33"/>
        <v>4.6152437292172728E-2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-1.5696380460170634</v>
      </c>
      <c r="K44" s="66">
        <f t="shared" si="35"/>
        <v>-3.0029671797991728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5.1457369794597474E-2</v>
      </c>
      <c r="P44" s="66">
        <f t="shared" ca="1" si="35"/>
        <v>4.6331941578751312E-2</v>
      </c>
      <c r="Q44" s="66">
        <f t="shared" ca="1" si="35"/>
        <v>4.1615939784232614E-2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51.82954358756416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4.6363636363636364E-2</v>
      </c>
      <c r="K49" s="66">
        <f t="shared" si="41"/>
        <v>3.6932057370415751E-2</v>
      </c>
      <c r="L49" s="66">
        <f t="shared" si="41"/>
        <v>3.4554835728332456E-2</v>
      </c>
      <c r="M49" s="66">
        <f t="shared" si="41"/>
        <v>3.4659153551726836E-2</v>
      </c>
      <c r="N49" s="66">
        <f t="shared" si="41"/>
        <v>3.3979562305614552E-2</v>
      </c>
      <c r="O49" s="66">
        <f t="shared" ca="1" si="41"/>
        <v>3.3378744897460261E-2</v>
      </c>
      <c r="P49" s="66">
        <f t="shared" ca="1" si="41"/>
        <v>3.2853095371516004E-2</v>
      </c>
      <c r="Q49" s="66">
        <f t="shared" ca="1" si="41"/>
        <v>3.239950233877318E-2</v>
      </c>
      <c r="R49" s="66">
        <f t="shared" ca="1" si="41"/>
        <v>3.2015318516574284E-2</v>
      </c>
      <c r="S49" s="66">
        <f t="shared" ref="S49" ca="1" si="42">IF(ISERROR(-S48/S$24),"n.a.",(-S48/S$24))</f>
        <v>3.1698335164925033E-2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0.96470075827557289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1.4647231309912188E-2</v>
      </c>
      <c r="K53" s="66">
        <f t="shared" si="47"/>
        <v>1.1204368284322206E-2</v>
      </c>
      <c r="L53" s="66">
        <f t="shared" si="47"/>
        <v>7.6782343981749305E-3</v>
      </c>
      <c r="M53" s="66">
        <f t="shared" si="47"/>
        <v>2.741441690624511E-3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-3.6932057370415751E-3</v>
      </c>
      <c r="L56" s="66">
        <f t="shared" si="48"/>
        <v>-3.4554835728332453E-3</v>
      </c>
      <c r="M56" s="66">
        <f t="shared" si="48"/>
        <v>-3.4659153551726838E-3</v>
      </c>
      <c r="N56" s="66">
        <f t="shared" si="48"/>
        <v>-3.3979562305614551E-3</v>
      </c>
      <c r="O56" s="66">
        <f t="shared" ca="1" si="48"/>
        <v>-3.3378744897460265E-3</v>
      </c>
      <c r="P56" s="66">
        <f t="shared" ca="1" si="48"/>
        <v>-3.2853095371516007E-3</v>
      </c>
      <c r="Q56" s="66">
        <f t="shared" ca="1" si="48"/>
        <v>-3.2399502338773178E-3</v>
      </c>
      <c r="R56" s="66">
        <f t="shared" ca="1" si="48"/>
        <v>-3.2015318516574287E-3</v>
      </c>
      <c r="S56" s="66">
        <f t="shared" ca="1" si="48"/>
        <v>-3.1698335164925037E-3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-1.6367698786122525E-2</v>
      </c>
      <c r="K59" s="66">
        <f t="shared" si="49"/>
        <v>-4.9878354033911108E-3</v>
      </c>
      <c r="L59" s="66">
        <f t="shared" si="49"/>
        <v>1.737310298687373E-2</v>
      </c>
      <c r="M59" s="66">
        <f t="shared" si="49"/>
        <v>-3.3723637637475745E-3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-39.207118777955699</v>
      </c>
      <c r="K61" s="174">
        <f t="shared" si="50"/>
        <v>54.230659495382142</v>
      </c>
      <c r="L61" s="174">
        <f t="shared" si="50"/>
        <v>93.307494382811498</v>
      </c>
      <c r="M61" s="174">
        <f t="shared" si="50"/>
        <v>59.287351410943515</v>
      </c>
      <c r="N61" s="174">
        <f t="shared" ca="1" si="50"/>
        <v>62.428305221334142</v>
      </c>
      <c r="O61" s="174">
        <f t="shared" ca="1" si="50"/>
        <v>64.496951293051993</v>
      </c>
      <c r="P61" s="174">
        <f t="shared" ca="1" si="50"/>
        <v>66.390578408582996</v>
      </c>
      <c r="Q61" s="174">
        <f t="shared" ca="1" si="50"/>
        <v>68.09705589449436</v>
      </c>
      <c r="R61" s="174">
        <f t="shared" ca="1" si="50"/>
        <v>69.605129834144037</v>
      </c>
      <c r="S61" s="174">
        <f t="shared" ca="1" si="50"/>
        <v>70.904532073749621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2.6835810251851621E-2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-39.180282967703846</v>
      </c>
      <c r="K64" s="177">
        <f t="shared" si="52"/>
        <v>54.230659495382142</v>
      </c>
      <c r="L64" s="177">
        <f t="shared" si="52"/>
        <v>93.307494382811498</v>
      </c>
      <c r="M64" s="177">
        <f>M63+M61</f>
        <v>59.287351410943515</v>
      </c>
      <c r="N64" s="177">
        <f t="shared" ca="1" si="52"/>
        <v>62.428305221334142</v>
      </c>
      <c r="O64" s="177">
        <f t="shared" ca="1" si="52"/>
        <v>64.496951293051993</v>
      </c>
      <c r="P64" s="177">
        <f ca="1">P63+P61</f>
        <v>66.390578408582996</v>
      </c>
      <c r="Q64" s="177">
        <f ca="1">Q63+Q61</f>
        <v>68.09705589449436</v>
      </c>
      <c r="R64" s="177">
        <f ca="1">R63+R61</f>
        <v>69.605129834144037</v>
      </c>
      <c r="S64" s="177">
        <f ca="1">S63+S61</f>
        <v>70.904532073749621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890.73818417647954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344.56180118905041</v>
      </c>
      <c r="I75" s="62">
        <f ca="1">H75/$H$77</f>
        <v>0.46655571151409547</v>
      </c>
      <c r="L75" s="28" t="s">
        <v>50</v>
      </c>
      <c r="N75" s="45">
        <f ca="1">SUMPRODUCT($G$64:$T$64,$G$67:$T$67)</f>
        <v>344.56180118905041</v>
      </c>
      <c r="O75" s="62">
        <f ca="1">N75/$N$77</f>
        <v>0.37305304205557338</v>
      </c>
    </row>
    <row r="76" spans="4:20">
      <c r="F76" s="28" t="s">
        <v>51</v>
      </c>
      <c r="H76" s="382">
        <f ca="1">T69*S67</f>
        <v>393.96050747770471</v>
      </c>
      <c r="I76" s="62">
        <f ca="1">H76/$H$77</f>
        <v>0.53344428848590442</v>
      </c>
      <c r="L76" s="28" t="s">
        <v>51</v>
      </c>
      <c r="N76" s="45">
        <f ca="1">T70*R67</f>
        <v>579.0650356019529</v>
      </c>
      <c r="O76" s="62">
        <f ca="1">N76/$N$77</f>
        <v>0.62694695794442656</v>
      </c>
    </row>
    <row r="77" spans="4:20">
      <c r="F77" s="25" t="s">
        <v>52</v>
      </c>
      <c r="G77" s="67"/>
      <c r="H77" s="383">
        <f ca="1">SUM(H75:H76)</f>
        <v>738.52230866675518</v>
      </c>
      <c r="I77" s="69">
        <f ca="1">SUM(I75:I76)</f>
        <v>0.99999999999999989</v>
      </c>
      <c r="L77" s="25" t="s">
        <v>52</v>
      </c>
      <c r="M77" s="67"/>
      <c r="N77" s="57">
        <f ca="1">SUM(N75:N76)</f>
        <v>923.62683679100337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653.90549512717018</v>
      </c>
      <c r="I79" s="69"/>
      <c r="L79" s="25" t="s">
        <v>68</v>
      </c>
      <c r="M79" s="67"/>
      <c r="N79" s="57">
        <f ca="1">N77+N78</f>
        <v>839.01002325141837</v>
      </c>
      <c r="O79" s="69"/>
    </row>
    <row r="80" spans="4:20">
      <c r="F80" s="98" t="s">
        <v>64</v>
      </c>
      <c r="G80" s="68"/>
      <c r="H80" s="384">
        <f ca="1">H79/Assumptions!$D$17*100</f>
        <v>328.59572619455787</v>
      </c>
      <c r="I80" s="100"/>
      <c r="L80" s="98" t="s">
        <v>64</v>
      </c>
      <c r="M80" s="68"/>
      <c r="N80" s="99">
        <f ca="1">N79/Assumptions!$D$17*100</f>
        <v>421.61307701076299</v>
      </c>
      <c r="O80" s="100"/>
    </row>
    <row r="81" spans="4:20">
      <c r="F81" s="101" t="s">
        <v>28</v>
      </c>
      <c r="G81" s="48"/>
      <c r="H81" s="385">
        <f ca="1">H80/Assumptions!$D$16-1</f>
        <v>0.9914892496639871</v>
      </c>
      <c r="I81" s="103"/>
      <c r="L81" s="101" t="s">
        <v>28</v>
      </c>
      <c r="M81" s="48"/>
      <c r="N81" s="102">
        <f ca="1">N80/Assumptions!$D$16-1</f>
        <v>1.5552307697622001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738.52230866675518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923.62683679100337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822.86661907804967</v>
      </c>
      <c r="G95" s="325">
        <v>839.87012808268537</v>
      </c>
      <c r="H95" s="326">
        <v>858.08817344479507</v>
      </c>
      <c r="I95" s="325">
        <v>877.65570364854261</v>
      </c>
      <c r="J95" s="327">
        <v>898.72842848334767</v>
      </c>
      <c r="L95" s="31">
        <f>L96-$I$88</f>
        <v>7.4999999999999997E-2</v>
      </c>
      <c r="M95" s="350">
        <f t="dataTable" ref="M95:Q99" dt2D="1" dtr="1" r1="F10" r2="F11" ca="1"/>
        <v>919.5101065639335</v>
      </c>
      <c r="N95" s="351">
        <v>956.53295990853894</v>
      </c>
      <c r="O95" s="351">
        <v>993.55581325314415</v>
      </c>
      <c r="P95" s="351">
        <v>1030.5786665977496</v>
      </c>
      <c r="Q95" s="352">
        <v>1067.6015199423548</v>
      </c>
      <c r="R95" s="129"/>
    </row>
    <row r="96" spans="4:20" ht="12.75" customHeight="1">
      <c r="E96" s="31">
        <f>E97-$I$88</f>
        <v>0.08</v>
      </c>
      <c r="F96" s="328">
        <v>764.71902194086692</v>
      </c>
      <c r="G96" s="329">
        <v>779.02140860813802</v>
      </c>
      <c r="H96" s="326">
        <v>794.27728771989405</v>
      </c>
      <c r="I96" s="329">
        <v>810.58529642556425</v>
      </c>
      <c r="J96" s="330">
        <v>828.05816289592519</v>
      </c>
      <c r="L96" s="31">
        <f>L97-$I$88</f>
        <v>0.08</v>
      </c>
      <c r="M96" s="353">
        <v>886.81497794563029</v>
      </c>
      <c r="N96" s="354">
        <v>922.32347295615818</v>
      </c>
      <c r="O96" s="355">
        <v>957.83196796668608</v>
      </c>
      <c r="P96" s="354">
        <v>993.34046297721409</v>
      </c>
      <c r="Q96" s="356">
        <v>1028.8489579877419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713.50345290946461</v>
      </c>
      <c r="G97" s="326">
        <v>725.63380721602971</v>
      </c>
      <c r="H97" s="329">
        <v>738.52230866675518</v>
      </c>
      <c r="I97" s="326">
        <v>752.24232634010809</v>
      </c>
      <c r="J97" s="330">
        <v>766.87701185835112</v>
      </c>
      <c r="L97" s="200">
        <f>$M$88</f>
        <v>8.5000000000000006E-2</v>
      </c>
      <c r="M97" s="353">
        <v>855.50153848489117</v>
      </c>
      <c r="N97" s="355">
        <v>889.56418763794727</v>
      </c>
      <c r="O97" s="354">
        <v>923.62683679100337</v>
      </c>
      <c r="P97" s="355">
        <v>957.68948594405924</v>
      </c>
      <c r="Q97" s="356">
        <v>991.75213509711534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668.06197709209209</v>
      </c>
      <c r="G98" s="329">
        <v>678.42591876204722</v>
      </c>
      <c r="H98" s="326">
        <v>689.39950405964692</v>
      </c>
      <c r="I98" s="329">
        <v>701.03815513285849</v>
      </c>
      <c r="J98" s="330">
        <v>713.40422189814603</v>
      </c>
      <c r="L98" s="168">
        <f>L97+$I$88</f>
        <v>9.0000000000000011E-2</v>
      </c>
      <c r="M98" s="353">
        <v>825.50368287143351</v>
      </c>
      <c r="N98" s="354">
        <v>858.18560444622949</v>
      </c>
      <c r="O98" s="355">
        <v>890.86752602102536</v>
      </c>
      <c r="P98" s="354">
        <v>923.54944759582133</v>
      </c>
      <c r="Q98" s="356">
        <v>956.23136917061731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627.48054304645666</v>
      </c>
      <c r="G99" s="332">
        <v>636.39349557348032</v>
      </c>
      <c r="H99" s="332">
        <v>645.80161212978328</v>
      </c>
      <c r="I99" s="332">
        <v>655.74733534644622</v>
      </c>
      <c r="J99" s="333">
        <v>666.27810110526593</v>
      </c>
      <c r="L99" s="169">
        <f>L98+$I$88</f>
        <v>9.5000000000000015E-2</v>
      </c>
      <c r="M99" s="357">
        <v>796.75879453807238</v>
      </c>
      <c r="N99" s="358">
        <v>828.12189523111351</v>
      </c>
      <c r="O99" s="358">
        <v>859.48499592415442</v>
      </c>
      <c r="P99" s="358">
        <v>890.84809661719532</v>
      </c>
      <c r="Q99" s="359">
        <v>922.21119731023646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328.59572619455787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421.61307701076299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370.97980177812298</v>
      </c>
      <c r="G104" s="335">
        <f>(G95-SUM(Assumptions!$D$19:$D$22))/Assumptions!$D$17*100</f>
        <v>379.52427866487454</v>
      </c>
      <c r="H104" s="336">
        <f>(H95-SUM(Assumptions!$D$19:$D$22))/Assumptions!$D$17*100</f>
        <v>388.6790753292513</v>
      </c>
      <c r="I104" s="335">
        <f>(I95-SUM(Assumptions!$D$19:$D$22))/Assumptions!$D$17*100</f>
        <v>398.51200507987818</v>
      </c>
      <c r="J104" s="337">
        <f>(J95-SUM(Assumptions!$D$19:$D$22))/Assumptions!$D$17*100</f>
        <v>409.10131404209176</v>
      </c>
      <c r="L104" s="31">
        <f>L105-$I$88</f>
        <v>7.4999999999999997E-2</v>
      </c>
      <c r="M104" s="73">
        <f>(M95-SUM(Assumptions!$D$19:$D$22))/Assumptions!$D$17*100</f>
        <v>419.54436835394392</v>
      </c>
      <c r="N104" s="74">
        <f>(N95-SUM(Assumptions!$D$19:$D$22))/Assumptions!$D$17*100</f>
        <v>438.14881727083116</v>
      </c>
      <c r="O104" s="78">
        <f>(O95-SUM(Assumptions!$D$19:$D$22))/Assumptions!$D$17*100</f>
        <v>456.75326618771817</v>
      </c>
      <c r="P104" s="74">
        <f>(P95-SUM(Assumptions!$D$19:$D$22))/Assumptions!$D$17*100</f>
        <v>475.35771510460529</v>
      </c>
      <c r="Q104" s="75">
        <f>(Q95-SUM(Assumptions!$D$19:$D$22))/Assumptions!$D$17*100</f>
        <v>493.96216402149236</v>
      </c>
    </row>
    <row r="105" spans="4:20" s="129" customFormat="1">
      <c r="E105" s="31">
        <f>E106-$I$88</f>
        <v>0.08</v>
      </c>
      <c r="F105" s="338">
        <f>(F96-SUM(Assumptions!$D$19:$D$22))/Assumptions!$D$17*100</f>
        <v>341.75990371923717</v>
      </c>
      <c r="G105" s="339">
        <f>(G96-SUM(Assumptions!$D$19:$D$22))/Assumptions!$D$17*100</f>
        <v>348.94703269776534</v>
      </c>
      <c r="H105" s="336">
        <f>(H96-SUM(Assumptions!$D$19:$D$22))/Assumptions!$D$17*100</f>
        <v>356.61330360819551</v>
      </c>
      <c r="I105" s="339">
        <f>(I96-SUM(Assumptions!$D$19:$D$22))/Assumptions!$D$17*100</f>
        <v>364.80828285727603</v>
      </c>
      <c r="J105" s="340">
        <f>(J96-SUM(Assumptions!$D$19:$D$22))/Assumptions!$D$17*100</f>
        <v>373.58861776700513</v>
      </c>
      <c r="L105" s="31">
        <f>L106-$I$88</f>
        <v>0.08</v>
      </c>
      <c r="M105" s="76">
        <f>(M96-SUM(Assumptions!$D$19:$D$22))/Assumptions!$D$17*100</f>
        <v>403.11465548042474</v>
      </c>
      <c r="N105" s="77">
        <f>(N96-SUM(Assumptions!$D$19:$D$22))/Assumptions!$D$17*100</f>
        <v>420.95812030983575</v>
      </c>
      <c r="O105" s="78">
        <f>(O96-SUM(Assumptions!$D$19:$D$22))/Assumptions!$D$17*100</f>
        <v>438.80158513924681</v>
      </c>
      <c r="P105" s="77">
        <f>(P96-SUM(Assumptions!$D$19:$D$22))/Assumptions!$D$17*100</f>
        <v>456.64504996865782</v>
      </c>
      <c r="Q105" s="79">
        <f>(Q96-SUM(Assumptions!$D$19:$D$22))/Assumptions!$D$17*100</f>
        <v>474.48851479806882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316.02343686928623</v>
      </c>
      <c r="G106" s="336">
        <f>(G97-SUM(Assumptions!$D$19:$D$22))/Assumptions!$D$17*100</f>
        <v>322.11909229972099</v>
      </c>
      <c r="H106" s="339">
        <f>(H97-SUM(Assumptions!$D$19:$D$22))/Assumptions!$D$17*100</f>
        <v>328.59572619455787</v>
      </c>
      <c r="I106" s="336">
        <f>(I97-SUM(Assumptions!$D$19:$D$22))/Assumptions!$D$17*100</f>
        <v>335.49020743744882</v>
      </c>
      <c r="J106" s="340">
        <f>(J97-SUM(Assumptions!$D$19:$D$22))/Assumptions!$D$17*100</f>
        <v>342.84432076319905</v>
      </c>
      <c r="L106" s="200">
        <f>$M$88</f>
        <v>8.5000000000000006E-2</v>
      </c>
      <c r="M106" s="76">
        <f>(M97-SUM(Assumptions!$D$19:$D$22))/Assumptions!$D$17*100</f>
        <v>387.37925876648552</v>
      </c>
      <c r="N106" s="78">
        <f>(N97-SUM(Assumptions!$D$19:$D$22))/Assumptions!$D$17*100</f>
        <v>404.49616788862431</v>
      </c>
      <c r="O106" s="77">
        <f>(O97-SUM(Assumptions!$D$19:$D$22))/Assumptions!$D$17*100</f>
        <v>421.61307701076299</v>
      </c>
      <c r="P106" s="78">
        <f>(P97-SUM(Assumptions!$D$19:$D$22))/Assumptions!$D$17*100</f>
        <v>438.72998613290167</v>
      </c>
      <c r="Q106" s="79">
        <f>(Q97-SUM(Assumptions!$D$19:$D$22))/Assumptions!$D$17*100</f>
        <v>455.84689525504035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293.18852439824479</v>
      </c>
      <c r="G107" s="339">
        <f>(G98-SUM(Assumptions!$D$19:$D$22))/Assumptions!$D$17*100</f>
        <v>298.39653528766945</v>
      </c>
      <c r="H107" s="336">
        <f>(H98-SUM(Assumptions!$D$19:$D$22))/Assumptions!$D$17*100</f>
        <v>303.91089975882505</v>
      </c>
      <c r="I107" s="339">
        <f>(I98-SUM(Assumptions!$D$19:$D$22))/Assumptions!$D$17*100</f>
        <v>309.75946813732338</v>
      </c>
      <c r="J107" s="340">
        <f>(J98-SUM(Assumptions!$D$19:$D$22))/Assumptions!$D$17*100</f>
        <v>315.97357203947792</v>
      </c>
      <c r="L107" s="168">
        <f>L106+$I$88</f>
        <v>9.0000000000000011E-2</v>
      </c>
      <c r="M107" s="76">
        <f>(M98-SUM(Assumptions!$D$19:$D$22))/Assumptions!$D$17*100</f>
        <v>372.30495946324049</v>
      </c>
      <c r="N107" s="77">
        <f>(N98-SUM(Assumptions!$D$19:$D$22))/Assumptions!$D$17*100</f>
        <v>388.72803563147966</v>
      </c>
      <c r="O107" s="78">
        <f>(O98-SUM(Assumptions!$D$19:$D$22))/Assumptions!$D$17*100</f>
        <v>405.15111179971876</v>
      </c>
      <c r="P107" s="77">
        <f>(P98-SUM(Assumptions!$D$19:$D$22))/Assumptions!$D$17*100</f>
        <v>421.57418796795793</v>
      </c>
      <c r="Q107" s="79">
        <f>(Q98-SUM(Assumptions!$D$19:$D$22))/Assumptions!$D$17*100</f>
        <v>437.99726413619709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272.79584397330234</v>
      </c>
      <c r="G108" s="342">
        <f>(G99-SUM(Assumptions!$D$19:$D$22))/Assumptions!$D$17*100</f>
        <v>277.27471458989714</v>
      </c>
      <c r="H108" s="342">
        <f>(H99-SUM(Assumptions!$D$19:$D$22))/Assumptions!$D$17*100</f>
        <v>282.00241135185843</v>
      </c>
      <c r="I108" s="342">
        <f>(I99-SUM(Assumptions!$D$19:$D$22))/Assumptions!$D$17*100</f>
        <v>287.00026221450315</v>
      </c>
      <c r="J108" s="343">
        <f>(J99-SUM(Assumptions!$D$19:$D$22))/Assumptions!$D$17*100</f>
        <v>292.29210430436228</v>
      </c>
      <c r="L108" s="169">
        <f>L107+$I$88</f>
        <v>9.5000000000000015E-2</v>
      </c>
      <c r="M108" s="80">
        <f>(M99-SUM(Assumptions!$D$19:$D$22))/Assumptions!$D$17*100</f>
        <v>357.86029195903888</v>
      </c>
      <c r="N108" s="81">
        <f>(N99-SUM(Assumptions!$D$19:$D$22))/Assumptions!$D$17*100</f>
        <v>373.62064406609477</v>
      </c>
      <c r="O108" s="81">
        <f>(O99-SUM(Assumptions!$D$19:$D$22))/Assumptions!$D$17*100</f>
        <v>389.38099617315049</v>
      </c>
      <c r="P108" s="81">
        <f>(P99-SUM(Assumptions!$D$19:$D$22))/Assumptions!$D$17*100</f>
        <v>405.14134828020616</v>
      </c>
      <c r="Q108" s="82">
        <f>(Q99-SUM(Assumptions!$D$19:$D$22))/Assumptions!$D$17*100</f>
        <v>420.90170038726205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8.2024042733811307</v>
      </c>
      <c r="K112" s="151">
        <f t="shared" si="56"/>
        <v>111.79673623719195</v>
      </c>
      <c r="L112" s="151">
        <f t="shared" si="56"/>
        <v>124.39494101920255</v>
      </c>
      <c r="M112" s="151">
        <f t="shared" si="56"/>
        <v>127.56812935492377</v>
      </c>
      <c r="N112" s="151">
        <f t="shared" ca="1" si="56"/>
        <v>130.50500120625895</v>
      </c>
      <c r="O112" s="151">
        <f t="shared" ca="1" si="56"/>
        <v>133.24653965896459</v>
      </c>
      <c r="P112" s="151">
        <f t="shared" ca="1" si="56"/>
        <v>135.77721189939695</v>
      </c>
      <c r="Q112" s="151">
        <f t="shared" ca="1" si="56"/>
        <v>138.08240265835985</v>
      </c>
      <c r="R112" s="151">
        <f t="shared" ca="1" si="56"/>
        <v>140.14855300014</v>
      </c>
      <c r="S112" s="151">
        <f t="shared" ca="1" si="56"/>
        <v>141.96329165512003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7.4567311576192096E-3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8.8690056393647562E-2</v>
      </c>
      <c r="O113" s="155">
        <f t="shared" ca="1" si="57"/>
        <v>8.8952045114918027E-2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8.9738011278729504E-2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51.82954358756416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1.0365908717512833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-32.252889249967879</v>
      </c>
      <c r="K116" s="153">
        <f t="shared" si="61"/>
        <v>64.601478621383222</v>
      </c>
      <c r="L116" s="153">
        <f t="shared" si="61"/>
        <v>72.565397431638388</v>
      </c>
      <c r="M116" s="153">
        <f t="shared" si="61"/>
        <v>72.768217212764569</v>
      </c>
      <c r="N116" s="153">
        <f t="shared" ca="1" si="61"/>
        <v>76.921741087792952</v>
      </c>
      <c r="O116" s="153">
        <f t="shared" ca="1" si="61"/>
        <v>80.879931564191793</v>
      </c>
      <c r="P116" s="153">
        <f t="shared" ca="1" si="61"/>
        <v>84.627255828317345</v>
      </c>
      <c r="Q116" s="153">
        <f t="shared" ca="1" si="61"/>
        <v>88.149098610973454</v>
      </c>
      <c r="R116" s="153">
        <f t="shared" ca="1" si="61"/>
        <v>91.431900976446798</v>
      </c>
      <c r="S116" s="153">
        <f t="shared" ca="1" si="61"/>
        <v>94.463291655120031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-2.9320808409061708E-2</v>
      </c>
      <c r="K117" s="155">
        <f t="shared" si="62"/>
        <v>4.7717310293172235E-2</v>
      </c>
      <c r="L117" s="155">
        <f t="shared" si="62"/>
        <v>5.0149707756228443E-2</v>
      </c>
      <c r="M117" s="155">
        <f t="shared" si="62"/>
        <v>5.0441696281252384E-2</v>
      </c>
      <c r="N117" s="155">
        <f t="shared" ca="1" si="62"/>
        <v>5.2275341878980225E-2</v>
      </c>
      <c r="O117" s="155">
        <f t="shared" ca="1" si="62"/>
        <v>5.3993412060104044E-2</v>
      </c>
      <c r="P117" s="155">
        <f t="shared" ca="1" si="62"/>
        <v>5.5605346135147865E-2</v>
      </c>
      <c r="Q117" s="155">
        <f t="shared" ca="1" si="62"/>
        <v>5.7119738532139641E-2</v>
      </c>
      <c r="R117" s="155">
        <f t="shared" ca="1" si="62"/>
        <v>5.8544428646736479E-2</v>
      </c>
      <c r="S117" s="155">
        <f t="shared" ref="S117" ca="1" si="63">S116/S$24</f>
        <v>5.988658159332122E-2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5.4829911724945397</v>
      </c>
      <c r="K118" s="152">
        <f t="shared" si="64"/>
        <v>-10.982251365635149</v>
      </c>
      <c r="L118" s="152">
        <f t="shared" si="64"/>
        <v>-12.336117563378528</v>
      </c>
      <c r="M118" s="152">
        <f t="shared" si="64"/>
        <v>-12.370596926169977</v>
      </c>
      <c r="N118" s="152">
        <f t="shared" ca="1" si="64"/>
        <v>-13.076695984924802</v>
      </c>
      <c r="O118" s="152">
        <f t="shared" ca="1" si="64"/>
        <v>-13.749588365912606</v>
      </c>
      <c r="P118" s="152">
        <f t="shared" ca="1" si="64"/>
        <v>-14.386633490813949</v>
      </c>
      <c r="Q118" s="152">
        <f t="shared" ca="1" si="64"/>
        <v>-14.985346763865488</v>
      </c>
      <c r="R118" s="152">
        <f t="shared" ca="1" si="64"/>
        <v>-15.543423165995957</v>
      </c>
      <c r="S118" s="152">
        <f t="shared" ca="1" si="64"/>
        <v>-16.058759581370406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-26.769898077473339</v>
      </c>
      <c r="K120" s="152">
        <f t="shared" si="66"/>
        <v>53.619227255748072</v>
      </c>
      <c r="L120" s="152">
        <f t="shared" si="66"/>
        <v>60.229279868259859</v>
      </c>
      <c r="M120" s="152">
        <f t="shared" si="66"/>
        <v>60.397620286594588</v>
      </c>
      <c r="N120" s="152">
        <f t="shared" ca="1" si="66"/>
        <v>63.845045102868148</v>
      </c>
      <c r="O120" s="152">
        <f t="shared" ca="1" si="66"/>
        <v>67.130343198279192</v>
      </c>
      <c r="P120" s="152">
        <f t="shared" ca="1" si="66"/>
        <v>70.240622337503396</v>
      </c>
      <c r="Q120" s="152">
        <f t="shared" ca="1" si="66"/>
        <v>73.16375184710796</v>
      </c>
      <c r="R120" s="152">
        <f t="shared" ca="1" si="66"/>
        <v>75.888477810450837</v>
      </c>
      <c r="S120" s="152">
        <f t="shared" ca="1" si="66"/>
        <v>78.404532073749621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51.82954358756416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-39.207118777955699</v>
      </c>
      <c r="K127" s="164">
        <f t="shared" si="72"/>
        <v>54.230659495382142</v>
      </c>
      <c r="L127" s="164">
        <f t="shared" si="72"/>
        <v>93.307494382811498</v>
      </c>
      <c r="M127" s="164">
        <f t="shared" si="72"/>
        <v>59.287351410943515</v>
      </c>
      <c r="N127" s="164">
        <f t="shared" ca="1" si="72"/>
        <v>62.428305221334142</v>
      </c>
      <c r="O127" s="164">
        <f t="shared" ca="1" si="72"/>
        <v>64.496951293051993</v>
      </c>
      <c r="P127" s="164">
        <f t="shared" ca="1" si="72"/>
        <v>66.390578408582996</v>
      </c>
      <c r="Q127" s="164">
        <f t="shared" ca="1" si="72"/>
        <v>68.09705589449436</v>
      </c>
      <c r="R127" s="164">
        <f t="shared" ca="1" si="72"/>
        <v>69.605129834144037</v>
      </c>
      <c r="S127" s="164">
        <f t="shared" ca="1" si="72"/>
        <v>70.904532073749621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topLeftCell="A28" zoomScaleNormal="100" workbookViewId="0">
      <selection activeCell="J47" sqref="J47"/>
    </sheetView>
  </sheetViews>
  <sheetFormatPr defaultColWidth="8.85546875" defaultRowHeight="12.75"/>
  <cols>
    <col min="1" max="2" width="2.7109375" style="216" customWidth="1"/>
    <col min="3" max="5" width="12" style="216" customWidth="1"/>
    <col min="6" max="7" width="9.140625" style="216"/>
    <col min="8" max="8" width="0.85546875" style="216" customWidth="1"/>
    <col min="9" max="19" width="12.7109375" style="216" customWidth="1"/>
    <col min="20" max="253" width="9.140625" style="216"/>
    <col min="254" max="255" width="2.7109375" style="216" customWidth="1"/>
    <col min="256" max="258" width="12" style="216" customWidth="1"/>
    <col min="259" max="260" width="9.140625" style="216"/>
    <col min="261" max="261" width="0.85546875" style="216" customWidth="1"/>
    <col min="262" max="275" width="7.7109375" style="216" customWidth="1"/>
    <col min="276" max="509" width="9.140625" style="216"/>
    <col min="510" max="511" width="2.7109375" style="216" customWidth="1"/>
    <col min="512" max="514" width="12" style="216" customWidth="1"/>
    <col min="515" max="516" width="9.140625" style="216"/>
    <col min="517" max="517" width="0.85546875" style="216" customWidth="1"/>
    <col min="518" max="531" width="7.7109375" style="216" customWidth="1"/>
    <col min="532" max="765" width="9.140625" style="216"/>
    <col min="766" max="767" width="2.7109375" style="216" customWidth="1"/>
    <col min="768" max="770" width="12" style="216" customWidth="1"/>
    <col min="771" max="772" width="9.140625" style="216"/>
    <col min="773" max="773" width="0.85546875" style="216" customWidth="1"/>
    <col min="774" max="787" width="7.7109375" style="216" customWidth="1"/>
    <col min="788" max="1021" width="9.140625" style="216"/>
    <col min="1022" max="1023" width="2.7109375" style="216" customWidth="1"/>
    <col min="1024" max="1026" width="12" style="216" customWidth="1"/>
    <col min="1027" max="1028" width="9.140625" style="216"/>
    <col min="1029" max="1029" width="0.85546875" style="216" customWidth="1"/>
    <col min="1030" max="1043" width="7.7109375" style="216" customWidth="1"/>
    <col min="1044" max="1277" width="9.140625" style="216"/>
    <col min="1278" max="1279" width="2.7109375" style="216" customWidth="1"/>
    <col min="1280" max="1282" width="12" style="216" customWidth="1"/>
    <col min="1283" max="1284" width="9.140625" style="216"/>
    <col min="1285" max="1285" width="0.85546875" style="216" customWidth="1"/>
    <col min="1286" max="1299" width="7.7109375" style="216" customWidth="1"/>
    <col min="1300" max="1533" width="9.140625" style="216"/>
    <col min="1534" max="1535" width="2.7109375" style="216" customWidth="1"/>
    <col min="1536" max="1538" width="12" style="216" customWidth="1"/>
    <col min="1539" max="1540" width="9.140625" style="216"/>
    <col min="1541" max="1541" width="0.85546875" style="216" customWidth="1"/>
    <col min="1542" max="1555" width="7.7109375" style="216" customWidth="1"/>
    <col min="1556" max="1789" width="9.140625" style="216"/>
    <col min="1790" max="1791" width="2.7109375" style="216" customWidth="1"/>
    <col min="1792" max="1794" width="12" style="216" customWidth="1"/>
    <col min="1795" max="1796" width="9.140625" style="216"/>
    <col min="1797" max="1797" width="0.85546875" style="216" customWidth="1"/>
    <col min="1798" max="1811" width="7.7109375" style="216" customWidth="1"/>
    <col min="1812" max="2045" width="9.140625" style="216"/>
    <col min="2046" max="2047" width="2.7109375" style="216" customWidth="1"/>
    <col min="2048" max="2050" width="12" style="216" customWidth="1"/>
    <col min="2051" max="2052" width="9.140625" style="216"/>
    <col min="2053" max="2053" width="0.85546875" style="216" customWidth="1"/>
    <col min="2054" max="2067" width="7.7109375" style="216" customWidth="1"/>
    <col min="2068" max="2301" width="9.140625" style="216"/>
    <col min="2302" max="2303" width="2.7109375" style="216" customWidth="1"/>
    <col min="2304" max="2306" width="12" style="216" customWidth="1"/>
    <col min="2307" max="2308" width="9.140625" style="216"/>
    <col min="2309" max="2309" width="0.85546875" style="216" customWidth="1"/>
    <col min="2310" max="2323" width="7.7109375" style="216" customWidth="1"/>
    <col min="2324" max="2557" width="9.140625" style="216"/>
    <col min="2558" max="2559" width="2.7109375" style="216" customWidth="1"/>
    <col min="2560" max="2562" width="12" style="216" customWidth="1"/>
    <col min="2563" max="2564" width="9.140625" style="216"/>
    <col min="2565" max="2565" width="0.85546875" style="216" customWidth="1"/>
    <col min="2566" max="2579" width="7.7109375" style="216" customWidth="1"/>
    <col min="2580" max="2813" width="9.140625" style="216"/>
    <col min="2814" max="2815" width="2.7109375" style="216" customWidth="1"/>
    <col min="2816" max="2818" width="12" style="216" customWidth="1"/>
    <col min="2819" max="2820" width="9.140625" style="216"/>
    <col min="2821" max="2821" width="0.85546875" style="216" customWidth="1"/>
    <col min="2822" max="2835" width="7.7109375" style="216" customWidth="1"/>
    <col min="2836" max="3069" width="9.140625" style="216"/>
    <col min="3070" max="3071" width="2.7109375" style="216" customWidth="1"/>
    <col min="3072" max="3074" width="12" style="216" customWidth="1"/>
    <col min="3075" max="3076" width="9.140625" style="216"/>
    <col min="3077" max="3077" width="0.85546875" style="216" customWidth="1"/>
    <col min="3078" max="3091" width="7.7109375" style="216" customWidth="1"/>
    <col min="3092" max="3325" width="9.140625" style="216"/>
    <col min="3326" max="3327" width="2.7109375" style="216" customWidth="1"/>
    <col min="3328" max="3330" width="12" style="216" customWidth="1"/>
    <col min="3331" max="3332" width="9.140625" style="216"/>
    <col min="3333" max="3333" width="0.85546875" style="216" customWidth="1"/>
    <col min="3334" max="3347" width="7.7109375" style="216" customWidth="1"/>
    <col min="3348" max="3581" width="9.140625" style="216"/>
    <col min="3582" max="3583" width="2.7109375" style="216" customWidth="1"/>
    <col min="3584" max="3586" width="12" style="216" customWidth="1"/>
    <col min="3587" max="3588" width="9.140625" style="216"/>
    <col min="3589" max="3589" width="0.85546875" style="216" customWidth="1"/>
    <col min="3590" max="3603" width="7.7109375" style="216" customWidth="1"/>
    <col min="3604" max="3837" width="9.140625" style="216"/>
    <col min="3838" max="3839" width="2.7109375" style="216" customWidth="1"/>
    <col min="3840" max="3842" width="12" style="216" customWidth="1"/>
    <col min="3843" max="3844" width="9.140625" style="216"/>
    <col min="3845" max="3845" width="0.85546875" style="216" customWidth="1"/>
    <col min="3846" max="3859" width="7.7109375" style="216" customWidth="1"/>
    <col min="3860" max="4093" width="9.140625" style="216"/>
    <col min="4094" max="4095" width="2.7109375" style="216" customWidth="1"/>
    <col min="4096" max="4098" width="12" style="216" customWidth="1"/>
    <col min="4099" max="4100" width="9.140625" style="216"/>
    <col min="4101" max="4101" width="0.85546875" style="216" customWidth="1"/>
    <col min="4102" max="4115" width="7.7109375" style="216" customWidth="1"/>
    <col min="4116" max="4349" width="9.140625" style="216"/>
    <col min="4350" max="4351" width="2.7109375" style="216" customWidth="1"/>
    <col min="4352" max="4354" width="12" style="216" customWidth="1"/>
    <col min="4355" max="4356" width="9.140625" style="216"/>
    <col min="4357" max="4357" width="0.85546875" style="216" customWidth="1"/>
    <col min="4358" max="4371" width="7.7109375" style="216" customWidth="1"/>
    <col min="4372" max="4605" width="9.140625" style="216"/>
    <col min="4606" max="4607" width="2.7109375" style="216" customWidth="1"/>
    <col min="4608" max="4610" width="12" style="216" customWidth="1"/>
    <col min="4611" max="4612" width="9.140625" style="216"/>
    <col min="4613" max="4613" width="0.85546875" style="216" customWidth="1"/>
    <col min="4614" max="4627" width="7.7109375" style="216" customWidth="1"/>
    <col min="4628" max="4861" width="9.140625" style="216"/>
    <col min="4862" max="4863" width="2.7109375" style="216" customWidth="1"/>
    <col min="4864" max="4866" width="12" style="216" customWidth="1"/>
    <col min="4867" max="4868" width="9.140625" style="216"/>
    <col min="4869" max="4869" width="0.85546875" style="216" customWidth="1"/>
    <col min="4870" max="4883" width="7.7109375" style="216" customWidth="1"/>
    <col min="4884" max="5117" width="9.140625" style="216"/>
    <col min="5118" max="5119" width="2.7109375" style="216" customWidth="1"/>
    <col min="5120" max="5122" width="12" style="216" customWidth="1"/>
    <col min="5123" max="5124" width="9.140625" style="216"/>
    <col min="5125" max="5125" width="0.85546875" style="216" customWidth="1"/>
    <col min="5126" max="5139" width="7.7109375" style="216" customWidth="1"/>
    <col min="5140" max="5373" width="9.140625" style="216"/>
    <col min="5374" max="5375" width="2.7109375" style="216" customWidth="1"/>
    <col min="5376" max="5378" width="12" style="216" customWidth="1"/>
    <col min="5379" max="5380" width="9.140625" style="216"/>
    <col min="5381" max="5381" width="0.85546875" style="216" customWidth="1"/>
    <col min="5382" max="5395" width="7.7109375" style="216" customWidth="1"/>
    <col min="5396" max="5629" width="9.140625" style="216"/>
    <col min="5630" max="5631" width="2.7109375" style="216" customWidth="1"/>
    <col min="5632" max="5634" width="12" style="216" customWidth="1"/>
    <col min="5635" max="5636" width="9.140625" style="216"/>
    <col min="5637" max="5637" width="0.85546875" style="216" customWidth="1"/>
    <col min="5638" max="5651" width="7.7109375" style="216" customWidth="1"/>
    <col min="5652" max="5885" width="9.140625" style="216"/>
    <col min="5886" max="5887" width="2.7109375" style="216" customWidth="1"/>
    <col min="5888" max="5890" width="12" style="216" customWidth="1"/>
    <col min="5891" max="5892" width="9.140625" style="216"/>
    <col min="5893" max="5893" width="0.85546875" style="216" customWidth="1"/>
    <col min="5894" max="5907" width="7.7109375" style="216" customWidth="1"/>
    <col min="5908" max="6141" width="9.140625" style="216"/>
    <col min="6142" max="6143" width="2.7109375" style="216" customWidth="1"/>
    <col min="6144" max="6146" width="12" style="216" customWidth="1"/>
    <col min="6147" max="6148" width="9.140625" style="216"/>
    <col min="6149" max="6149" width="0.85546875" style="216" customWidth="1"/>
    <col min="6150" max="6163" width="7.7109375" style="216" customWidth="1"/>
    <col min="6164" max="6397" width="9.140625" style="216"/>
    <col min="6398" max="6399" width="2.7109375" style="216" customWidth="1"/>
    <col min="6400" max="6402" width="12" style="216" customWidth="1"/>
    <col min="6403" max="6404" width="9.140625" style="216"/>
    <col min="6405" max="6405" width="0.85546875" style="216" customWidth="1"/>
    <col min="6406" max="6419" width="7.7109375" style="216" customWidth="1"/>
    <col min="6420" max="6653" width="9.140625" style="216"/>
    <col min="6654" max="6655" width="2.7109375" style="216" customWidth="1"/>
    <col min="6656" max="6658" width="12" style="216" customWidth="1"/>
    <col min="6659" max="6660" width="9.140625" style="216"/>
    <col min="6661" max="6661" width="0.85546875" style="216" customWidth="1"/>
    <col min="6662" max="6675" width="7.7109375" style="216" customWidth="1"/>
    <col min="6676" max="6909" width="9.140625" style="216"/>
    <col min="6910" max="6911" width="2.7109375" style="216" customWidth="1"/>
    <col min="6912" max="6914" width="12" style="216" customWidth="1"/>
    <col min="6915" max="6916" width="9.140625" style="216"/>
    <col min="6917" max="6917" width="0.85546875" style="216" customWidth="1"/>
    <col min="6918" max="6931" width="7.7109375" style="216" customWidth="1"/>
    <col min="6932" max="7165" width="9.140625" style="216"/>
    <col min="7166" max="7167" width="2.7109375" style="216" customWidth="1"/>
    <col min="7168" max="7170" width="12" style="216" customWidth="1"/>
    <col min="7171" max="7172" width="9.140625" style="216"/>
    <col min="7173" max="7173" width="0.85546875" style="216" customWidth="1"/>
    <col min="7174" max="7187" width="7.7109375" style="216" customWidth="1"/>
    <col min="7188" max="7421" width="9.140625" style="216"/>
    <col min="7422" max="7423" width="2.7109375" style="216" customWidth="1"/>
    <col min="7424" max="7426" width="12" style="216" customWidth="1"/>
    <col min="7427" max="7428" width="9.140625" style="216"/>
    <col min="7429" max="7429" width="0.85546875" style="216" customWidth="1"/>
    <col min="7430" max="7443" width="7.7109375" style="216" customWidth="1"/>
    <col min="7444" max="7677" width="9.140625" style="216"/>
    <col min="7678" max="7679" width="2.7109375" style="216" customWidth="1"/>
    <col min="7680" max="7682" width="12" style="216" customWidth="1"/>
    <col min="7683" max="7684" width="9.140625" style="216"/>
    <col min="7685" max="7685" width="0.85546875" style="216" customWidth="1"/>
    <col min="7686" max="7699" width="7.7109375" style="216" customWidth="1"/>
    <col min="7700" max="7933" width="9.140625" style="216"/>
    <col min="7934" max="7935" width="2.7109375" style="216" customWidth="1"/>
    <col min="7936" max="7938" width="12" style="216" customWidth="1"/>
    <col min="7939" max="7940" width="9.140625" style="216"/>
    <col min="7941" max="7941" width="0.85546875" style="216" customWidth="1"/>
    <col min="7942" max="7955" width="7.7109375" style="216" customWidth="1"/>
    <col min="7956" max="8189" width="9.140625" style="216"/>
    <col min="8190" max="8191" width="2.7109375" style="216" customWidth="1"/>
    <col min="8192" max="8194" width="12" style="216" customWidth="1"/>
    <col min="8195" max="8196" width="9.140625" style="216"/>
    <col min="8197" max="8197" width="0.85546875" style="216" customWidth="1"/>
    <col min="8198" max="8211" width="7.7109375" style="216" customWidth="1"/>
    <col min="8212" max="8445" width="9.140625" style="216"/>
    <col min="8446" max="8447" width="2.7109375" style="216" customWidth="1"/>
    <col min="8448" max="8450" width="12" style="216" customWidth="1"/>
    <col min="8451" max="8452" width="9.140625" style="216"/>
    <col min="8453" max="8453" width="0.85546875" style="216" customWidth="1"/>
    <col min="8454" max="8467" width="7.7109375" style="216" customWidth="1"/>
    <col min="8468" max="8701" width="9.140625" style="216"/>
    <col min="8702" max="8703" width="2.7109375" style="216" customWidth="1"/>
    <col min="8704" max="8706" width="12" style="216" customWidth="1"/>
    <col min="8707" max="8708" width="9.140625" style="216"/>
    <col min="8709" max="8709" width="0.85546875" style="216" customWidth="1"/>
    <col min="8710" max="8723" width="7.7109375" style="216" customWidth="1"/>
    <col min="8724" max="8957" width="9.140625" style="216"/>
    <col min="8958" max="8959" width="2.7109375" style="216" customWidth="1"/>
    <col min="8960" max="8962" width="12" style="216" customWidth="1"/>
    <col min="8963" max="8964" width="9.140625" style="216"/>
    <col min="8965" max="8965" width="0.85546875" style="216" customWidth="1"/>
    <col min="8966" max="8979" width="7.7109375" style="216" customWidth="1"/>
    <col min="8980" max="9213" width="9.140625" style="216"/>
    <col min="9214" max="9215" width="2.7109375" style="216" customWidth="1"/>
    <col min="9216" max="9218" width="12" style="216" customWidth="1"/>
    <col min="9219" max="9220" width="9.140625" style="216"/>
    <col min="9221" max="9221" width="0.85546875" style="216" customWidth="1"/>
    <col min="9222" max="9235" width="7.7109375" style="216" customWidth="1"/>
    <col min="9236" max="9469" width="9.140625" style="216"/>
    <col min="9470" max="9471" width="2.7109375" style="216" customWidth="1"/>
    <col min="9472" max="9474" width="12" style="216" customWidth="1"/>
    <col min="9475" max="9476" width="9.140625" style="216"/>
    <col min="9477" max="9477" width="0.85546875" style="216" customWidth="1"/>
    <col min="9478" max="9491" width="7.7109375" style="216" customWidth="1"/>
    <col min="9492" max="9725" width="9.140625" style="216"/>
    <col min="9726" max="9727" width="2.7109375" style="216" customWidth="1"/>
    <col min="9728" max="9730" width="12" style="216" customWidth="1"/>
    <col min="9731" max="9732" width="9.140625" style="216"/>
    <col min="9733" max="9733" width="0.85546875" style="216" customWidth="1"/>
    <col min="9734" max="9747" width="7.7109375" style="216" customWidth="1"/>
    <col min="9748" max="9981" width="9.140625" style="216"/>
    <col min="9982" max="9983" width="2.7109375" style="216" customWidth="1"/>
    <col min="9984" max="9986" width="12" style="216" customWidth="1"/>
    <col min="9987" max="9988" width="9.140625" style="216"/>
    <col min="9989" max="9989" width="0.85546875" style="216" customWidth="1"/>
    <col min="9990" max="10003" width="7.7109375" style="216" customWidth="1"/>
    <col min="10004" max="10237" width="9.140625" style="216"/>
    <col min="10238" max="10239" width="2.7109375" style="216" customWidth="1"/>
    <col min="10240" max="10242" width="12" style="216" customWidth="1"/>
    <col min="10243" max="10244" width="9.140625" style="216"/>
    <col min="10245" max="10245" width="0.85546875" style="216" customWidth="1"/>
    <col min="10246" max="10259" width="7.7109375" style="216" customWidth="1"/>
    <col min="10260" max="10493" width="9.140625" style="216"/>
    <col min="10494" max="10495" width="2.7109375" style="216" customWidth="1"/>
    <col min="10496" max="10498" width="12" style="216" customWidth="1"/>
    <col min="10499" max="10500" width="9.140625" style="216"/>
    <col min="10501" max="10501" width="0.85546875" style="216" customWidth="1"/>
    <col min="10502" max="10515" width="7.7109375" style="216" customWidth="1"/>
    <col min="10516" max="10749" width="9.140625" style="216"/>
    <col min="10750" max="10751" width="2.7109375" style="216" customWidth="1"/>
    <col min="10752" max="10754" width="12" style="216" customWidth="1"/>
    <col min="10755" max="10756" width="9.140625" style="216"/>
    <col min="10757" max="10757" width="0.85546875" style="216" customWidth="1"/>
    <col min="10758" max="10771" width="7.7109375" style="216" customWidth="1"/>
    <col min="10772" max="11005" width="9.140625" style="216"/>
    <col min="11006" max="11007" width="2.7109375" style="216" customWidth="1"/>
    <col min="11008" max="11010" width="12" style="216" customWidth="1"/>
    <col min="11011" max="11012" width="9.140625" style="216"/>
    <col min="11013" max="11013" width="0.85546875" style="216" customWidth="1"/>
    <col min="11014" max="11027" width="7.7109375" style="216" customWidth="1"/>
    <col min="11028" max="11261" width="9.140625" style="216"/>
    <col min="11262" max="11263" width="2.7109375" style="216" customWidth="1"/>
    <col min="11264" max="11266" width="12" style="216" customWidth="1"/>
    <col min="11267" max="11268" width="9.140625" style="216"/>
    <col min="11269" max="11269" width="0.85546875" style="216" customWidth="1"/>
    <col min="11270" max="11283" width="7.7109375" style="216" customWidth="1"/>
    <col min="11284" max="11517" width="9.140625" style="216"/>
    <col min="11518" max="11519" width="2.7109375" style="216" customWidth="1"/>
    <col min="11520" max="11522" width="12" style="216" customWidth="1"/>
    <col min="11523" max="11524" width="9.140625" style="216"/>
    <col min="11525" max="11525" width="0.85546875" style="216" customWidth="1"/>
    <col min="11526" max="11539" width="7.7109375" style="216" customWidth="1"/>
    <col min="11540" max="11773" width="9.140625" style="216"/>
    <col min="11774" max="11775" width="2.7109375" style="216" customWidth="1"/>
    <col min="11776" max="11778" width="12" style="216" customWidth="1"/>
    <col min="11779" max="11780" width="9.140625" style="216"/>
    <col min="11781" max="11781" width="0.85546875" style="216" customWidth="1"/>
    <col min="11782" max="11795" width="7.7109375" style="216" customWidth="1"/>
    <col min="11796" max="12029" width="9.140625" style="216"/>
    <col min="12030" max="12031" width="2.7109375" style="216" customWidth="1"/>
    <col min="12032" max="12034" width="12" style="216" customWidth="1"/>
    <col min="12035" max="12036" width="9.140625" style="216"/>
    <col min="12037" max="12037" width="0.85546875" style="216" customWidth="1"/>
    <col min="12038" max="12051" width="7.7109375" style="216" customWidth="1"/>
    <col min="12052" max="12285" width="9.140625" style="216"/>
    <col min="12286" max="12287" width="2.7109375" style="216" customWidth="1"/>
    <col min="12288" max="12290" width="12" style="216" customWidth="1"/>
    <col min="12291" max="12292" width="9.140625" style="216"/>
    <col min="12293" max="12293" width="0.85546875" style="216" customWidth="1"/>
    <col min="12294" max="12307" width="7.7109375" style="216" customWidth="1"/>
    <col min="12308" max="12541" width="9.140625" style="216"/>
    <col min="12542" max="12543" width="2.7109375" style="216" customWidth="1"/>
    <col min="12544" max="12546" width="12" style="216" customWidth="1"/>
    <col min="12547" max="12548" width="9.140625" style="216"/>
    <col min="12549" max="12549" width="0.85546875" style="216" customWidth="1"/>
    <col min="12550" max="12563" width="7.7109375" style="216" customWidth="1"/>
    <col min="12564" max="12797" width="9.140625" style="216"/>
    <col min="12798" max="12799" width="2.7109375" style="216" customWidth="1"/>
    <col min="12800" max="12802" width="12" style="216" customWidth="1"/>
    <col min="12803" max="12804" width="9.140625" style="216"/>
    <col min="12805" max="12805" width="0.85546875" style="216" customWidth="1"/>
    <col min="12806" max="12819" width="7.7109375" style="216" customWidth="1"/>
    <col min="12820" max="13053" width="9.140625" style="216"/>
    <col min="13054" max="13055" width="2.7109375" style="216" customWidth="1"/>
    <col min="13056" max="13058" width="12" style="216" customWidth="1"/>
    <col min="13059" max="13060" width="9.140625" style="216"/>
    <col min="13061" max="13061" width="0.85546875" style="216" customWidth="1"/>
    <col min="13062" max="13075" width="7.7109375" style="216" customWidth="1"/>
    <col min="13076" max="13309" width="9.140625" style="216"/>
    <col min="13310" max="13311" width="2.7109375" style="216" customWidth="1"/>
    <col min="13312" max="13314" width="12" style="216" customWidth="1"/>
    <col min="13315" max="13316" width="9.140625" style="216"/>
    <col min="13317" max="13317" width="0.85546875" style="216" customWidth="1"/>
    <col min="13318" max="13331" width="7.7109375" style="216" customWidth="1"/>
    <col min="13332" max="13565" width="9.140625" style="216"/>
    <col min="13566" max="13567" width="2.7109375" style="216" customWidth="1"/>
    <col min="13568" max="13570" width="12" style="216" customWidth="1"/>
    <col min="13571" max="13572" width="9.140625" style="216"/>
    <col min="13573" max="13573" width="0.85546875" style="216" customWidth="1"/>
    <col min="13574" max="13587" width="7.7109375" style="216" customWidth="1"/>
    <col min="13588" max="13821" width="9.140625" style="216"/>
    <col min="13822" max="13823" width="2.7109375" style="216" customWidth="1"/>
    <col min="13824" max="13826" width="12" style="216" customWidth="1"/>
    <col min="13827" max="13828" width="9.140625" style="216"/>
    <col min="13829" max="13829" width="0.85546875" style="216" customWidth="1"/>
    <col min="13830" max="13843" width="7.7109375" style="216" customWidth="1"/>
    <col min="13844" max="14077" width="9.140625" style="216"/>
    <col min="14078" max="14079" width="2.7109375" style="216" customWidth="1"/>
    <col min="14080" max="14082" width="12" style="216" customWidth="1"/>
    <col min="14083" max="14084" width="9.140625" style="216"/>
    <col min="14085" max="14085" width="0.85546875" style="216" customWidth="1"/>
    <col min="14086" max="14099" width="7.7109375" style="216" customWidth="1"/>
    <col min="14100" max="14333" width="9.140625" style="216"/>
    <col min="14334" max="14335" width="2.7109375" style="216" customWidth="1"/>
    <col min="14336" max="14338" width="12" style="216" customWidth="1"/>
    <col min="14339" max="14340" width="9.140625" style="216"/>
    <col min="14341" max="14341" width="0.85546875" style="216" customWidth="1"/>
    <col min="14342" max="14355" width="7.7109375" style="216" customWidth="1"/>
    <col min="14356" max="14589" width="9.140625" style="216"/>
    <col min="14590" max="14591" width="2.7109375" style="216" customWidth="1"/>
    <col min="14592" max="14594" width="12" style="216" customWidth="1"/>
    <col min="14595" max="14596" width="9.140625" style="216"/>
    <col min="14597" max="14597" width="0.85546875" style="216" customWidth="1"/>
    <col min="14598" max="14611" width="7.7109375" style="216" customWidth="1"/>
    <col min="14612" max="14845" width="9.140625" style="216"/>
    <col min="14846" max="14847" width="2.7109375" style="216" customWidth="1"/>
    <col min="14848" max="14850" width="12" style="216" customWidth="1"/>
    <col min="14851" max="14852" width="9.140625" style="216"/>
    <col min="14853" max="14853" width="0.85546875" style="216" customWidth="1"/>
    <col min="14854" max="14867" width="7.7109375" style="216" customWidth="1"/>
    <col min="14868" max="15101" width="9.140625" style="216"/>
    <col min="15102" max="15103" width="2.7109375" style="216" customWidth="1"/>
    <col min="15104" max="15106" width="12" style="216" customWidth="1"/>
    <col min="15107" max="15108" width="9.140625" style="216"/>
    <col min="15109" max="15109" width="0.85546875" style="216" customWidth="1"/>
    <col min="15110" max="15123" width="7.7109375" style="216" customWidth="1"/>
    <col min="15124" max="15357" width="9.140625" style="216"/>
    <col min="15358" max="15359" width="2.7109375" style="216" customWidth="1"/>
    <col min="15360" max="15362" width="12" style="216" customWidth="1"/>
    <col min="15363" max="15364" width="9.140625" style="216"/>
    <col min="15365" max="15365" width="0.85546875" style="216" customWidth="1"/>
    <col min="15366" max="15379" width="7.7109375" style="216" customWidth="1"/>
    <col min="15380" max="15613" width="9.140625" style="216"/>
    <col min="15614" max="15615" width="2.7109375" style="216" customWidth="1"/>
    <col min="15616" max="15618" width="12" style="216" customWidth="1"/>
    <col min="15619" max="15620" width="9.140625" style="216"/>
    <col min="15621" max="15621" width="0.85546875" style="216" customWidth="1"/>
    <col min="15622" max="15635" width="7.7109375" style="216" customWidth="1"/>
    <col min="15636" max="15869" width="9.140625" style="216"/>
    <col min="15870" max="15871" width="2.7109375" style="216" customWidth="1"/>
    <col min="15872" max="15874" width="12" style="216" customWidth="1"/>
    <col min="15875" max="15876" width="9.140625" style="216"/>
    <col min="15877" max="15877" width="0.85546875" style="216" customWidth="1"/>
    <col min="15878" max="15891" width="7.7109375" style="216" customWidth="1"/>
    <col min="15892" max="16125" width="9.140625" style="216"/>
    <col min="16126" max="16127" width="2.7109375" style="216" customWidth="1"/>
    <col min="16128" max="16130" width="12" style="216" customWidth="1"/>
    <col min="16131" max="16132" width="9.140625" style="216"/>
    <col min="16133" max="16133" width="0.85546875" style="216" customWidth="1"/>
    <col min="16134" max="16147" width="7.7109375" style="216" customWidth="1"/>
    <col min="16148" max="16384" width="9.140625" style="216"/>
  </cols>
  <sheetData>
    <row r="1" spans="1:21" ht="13.5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3.5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5.95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5.95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1100</v>
      </c>
      <c r="K9" s="279">
        <f>'DCF input'!K24</f>
        <v>1353.8373857301615</v>
      </c>
      <c r="L9" s="279">
        <f>'DCF input'!L24</f>
        <v>1446.9754795854415</v>
      </c>
      <c r="M9" s="279">
        <f>'DCF input'!M24</f>
        <v>1442.6203434361953</v>
      </c>
      <c r="N9" s="279">
        <f>'DCF input'!N24</f>
        <v>1471.4727503049191</v>
      </c>
      <c r="O9" s="279">
        <f ca="1">'DCF input'!O24</f>
        <v>1497.9592598104077</v>
      </c>
      <c r="P9" s="279">
        <f ca="1">'DCF input'!P24</f>
        <v>1521.9266079673744</v>
      </c>
      <c r="Q9" s="279">
        <f ca="1">'DCF input'!Q24</f>
        <v>1543.2335804789177</v>
      </c>
      <c r="R9" s="279">
        <f ca="1">'DCF input'!R24</f>
        <v>1561.7523834446647</v>
      </c>
      <c r="S9" s="279">
        <f ca="1">'DCF input'!S24</f>
        <v>1577.3699072791114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-4.2838389353970663E-2</v>
      </c>
      <c r="K10" s="281">
        <f t="shared" si="10"/>
        <v>0.23076125975469219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8.2024042733811307</v>
      </c>
      <c r="K11" s="279">
        <f>'DCF input'!K27</f>
        <v>111.79673623719195</v>
      </c>
      <c r="L11" s="279">
        <f>'DCF input'!L27</f>
        <v>124.39494101920255</v>
      </c>
      <c r="M11" s="279">
        <f>'DCF input'!M27</f>
        <v>127.56812935492377</v>
      </c>
      <c r="N11" s="279">
        <f ca="1">'DCF input'!N27</f>
        <v>130.50500120625895</v>
      </c>
      <c r="O11" s="279">
        <f ca="1">'DCF input'!O27</f>
        <v>133.24653965896459</v>
      </c>
      <c r="P11" s="279">
        <f ca="1">'DCF input'!P27</f>
        <v>135.77721189939695</v>
      </c>
      <c r="Q11" s="279">
        <f ca="1">'DCF input'!Q27</f>
        <v>138.08240265835985</v>
      </c>
      <c r="R11" s="279">
        <f ca="1">'DCF input'!R27</f>
        <v>140.14855300014</v>
      </c>
      <c r="S11" s="279">
        <f ca="1">'DCF input'!S27</f>
        <v>141.96329165512003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7.4567311576192096E-3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8.8690056393647562E-2</v>
      </c>
      <c r="O12" s="281">
        <f t="shared" ca="1" si="11"/>
        <v>8.8952045114918027E-2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8.9738011278729504E-2</v>
      </c>
      <c r="S12" s="281">
        <f t="shared" ca="1" si="11"/>
        <v>0.09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-0.9128768202186025</v>
      </c>
      <c r="K13" s="281">
        <f t="shared" si="12"/>
        <v>12.629752022830738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2.1007152426079978E-2</v>
      </c>
      <c r="P13" s="281">
        <f t="shared" ca="1" si="12"/>
        <v>1.8992404957828057E-2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-51.82954358756416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3.6777539566680922E-2</v>
      </c>
      <c r="K15" s="281">
        <f t="shared" si="13"/>
        <v>3.4860359237571976E-2</v>
      </c>
      <c r="L15" s="281">
        <f t="shared" si="13"/>
        <v>3.5819227290854523E-2</v>
      </c>
      <c r="M15" s="281">
        <f t="shared" si="13"/>
        <v>3.7986371391124714E-2</v>
      </c>
      <c r="N15" s="281">
        <f t="shared" ca="1" si="13"/>
        <v>3.641471451466733E-2</v>
      </c>
      <c r="O15" s="281">
        <f t="shared" ca="1" si="13"/>
        <v>3.4958633054813976E-2</v>
      </c>
      <c r="P15" s="281">
        <f t="shared" ca="1" si="13"/>
        <v>3.360868770104064E-2</v>
      </c>
      <c r="Q15" s="281">
        <f t="shared" ca="1" si="13"/>
        <v>3.2356284025319357E-2</v>
      </c>
      <c r="R15" s="281">
        <f t="shared" ca="1" si="13"/>
        <v>3.1193582631993021E-2</v>
      </c>
      <c r="S15" s="281">
        <f t="shared" ca="1" si="13"/>
        <v>3.0113418406678784E-2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1.0365908717512833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-32.252889249967879</v>
      </c>
      <c r="K17" s="283">
        <f t="shared" si="15"/>
        <v>64.601478621383222</v>
      </c>
      <c r="L17" s="283">
        <f t="shared" si="15"/>
        <v>72.565397431638388</v>
      </c>
      <c r="M17" s="283">
        <f t="shared" si="15"/>
        <v>72.768217212764569</v>
      </c>
      <c r="N17" s="283">
        <f t="shared" ca="1" si="15"/>
        <v>76.921741087792952</v>
      </c>
      <c r="O17" s="283">
        <f t="shared" ca="1" si="15"/>
        <v>80.879931564191793</v>
      </c>
      <c r="P17" s="283">
        <f t="shared" ca="1" si="15"/>
        <v>84.627255828317345</v>
      </c>
      <c r="Q17" s="283">
        <f t="shared" ca="1" si="15"/>
        <v>88.149098610973454</v>
      </c>
      <c r="R17" s="283">
        <f t="shared" ca="1" si="15"/>
        <v>91.431900976446798</v>
      </c>
      <c r="S17" s="283">
        <f t="shared" ca="1" si="15"/>
        <v>94.463291655120031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-2.9320808409061708E-2</v>
      </c>
      <c r="K18" s="281">
        <f t="shared" si="16"/>
        <v>4.7717310293172235E-2</v>
      </c>
      <c r="L18" s="281">
        <f t="shared" si="16"/>
        <v>5.0149707756228443E-2</v>
      </c>
      <c r="M18" s="281">
        <f t="shared" si="16"/>
        <v>5.0441696281252384E-2</v>
      </c>
      <c r="N18" s="281">
        <f t="shared" ca="1" si="16"/>
        <v>5.2275341878980225E-2</v>
      </c>
      <c r="O18" s="281">
        <f t="shared" ca="1" si="16"/>
        <v>5.3993412060104044E-2</v>
      </c>
      <c r="P18" s="281">
        <f t="shared" ca="1" si="16"/>
        <v>5.5605346135147865E-2</v>
      </c>
      <c r="Q18" s="281">
        <f t="shared" ca="1" si="16"/>
        <v>5.7119738532139641E-2</v>
      </c>
      <c r="R18" s="281">
        <f t="shared" ca="1" si="16"/>
        <v>5.8544428646736479E-2</v>
      </c>
      <c r="S18" s="281">
        <f t="shared" ca="1" si="16"/>
        <v>5.988658159332122E-2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5.4829911724945397</v>
      </c>
      <c r="K19" s="283">
        <f t="shared" ref="K19:S19" si="17">-K20*K17</f>
        <v>-10.982251365635149</v>
      </c>
      <c r="L19" s="283">
        <f t="shared" si="17"/>
        <v>-12.336117563378528</v>
      </c>
      <c r="M19" s="283">
        <f t="shared" si="17"/>
        <v>-12.370596926169977</v>
      </c>
      <c r="N19" s="283">
        <f t="shared" ca="1" si="17"/>
        <v>-13.076695984924802</v>
      </c>
      <c r="O19" s="283">
        <f t="shared" ca="1" si="17"/>
        <v>-13.749588365912606</v>
      </c>
      <c r="P19" s="283">
        <f t="shared" ca="1" si="17"/>
        <v>-14.386633490813949</v>
      </c>
      <c r="Q19" s="283">
        <f t="shared" ca="1" si="17"/>
        <v>-14.985346763865488</v>
      </c>
      <c r="R19" s="283">
        <f t="shared" ca="1" si="17"/>
        <v>-15.543423165995957</v>
      </c>
      <c r="S19" s="283">
        <f t="shared" ca="1" si="17"/>
        <v>-16.058759581370406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4.6363636363636364E-2</v>
      </c>
      <c r="K22" s="281">
        <f t="shared" ref="K22:S22" si="19">-K21/K$9</f>
        <v>3.6932057370415751E-2</v>
      </c>
      <c r="L22" s="281">
        <f t="shared" si="19"/>
        <v>3.4554835728332456E-2</v>
      </c>
      <c r="M22" s="281">
        <f t="shared" si="19"/>
        <v>3.4659153551726836E-2</v>
      </c>
      <c r="N22" s="281">
        <f t="shared" si="19"/>
        <v>3.3979562305614552E-2</v>
      </c>
      <c r="O22" s="281">
        <f t="shared" ca="1" si="19"/>
        <v>3.3378744897460261E-2</v>
      </c>
      <c r="P22" s="281">
        <f t="shared" ca="1" si="19"/>
        <v>3.2853095371516004E-2</v>
      </c>
      <c r="Q22" s="281">
        <f t="shared" ca="1" si="19"/>
        <v>3.239950233877318E-2</v>
      </c>
      <c r="R22" s="281">
        <f t="shared" ca="1" si="19"/>
        <v>3.2015318516574284E-2</v>
      </c>
      <c r="S22" s="281">
        <f t="shared" ca="1" si="19"/>
        <v>3.1698335164925033E-2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3.6932057370415751E-3</v>
      </c>
      <c r="L25" s="281">
        <f t="shared" si="20"/>
        <v>3.4554835728332453E-3</v>
      </c>
      <c r="M25" s="281">
        <f t="shared" si="20"/>
        <v>3.4659153551726838E-3</v>
      </c>
      <c r="N25" s="281">
        <f t="shared" si="20"/>
        <v>3.3979562305614551E-3</v>
      </c>
      <c r="O25" s="281">
        <f t="shared" ca="1" si="20"/>
        <v>3.3378744897460265E-3</v>
      </c>
      <c r="P25" s="281">
        <f t="shared" ca="1" si="20"/>
        <v>3.2853095371516007E-3</v>
      </c>
      <c r="Q25" s="281">
        <f t="shared" ca="1" si="20"/>
        <v>3.2399502338773178E-3</v>
      </c>
      <c r="R25" s="281">
        <f t="shared" ca="1" si="20"/>
        <v>3.2015318516574287E-3</v>
      </c>
      <c r="S25" s="281">
        <f t="shared" ca="1" si="20"/>
        <v>3.1698335164925037E-3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1.6367698786122525E-2</v>
      </c>
      <c r="K27" s="281">
        <f t="shared" si="21"/>
        <v>4.9878354033911108E-3</v>
      </c>
      <c r="L27" s="281">
        <f t="shared" si="21"/>
        <v>-1.737310298687373E-2</v>
      </c>
      <c r="M27" s="281">
        <f t="shared" si="21"/>
        <v>3.3723637637475745E-3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-39.207118777955699</v>
      </c>
      <c r="K28" s="279">
        <f t="shared" ref="K28:S28" si="22">K17+K19-K14+K21+K23+K24+K26</f>
        <v>54.230659495382142</v>
      </c>
      <c r="L28" s="279">
        <f t="shared" si="22"/>
        <v>93.307494382811498</v>
      </c>
      <c r="M28" s="279">
        <f t="shared" si="22"/>
        <v>59.287351410943515</v>
      </c>
      <c r="N28" s="279">
        <f t="shared" ca="1" si="22"/>
        <v>62.428305221334142</v>
      </c>
      <c r="O28" s="279">
        <f t="shared" ca="1" si="22"/>
        <v>64.496951293051993</v>
      </c>
      <c r="P28" s="279">
        <f t="shared" ca="1" si="22"/>
        <v>66.390578408582996</v>
      </c>
      <c r="Q28" s="279">
        <f t="shared" ca="1" si="22"/>
        <v>68.09705589449436</v>
      </c>
      <c r="R28" s="279">
        <f t="shared" ca="1" si="22"/>
        <v>69.605129834144037</v>
      </c>
      <c r="S28" s="279">
        <f t="shared" ca="1" si="22"/>
        <v>70.904532073749621</v>
      </c>
      <c r="T28" s="279">
        <f ca="1">S28*(1+'DCF input'!F9)/('DCF input'!F11-'DCF input'!F9)</f>
        <v>890.73818417647954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-36.135593343737973</v>
      </c>
      <c r="K31" s="288">
        <f t="shared" ref="K31:S31" si="25">K30*K28</f>
        <v>46.066520414858793</v>
      </c>
      <c r="L31" s="288">
        <f t="shared" si="25"/>
        <v>73.051192996582898</v>
      </c>
      <c r="M31" s="288">
        <f t="shared" si="25"/>
        <v>42.780228160494197</v>
      </c>
      <c r="N31" s="288">
        <f t="shared" ca="1" si="25"/>
        <v>41.517658671101856</v>
      </c>
      <c r="O31" s="288">
        <f t="shared" ca="1" si="25"/>
        <v>39.533089652996701</v>
      </c>
      <c r="P31" s="288">
        <f t="shared" ca="1" si="25"/>
        <v>37.50578718605211</v>
      </c>
      <c r="Q31" s="288">
        <f t="shared" ca="1" si="25"/>
        <v>35.456056483727053</v>
      </c>
      <c r="R31" s="288">
        <f t="shared" ca="1" si="25"/>
        <v>33.402087105069647</v>
      </c>
      <c r="S31" s="288">
        <f t="shared" ca="1" si="25"/>
        <v>31.360040396235206</v>
      </c>
      <c r="T31" s="288">
        <f ca="1">T28*S30</f>
        <v>393.96050747770471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2" t="str">
        <f>"Value Based on "&amp;TEXT(K40,"#0.0%")&amp;" WACC &amp; "&amp;TEXT(N37,"#0.0%")&amp;" TGR"</f>
        <v>Value Based on 8.5% WACC &amp; 0.5% TGR</v>
      </c>
      <c r="D35" s="412"/>
      <c r="E35" s="412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3"/>
      <c r="D36" s="413"/>
      <c r="E36" s="413"/>
      <c r="F36" s="360" t="s">
        <v>143</v>
      </c>
      <c r="G36" s="225" t="s">
        <v>93</v>
      </c>
      <c r="H36" s="211"/>
      <c r="I36" s="128"/>
      <c r="J36" s="238"/>
      <c r="K36" s="236"/>
      <c r="L36" s="416" t="s">
        <v>94</v>
      </c>
      <c r="M36" s="416"/>
      <c r="N36" s="416"/>
      <c r="O36" s="416"/>
      <c r="P36" s="416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344.53706772338052</v>
      </c>
      <c r="G37" s="290">
        <f ca="1">F37/F$39</f>
        <v>0.4665378456111608</v>
      </c>
      <c r="H37" s="211"/>
      <c r="I37" s="128"/>
      <c r="J37" s="414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393.96050747770471</v>
      </c>
      <c r="G38" s="290">
        <f ca="1">F38/F$39</f>
        <v>0.53346215438883915</v>
      </c>
      <c r="H38" s="211"/>
      <c r="I38" s="128"/>
      <c r="J38" s="414"/>
      <c r="K38" s="302">
        <f>'DCF input'!E95</f>
        <v>7.4999999999999997E-2</v>
      </c>
      <c r="L38" s="303" t="str">
        <f>CONCATENATE(ROUND('DCF input'!F95,)," / ",ROUND('DCF input'!F104,0),"c")</f>
        <v>823 / 371c</v>
      </c>
      <c r="M38" s="304" t="str">
        <f>CONCATENATE(ROUND('DCF input'!G95,)," / ",ROUND('DCF input'!G104,0),"c")</f>
        <v>840 / 380c</v>
      </c>
      <c r="N38" s="304" t="str">
        <f>CONCATENATE(ROUND('DCF input'!H95,)," / ",ROUND('DCF input'!H104,0),"c")</f>
        <v>858 / 389c</v>
      </c>
      <c r="O38" s="304" t="str">
        <f>CONCATENATE(ROUND('DCF input'!I95,)," / ",ROUND('DCF input'!I104,0),"c")</f>
        <v>878 / 399c</v>
      </c>
      <c r="P38" s="304" t="str">
        <f>CONCATENATE(ROUND('DCF input'!J95,)," / ",ROUND('DCF input'!J104,0),"c")</f>
        <v>899 / 409c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738.49757520108528</v>
      </c>
      <c r="G39" s="292">
        <f ca="1">F39/F$39</f>
        <v>1</v>
      </c>
      <c r="H39" s="211"/>
      <c r="I39" s="128"/>
      <c r="J39" s="414"/>
      <c r="K39" s="302">
        <f>'DCF input'!E96</f>
        <v>0.08</v>
      </c>
      <c r="L39" s="304" t="str">
        <f>CONCATENATE(ROUND('DCF input'!F96,)," / ",ROUND('DCF input'!F105,0),"c")</f>
        <v>765 / 342c</v>
      </c>
      <c r="M39" s="305" t="str">
        <f>CONCATENATE(ROUND('DCF input'!G96,)," / ",ROUND('DCF input'!G105,0),"c")</f>
        <v>779 / 349c</v>
      </c>
      <c r="N39" s="305" t="str">
        <f>CONCATENATE(ROUND('DCF input'!H96,)," / ",ROUND('DCF input'!H105,0),"c")</f>
        <v>794 / 357c</v>
      </c>
      <c r="O39" s="305" t="str">
        <f>CONCATENATE(ROUND('DCF input'!I96,)," / ",ROUND('DCF input'!I105,0),"c")</f>
        <v>811 / 365c</v>
      </c>
      <c r="P39" s="304" t="str">
        <f>CONCATENATE(ROUND('DCF input'!J96,)," / ",ROUND('DCF input'!J105,0),"c")</f>
        <v>828 / 374c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4"/>
      <c r="K40" s="302">
        <f>'DCF input'!E97</f>
        <v>8.5000000000000006E-2</v>
      </c>
      <c r="L40" s="304" t="str">
        <f>CONCATENATE(ROUND('DCF input'!F97,)," / ",ROUND('DCF input'!F106,0),"c")</f>
        <v>714 / 316c</v>
      </c>
      <c r="M40" s="305" t="str">
        <f>CONCATENATE(ROUND('DCF input'!G97,)," / ",ROUND('DCF input'!G106,0),"c")</f>
        <v>726 / 322c</v>
      </c>
      <c r="N40" s="306" t="str">
        <f>CONCATENATE(ROUND('DCF input'!H97,)," / ",ROUND('DCF input'!H106,0),"c")</f>
        <v>739 / 329c</v>
      </c>
      <c r="O40" s="305" t="str">
        <f>CONCATENATE(ROUND('DCF input'!I97,)," / ",ROUND('DCF input'!I106,0),"c")</f>
        <v>752 / 335c</v>
      </c>
      <c r="P40" s="304" t="str">
        <f>CONCATENATE(ROUND('DCF input'!J97,)," / ",ROUND('DCF input'!J106,0),"c")</f>
        <v>767 / 343c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653.88076166150029</v>
      </c>
      <c r="G41" s="292"/>
      <c r="H41" s="211"/>
      <c r="I41" s="128"/>
      <c r="J41" s="414"/>
      <c r="K41" s="302">
        <f>'DCF input'!E98</f>
        <v>9.0000000000000011E-2</v>
      </c>
      <c r="L41" s="304" t="str">
        <f>CONCATENATE(ROUND('DCF input'!F98,)," / ",ROUND('DCF input'!F107,0),"c")</f>
        <v>668 / 293c</v>
      </c>
      <c r="M41" s="305" t="str">
        <f>CONCATENATE(ROUND('DCF input'!G98,)," / ",ROUND('DCF input'!G107,0),"c")</f>
        <v>678 / 298c</v>
      </c>
      <c r="N41" s="305" t="str">
        <f>CONCATENATE(ROUND('DCF input'!H98,)," / ",ROUND('DCF input'!H107,0),"c")</f>
        <v>689 / 304c</v>
      </c>
      <c r="O41" s="305" t="str">
        <f>CONCATENATE(ROUND('DCF input'!I98,)," / ",ROUND('DCF input'!I107,0),"c")</f>
        <v>701 / 310c</v>
      </c>
      <c r="P41" s="304" t="str">
        <f>CONCATENATE(ROUND('DCF input'!J98,)," / ",ROUND('DCF input'!J107,0),"c")</f>
        <v>713 / 316c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328.58329731733681</v>
      </c>
      <c r="G42" s="295"/>
      <c r="H42" s="211"/>
      <c r="I42" s="128"/>
      <c r="J42" s="415"/>
      <c r="K42" s="307">
        <f>'DCF input'!E99</f>
        <v>9.5000000000000015E-2</v>
      </c>
      <c r="L42" s="308" t="str">
        <f>CONCATENATE(ROUND('DCF input'!F99,)," / ",ROUND('DCF input'!F108,0),"c")</f>
        <v>627 / 273c</v>
      </c>
      <c r="M42" s="308" t="str">
        <f>CONCATENATE(ROUND('DCF input'!G99,)," / ",ROUND('DCF input'!G108,0),"c")</f>
        <v>636 / 277c</v>
      </c>
      <c r="N42" s="308" t="str">
        <f>CONCATENATE(ROUND('DCF input'!H99,)," / ",ROUND('DCF input'!H108,0),"c")</f>
        <v>646 / 282c</v>
      </c>
      <c r="O42" s="308" t="str">
        <f>CONCATENATE(ROUND('DCF input'!I99,)," / ",ROUND('DCF input'!I108,0),"c")</f>
        <v>656 / 287c</v>
      </c>
      <c r="P42" s="308" t="str">
        <f>CONCATENATE(ROUND('DCF input'!J99,)," / ",ROUND('DCF input'!J108,0),"c")</f>
        <v>666 / 292c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0.99141392313537469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5.95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Nandy, Ipsita</cp:lastModifiedBy>
  <cp:lastPrinted>2019-02-04T16:32:05Z</cp:lastPrinted>
  <dcterms:created xsi:type="dcterms:W3CDTF">2010-12-03T17:25:22Z</dcterms:created>
  <dcterms:modified xsi:type="dcterms:W3CDTF">2022-03-23T13:14:56Z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