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ipulmisaja\coding\sipangadu\public\template\"/>
    </mc:Choice>
  </mc:AlternateContent>
  <bookViews>
    <workbookView xWindow="0" yWindow="0" windowWidth="20490" windowHeight="7155" tabRatio="782" firstSheet="2" activeTab="7"/>
  </bookViews>
  <sheets>
    <sheet name="Pedoman" sheetId="146" state="hidden" r:id="rId1"/>
    <sheet name="Anggaran" sheetId="147" state="hidden" r:id="rId2"/>
    <sheet name="Data Pegawai" sheetId="148" r:id="rId3"/>
    <sheet name="Data SPD" sheetId="45" r:id="rId4"/>
    <sheet name="Ka BPS" sheetId="144" state="hidden" r:id="rId5"/>
    <sheet name="D (2)" sheetId="106" state="hidden" r:id="rId6"/>
    <sheet name="ST (4)" sheetId="74" state="hidden" r:id="rId7"/>
    <sheet name="D" sheetId="37" r:id="rId8"/>
    <sheet name="Surat Tugas" sheetId="39" r:id="rId9"/>
    <sheet name="Visum" sheetId="158" r:id="rId10"/>
    <sheet name="Lamp" sheetId="40" r:id="rId11"/>
    <sheet name="kw" sheetId="42" r:id="rId12"/>
    <sheet name="Riil" sheetId="41" r:id="rId13"/>
    <sheet name="Lamp (2)" sheetId="47" state="hidden" r:id="rId14"/>
    <sheet name="kw1 (2)" sheetId="48" state="hidden" r:id="rId15"/>
    <sheet name="Riil (2)" sheetId="49" state="hidden" r:id="rId16"/>
    <sheet name="ST (2)" sheetId="50" state="hidden" r:id="rId17"/>
    <sheet name="ST (3)" sheetId="51" state="hidden" r:id="rId18"/>
    <sheet name="Sheet4" sheetId="60" state="hidden" r:id="rId19"/>
  </sheets>
  <externalReferences>
    <externalReference r:id="rId20"/>
  </externalReferences>
  <definedNames>
    <definedName name="_xlnm._FilterDatabase" localSheetId="3" hidden="1">'Data SPD'!$A$3:$AI$4</definedName>
    <definedName name="_GoBack" localSheetId="8">'Surat Tugas'!$A$1</definedName>
    <definedName name="OLE_LINK1" localSheetId="9">Visum!$A$1</definedName>
    <definedName name="_xlnm.Print_Area" localSheetId="7">D!$A$1:$J$43</definedName>
    <definedName name="_xlnm.Print_Area" localSheetId="5">'D (2)'!$A$1:$J$43</definedName>
    <definedName name="_xlnm.Print_Area" localSheetId="2">'Data Pegawai'!$A$1:$E$62</definedName>
    <definedName name="_xlnm.Print_Area" localSheetId="11">kw!$A$1:$M$45</definedName>
    <definedName name="_xlnm.Print_Area" localSheetId="14">'kw1 (2)'!$A$1:$M$47</definedName>
    <definedName name="_xlnm.Print_Area" localSheetId="10">Lamp!$A$1:$H$49</definedName>
    <definedName name="_xlnm.Print_Area" localSheetId="13">'Lamp (2)'!$A$1:$H$48</definedName>
    <definedName name="_xlnm.Print_Area" localSheetId="12">Riil!$A$1:$I$50</definedName>
    <definedName name="_xlnm.Print_Area" localSheetId="16">'ST (2)'!$A$1:$M$43</definedName>
    <definedName name="_xlnm.Print_Area" localSheetId="17">'ST (3)'!$A$1:$M$43</definedName>
    <definedName name="_xlnm.Print_Area" localSheetId="6">'ST (4)'!$A$1:$M$43</definedName>
    <definedName name="_xlnm.Print_Area" localSheetId="8">'Surat Tugas'!$A$1:$K$37</definedName>
    <definedName name="_xlnm.Print_Area" localSheetId="9">Visum!$A$1:$F$50</definedName>
  </definedNames>
  <calcPr calcId="152511"/>
</workbook>
</file>

<file path=xl/calcChain.xml><?xml version="1.0" encoding="utf-8"?>
<calcChain xmlns="http://schemas.openxmlformats.org/spreadsheetml/2006/main">
  <c r="G11" i="40" l="1"/>
  <c r="H3" i="45" l="1"/>
  <c r="G3" i="45"/>
  <c r="F3" i="45"/>
  <c r="E3" i="45"/>
  <c r="E4" i="45"/>
  <c r="A8" i="39" l="1"/>
  <c r="I5" i="37" l="1"/>
  <c r="F4" i="45"/>
  <c r="G4" i="45"/>
  <c r="H4" i="45"/>
  <c r="E5" i="45"/>
  <c r="F5" i="45"/>
  <c r="G5" i="45"/>
  <c r="H5" i="45"/>
  <c r="C12" i="40" l="1"/>
  <c r="F12" i="40"/>
  <c r="G12" i="40" l="1"/>
  <c r="AV4" i="45" l="1"/>
  <c r="AV5" i="45"/>
  <c r="AV3" i="45"/>
  <c r="AU4" i="45"/>
  <c r="AU5" i="45"/>
  <c r="AU3" i="45"/>
  <c r="V5" i="45" l="1"/>
  <c r="V4" i="45"/>
  <c r="W4" i="45"/>
  <c r="W5" i="45"/>
  <c r="H22" i="40" l="1"/>
  <c r="F13" i="40"/>
  <c r="C13" i="40"/>
  <c r="Z4" i="45"/>
  <c r="Z5" i="45"/>
  <c r="Z3" i="45"/>
  <c r="AA3" i="45"/>
  <c r="AB3" i="45"/>
  <c r="AC3" i="45"/>
  <c r="AD3" i="45"/>
  <c r="AD4" i="45"/>
  <c r="AD5" i="45"/>
  <c r="AC4" i="45"/>
  <c r="AC5" i="45"/>
  <c r="AB4" i="45"/>
  <c r="AB5" i="45"/>
  <c r="AA4" i="45"/>
  <c r="AA5" i="45"/>
  <c r="V3" i="45"/>
  <c r="W3" i="45"/>
  <c r="E20" i="37"/>
  <c r="F30" i="39"/>
  <c r="I37" i="37"/>
  <c r="D16" i="106"/>
  <c r="E15" i="106"/>
  <c r="E13" i="106"/>
  <c r="E33" i="37"/>
  <c r="E32" i="37"/>
  <c r="D9" i="37"/>
  <c r="E31" i="37"/>
  <c r="B31" i="47" s="1"/>
  <c r="E22" i="37"/>
  <c r="E21" i="37"/>
  <c r="E19" i="37"/>
  <c r="E18" i="37"/>
  <c r="D17" i="37"/>
  <c r="D15" i="37"/>
  <c r="E14" i="37"/>
  <c r="D45" i="158"/>
  <c r="D44" i="158"/>
  <c r="A45" i="158"/>
  <c r="A44" i="158"/>
  <c r="M18" i="60"/>
  <c r="M19" i="60"/>
  <c r="C7" i="51"/>
  <c r="C8" i="51"/>
  <c r="C9" i="51"/>
  <c r="K25" i="51"/>
  <c r="H28" i="51"/>
  <c r="H29" i="51"/>
  <c r="H31" i="51"/>
  <c r="H32" i="51"/>
  <c r="C7" i="50"/>
  <c r="C8" i="50"/>
  <c r="C9" i="50"/>
  <c r="K25" i="50"/>
  <c r="H28" i="50"/>
  <c r="H29" i="50"/>
  <c r="H31" i="50"/>
  <c r="H32" i="50"/>
  <c r="E12" i="49"/>
  <c r="H46" i="49"/>
  <c r="E13" i="49"/>
  <c r="H31" i="49"/>
  <c r="C40" i="49"/>
  <c r="C41" i="49"/>
  <c r="C45" i="49"/>
  <c r="C46" i="49"/>
  <c r="H16" i="48"/>
  <c r="H17" i="48"/>
  <c r="I36" i="48"/>
  <c r="I37" i="48"/>
  <c r="A45" i="48"/>
  <c r="A46" i="48"/>
  <c r="D4" i="47"/>
  <c r="G11" i="47"/>
  <c r="C12" i="47"/>
  <c r="F12" i="47"/>
  <c r="C13" i="47"/>
  <c r="F13" i="47"/>
  <c r="H31" i="47"/>
  <c r="H41" i="47"/>
  <c r="H42" i="47"/>
  <c r="H45" i="47"/>
  <c r="H46" i="47"/>
  <c r="C23" i="41"/>
  <c r="B42" i="41"/>
  <c r="B48" i="41"/>
  <c r="A36" i="48"/>
  <c r="B49" i="41"/>
  <c r="A37" i="48"/>
  <c r="A34" i="42"/>
  <c r="I34" i="42"/>
  <c r="A35" i="42"/>
  <c r="I35" i="42"/>
  <c r="H41" i="40"/>
  <c r="H46" i="40"/>
  <c r="H47" i="40"/>
  <c r="D23" i="158"/>
  <c r="D24" i="158"/>
  <c r="C25" i="158"/>
  <c r="F25" i="158" s="1"/>
  <c r="C26" i="158"/>
  <c r="A39" i="158"/>
  <c r="A2" i="74"/>
  <c r="K25" i="74"/>
  <c r="H28" i="74"/>
  <c r="H31" i="74"/>
  <c r="H32" i="74"/>
  <c r="I12" i="106"/>
  <c r="M17" i="106"/>
  <c r="D18" i="106"/>
  <c r="E19" i="106"/>
  <c r="E20" i="106"/>
  <c r="L20" i="106"/>
  <c r="E21" i="106"/>
  <c r="L21" i="106"/>
  <c r="E22" i="106"/>
  <c r="E23" i="106"/>
  <c r="E31" i="106"/>
  <c r="E32" i="106"/>
  <c r="I36" i="106"/>
  <c r="F38" i="106"/>
  <c r="F42" i="106"/>
  <c r="F43" i="106"/>
  <c r="D12" i="106"/>
  <c r="E5" i="147"/>
  <c r="I5" i="147"/>
  <c r="M5" i="147"/>
  <c r="Q5" i="147"/>
  <c r="E6" i="147"/>
  <c r="I6" i="147"/>
  <c r="M6" i="147"/>
  <c r="Q6" i="147"/>
  <c r="E7" i="147"/>
  <c r="I7" i="147"/>
  <c r="M7" i="147"/>
  <c r="Q7" i="147"/>
  <c r="E8" i="147"/>
  <c r="I8" i="147"/>
  <c r="M8" i="147"/>
  <c r="Q8" i="147"/>
  <c r="E9" i="147"/>
  <c r="I9" i="147"/>
  <c r="M9" i="147"/>
  <c r="Q9" i="147"/>
  <c r="E10" i="147"/>
  <c r="I10" i="147"/>
  <c r="M10" i="147"/>
  <c r="Q10" i="147"/>
  <c r="B11" i="147"/>
  <c r="F11" i="147"/>
  <c r="J11" i="147"/>
  <c r="N11" i="147"/>
  <c r="E14" i="106"/>
  <c r="C10" i="39" l="1"/>
  <c r="C27" i="39"/>
  <c r="E13" i="48" s="1"/>
  <c r="F33" i="39"/>
  <c r="F32" i="39"/>
  <c r="F35" i="39"/>
  <c r="A43" i="42"/>
  <c r="D6" i="158"/>
  <c r="A44" i="42"/>
  <c r="D7" i="158"/>
  <c r="D12" i="158"/>
  <c r="D13" i="158"/>
  <c r="D11" i="37"/>
  <c r="E13" i="37"/>
  <c r="I11" i="37"/>
  <c r="E12" i="37"/>
  <c r="F1" i="158"/>
  <c r="F15" i="158" s="1"/>
  <c r="F4" i="158"/>
  <c r="F16" i="158"/>
  <c r="H23" i="41"/>
  <c r="H33" i="41" s="1"/>
  <c r="D5" i="40"/>
  <c r="A15" i="41" s="1"/>
  <c r="K26" i="74"/>
  <c r="D5" i="47"/>
  <c r="H21" i="47" s="1"/>
  <c r="D4" i="40"/>
  <c r="K3" i="48"/>
  <c r="B30" i="47"/>
  <c r="C15" i="158"/>
  <c r="G13" i="47"/>
  <c r="K19" i="42"/>
  <c r="H41" i="41"/>
  <c r="G12" i="47"/>
  <c r="G17" i="47" s="1"/>
  <c r="F14" i="158"/>
  <c r="C24" i="41"/>
  <c r="H39" i="49"/>
  <c r="F3" i="158"/>
  <c r="C14" i="158" s="1"/>
  <c r="C37" i="158"/>
  <c r="C19" i="74"/>
  <c r="K3" i="42"/>
  <c r="G13" i="40"/>
  <c r="C17" i="74"/>
  <c r="K21" i="48"/>
  <c r="E13" i="42"/>
  <c r="Q11" i="147"/>
  <c r="M11" i="147"/>
  <c r="I11" i="147"/>
  <c r="E11" i="147"/>
  <c r="A19" i="47"/>
  <c r="K26" i="41" l="1"/>
  <c r="C9" i="74"/>
  <c r="C25" i="39"/>
  <c r="H31" i="40"/>
  <c r="C7" i="74"/>
  <c r="H30" i="47"/>
  <c r="H32" i="40"/>
  <c r="C8" i="74"/>
  <c r="E13" i="41"/>
  <c r="C35" i="158"/>
  <c r="E12" i="41"/>
  <c r="H49" i="41" s="1"/>
  <c r="A15" i="49"/>
  <c r="B24" i="47"/>
  <c r="F37" i="47"/>
  <c r="F36" i="47" s="1"/>
  <c r="F38" i="47" s="1"/>
  <c r="E9" i="48"/>
  <c r="H24" i="47"/>
  <c r="G18" i="40"/>
  <c r="A20" i="40"/>
  <c r="E10" i="48"/>
  <c r="I26" i="42" l="1"/>
  <c r="E11" i="41"/>
  <c r="H48" i="41" s="1"/>
  <c r="K27" i="48"/>
  <c r="I25" i="42"/>
  <c r="E11" i="49"/>
  <c r="H45" i="49" s="1"/>
  <c r="K28" i="48"/>
  <c r="R10" i="48"/>
  <c r="F38" i="40"/>
  <c r="F37" i="40" s="1"/>
  <c r="F39" i="40" s="1"/>
  <c r="E9" i="42"/>
  <c r="A25" i="40"/>
  <c r="H25" i="40"/>
  <c r="E10" i="42"/>
</calcChain>
</file>

<file path=xl/comments1.xml><?xml version="1.0" encoding="utf-8"?>
<comments xmlns="http://schemas.openxmlformats.org/spreadsheetml/2006/main">
  <authors>
    <author>A.Nasir</author>
    <author>HP</author>
    <author>USER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HP:</t>
        </r>
        <r>
          <rPr>
            <sz val="8"/>
            <color indexed="81"/>
            <rFont val="Tahoma"/>
            <family val="2"/>
          </rPr>
          <t xml:space="preserve">
Tanggal SPPD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A.Nasir:</t>
        </r>
        <r>
          <rPr>
            <sz val="8"/>
            <color indexed="81"/>
            <rFont val="Tahoma"/>
            <family val="2"/>
          </rPr>
          <t xml:space="preserve">
Tingkat SPPD:
C = Eselon II
D = Eselon III/Gol IV
E = Eselon IV / Gol III
F = Gol II / Gol I</t>
        </r>
      </text>
    </comment>
    <comment ref="Q1" authorId="0" shapeId="0">
      <text>
        <r>
          <rPr>
            <b/>
            <sz val="8"/>
            <color indexed="81"/>
            <rFont val="Tahoma"/>
            <family val="2"/>
          </rPr>
          <t>A.Nasir:</t>
        </r>
        <r>
          <rPr>
            <sz val="8"/>
            <color indexed="81"/>
            <rFont val="Tahoma"/>
            <family val="2"/>
          </rPr>
          <t xml:space="preserve">
Satker Pembebanan Anggaran</t>
        </r>
      </text>
    </comment>
    <comment ref="R1" authorId="0" shapeId="0">
      <text>
        <r>
          <rPr>
            <b/>
            <sz val="8"/>
            <color indexed="81"/>
            <rFont val="Tahoma"/>
            <family val="2"/>
          </rPr>
          <t>A.Nasir:</t>
        </r>
        <r>
          <rPr>
            <sz val="8"/>
            <color indexed="81"/>
            <rFont val="Tahoma"/>
            <family val="2"/>
          </rPr>
          <t xml:space="preserve">
Program Pembebanan Anggaran</t>
        </r>
      </text>
    </comment>
    <comment ref="S1" authorId="0" shapeId="0">
      <text>
        <r>
          <rPr>
            <b/>
            <sz val="8"/>
            <color indexed="81"/>
            <rFont val="Tahoma"/>
            <family val="2"/>
          </rPr>
          <t>A.Nasir:</t>
        </r>
        <r>
          <rPr>
            <sz val="8"/>
            <color indexed="81"/>
            <rFont val="Tahoma"/>
            <family val="2"/>
          </rPr>
          <t xml:space="preserve">
Kegiatan dan Sub Kegiatan Pembebanan Anggaran</t>
        </r>
      </text>
    </comment>
    <comment ref="T1" authorId="0" shapeId="0">
      <text>
        <r>
          <rPr>
            <b/>
            <sz val="8"/>
            <color indexed="81"/>
            <rFont val="Tahoma"/>
            <family val="2"/>
          </rPr>
          <t>A.Nasir:</t>
        </r>
        <r>
          <rPr>
            <sz val="8"/>
            <color indexed="81"/>
            <rFont val="Tahoma"/>
            <family val="2"/>
          </rPr>
          <t xml:space="preserve">
Akun Pembebanan Anggaran</t>
        </r>
      </text>
    </comment>
    <comment ref="Y1" authorId="1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Kode di AR3-AR9</t>
        </r>
      </text>
    </comment>
    <comment ref="AE1" authorId="2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Majene 220 Polman 280
Mamasa 340 Mamuju 115
Pasangkayu 360
Mateng 200</t>
        </r>
      </text>
    </comment>
  </commentList>
</comments>
</file>

<file path=xl/sharedStrings.xml><?xml version="1.0" encoding="utf-8"?>
<sst xmlns="http://schemas.openxmlformats.org/spreadsheetml/2006/main" count="1104" uniqueCount="565">
  <si>
    <t>Berikut pedoman pembuatan SPD</t>
  </si>
  <si>
    <t>Isikan data di Sheet Data</t>
  </si>
  <si>
    <t>a.</t>
  </si>
  <si>
    <t>Data yang berwarna merah tidak perlu diganti, karena ceritanya ini SPD dari POK Propinsi</t>
  </si>
  <si>
    <t>b.</t>
  </si>
  <si>
    <t xml:space="preserve">Agar tidak error, utk data yang berisi tanggal ditulis dengan format berikut  'tanggal bulan tahun </t>
  </si>
  <si>
    <t>Diawali dengan tanda petik, atau lihat contoh</t>
  </si>
  <si>
    <t>Untuk memunculkan data yang kita inginkan, ketik nomor urut yang ada di sheet data di Kolom L2 Sheet D</t>
  </si>
  <si>
    <t>Untuk sheet Riil, uraiannya ditulis secara manual langsung disitu, ada contohnya di sampingnya…silakan dilihat</t>
  </si>
  <si>
    <t>Jadi misal ada spd bbrp org, utk sheet riil bs dicopas disini. nanti kalo poin 2 berubah, data dasarnya berubah, yg tetap adalah data poin 3 (data uraian di sheet riil)</t>
  </si>
  <si>
    <t>Dalam format ini, nomor SPD telah otomatis dikosongkan, nomor diisi di provinsi.</t>
  </si>
  <si>
    <t>Untuk mengisi kolom P dan Q di sheet data juga lebih baik diawali dengan tanda petik agar tidak error…contoh '054.05.06</t>
  </si>
  <si>
    <t>ALOKASI ANGGARAN TRANSPORT LOKAL PENGUMPULAN DATA</t>
  </si>
  <si>
    <t>Kabupaten</t>
  </si>
  <si>
    <t>SKLNP Tahunan</t>
  </si>
  <si>
    <t>Matriks PMTB</t>
  </si>
  <si>
    <t>SKSPPI</t>
  </si>
  <si>
    <t>SMAK</t>
  </si>
  <si>
    <t>SKTIR</t>
  </si>
  <si>
    <t>Volume</t>
  </si>
  <si>
    <t>Harga Satuan</t>
  </si>
  <si>
    <t>Jumlah Biaya</t>
  </si>
  <si>
    <t>Kode</t>
  </si>
  <si>
    <t>Alokasi Anggaran Transport Pengumpulan Data</t>
  </si>
  <si>
    <t>Majene</t>
  </si>
  <si>
    <t>OK</t>
  </si>
  <si>
    <t>Polman</t>
  </si>
  <si>
    <t>Mamasa</t>
  </si>
  <si>
    <t>Mamuju</t>
  </si>
  <si>
    <t>Matra</t>
  </si>
  <si>
    <t>Jumlah</t>
  </si>
  <si>
    <t>Mateng</t>
  </si>
  <si>
    <t xml:space="preserve">Jumlah </t>
  </si>
  <si>
    <t>Pembebanan</t>
  </si>
  <si>
    <t>Nama Survei</t>
  </si>
  <si>
    <t>Nomor Pembebanan</t>
  </si>
  <si>
    <t>054.01.06.2895.025.202.524113</t>
  </si>
  <si>
    <t>054.01.06.2895.025.205.524113</t>
  </si>
  <si>
    <t>054.01.06.2895.025.305.524113</t>
  </si>
  <si>
    <t>054.01.06.2895.025.052.524113</t>
  </si>
  <si>
    <t>No</t>
  </si>
  <si>
    <t>Nama</t>
  </si>
  <si>
    <t>N I P</t>
  </si>
  <si>
    <t>Jabatan</t>
  </si>
  <si>
    <t>KGB</t>
  </si>
  <si>
    <t>TMT</t>
  </si>
  <si>
    <t>Kepala BPS Provinsi Sulawesi Barat</t>
  </si>
  <si>
    <t>1/4/2014 (25/5)</t>
  </si>
  <si>
    <t>1/11/2016 (28/0)</t>
  </si>
  <si>
    <t>Markus Uda, S.E.</t>
  </si>
  <si>
    <t>19670522 199301 1 001</t>
  </si>
  <si>
    <t>Pembina Tingkat I (IV/b)</t>
  </si>
  <si>
    <t>1/10/2017 (8/0)</t>
  </si>
  <si>
    <t>Heni Djumadi, S.ST.</t>
  </si>
  <si>
    <t>19710507 199312 1 001</t>
  </si>
  <si>
    <t>Pembina (IV/a)</t>
  </si>
  <si>
    <t>1/3/2017 (30/0)</t>
  </si>
  <si>
    <t>Ir. Muhammad Nurbakti, M.Si.</t>
  </si>
  <si>
    <t>19650214 199401 1 001</t>
  </si>
  <si>
    <t>1/10/2014 (CPNS), 1/11/2015 (PNS)</t>
  </si>
  <si>
    <t>1/10/2016 (2/0)</t>
  </si>
  <si>
    <t>Fredy Takaya, S.Si., M.Si.</t>
  </si>
  <si>
    <t>19630207 198311 1 001</t>
  </si>
  <si>
    <t>1/11/2013 CPNS (0/0)</t>
  </si>
  <si>
    <t>1/11/2017 (4/0)</t>
  </si>
  <si>
    <t>M. La' bi, S.Si., M.M.</t>
  </si>
  <si>
    <t>19651231 198901 1 001</t>
  </si>
  <si>
    <t>1/1/2017 (13/0)</t>
  </si>
  <si>
    <t>Prayitno, S.ST.</t>
  </si>
  <si>
    <t>19681210 199112 1 001</t>
  </si>
  <si>
    <t>Chitra Dewi Said, S.ST.</t>
  </si>
  <si>
    <t>19831109 200602 2 001</t>
  </si>
  <si>
    <t>Penata Tingkat I (III/d)</t>
  </si>
  <si>
    <t>1/2/2016 CPNS (0/0)</t>
  </si>
  <si>
    <t>Harlina, S.E., M.M.</t>
  </si>
  <si>
    <t>19720416 199401 2 001</t>
  </si>
  <si>
    <t>Abd. Syukur, S.E., M.M.</t>
  </si>
  <si>
    <t>19730403 199401 1 001</t>
  </si>
  <si>
    <t>Fajaruddin Djarir, S.E.</t>
  </si>
  <si>
    <t>19800401 200604 1 004</t>
  </si>
  <si>
    <t>1/1/2016 (11/0)</t>
  </si>
  <si>
    <t>Sri Mulyani, S.ST., M.M.</t>
  </si>
  <si>
    <t>19820718 200412 2 001</t>
  </si>
  <si>
    <t>1/2/2016 (22/0)</t>
  </si>
  <si>
    <t>1/1/2017   (6/0)</t>
  </si>
  <si>
    <t>Aan Setyawan, S.ST., M.Si.</t>
  </si>
  <si>
    <t>19850228 200801 1 003</t>
  </si>
  <si>
    <t>Marsono, S.ST. ,M.Si.</t>
  </si>
  <si>
    <t>19820515 200701 1 011</t>
  </si>
  <si>
    <t>1/4/2012 (PI) (9/1)</t>
  </si>
  <si>
    <t>1/3/2016 (13/0)</t>
  </si>
  <si>
    <t>Kartika Usmanti, S.ST.</t>
  </si>
  <si>
    <t>19861007 200912 2 004</t>
  </si>
  <si>
    <t>1/6/2017 (17/0)</t>
  </si>
  <si>
    <t>Saiyed Andi Supardi, S.P., M.M.</t>
  </si>
  <si>
    <t>19691111 199102 1 001</t>
  </si>
  <si>
    <t>1/4/2014 (  11th 01 bln)</t>
  </si>
  <si>
    <t>1/3/2017 (14/0)</t>
  </si>
  <si>
    <t>Dina Srikandi, S.ST., M.Si.</t>
  </si>
  <si>
    <t>19840110 200602 2 001</t>
  </si>
  <si>
    <t>1/10/2017 (27/0)</t>
  </si>
  <si>
    <t>Eka Khaerandy Oktafianto, S.ST., M.Si.</t>
  </si>
  <si>
    <t>19861008 200912 1 007</t>
  </si>
  <si>
    <t>1/4/2014 (9th 8 bln)</t>
  </si>
  <si>
    <t>1/8/2016 (12/0)</t>
  </si>
  <si>
    <t>Tyas Jualita Santy, S.ST., M.E.K.K.</t>
  </si>
  <si>
    <t>19860523 200902 2 006</t>
  </si>
  <si>
    <t>1/1/2017 (17/0)</t>
  </si>
  <si>
    <t>Suwarti, S.ST., M.Stat.</t>
  </si>
  <si>
    <t>19830809 200801 2 002</t>
  </si>
  <si>
    <t>1/11/2016 (13/0)</t>
  </si>
  <si>
    <t>Sumaryati, S.ST., M. Ec. Dev.</t>
  </si>
  <si>
    <t>19820629 200701 2 006</t>
  </si>
  <si>
    <t>Pertiwi Tanihaha, S.ST., M.M.</t>
  </si>
  <si>
    <t>19871115 200912 2 002</t>
  </si>
  <si>
    <t>1/6/2017 (21/0)</t>
  </si>
  <si>
    <t>Uhat Dies Toga Julius, S.ST.</t>
  </si>
  <si>
    <t>19870727 200912 1 003</t>
  </si>
  <si>
    <t>1/4/2017 (17/0)</t>
  </si>
  <si>
    <t>Andra Citta Passadhi Arya, S.ST.</t>
  </si>
  <si>
    <t>19830810 200801 1 010</t>
  </si>
  <si>
    <t>1/4/2012      (8/4)</t>
  </si>
  <si>
    <t>1/12/2016 (13/0)</t>
  </si>
  <si>
    <t>Misnawati Mansur, S.ST., M.M.</t>
  </si>
  <si>
    <t>19880212 201012 2 003</t>
  </si>
  <si>
    <t>Penata (III/c)</t>
  </si>
  <si>
    <t>Anindrasari, S.P, M.M.</t>
  </si>
  <si>
    <t>19870826 201003 2 001</t>
  </si>
  <si>
    <t>Reski, S.Si.</t>
  </si>
  <si>
    <t>19880725 201101 2 014</t>
  </si>
  <si>
    <t>Eva Resvani, S.Psi.</t>
  </si>
  <si>
    <t>19860527 201101 2 019</t>
  </si>
  <si>
    <t>Sari Kristiani, A.Md.</t>
  </si>
  <si>
    <t>19820917 200604 2 003</t>
  </si>
  <si>
    <t>Penata Muda Tingkat I (III/b)</t>
  </si>
  <si>
    <t>Muhamad Ferdian Saputra, S.E., M.Si.</t>
  </si>
  <si>
    <t>19850122 200902 1 006</t>
  </si>
  <si>
    <t>Suherman Bontong, S.P.</t>
  </si>
  <si>
    <t>19880601 201101 1 012</t>
  </si>
  <si>
    <t>Abdul Hafid, S.ST.</t>
  </si>
  <si>
    <t>19900205 201211 1 001</t>
  </si>
  <si>
    <t>Isba Syukurniaty Bakri, A.Md.</t>
  </si>
  <si>
    <t>19810924 201101 2 006</t>
  </si>
  <si>
    <t>Penata Muda (III/a)</t>
  </si>
  <si>
    <t>Hamka, A.Md.</t>
  </si>
  <si>
    <t>19820603 201101 1 008</t>
  </si>
  <si>
    <t>Saiyed Andi Bangsawan, S.E.</t>
  </si>
  <si>
    <t>19761013 200604 1 014</t>
  </si>
  <si>
    <t>Dhani Setyo Retno Furi, A.Md.</t>
  </si>
  <si>
    <t>19850106 200902 2 005</t>
  </si>
  <si>
    <t>Syaifur Rijal Syamsul, S.ST.</t>
  </si>
  <si>
    <t>19900816 201311 1 001</t>
  </si>
  <si>
    <t>Nurwahida, S.ST.</t>
  </si>
  <si>
    <t>19921201 201602 2 001</t>
  </si>
  <si>
    <t>Haryo Satriaji, S.ST.</t>
  </si>
  <si>
    <t>19941006 201701 1 002</t>
  </si>
  <si>
    <t>Immawan Mujahid Maruddani, S.ST.</t>
  </si>
  <si>
    <t>19941015 201701 1 001</t>
  </si>
  <si>
    <t>Hapsah, S.Si.</t>
  </si>
  <si>
    <t>19940403 201903 2 001</t>
  </si>
  <si>
    <t>Syandriana Syarifuddin, S.Si.</t>
  </si>
  <si>
    <t>19961130 201903 2 001</t>
  </si>
  <si>
    <t>Sri Andriyani Baso, A.Md.</t>
  </si>
  <si>
    <t>19870716 200801 2 001</t>
  </si>
  <si>
    <t>Pengatur Tingkat I (II/d)</t>
  </si>
  <si>
    <t>S u l l e</t>
  </si>
  <si>
    <t>19791225 200701 1 001</t>
  </si>
  <si>
    <t>Harianto</t>
  </si>
  <si>
    <t>19860204 200911 1 001</t>
  </si>
  <si>
    <t>Pengatur Muda Tingkat I (II/b)</t>
  </si>
  <si>
    <t>Deni Widya Ariani, S.ST.</t>
  </si>
  <si>
    <t>19941027 201701 2 002</t>
  </si>
  <si>
    <t>Nomor Pegawai</t>
  </si>
  <si>
    <t>NIP</t>
  </si>
  <si>
    <t>Pangkat</t>
  </si>
  <si>
    <t>Tujuan</t>
  </si>
  <si>
    <t>Kota Asal</t>
  </si>
  <si>
    <t>Kota Tujuan</t>
  </si>
  <si>
    <t>Waktu</t>
  </si>
  <si>
    <t>Tanggal Berangkat</t>
  </si>
  <si>
    <t>Satker</t>
  </si>
  <si>
    <t>Program</t>
  </si>
  <si>
    <t>Kegiatan/Output/Komponen</t>
  </si>
  <si>
    <t>Akun</t>
  </si>
  <si>
    <t>Nama Penanggung jawab SPD</t>
  </si>
  <si>
    <t>NIP Penanggung jawab SPD</t>
  </si>
  <si>
    <t>Tanggal Pembuatan Surat Tugas</t>
  </si>
  <si>
    <t>Nama Penandatangan Surat Tugas</t>
  </si>
  <si>
    <t>Nama Penandatangan Visum</t>
  </si>
  <si>
    <t>NIP Penandatangan Surat Tugas</t>
  </si>
  <si>
    <t>Transport PP</t>
  </si>
  <si>
    <t>Tanggal TTD Kuitansi</t>
  </si>
  <si>
    <t>Biaya Representasi</t>
  </si>
  <si>
    <t>BPS Provinsi Sulawesi Barat</t>
  </si>
  <si>
    <t>KEPALA BPS</t>
  </si>
  <si>
    <t>Kepala Badan Pusat Statistik</t>
  </si>
  <si>
    <t>Provinsi Sulawesi Barat</t>
  </si>
  <si>
    <t>a.n. Kepala BPS Provinsi Sulawesi Barat</t>
  </si>
  <si>
    <t>MARKUS UDA</t>
  </si>
  <si>
    <t>SOSIAL</t>
  </si>
  <si>
    <t>HENI DJUMADI</t>
  </si>
  <si>
    <t>-</t>
  </si>
  <si>
    <t xml:space="preserve">KEPALA KANTOR </t>
  </si>
  <si>
    <t>Suntono, SE., M.Si</t>
  </si>
  <si>
    <t>NIP 19660219 199401 1 001</t>
  </si>
  <si>
    <t>Kabupaten Majene</t>
  </si>
  <si>
    <t>Ir. Muhammad Nurbakti</t>
  </si>
  <si>
    <t>NIP 19650214 199401 1 001</t>
  </si>
  <si>
    <t>Kabupaten Polewali Mandar</t>
  </si>
  <si>
    <t>Hasimi, S.Sos</t>
  </si>
  <si>
    <t>NIP 19610224 198203 1 001</t>
  </si>
  <si>
    <t>Kabupaten Mamasa</t>
  </si>
  <si>
    <t>Fredy Takaya, S.Si, M. Si</t>
  </si>
  <si>
    <t>NIP 19630207 198311 1 001</t>
  </si>
  <si>
    <t>Kabupaten Mamuju</t>
  </si>
  <si>
    <t>Markus Uda, SE.</t>
  </si>
  <si>
    <t>NIP 19670522 199301 1 001</t>
  </si>
  <si>
    <t>Kabupaten Mamuju Utara</t>
  </si>
  <si>
    <t>Ahmad Gunawan, S.ST, M.Si</t>
  </si>
  <si>
    <t>NIP 19731214 199401 1 001</t>
  </si>
  <si>
    <t>Ir. Salewang Sabrang</t>
  </si>
  <si>
    <t>NIP 19601231 198201 1 003</t>
  </si>
  <si>
    <t>Muktamar Amal, S.Si, M.Si</t>
  </si>
  <si>
    <t>NIP 19670730 199003 1 001</t>
  </si>
  <si>
    <t>Kementerian Negara / Lembaga :</t>
  </si>
  <si>
    <t>BADAN PUSAT STATISTIK</t>
  </si>
  <si>
    <t>Lembar ke</t>
  </si>
  <si>
    <t>:</t>
  </si>
  <si>
    <t>Kode No.</t>
  </si>
  <si>
    <t>Nomor</t>
  </si>
  <si>
    <t>/SPD/2014</t>
  </si>
  <si>
    <t>SURAT PERJALANAN DINAS (SPD)</t>
  </si>
  <si>
    <t>1.</t>
  </si>
  <si>
    <t>Pejabat Pembuat Komitmen</t>
  </si>
  <si>
    <t>Muktamar Amal, M.Si</t>
  </si>
  <si>
    <t>2.</t>
  </si>
  <si>
    <t>Nama/NIP Pegawai yang melaksanakan perjalanan dinas</t>
  </si>
  <si>
    <t>/</t>
  </si>
  <si>
    <t>Pangkat dan Golongan</t>
  </si>
  <si>
    <t>Jabatan/Instansi</t>
  </si>
  <si>
    <t>c.</t>
  </si>
  <si>
    <t>Tingkat Biaya Perjalanan Dinas</t>
  </si>
  <si>
    <t xml:space="preserve">c.   </t>
  </si>
  <si>
    <t>Maksud perjalanan dinas</t>
  </si>
  <si>
    <t>Alat angkutan yang dipergunakan</t>
  </si>
  <si>
    <t>Tempat berangkat</t>
  </si>
  <si>
    <t xml:space="preserve">a.  </t>
  </si>
  <si>
    <t>Tempat tujuan</t>
  </si>
  <si>
    <t xml:space="preserve">b.  </t>
  </si>
  <si>
    <t>Lamanya perjalanan dinas</t>
  </si>
  <si>
    <t>Hari</t>
  </si>
  <si>
    <t>Tanggal berangkat</t>
  </si>
  <si>
    <t xml:space="preserve">b.   </t>
  </si>
  <si>
    <t>Tanggal harus kembali / tiba di tempat baru *)</t>
  </si>
  <si>
    <t>Pengikut :                   Nama</t>
  </si>
  <si>
    <t>Tanggal Lahir</t>
  </si>
  <si>
    <t>Keterangan</t>
  </si>
  <si>
    <t xml:space="preserve">054.01.01   </t>
  </si>
  <si>
    <t>PROGRAM DUKUNGAN MANAJEMEN DAN PELAKSANAAN TUGAS TEKNIS LAINNYA BPS</t>
  </si>
  <si>
    <t>DUKUNGAN MANAJEMEN DAN PELAKSANAAN TUGAS TEKNIS LAINNYA BPS PROVINSI</t>
  </si>
  <si>
    <t>3.</t>
  </si>
  <si>
    <t>Pembebanan Anggaran     Program</t>
  </si>
  <si>
    <t xml:space="preserve">054.01.06   </t>
  </si>
  <si>
    <t>PROGRAM PENYEDIAAN DAN PELAYANAN INFORMASI STATISTIK</t>
  </si>
  <si>
    <t xml:space="preserve">                                           Kegiatan</t>
  </si>
  <si>
    <t>PENYEDIAAN DAN PELAYANAN INFORMASI STATISTIK BPS PROVINSI</t>
  </si>
  <si>
    <t xml:space="preserve">                                           Komponen</t>
  </si>
  <si>
    <t>994</t>
  </si>
  <si>
    <t>LAYANAN PERKANTORAN DAN KEPEGAWAIAN</t>
  </si>
  <si>
    <t>Instansi</t>
  </si>
  <si>
    <t>TEMPATNYA</t>
  </si>
  <si>
    <t>Keterangan lain-lain</t>
  </si>
  <si>
    <t>*) Coret yang tidak perlu</t>
  </si>
  <si>
    <t>Dikeluarkan di</t>
  </si>
  <si>
    <t>Tanggal</t>
  </si>
  <si>
    <t xml:space="preserve">                                                                                              </t>
  </si>
  <si>
    <t>SURAT  TUGAS</t>
  </si>
  <si>
    <t>Yang bertandatangan di bawah ini Kepala BPS Propinsi Sulawesi Barat, menugaskan:</t>
  </si>
  <si>
    <t>N a m a</t>
  </si>
  <si>
    <t>Anggota</t>
  </si>
  <si>
    <t>Dasar</t>
  </si>
  <si>
    <t>Undang-undang Nomor 16 Tahun 1997, Tentang Statistik</t>
  </si>
  <si>
    <t>Keputusan Presiden Republik Indonesia No. 86 Tahun 1998, tentang Badan Pusat Statistik</t>
  </si>
  <si>
    <t>Keputusan Kepala Badan Pusat Statistik Nomor 001 Tahun 2001 Tentang Organisasi dan Tata Kerja Badan Pusat Statistik</t>
  </si>
  <si>
    <t>4.</t>
  </si>
  <si>
    <t>Keputusan Kepala Badan Pusat Statistik Nomor 121 Tahun 2001 Tentang Organisasi dan Tata Kerja Perwakilan Badan Pusat Statistik Di daerah</t>
  </si>
  <si>
    <t xml:space="preserve">Waktu </t>
  </si>
  <si>
    <t xml:space="preserve"> </t>
  </si>
  <si>
    <t>Demikian surat penugasan ini kami buat, agar yang bersangkutan dapat melaksanakan tugas dengan penuh tanggung jawab.</t>
  </si>
  <si>
    <t>Pada tanggal</t>
  </si>
  <si>
    <t>NOMOR URUT DATA TULIS DISINI</t>
  </si>
  <si>
    <t>Kegiatan/ Sub Program</t>
  </si>
  <si>
    <t>d.</t>
  </si>
  <si>
    <t>NIP. 19681210 199112 1 001</t>
  </si>
  <si>
    <t xml:space="preserve">BADAN PUSAT STATISTIK </t>
  </si>
  <si>
    <t>PROVINSI SULAWESI BARAT</t>
  </si>
  <si>
    <t>Menimbang</t>
  </si>
  <si>
    <t>Peraturan Pemerintah Nomor 51 Tahun 1999, tentang Penyelenggaraan Statistik;</t>
  </si>
  <si>
    <t>Peraturan Pemerintah Nomor 45 Tahun 2013, tentang Tata Cara Pelaksanaan Anggaran Pendapatan dan Belanja Negara;</t>
  </si>
  <si>
    <t>Peraturan Presiden Republik Indonesia Nomor 86 Tahun 2007 tentang Badan Pusat Statistik;</t>
  </si>
  <si>
    <t>5.</t>
  </si>
  <si>
    <t>Peraturan Kepala Badan Pusat Statistik Nomor 7 Tahun 2008 tentang Organisasi dan tata Kerja Badan Pusat statistik;</t>
  </si>
  <si>
    <t>6.</t>
  </si>
  <si>
    <t>Keputusan Kepala Badan Pusat Statistik Nomor 121 Tahun 2001, tentang organisasi dan Tata Kerja Badan Pusat Statistik di daerah;</t>
  </si>
  <si>
    <t>Memberi Perintah;</t>
  </si>
  <si>
    <t>Kepada</t>
  </si>
  <si>
    <t>Untuk</t>
  </si>
  <si>
    <t>Terima  Kasih  telah  berpartisipasi mewujudkan birokrasi bersih dengan tidak memberikan imbalan apapun atas pelayanan kami</t>
  </si>
  <si>
    <t>I. Berangkat dari</t>
  </si>
  <si>
    <t xml:space="preserve">  (tempat kedudukan)</t>
  </si>
  <si>
    <t xml:space="preserve">  Ke</t>
  </si>
  <si>
    <t xml:space="preserve">  Pada tanggal</t>
  </si>
  <si>
    <t xml:space="preserve">             </t>
  </si>
  <si>
    <t>II. Tiba di</t>
  </si>
  <si>
    <t>Berangkat dari</t>
  </si>
  <si>
    <t xml:space="preserve">    Pada tanggal</t>
  </si>
  <si>
    <t>Ke</t>
  </si>
  <si>
    <t xml:space="preserve">                 </t>
  </si>
  <si>
    <t>III. Tiba di</t>
  </si>
  <si>
    <t xml:space="preserve">     Pada tanggal</t>
  </si>
  <si>
    <t>IV. Tiba di</t>
  </si>
  <si>
    <t>Telah diperiksa dengan keterangan bahwa perjalanan tersebut atas perintahnya dan semata-mata untuk kepentingan jabatan dalam waktu yang sesingkat-singkatnya.</t>
  </si>
  <si>
    <t xml:space="preserve">    (tempat kedudukan)</t>
  </si>
  <si>
    <t xml:space="preserve">           </t>
  </si>
  <si>
    <t>V. Catatan Lain-lain</t>
  </si>
  <si>
    <t>VI. PERHATIAN :</t>
  </si>
  <si>
    <t xml:space="preserve">        PPK yang menerbitkan SPD, pegawai yang melakukan perjalanan dinas, para pejabat yang mengesahkan tanggal </t>
  </si>
  <si>
    <t xml:space="preserve">        berangkat / tiba, serta bendahara pengeluaran bertanggung jawab berdasarkan peraturan - peraturan Keuangan </t>
  </si>
  <si>
    <t xml:space="preserve">        Negara apabila negara menderita rugi akibat kesalahan, kelalaian, dan kealpaannya.</t>
  </si>
  <si>
    <t>RINCIAN BIAYA PERJALANAN DINAS</t>
  </si>
  <si>
    <t>Lampiran SPD Nomor</t>
  </si>
  <si>
    <t>PERINCIAN PEMBIAYAAN</t>
  </si>
  <si>
    <t>JUMLAH</t>
  </si>
  <si>
    <t>KETERANGAN</t>
  </si>
  <si>
    <t>Sesuai SK Kepala BPS No. 080/KPG Tahun 2008</t>
  </si>
  <si>
    <t>Biaya Penginapan</t>
  </si>
  <si>
    <t>hari</t>
  </si>
  <si>
    <t>@</t>
  </si>
  <si>
    <t>Biaya penginapan sebesar 30% dari rate hotel kab/kota tujuan</t>
  </si>
  <si>
    <t>Uang Harian</t>
  </si>
  <si>
    <t>Telah dibayar sejumlah</t>
  </si>
  <si>
    <t>Telah menerima jumlah uang sebesar</t>
  </si>
  <si>
    <t>Bendahara Pengeluaran</t>
  </si>
  <si>
    <t>Yang Menerima</t>
  </si>
  <si>
    <t>NIP. 19880725 201101 2 014</t>
  </si>
  <si>
    <t>PERHITUNGAN SPD RAMPUNG</t>
  </si>
  <si>
    <t>Ditetapkan Sejumlah</t>
  </si>
  <si>
    <t>Yang telah dibayar semula</t>
  </si>
  <si>
    <t>Sisa kurang/lebih</t>
  </si>
  <si>
    <t>Thn Anggaran</t>
  </si>
  <si>
    <t>Nomor Bukti</t>
  </si>
  <si>
    <t>Mata Anggaran</t>
  </si>
  <si>
    <t>KWITANSI</t>
  </si>
  <si>
    <t>Sudah terima dari</t>
  </si>
  <si>
    <t>Kuasa Pengguna Anggaran</t>
  </si>
  <si>
    <t>Satker BPS Provinsi Sulawesi Barat</t>
  </si>
  <si>
    <t>Jumlah Uang</t>
  </si>
  <si>
    <t>Terbilang</t>
  </si>
  <si>
    <t>Untuk Pembayaran</t>
  </si>
  <si>
    <t>Yang Menerima,</t>
  </si>
  <si>
    <t>.</t>
  </si>
  <si>
    <t>Setuju dibayar,</t>
  </si>
  <si>
    <t xml:space="preserve">Lunas dibayar tgl </t>
  </si>
  <si>
    <t>Pejabat Pembuat Komitmen,</t>
  </si>
  <si>
    <t xml:space="preserve">                   </t>
  </si>
  <si>
    <t>Bendahara Pengeluaran,</t>
  </si>
  <si>
    <t>Barang/pekerjaan tersebut telah diterima/dilaksanakan dengan lengkap dan baik.</t>
  </si>
  <si>
    <t>Pejabat yang bertanggung jawab,</t>
  </si>
  <si>
    <t>DAFTAR PENGELUARAN RIIL</t>
  </si>
  <si>
    <t>Yang bertanda tangan di bawah ini:</t>
  </si>
  <si>
    <t>Uraian</t>
  </si>
  <si>
    <t>Demikian pernyataan ini kami buat dengan sebenarnya, untuk dipergunakan sebagaimana mestinya.</t>
  </si>
  <si>
    <t>Mengetahui/Menyetujui</t>
  </si>
  <si>
    <t>Pelaksana SPD,</t>
  </si>
  <si>
    <t>Lampiran SPPD Nomor</t>
  </si>
  <si>
    <t>Transport</t>
  </si>
  <si>
    <t>Hotel</t>
  </si>
  <si>
    <t xml:space="preserve">                                                                                     </t>
  </si>
  <si>
    <t>PERHITUNGAN SPPD RAMPUNG</t>
  </si>
  <si>
    <t>Pejabat Yang Berwenang</t>
  </si>
  <si>
    <t>MAK</t>
  </si>
  <si>
    <t>Kegiatan / Sub Kegiatan</t>
  </si>
  <si>
    <t>Bendahara Pegeluaran,</t>
  </si>
  <si>
    <t>Drs. Johny Anwar</t>
  </si>
  <si>
    <t>NIP. 340005373</t>
  </si>
  <si>
    <t>Drs. Syihabuddin</t>
  </si>
  <si>
    <t>NIP. 19640806 199202 1 001</t>
  </si>
  <si>
    <t>Dadang Hardiwan, M.Si</t>
  </si>
  <si>
    <t>NIP. 19720609 199412 1 001</t>
  </si>
  <si>
    <t>Muh. La'bi, S.Si</t>
  </si>
  <si>
    <t>NIP. 19651231 198901 1 001</t>
  </si>
  <si>
    <t>Drs. Abdul Hafid, MM</t>
  </si>
  <si>
    <t>NIP. 19690325 199401 1 001</t>
  </si>
  <si>
    <t>Wisman Nainggolan, S.Si, M.Si</t>
  </si>
  <si>
    <t>NIP. 19630124 198802 1 001</t>
  </si>
  <si>
    <t>NIP. 340012570</t>
  </si>
  <si>
    <t>PROPINSI SULAWESI BARAT</t>
  </si>
  <si>
    <t>Biaya transport pegawai di bawah ini yang tidak dapat diperoleh bukti-bukti pengeluarannya, meliputi:</t>
  </si>
  <si>
    <t>Transport Mamuju-Makassar (Bandara)</t>
  </si>
  <si>
    <t>Transport Makassar (Bandara)-Mamuju</t>
  </si>
  <si>
    <t>Transport Jakarta (Bandara)-Tempat Pertemuan</t>
  </si>
  <si>
    <t>Transport Tempat Pertemuan-Jakarta (Bandara)</t>
  </si>
  <si>
    <t>Jumlah uang tersebut pada angka 1 di atas benar-benar dikeluarkan untuk pelaksanaan perjalanan dinas dimaksud dan apabila di kemudian hari terdapat kelebihan atas pembayaran, kami bersedia untuk menyetorkan kelebihan tersebut ke Kas Negara.</t>
  </si>
  <si>
    <t>Pegawai Yang Melakukan Perjalanan</t>
  </si>
  <si>
    <t>Nomor. 087 / ST / 2011</t>
  </si>
  <si>
    <t>Monitoring Kualitas (MK) Sakernas Triwulan II Di Kec. Balla dan Kec. Mamasa Kabupaten Mamasa</t>
  </si>
  <si>
    <t>2 (Dua) hari, mulai tgl. 15 Mei 2011 s.d. 16 Mei 2011</t>
  </si>
  <si>
    <t>Nomor. 088 / ST / 2011</t>
  </si>
  <si>
    <t xml:space="preserve">DAFTAR PERJALANAN DINAS PEGAWAI YANG BELUM LENGKAP PERTANGGUNGJAWABANNYA </t>
  </si>
  <si>
    <t>Bulan : Februari - April 2013</t>
  </si>
  <si>
    <t>Tujuan Perjalanan Dinas</t>
  </si>
  <si>
    <t>Tempat</t>
  </si>
  <si>
    <t>Tanggal SPD</t>
  </si>
  <si>
    <t>Bill hotel</t>
  </si>
  <si>
    <t>Laporan PD</t>
  </si>
  <si>
    <t>Undangan Sosialisasi</t>
  </si>
  <si>
    <t>Daftar Hadir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</si>
  <si>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</si>
  <si>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</si>
  <si>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</si>
  <si>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</si>
  <si>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</si>
  <si>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</si>
  <si>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</si>
  <si>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</si>
  <si>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</si>
  <si>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Setianto, SE, M.Si</t>
  </si>
  <si>
    <t>Sosialisasi Sensus Pertanian 2013</t>
  </si>
  <si>
    <t>13-14 Mar '13</t>
  </si>
  <si>
    <t>V</t>
  </si>
  <si>
    <t>GU V (033)</t>
  </si>
  <si>
    <t>Sebagai Narasumber dalam rangka Sosialisasi ST2013</t>
  </si>
  <si>
    <t>18-20 Mar '13</t>
  </si>
  <si>
    <t>Pengawasan Persiapan Pembangunan Gd. Kantor BPS Kab. Majene</t>
  </si>
  <si>
    <t>27-28 Mar '13</t>
  </si>
  <si>
    <t>Pengawasan Pelatihan Petugas Pencacah ST2013</t>
  </si>
  <si>
    <t>16-18 Apr '13</t>
  </si>
  <si>
    <t>GU VIII (043)</t>
  </si>
  <si>
    <t>Sosialisasi Sensus Pertanian 2013 (ST2013)</t>
  </si>
  <si>
    <t>Pengawasan Pelatihan di Matra dan Polman</t>
  </si>
  <si>
    <t>25-27 Mar '13</t>
  </si>
  <si>
    <t>M. La'bi, S.Si</t>
  </si>
  <si>
    <t xml:space="preserve">Supervisi Evaluasi Penghitungan PDRB </t>
  </si>
  <si>
    <t>15-17 Feb '13</t>
  </si>
  <si>
    <t>01-03 Apr '13</t>
  </si>
  <si>
    <t>GU VII (040)</t>
  </si>
  <si>
    <t>10-11 Apr '13</t>
  </si>
  <si>
    <t>Wisman Nainggolan, M.Si</t>
  </si>
  <si>
    <t>31 Mar-3 Apr '13</t>
  </si>
  <si>
    <t>03-05 Apr '13</t>
  </si>
  <si>
    <t>19-21 Apr '13</t>
  </si>
  <si>
    <t>23-25 Mar '13</t>
  </si>
  <si>
    <t>Achmad Nasir, S.Si</t>
  </si>
  <si>
    <t>Monitoring Kualitas Sakernas Triwulan I 2013</t>
  </si>
  <si>
    <t>GU IV (025)</t>
  </si>
  <si>
    <t>Saiyed Andi Bangsawan</t>
  </si>
  <si>
    <t>Menzy Ganofa, S.ST</t>
  </si>
  <si>
    <t>Pengawasan Data Harga dalam rangka Survei IKK Serentak TwII 2013</t>
  </si>
  <si>
    <t>10-12 Apr '13</t>
  </si>
  <si>
    <t>Anny Arjumiati Anis, SE</t>
  </si>
  <si>
    <t>Pengawasan Survei Industri Besar Sedang Bulanan</t>
  </si>
  <si>
    <t>12-13 Apr '13</t>
  </si>
  <si>
    <t>Nomor ST (Nomor dan Bulan dalam Romawi)</t>
  </si>
  <si>
    <t>Alat Angkutan</t>
  </si>
  <si>
    <t>Tingkat Perjalanan Dinas</t>
  </si>
  <si>
    <t>Tanggal Kembali</t>
  </si>
  <si>
    <t>Biaya transport pegawai dan/atau biaya penginapan di bawah ini yang tidak dapat diperoleh bukti-bukti pengeluarannya, meliputi:</t>
  </si>
  <si>
    <t>Daftar Penandatangan Surat Tugas dan Visum</t>
  </si>
  <si>
    <t>Agus Gede Hendrayana Hermawan, S.E., M.Si.</t>
  </si>
  <si>
    <t>AGUS GEDE HENDRAYANA HERMAWAN</t>
  </si>
  <si>
    <t>19780612 199912 1 001</t>
  </si>
  <si>
    <t>19950226 201701 1 001</t>
  </si>
  <si>
    <t>Mega Kelana Cahya Altoba, S.ST.</t>
  </si>
  <si>
    <t>19831008 200604 1 004</t>
  </si>
  <si>
    <t>Muzakkar Gogga, S.E., M.M.</t>
  </si>
  <si>
    <t>Jumlah uang tersebut pada angka di atas benar-benar dikeluarkan untuk pelaksanaan perjalanan dinas dimaksud dan apabila di kemudian hari terdapat kelebihan atas pembayaran, kami bersedia untuk menyetorkan kelebihan tersebut ke Kas Negara.</t>
  </si>
  <si>
    <t>Biaya Lain-lain</t>
  </si>
  <si>
    <t>19630124 198802 1 001</t>
  </si>
  <si>
    <t>Budi Setiawan Akkas, S.ST.</t>
  </si>
  <si>
    <t>Wisman Nainggolan, S.Si., M.Si.</t>
  </si>
  <si>
    <t>19950408 201802 1 001</t>
  </si>
  <si>
    <t>Gol Terakhir (Jan 2021)</t>
  </si>
  <si>
    <t>Nomor Penanggung Jawab SPD</t>
  </si>
  <si>
    <t>Nomor Penandatangan Surat Tugas</t>
  </si>
  <si>
    <t>Biaya Penginapan per Malam (Rp)</t>
  </si>
  <si>
    <t>Lama Inap (hari)</t>
  </si>
  <si>
    <t>Jumlah UH (hari)</t>
  </si>
  <si>
    <t>Rate UH (Rp)</t>
  </si>
  <si>
    <t>Lama Biaya Representasi (hari)</t>
  </si>
  <si>
    <t>Biaya Representasi (Rp)</t>
  </si>
  <si>
    <t>Jumlah UH Fullboard (hari)</t>
  </si>
  <si>
    <t>Rate UH Fullboard (Rp)</t>
  </si>
  <si>
    <t>Lama Inap Fullboard (hari)</t>
  </si>
  <si>
    <t>Biaya Penginapan Fullboard per Malam (Rp)</t>
  </si>
  <si>
    <t>SURAT PERJALANAN DINAS</t>
  </si>
  <si>
    <t>Nomor SPD</t>
  </si>
  <si>
    <t>Pranata Komputer Ahli Madya selaku Koordinator Fungsi Integrasi Pengolahan dan Diseminasi Statistik</t>
  </si>
  <si>
    <t>C</t>
  </si>
  <si>
    <t>Kepala Bagian Umum</t>
  </si>
  <si>
    <t>Analisis Anggaran Muda selaku Subkoordinator Fungsi Perencanaan</t>
  </si>
  <si>
    <t>Analisis SDM Aparatur Muda selaku Subkoordinator Fungsi SDM dan Hukum</t>
  </si>
  <si>
    <t>Arsiparis Muda selaku Subkoordinator Fungsi Umum</t>
  </si>
  <si>
    <t>Pengelola Pengadaan Barang/Jasa Muda</t>
  </si>
  <si>
    <t>Statistisi Madya selaku Koordinator Fungsi Statistik Sosial</t>
  </si>
  <si>
    <t>Statistisi Madya selaku Koordinator Fungsi Statistik Produksi</t>
  </si>
  <si>
    <t>Statistisi Madya selaku Koordinator Fungsi Statistik Distribusi</t>
  </si>
  <si>
    <t>Statistisi Madya selaku Koordinator Fungsi Neraca Wilayah dan Analisis Statistik</t>
  </si>
  <si>
    <t>Statistisi Muda selaku Subkoordinator Fungsi Statistik Ketahanan Sosial</t>
  </si>
  <si>
    <t>Statistisi Muda selaku Subkoordinator Fungsi Statistik Kependudukan</t>
  </si>
  <si>
    <t>Statistisi Muda selaku Subkoordinator Fungsi Statistik Kesejahteraan Rakyat</t>
  </si>
  <si>
    <t>Statistisi Muda selaku Subkoordinator Fungsi Statistik Industri</t>
  </si>
  <si>
    <t>Statistisi Muda selaku Subkoordinator Fungsi Statistik Pertambangan, Energi dan Konstruksi</t>
  </si>
  <si>
    <t>Statistisi Muda selaku Subkoordinator Fungsi Statistik Harga Konsumen dan Harga Perdagangan Besar</t>
  </si>
  <si>
    <t>Statistisi Muda selaku Subkoordinator Fungsi Statistik Niaga dan Jasa</t>
  </si>
  <si>
    <t>Statistisi Muda selaku Subkoordinator Fungsi Statistik Keuangan dan Harga Produsen</t>
  </si>
  <si>
    <t>Statistisi Muda selaku Subkoordinator Fungsi Neraca Produksi</t>
  </si>
  <si>
    <t>Statistisi Muda selaku Subkoordinator Fungsi Neraca Konsumsi</t>
  </si>
  <si>
    <t>Statistisi Muda selaku Subkoordinator Fungsi Analisis Statistik Lintas Sektor</t>
  </si>
  <si>
    <t>Pranata Komputer Muda selaku Subkoordinator Fungsi Integrasi Pengolahan Data</t>
  </si>
  <si>
    <t>Pranata Komputer Muda selaku Subkoordinator Fungsi Jaringan dan Rujukan Statistik</t>
  </si>
  <si>
    <t>Statistisi Muda selaku Subkoordinator Fungsi Diseminasi dan Layanan Statistik</t>
  </si>
  <si>
    <t>Statistisi Muda pada Fungsi Statistik Pertambangan, Energi dan Konstruksi</t>
  </si>
  <si>
    <t>Bendahara Pengeluaran pada Fungsi Keuangan</t>
  </si>
  <si>
    <t>Statistisi Pertama pada Fungsi Statistik Pertanian</t>
  </si>
  <si>
    <t>Pranata Komputer Pertama pada Fungsi Jaringan dan Rujukan Statistik</t>
  </si>
  <si>
    <t>Koordinator Fungsi Statistik Sosial</t>
  </si>
  <si>
    <t/>
  </si>
  <si>
    <t>Katherine Permata Rusung S.Tr.Stat</t>
  </si>
  <si>
    <t>19970105 201901 2 002</t>
  </si>
  <si>
    <t>Statistisi Madya pada Fungsi Statistik Sosial</t>
  </si>
  <si>
    <t>Statistisi Madya pada Fungsi Statistik Produksi</t>
  </si>
  <si>
    <t>UMUM</t>
  </si>
  <si>
    <t>Mukrabin, S.E., M.M.</t>
  </si>
  <si>
    <t>19630626 199203 1 002</t>
  </si>
  <si>
    <t>Martin Luter, S.Tr.Stat.</t>
  </si>
  <si>
    <t>Rina Rachmawati, S.ST.</t>
  </si>
  <si>
    <t>Muhammad Alfian Hidayat, S.Tr.Stat.</t>
  </si>
  <si>
    <t>Yenni Kurnia, S.Tr.Stat.</t>
  </si>
  <si>
    <t>19970103 201912 1 001</t>
  </si>
  <si>
    <t>19950505 201802 2 001</t>
  </si>
  <si>
    <t>19970801 201912 1 001</t>
  </si>
  <si>
    <t>19961218 201912 2 002</t>
  </si>
  <si>
    <t>Staf Fungsi Stat. Niaga dan Jasa</t>
  </si>
  <si>
    <t>Staf  Fungsi Stat. Kependudukan</t>
  </si>
  <si>
    <t>Staf  Fungsi Keuangan</t>
  </si>
  <si>
    <t>Staf Fungsi SDM dan Hukum</t>
  </si>
  <si>
    <t>Staf Fungsi Perencanaan</t>
  </si>
  <si>
    <t>Staf Fungsi Pengelola Pengadaaan Barang/Jasa</t>
  </si>
  <si>
    <t>Staf Fungsi Keuangan</t>
  </si>
  <si>
    <t>Staf Fungsi Umum</t>
  </si>
  <si>
    <t>Staf Fungsi Statistik Kesejahteraan Rakyat</t>
  </si>
  <si>
    <t>Staf Fungsi Statistik Harga Konsumen dan Harga Perdagangan Besar</t>
  </si>
  <si>
    <t>Staf Fungsi Statistik Industri</t>
  </si>
  <si>
    <t>Staf Fungsi Statistik Keuangan dan Harga Produsen</t>
  </si>
  <si>
    <t>Staf Fungsi Analisis Statistik Lintas Sektor</t>
  </si>
  <si>
    <t>Staf Fungsi Integrasi Pengolahan Data</t>
  </si>
  <si>
    <t>Statistisi Pertama pada Fungsi Statistik Ketahanan Sosial</t>
  </si>
  <si>
    <t>Muhammad Anwar, S.ST., M.S.E.</t>
  </si>
  <si>
    <t>19891101 201311 1 001</t>
  </si>
  <si>
    <t>Staf Fungsi Neraca Produksi</t>
  </si>
  <si>
    <t>Staf  Fungsi Diseminasi dan Layanan Statistik</t>
  </si>
  <si>
    <t>Dwi Ardian, S.Tr.Stat.</t>
  </si>
  <si>
    <t>19881119 200801 1 001</t>
  </si>
  <si>
    <t>Staf Fungsi Neraca Konsumsi</t>
  </si>
  <si>
    <t>Statistisi Madya pada Fungsi Statistik Distribusi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</si>
</sst>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(* #,##0_);_(* \(#,##0\);_(* &quot;-&quot;_);_(@_)"/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&quot;Rp.  &quot;#,##0&quot;,-&quot;"/>
    <numFmt numFmtId="167" formatCode="[$-421]dd\ mmmm\ yyyy;@"/>
    <numFmt numFmtId="168" formatCode="_(&quot;Rp&quot;\.* #,##0_).\-"/>
    <numFmt numFmtId="169" formatCode="_(&quot;Rp&quot;\.\ \ \ #,##0_).\-"/>
    <numFmt numFmtId="170" formatCode="_([$Rp-421]* #,##0_);_([$Rp-421]* \(#,##0\);_([$Rp-421]* \-_);_(@_)"/>
    <numFmt numFmtId="171" formatCode="&quot;Rp&quot;\.\ #,##0_);\(&quot;Rp&quot;\.\ #,##0\)"/>
    <numFmt numFmtId="172" formatCode="000"/>
    <numFmt numFmtId="173" formatCode="dd/mm/yy;@"/>
    <numFmt numFmtId="174" formatCode="###\ ###\ ##0"/>
  </numFmts>
  <fonts count="6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i/>
      <sz val="14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u/>
      <sz val="9"/>
      <name val="Arial"/>
      <family val="2"/>
    </font>
    <font>
      <b/>
      <u/>
      <sz val="16"/>
      <name val="Arial"/>
      <family val="2"/>
    </font>
    <font>
      <sz val="12"/>
      <name val="Arial"/>
      <family val="2"/>
    </font>
    <font>
      <b/>
      <i/>
      <sz val="14"/>
      <color indexed="12"/>
      <name val="Arial"/>
      <family val="2"/>
    </font>
    <font>
      <sz val="1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u/>
      <sz val="10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  <charset val="1"/>
    </font>
    <font>
      <b/>
      <sz val="12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10"/>
      <name val="Tahoma"/>
      <family val="2"/>
    </font>
    <font>
      <b/>
      <i/>
      <sz val="11"/>
      <name val="Arial"/>
      <family val="2"/>
    </font>
    <font>
      <b/>
      <u/>
      <sz val="11"/>
      <name val="Arial"/>
      <family val="2"/>
    </font>
    <font>
      <sz val="10"/>
      <name val="Calibri"/>
      <family val="2"/>
    </font>
    <font>
      <b/>
      <sz val="11"/>
      <name val="Georgia"/>
      <family val="1"/>
    </font>
    <font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2"/>
      <name val="Arial"/>
      <family val="2"/>
    </font>
    <font>
      <b/>
      <sz val="7"/>
      <name val="Arial"/>
      <family val="2"/>
    </font>
    <font>
      <sz val="10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6"/>
      <color theme="1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0"/>
      <name val="Arial"/>
      <family val="2"/>
    </font>
    <font>
      <sz val="10"/>
      <color theme="0" tint="-0.34998626667073579"/>
      <name val="Arial"/>
      <family val="2"/>
    </font>
    <font>
      <sz val="12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0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sz val="12"/>
      <color theme="4" tint="-0.24997711111789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</borders>
  <cellStyleXfs count="20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0" fillId="0" borderId="0"/>
    <xf numFmtId="0" fontId="3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" fillId="0" borderId="0"/>
    <xf numFmtId="0" fontId="2" fillId="0" borderId="0"/>
    <xf numFmtId="0" fontId="40" fillId="0" borderId="0"/>
    <xf numFmtId="0" fontId="2" fillId="0" borderId="0"/>
    <xf numFmtId="0" fontId="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" fillId="0" borderId="0"/>
    <xf numFmtId="0" fontId="4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81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  <protection locked="0"/>
    </xf>
    <xf numFmtId="41" fontId="1" fillId="0" borderId="9" xfId="2" applyBorder="1" applyAlignment="1">
      <alignment vertical="center"/>
    </xf>
    <xf numFmtId="41" fontId="1" fillId="0" borderId="9" xfId="2" applyBorder="1" applyAlignment="1" applyProtection="1">
      <alignment vertical="center"/>
      <protection locked="0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8" xfId="0" applyBorder="1" applyAlignment="1">
      <alignment horizontal="center" vertical="center"/>
    </xf>
    <xf numFmtId="0" fontId="5" fillId="0" borderId="0" xfId="206" applyFont="1" applyFill="1" applyAlignment="1">
      <alignment vertical="center"/>
    </xf>
    <xf numFmtId="0" fontId="6" fillId="0" borderId="0" xfId="206" applyFont="1" applyFill="1" applyAlignment="1">
      <alignment vertical="center"/>
    </xf>
    <xf numFmtId="0" fontId="8" fillId="0" borderId="0" xfId="206" applyFont="1" applyAlignment="1">
      <alignment vertical="center"/>
    </xf>
    <xf numFmtId="0" fontId="14" fillId="0" borderId="0" xfId="206" applyFont="1" applyAlignment="1">
      <alignment vertical="center"/>
    </xf>
    <xf numFmtId="0" fontId="8" fillId="0" borderId="0" xfId="206" applyFont="1" applyAlignment="1">
      <alignment horizontal="right" vertical="center"/>
    </xf>
    <xf numFmtId="49" fontId="0" fillId="0" borderId="0" xfId="0" applyNumberFormat="1" applyAlignment="1">
      <alignment vertical="center"/>
    </xf>
    <xf numFmtId="0" fontId="0" fillId="0" borderId="10" xfId="0" applyBorder="1" applyAlignment="1" applyProtection="1">
      <alignment horizontal="center" vertical="top"/>
      <protection locked="0"/>
    </xf>
    <xf numFmtId="0" fontId="0" fillId="0" borderId="10" xfId="0" applyBorder="1" applyAlignment="1" applyProtection="1">
      <alignment vertical="top"/>
      <protection locked="0"/>
    </xf>
    <xf numFmtId="0" fontId="0" fillId="0" borderId="0" xfId="0" applyBorder="1" applyAlignment="1" applyProtection="1">
      <alignment vertical="top"/>
      <protection locked="0"/>
    </xf>
    <xf numFmtId="168" fontId="1" fillId="0" borderId="9" xfId="2" applyNumberFormat="1" applyBorder="1" applyAlignment="1" applyProtection="1">
      <alignment horizontal="left" vertical="top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0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168" fontId="1" fillId="0" borderId="9" xfId="2" applyNumberFormat="1" applyBorder="1" applyAlignment="1" applyProtection="1">
      <alignment horizontal="left" vertical="center" indent="1"/>
      <protection locked="0"/>
    </xf>
    <xf numFmtId="168" fontId="7" fillId="0" borderId="9" xfId="2" applyNumberFormat="1" applyFont="1" applyBorder="1" applyAlignment="1">
      <alignment horizontal="left" vertical="center" indent="1"/>
    </xf>
    <xf numFmtId="169" fontId="7" fillId="0" borderId="0" xfId="2" applyNumberFormat="1" applyFont="1" applyBorder="1" applyAlignment="1">
      <alignment horizontal="center" vertical="center"/>
    </xf>
    <xf numFmtId="0" fontId="0" fillId="0" borderId="5" xfId="0" applyBorder="1" applyAlignment="1">
      <alignment horizontal="centerContinuous" vertical="center"/>
    </xf>
    <xf numFmtId="0" fontId="15" fillId="0" borderId="0" xfId="0" applyFont="1" applyAlignment="1">
      <alignment horizontal="left" indent="11"/>
    </xf>
    <xf numFmtId="164" fontId="0" fillId="0" borderId="10" xfId="0" applyNumberFormat="1" applyBorder="1" applyAlignment="1">
      <alignment horizontal="center" vertical="center"/>
    </xf>
    <xf numFmtId="0" fontId="0" fillId="0" borderId="11" xfId="0" applyBorder="1"/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7" fillId="0" borderId="0" xfId="0" applyFont="1" applyAlignment="1">
      <alignment horizontal="centerContinuous" vertical="center"/>
    </xf>
    <xf numFmtId="0" fontId="9" fillId="0" borderId="12" xfId="206" applyNumberFormat="1" applyFont="1" applyFill="1" applyBorder="1" applyAlignment="1" applyProtection="1">
      <alignment vertical="center" wrapText="1"/>
      <protection locked="0"/>
    </xf>
    <xf numFmtId="0" fontId="16" fillId="0" borderId="13" xfId="207" applyFont="1" applyBorder="1"/>
    <xf numFmtId="0" fontId="16" fillId="0" borderId="14" xfId="207" applyFont="1" applyBorder="1"/>
    <xf numFmtId="0" fontId="2" fillId="0" borderId="14" xfId="207" applyBorder="1"/>
    <xf numFmtId="0" fontId="16" fillId="0" borderId="14" xfId="207" applyFont="1" applyBorder="1" applyAlignment="1">
      <alignment horizontal="left"/>
    </xf>
    <xf numFmtId="0" fontId="2" fillId="0" borderId="15" xfId="207" applyBorder="1"/>
    <xf numFmtId="0" fontId="2" fillId="0" borderId="0" xfId="207"/>
    <xf numFmtId="0" fontId="16" fillId="0" borderId="16" xfId="207" applyFont="1" applyBorder="1"/>
    <xf numFmtId="0" fontId="16" fillId="0" borderId="0" xfId="207" applyFont="1" applyBorder="1"/>
    <xf numFmtId="0" fontId="2" fillId="0" borderId="0" xfId="207" applyBorder="1"/>
    <xf numFmtId="0" fontId="16" fillId="0" borderId="0" xfId="207" quotePrefix="1" applyFont="1" applyBorder="1"/>
    <xf numFmtId="0" fontId="2" fillId="0" borderId="12" xfId="207" applyBorder="1"/>
    <xf numFmtId="0" fontId="2" fillId="0" borderId="0" xfId="207" applyAlignment="1">
      <alignment horizontal="left"/>
    </xf>
    <xf numFmtId="0" fontId="2" fillId="0" borderId="0" xfId="207" quotePrefix="1" applyAlignment="1">
      <alignment horizontal="left"/>
    </xf>
    <xf numFmtId="0" fontId="19" fillId="0" borderId="0" xfId="207" applyNumberFormat="1" applyFont="1" applyFill="1"/>
    <xf numFmtId="0" fontId="2" fillId="0" borderId="12" xfId="207" applyBorder="1" applyAlignment="1">
      <alignment horizontal="left"/>
    </xf>
    <xf numFmtId="0" fontId="2" fillId="0" borderId="16" xfId="207" applyBorder="1"/>
    <xf numFmtId="0" fontId="18" fillId="0" borderId="0" xfId="207" applyFont="1" applyBorder="1"/>
    <xf numFmtId="0" fontId="18" fillId="0" borderId="16" xfId="207" applyFont="1" applyBorder="1"/>
    <xf numFmtId="170" fontId="20" fillId="0" borderId="0" xfId="207" applyNumberFormat="1" applyFont="1" applyBorder="1" applyAlignment="1"/>
    <xf numFmtId="170" fontId="20" fillId="0" borderId="0" xfId="207" applyNumberFormat="1" applyFont="1" applyBorder="1" applyAlignment="1">
      <alignment horizontal="left"/>
    </xf>
    <xf numFmtId="0" fontId="16" fillId="0" borderId="0" xfId="207" applyFont="1" applyBorder="1" applyAlignment="1">
      <alignment horizontal="left" indent="1"/>
    </xf>
    <xf numFmtId="0" fontId="16" fillId="0" borderId="0" xfId="207" applyFont="1" applyBorder="1" applyAlignment="1"/>
    <xf numFmtId="0" fontId="16" fillId="0" borderId="12" xfId="207" applyFont="1" applyBorder="1" applyAlignment="1"/>
    <xf numFmtId="0" fontId="16" fillId="0" borderId="0" xfId="207" applyFont="1" applyBorder="1" applyAlignment="1">
      <alignment horizontal="left" indent="2"/>
    </xf>
    <xf numFmtId="0" fontId="18" fillId="0" borderId="0" xfId="207" applyFont="1" applyBorder="1" applyAlignment="1">
      <alignment horizontal="left" indent="1"/>
    </xf>
    <xf numFmtId="0" fontId="18" fillId="0" borderId="0" xfId="207" applyFont="1" applyBorder="1" applyAlignment="1">
      <alignment horizontal="left" indent="2"/>
    </xf>
    <xf numFmtId="0" fontId="16" fillId="0" borderId="17" xfId="207" applyFont="1" applyBorder="1"/>
    <xf numFmtId="0" fontId="16" fillId="0" borderId="18" xfId="207" applyFont="1" applyBorder="1"/>
    <xf numFmtId="0" fontId="2" fillId="0" borderId="19" xfId="207" applyBorder="1"/>
    <xf numFmtId="0" fontId="16" fillId="0" borderId="20" xfId="207" applyFont="1" applyBorder="1"/>
    <xf numFmtId="0" fontId="2" fillId="0" borderId="21" xfId="207" applyBorder="1"/>
    <xf numFmtId="0" fontId="16" fillId="0" borderId="10" xfId="207" applyFont="1" applyBorder="1" applyAlignment="1">
      <alignment horizontal="left" indent="1"/>
    </xf>
    <xf numFmtId="0" fontId="16" fillId="0" borderId="22" xfId="207" applyFont="1" applyBorder="1"/>
    <xf numFmtId="0" fontId="2" fillId="0" borderId="18" xfId="207" applyBorder="1"/>
    <xf numFmtId="0" fontId="2" fillId="0" borderId="23" xfId="207" applyBorder="1"/>
    <xf numFmtId="0" fontId="18" fillId="0" borderId="10" xfId="207" applyFont="1" applyBorder="1" applyAlignment="1">
      <alignment horizontal="left" indent="1"/>
    </xf>
    <xf numFmtId="0" fontId="2" fillId="0" borderId="0" xfId="207" applyFont="1"/>
    <xf numFmtId="0" fontId="20" fillId="0" borderId="0" xfId="207" applyFont="1" applyBorder="1"/>
    <xf numFmtId="0" fontId="2" fillId="2" borderId="0" xfId="207" applyFill="1" applyProtection="1">
      <protection locked="0"/>
    </xf>
    <xf numFmtId="171" fontId="0" fillId="0" borderId="0" xfId="2" applyNumberFormat="1" applyFont="1" applyBorder="1" applyAlignment="1" applyProtection="1">
      <alignment horizontal="left" vertical="center"/>
      <protection locked="0"/>
    </xf>
    <xf numFmtId="0" fontId="2" fillId="0" borderId="0" xfId="206" applyNumberFormat="1" applyFont="1" applyFill="1" applyBorder="1" applyAlignment="1" applyProtection="1">
      <alignment vertical="center"/>
      <protection locked="0"/>
    </xf>
    <xf numFmtId="0" fontId="7" fillId="0" borderId="0" xfId="206" applyNumberFormat="1" applyFont="1" applyFill="1" applyBorder="1" applyAlignment="1">
      <alignment horizontal="left" vertical="center"/>
    </xf>
    <xf numFmtId="0" fontId="7" fillId="0" borderId="0" xfId="206" applyNumberFormat="1" applyFont="1" applyFill="1" applyBorder="1" applyAlignment="1">
      <alignment horizontal="center" vertical="center"/>
    </xf>
    <xf numFmtId="0" fontId="7" fillId="0" borderId="12" xfId="206" applyNumberFormat="1" applyFont="1" applyFill="1" applyBorder="1" applyAlignment="1">
      <alignment vertical="center" wrapText="1"/>
    </xf>
    <xf numFmtId="0" fontId="2" fillId="0" borderId="5" xfId="206" applyNumberFormat="1" applyFont="1" applyFill="1" applyBorder="1" applyAlignment="1" applyProtection="1">
      <alignment vertical="center" wrapText="1"/>
      <protection locked="0"/>
    </xf>
    <xf numFmtId="0" fontId="2" fillId="0" borderId="3" xfId="206" applyNumberFormat="1" applyFont="1" applyFill="1" applyBorder="1" applyAlignment="1" applyProtection="1">
      <alignment vertical="center" wrapText="1"/>
      <protection locked="0"/>
    </xf>
    <xf numFmtId="0" fontId="9" fillId="0" borderId="11" xfId="206" applyNumberFormat="1" applyFont="1" applyFill="1" applyBorder="1" applyAlignment="1">
      <alignment vertical="center" wrapText="1"/>
    </xf>
    <xf numFmtId="0" fontId="9" fillId="0" borderId="3" xfId="206" applyNumberFormat="1" applyFont="1" applyFill="1" applyBorder="1" applyAlignment="1">
      <alignment vertical="center" wrapText="1"/>
    </xf>
    <xf numFmtId="0" fontId="9" fillId="0" borderId="24" xfId="206" applyNumberFormat="1" applyFont="1" applyFill="1" applyBorder="1" applyAlignment="1">
      <alignment vertical="center" wrapText="1"/>
    </xf>
    <xf numFmtId="0" fontId="9" fillId="0" borderId="11" xfId="206" applyNumberFormat="1" applyFont="1" applyFill="1" applyBorder="1" applyAlignment="1">
      <alignment horizontal="left" vertical="center" wrapText="1" indent="1"/>
    </xf>
    <xf numFmtId="0" fontId="9" fillId="0" borderId="10" xfId="206" applyNumberFormat="1" applyFont="1" applyFill="1" applyBorder="1" applyAlignment="1">
      <alignment vertical="center" wrapText="1"/>
    </xf>
    <xf numFmtId="0" fontId="9" fillId="0" borderId="0" xfId="206" applyNumberFormat="1" applyFont="1" applyFill="1" applyBorder="1" applyAlignment="1">
      <alignment vertical="center" wrapText="1"/>
    </xf>
    <xf numFmtId="0" fontId="9" fillId="0" borderId="12" xfId="206" applyNumberFormat="1" applyFont="1" applyFill="1" applyBorder="1" applyAlignment="1">
      <alignment vertical="center" wrapText="1"/>
    </xf>
    <xf numFmtId="0" fontId="9" fillId="0" borderId="10" xfId="206" applyNumberFormat="1" applyFont="1" applyFill="1" applyBorder="1" applyAlignment="1">
      <alignment horizontal="left" vertical="center" wrapText="1" indent="1"/>
    </xf>
    <xf numFmtId="0" fontId="9" fillId="0" borderId="10" xfId="206" applyNumberFormat="1" applyFont="1" applyFill="1" applyBorder="1"/>
    <xf numFmtId="0" fontId="9" fillId="0" borderId="0" xfId="206" applyNumberFormat="1" applyFont="1" applyFill="1" applyBorder="1"/>
    <xf numFmtId="0" fontId="9" fillId="0" borderId="12" xfId="206" applyNumberFormat="1" applyFont="1" applyFill="1" applyBorder="1"/>
    <xf numFmtId="0" fontId="9" fillId="0" borderId="10" xfId="206" applyNumberFormat="1" applyFont="1" applyFill="1" applyBorder="1" applyAlignment="1" applyProtection="1">
      <alignment vertical="center" wrapText="1"/>
      <protection locked="0"/>
    </xf>
    <xf numFmtId="0" fontId="9" fillId="0" borderId="0" xfId="206" applyNumberFormat="1" applyFont="1" applyFill="1" applyBorder="1" applyAlignment="1" applyProtection="1">
      <alignment vertical="center" wrapText="1"/>
      <protection locked="0"/>
    </xf>
    <xf numFmtId="0" fontId="10" fillId="0" borderId="12" xfId="206" applyNumberFormat="1" applyFont="1" applyFill="1" applyBorder="1" applyAlignment="1" applyProtection="1">
      <alignment vertical="center" wrapText="1"/>
      <protection locked="0"/>
    </xf>
    <xf numFmtId="0" fontId="9" fillId="0" borderId="4" xfId="206" applyNumberFormat="1" applyFont="1" applyFill="1" applyBorder="1" applyAlignment="1">
      <alignment vertical="center" wrapText="1"/>
    </xf>
    <xf numFmtId="0" fontId="9" fillId="0" borderId="5" xfId="206" applyNumberFormat="1" applyFont="1" applyFill="1" applyBorder="1" applyAlignment="1">
      <alignment vertical="center" wrapText="1"/>
    </xf>
    <xf numFmtId="0" fontId="9" fillId="0" borderId="6" xfId="206" applyNumberFormat="1" applyFont="1" applyFill="1" applyBorder="1" applyAlignment="1">
      <alignment vertical="center" wrapText="1"/>
    </xf>
    <xf numFmtId="0" fontId="9" fillId="0" borderId="24" xfId="206" applyNumberFormat="1" applyFont="1" applyFill="1" applyBorder="1" applyAlignment="1" applyProtection="1">
      <alignment vertical="center" wrapText="1"/>
      <protection locked="0"/>
    </xf>
    <xf numFmtId="0" fontId="9" fillId="0" borderId="0" xfId="206" quotePrefix="1" applyNumberFormat="1" applyFont="1" applyFill="1" applyBorder="1" applyAlignment="1">
      <alignment vertical="center" wrapText="1"/>
    </xf>
    <xf numFmtId="0" fontId="9" fillId="0" borderId="11" xfId="206" applyNumberFormat="1" applyFont="1" applyFill="1" applyBorder="1" applyAlignment="1">
      <alignment horizontal="left" vertical="top" wrapText="1" indent="1"/>
    </xf>
    <xf numFmtId="0" fontId="9" fillId="0" borderId="3" xfId="206" applyNumberFormat="1" applyFont="1" applyFill="1" applyBorder="1" applyAlignment="1">
      <alignment vertical="top" wrapText="1"/>
    </xf>
    <xf numFmtId="0" fontId="9" fillId="0" borderId="24" xfId="206" applyNumberFormat="1" applyFont="1" applyFill="1" applyBorder="1" applyAlignment="1">
      <alignment vertical="top" wrapText="1"/>
    </xf>
    <xf numFmtId="0" fontId="9" fillId="0" borderId="10" xfId="206" applyNumberFormat="1" applyFont="1" applyFill="1" applyBorder="1" applyAlignment="1">
      <alignment horizontal="left" vertical="top" indent="1"/>
    </xf>
    <xf numFmtId="0" fontId="9" fillId="0" borderId="0" xfId="206" applyNumberFormat="1" applyFont="1" applyFill="1" applyBorder="1" applyAlignment="1">
      <alignment vertical="top" wrapText="1"/>
    </xf>
    <xf numFmtId="0" fontId="9" fillId="0" borderId="12" xfId="206" applyNumberFormat="1" applyFont="1" applyFill="1" applyBorder="1" applyAlignment="1">
      <alignment vertical="top" wrapText="1"/>
    </xf>
    <xf numFmtId="0" fontId="9" fillId="0" borderId="10" xfId="206" applyNumberFormat="1" applyFont="1" applyFill="1" applyBorder="1" applyAlignment="1">
      <alignment horizontal="left" vertical="top" wrapText="1" indent="1"/>
    </xf>
    <xf numFmtId="0" fontId="10" fillId="0" borderId="12" xfId="206" applyNumberFormat="1" applyFont="1" applyFill="1" applyBorder="1" applyAlignment="1">
      <alignment vertical="center" wrapText="1"/>
    </xf>
    <xf numFmtId="0" fontId="2" fillId="0" borderId="0" xfId="0" applyFont="1" applyAlignment="1"/>
    <xf numFmtId="0" fontId="2" fillId="0" borderId="0" xfId="206" applyFont="1" applyFill="1" applyAlignment="1">
      <alignment vertical="center"/>
    </xf>
    <xf numFmtId="0" fontId="20" fillId="0" borderId="16" xfId="207" applyFont="1" applyBorder="1" applyAlignment="1">
      <alignment horizontal="left" indent="1"/>
    </xf>
    <xf numFmtId="0" fontId="9" fillId="0" borderId="10" xfId="206" applyNumberFormat="1" applyFont="1" applyFill="1" applyBorder="1" applyAlignment="1">
      <alignment vertical="center"/>
    </xf>
    <xf numFmtId="0" fontId="2" fillId="0" borderId="10" xfId="0" applyFont="1" applyBorder="1" applyProtection="1">
      <protection locked="0"/>
    </xf>
    <xf numFmtId="0" fontId="2" fillId="0" borderId="0" xfId="206" applyFont="1" applyFill="1" applyAlignment="1">
      <alignment horizontal="right" vertical="center"/>
    </xf>
    <xf numFmtId="0" fontId="2" fillId="0" borderId="0" xfId="206" applyNumberFormat="1" applyFont="1" applyFill="1" applyAlignment="1">
      <alignment vertical="center"/>
    </xf>
    <xf numFmtId="0" fontId="2" fillId="0" borderId="0" xfId="206" applyNumberFormat="1" applyFont="1" applyFill="1" applyAlignment="1">
      <alignment horizontal="left" vertical="center"/>
    </xf>
    <xf numFmtId="0" fontId="2" fillId="0" borderId="0" xfId="206" applyNumberFormat="1" applyFont="1" applyFill="1" applyAlignment="1" applyProtection="1">
      <alignment horizontal="left" vertical="center"/>
      <protection locked="0"/>
    </xf>
    <xf numFmtId="0" fontId="2" fillId="0" borderId="0" xfId="206" applyFont="1" applyFill="1" applyAlignment="1">
      <alignment horizontal="center" vertical="center"/>
    </xf>
    <xf numFmtId="0" fontId="2" fillId="0" borderId="0" xfId="206" applyNumberFormat="1" applyFont="1" applyFill="1" applyAlignment="1">
      <alignment horizontal="center" vertical="center"/>
    </xf>
    <xf numFmtId="0" fontId="2" fillId="0" borderId="0" xfId="206" quotePrefix="1" applyNumberFormat="1" applyFont="1" applyFill="1" applyAlignment="1">
      <alignment horizontal="left" vertical="center"/>
    </xf>
    <xf numFmtId="0" fontId="2" fillId="0" borderId="25" xfId="206" applyFont="1" applyFill="1" applyBorder="1" applyAlignment="1">
      <alignment horizontal="center" vertical="center" wrapText="1"/>
    </xf>
    <xf numFmtId="0" fontId="2" fillId="0" borderId="26" xfId="206" applyFont="1" applyFill="1" applyBorder="1" applyAlignment="1">
      <alignment horizontal="left" vertical="center" indent="1"/>
    </xf>
    <xf numFmtId="0" fontId="2" fillId="0" borderId="27" xfId="206" applyFont="1" applyFill="1" applyBorder="1" applyAlignment="1">
      <alignment horizontal="left" vertical="center"/>
    </xf>
    <xf numFmtId="0" fontId="2" fillId="0" borderId="9" xfId="206" applyFont="1" applyFill="1" applyBorder="1" applyAlignment="1">
      <alignment horizontal="center" vertical="center" wrapText="1"/>
    </xf>
    <xf numFmtId="0" fontId="2" fillId="0" borderId="0" xfId="206" applyFont="1" applyFill="1" applyBorder="1" applyAlignment="1">
      <alignment horizontal="right" vertical="center"/>
    </xf>
    <xf numFmtId="0" fontId="2" fillId="0" borderId="0" xfId="206" applyFont="1" applyFill="1" applyBorder="1" applyAlignment="1">
      <alignment vertical="center"/>
    </xf>
    <xf numFmtId="0" fontId="2" fillId="0" borderId="1" xfId="206" applyFont="1" applyFill="1" applyBorder="1" applyAlignment="1">
      <alignment horizontal="center" vertical="center" wrapText="1"/>
    </xf>
    <xf numFmtId="0" fontId="2" fillId="0" borderId="5" xfId="206" applyNumberFormat="1" applyFont="1" applyFill="1" applyBorder="1" applyAlignment="1">
      <alignment vertical="center"/>
    </xf>
    <xf numFmtId="0" fontId="2" fillId="0" borderId="3" xfId="206" applyFont="1" applyFill="1" applyBorder="1" applyAlignment="1">
      <alignment horizontal="right" vertical="center"/>
    </xf>
    <xf numFmtId="0" fontId="2" fillId="0" borderId="3" xfId="206" applyFont="1" applyFill="1" applyBorder="1" applyAlignment="1">
      <alignment horizontal="left" vertical="center"/>
    </xf>
    <xf numFmtId="0" fontId="2" fillId="0" borderId="11" xfId="206" applyNumberFormat="1" applyFont="1" applyFill="1" applyBorder="1" applyAlignment="1">
      <alignment horizontal="right" vertical="center" wrapText="1"/>
    </xf>
    <xf numFmtId="0" fontId="2" fillId="0" borderId="0" xfId="206" applyNumberFormat="1" applyFont="1" applyFill="1" applyBorder="1" applyAlignment="1">
      <alignment horizontal="right" vertical="center"/>
    </xf>
    <xf numFmtId="0" fontId="2" fillId="0" borderId="0" xfId="206" quotePrefix="1" applyNumberFormat="1" applyFont="1" applyFill="1" applyBorder="1" applyAlignment="1">
      <alignment vertical="center"/>
    </xf>
    <xf numFmtId="0" fontId="2" fillId="0" borderId="8" xfId="206" applyFont="1" applyFill="1" applyBorder="1" applyAlignment="1">
      <alignment horizontal="center" vertical="center" wrapText="1"/>
    </xf>
    <xf numFmtId="0" fontId="2" fillId="0" borderId="5" xfId="206" applyFont="1" applyFill="1" applyBorder="1" applyAlignment="1">
      <alignment horizontal="right" vertical="center"/>
    </xf>
    <xf numFmtId="0" fontId="2" fillId="0" borderId="5" xfId="206" applyFont="1" applyFill="1" applyBorder="1" applyAlignment="1">
      <alignment horizontal="left" vertical="center"/>
    </xf>
    <xf numFmtId="0" fontId="2" fillId="0" borderId="4" xfId="206" applyNumberFormat="1" applyFont="1" applyFill="1" applyBorder="1" applyAlignment="1">
      <alignment horizontal="right" vertical="center" wrapText="1"/>
    </xf>
    <xf numFmtId="0" fontId="2" fillId="0" borderId="5" xfId="206" applyNumberFormat="1" applyFont="1" applyFill="1" applyBorder="1" applyAlignment="1">
      <alignment horizontal="center" vertical="center" wrapText="1"/>
    </xf>
    <xf numFmtId="0" fontId="2" fillId="0" borderId="6" xfId="206" applyNumberFormat="1" applyFont="1" applyFill="1" applyBorder="1" applyAlignment="1">
      <alignment vertical="center" wrapText="1"/>
    </xf>
    <xf numFmtId="0" fontId="2" fillId="0" borderId="7" xfId="206" applyFont="1" applyFill="1" applyBorder="1" applyAlignment="1">
      <alignment horizontal="center" vertical="top" wrapText="1"/>
    </xf>
    <xf numFmtId="0" fontId="2" fillId="0" borderId="3" xfId="206" applyFont="1" applyFill="1" applyBorder="1" applyAlignment="1">
      <alignment horizontal="left" vertical="top" indent="1"/>
    </xf>
    <xf numFmtId="0" fontId="2" fillId="0" borderId="24" xfId="206" applyFont="1" applyFill="1" applyBorder="1" applyAlignment="1">
      <alignment horizontal="left" vertical="top"/>
    </xf>
    <xf numFmtId="0" fontId="2" fillId="0" borderId="8" xfId="206" applyFont="1" applyFill="1" applyBorder="1" applyAlignment="1">
      <alignment horizontal="center" vertical="top" wrapText="1"/>
    </xf>
    <xf numFmtId="0" fontId="2" fillId="0" borderId="5" xfId="206" applyFont="1" applyFill="1" applyBorder="1" applyAlignment="1">
      <alignment horizontal="right" vertical="top"/>
    </xf>
    <xf numFmtId="0" fontId="2" fillId="0" borderId="6" xfId="206" applyFont="1" applyFill="1" applyBorder="1" applyAlignment="1">
      <alignment vertical="top"/>
    </xf>
    <xf numFmtId="0" fontId="2" fillId="0" borderId="3" xfId="206" applyFont="1" applyFill="1" applyBorder="1" applyAlignment="1">
      <alignment horizontal="left" vertical="center" indent="1"/>
    </xf>
    <xf numFmtId="0" fontId="2" fillId="0" borderId="24" xfId="206" applyFont="1" applyFill="1" applyBorder="1" applyAlignment="1">
      <alignment horizontal="left" vertical="center"/>
    </xf>
    <xf numFmtId="41" fontId="2" fillId="0" borderId="0" xfId="2" applyFont="1" applyFill="1" applyAlignment="1">
      <alignment vertical="center"/>
    </xf>
    <xf numFmtId="41" fontId="2" fillId="0" borderId="0" xfId="206" applyNumberFormat="1" applyFont="1" applyFill="1" applyAlignment="1">
      <alignment vertical="center"/>
    </xf>
    <xf numFmtId="0" fontId="2" fillId="0" borderId="7" xfId="206" applyFont="1" applyFill="1" applyBorder="1" applyAlignment="1">
      <alignment horizontal="center" vertical="center" wrapText="1"/>
    </xf>
    <xf numFmtId="0" fontId="2" fillId="0" borderId="3" xfId="206" applyNumberFormat="1" applyFont="1" applyFill="1" applyBorder="1" applyAlignment="1">
      <alignment horizontal="center" vertical="center" wrapText="1"/>
    </xf>
    <xf numFmtId="0" fontId="2" fillId="0" borderId="24" xfId="206" applyNumberFormat="1" applyFont="1" applyFill="1" applyBorder="1" applyAlignment="1">
      <alignment vertical="center" wrapText="1"/>
    </xf>
    <xf numFmtId="0" fontId="2" fillId="0" borderId="10" xfId="206" applyNumberFormat="1" applyFont="1" applyFill="1" applyBorder="1" applyAlignment="1">
      <alignment horizontal="right" vertical="center" wrapText="1"/>
    </xf>
    <xf numFmtId="0" fontId="2" fillId="0" borderId="0" xfId="206" applyNumberFormat="1" applyFont="1" applyFill="1" applyBorder="1" applyAlignment="1">
      <alignment horizontal="center" vertical="center" wrapText="1"/>
    </xf>
    <xf numFmtId="0" fontId="2" fillId="0" borderId="0" xfId="206" applyFont="1" applyFill="1" applyBorder="1" applyAlignment="1">
      <alignment horizontal="left" vertical="center"/>
    </xf>
    <xf numFmtId="0" fontId="2" fillId="0" borderId="12" xfId="206" quotePrefix="1" applyNumberFormat="1" applyFont="1" applyFill="1" applyBorder="1" applyAlignment="1">
      <alignment vertical="center" wrapText="1"/>
    </xf>
    <xf numFmtId="0" fontId="2" fillId="0" borderId="28" xfId="206" applyFont="1" applyFill="1" applyBorder="1" applyAlignment="1">
      <alignment horizontal="right" vertical="center"/>
    </xf>
    <xf numFmtId="0" fontId="2" fillId="0" borderId="28" xfId="206" applyFont="1" applyFill="1" applyBorder="1" applyAlignment="1">
      <alignment vertical="center"/>
    </xf>
    <xf numFmtId="0" fontId="2" fillId="0" borderId="3" xfId="206" applyFont="1" applyFill="1" applyBorder="1" applyAlignment="1" applyProtection="1">
      <alignment vertical="center"/>
      <protection locked="0"/>
    </xf>
    <xf numFmtId="0" fontId="2" fillId="0" borderId="11" xfId="206" applyNumberFormat="1" applyFont="1" applyFill="1" applyBorder="1" applyAlignment="1" applyProtection="1">
      <alignment vertical="center" wrapText="1"/>
      <protection locked="0"/>
    </xf>
    <xf numFmtId="0" fontId="2" fillId="0" borderId="24" xfId="206" applyNumberFormat="1" applyFont="1" applyFill="1" applyBorder="1" applyAlignment="1" applyProtection="1">
      <alignment vertical="center" wrapText="1"/>
      <protection locked="0"/>
    </xf>
    <xf numFmtId="0" fontId="2" fillId="0" borderId="0" xfId="206" applyFont="1" applyFill="1" applyBorder="1" applyAlignment="1" applyProtection="1">
      <alignment vertical="center"/>
      <protection locked="0"/>
    </xf>
    <xf numFmtId="0" fontId="2" fillId="0" borderId="10" xfId="206" applyNumberFormat="1" applyFont="1" applyFill="1" applyBorder="1" applyAlignment="1" applyProtection="1">
      <alignment vertical="center" wrapText="1"/>
      <protection locked="0"/>
    </xf>
    <xf numFmtId="0" fontId="2" fillId="0" borderId="0" xfId="206" applyNumberFormat="1" applyFont="1" applyFill="1" applyBorder="1" applyAlignment="1" applyProtection="1">
      <alignment vertical="center" wrapText="1"/>
      <protection locked="0"/>
    </xf>
    <xf numFmtId="0" fontId="2" fillId="0" borderId="12" xfId="206" applyNumberFormat="1" applyFont="1" applyFill="1" applyBorder="1" applyAlignment="1" applyProtection="1">
      <alignment vertical="center" wrapText="1"/>
      <protection locked="0"/>
    </xf>
    <xf numFmtId="0" fontId="2" fillId="0" borderId="5" xfId="206" applyFont="1" applyFill="1" applyBorder="1" applyAlignment="1" applyProtection="1">
      <alignment vertical="center"/>
      <protection locked="0"/>
    </xf>
    <xf numFmtId="0" fontId="2" fillId="0" borderId="4" xfId="206" applyNumberFormat="1" applyFont="1" applyFill="1" applyBorder="1" applyAlignment="1" applyProtection="1">
      <alignment vertical="center" wrapText="1"/>
      <protection locked="0"/>
    </xf>
    <xf numFmtId="0" fontId="2" fillId="0" borderId="6" xfId="206" applyNumberFormat="1" applyFont="1" applyFill="1" applyBorder="1" applyAlignment="1" applyProtection="1">
      <alignment vertical="center" wrapText="1"/>
      <protection locked="0"/>
    </xf>
    <xf numFmtId="0" fontId="2" fillId="0" borderId="10" xfId="206" applyNumberFormat="1" applyFont="1" applyFill="1" applyBorder="1" applyAlignment="1" applyProtection="1">
      <alignment horizontal="right" vertical="center" wrapText="1"/>
      <protection locked="0"/>
    </xf>
    <xf numFmtId="0" fontId="2" fillId="0" borderId="0" xfId="206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206" applyFont="1" applyFill="1" applyAlignment="1">
      <alignment vertical="center"/>
    </xf>
    <xf numFmtId="0" fontId="2" fillId="0" borderId="4" xfId="206" applyNumberFormat="1" applyFont="1" applyFill="1" applyBorder="1" applyAlignment="1" applyProtection="1">
      <alignment horizontal="right" vertical="center" wrapText="1"/>
      <protection locked="0"/>
    </xf>
    <xf numFmtId="0" fontId="2" fillId="0" borderId="5" xfId="206" quotePrefix="1" applyNumberFormat="1" applyFont="1" applyFill="1" applyBorder="1" applyAlignment="1" applyProtection="1">
      <alignment vertical="center" wrapText="1"/>
      <protection locked="0"/>
    </xf>
    <xf numFmtId="0" fontId="2" fillId="0" borderId="5" xfId="206" applyNumberFormat="1" applyFont="1" applyFill="1" applyBorder="1" applyAlignment="1" applyProtection="1">
      <alignment horizontal="center" vertical="center" wrapText="1"/>
      <protection locked="0"/>
    </xf>
    <xf numFmtId="0" fontId="2" fillId="0" borderId="6" xfId="206" quotePrefix="1" applyNumberFormat="1" applyFont="1" applyFill="1" applyBorder="1" applyAlignment="1" applyProtection="1">
      <alignment vertical="center" wrapText="1"/>
      <protection locked="0"/>
    </xf>
    <xf numFmtId="0" fontId="2" fillId="0" borderId="29" xfId="206" applyFont="1" applyFill="1" applyBorder="1" applyAlignment="1">
      <alignment horizontal="center" vertical="center" wrapText="1"/>
    </xf>
    <xf numFmtId="0" fontId="2" fillId="0" borderId="30" xfId="206" applyFont="1" applyFill="1" applyBorder="1" applyAlignment="1">
      <alignment horizontal="left" vertical="center" indent="1"/>
    </xf>
    <xf numFmtId="0" fontId="2" fillId="0" borderId="31" xfId="206" applyFont="1" applyFill="1" applyBorder="1" applyAlignment="1">
      <alignment horizontal="left" vertical="center"/>
    </xf>
    <xf numFmtId="0" fontId="2" fillId="0" borderId="30" xfId="206" applyNumberFormat="1" applyFont="1" applyFill="1" applyBorder="1" applyAlignment="1">
      <alignment vertical="center" wrapText="1"/>
    </xf>
    <xf numFmtId="0" fontId="2" fillId="0" borderId="32" xfId="206" applyNumberFormat="1" applyFont="1" applyFill="1" applyBorder="1" applyAlignment="1">
      <alignment vertical="center" wrapText="1"/>
    </xf>
    <xf numFmtId="0" fontId="2" fillId="0" borderId="31" xfId="206" applyNumberFormat="1" applyFont="1" applyFill="1" applyBorder="1" applyAlignment="1">
      <alignment vertical="center" wrapText="1"/>
    </xf>
    <xf numFmtId="0" fontId="25" fillId="0" borderId="0" xfId="206" applyFont="1" applyFill="1" applyBorder="1" applyAlignment="1">
      <alignment vertical="center"/>
    </xf>
    <xf numFmtId="0" fontId="2" fillId="0" borderId="0" xfId="206" applyFont="1" applyFill="1" applyBorder="1" applyAlignment="1">
      <alignment horizontal="right" vertical="center" wrapText="1"/>
    </xf>
    <xf numFmtId="0" fontId="2" fillId="0" borderId="0" xfId="206" applyFont="1" applyFill="1" applyBorder="1" applyAlignment="1">
      <alignment vertical="center" wrapText="1"/>
    </xf>
    <xf numFmtId="0" fontId="2" fillId="0" borderId="0" xfId="206" applyNumberFormat="1" applyFont="1" applyFill="1" applyBorder="1" applyAlignment="1">
      <alignment vertical="center" wrapText="1"/>
    </xf>
    <xf numFmtId="0" fontId="2" fillId="0" borderId="0" xfId="206" applyNumberFormat="1" applyFont="1" applyFill="1" applyAlignment="1" applyProtection="1">
      <alignment vertical="center"/>
      <protection locked="0"/>
    </xf>
    <xf numFmtId="0" fontId="2" fillId="0" borderId="5" xfId="206" applyNumberFormat="1" applyFont="1" applyFill="1" applyBorder="1" applyAlignment="1">
      <alignment horizontal="left" vertical="center"/>
    </xf>
    <xf numFmtId="0" fontId="2" fillId="0" borderId="0" xfId="206" applyNumberFormat="1" applyFont="1" applyFill="1" applyAlignment="1" applyProtection="1">
      <alignment horizontal="center" vertical="center"/>
      <protection locked="0"/>
    </xf>
    <xf numFmtId="0" fontId="3" fillId="0" borderId="0" xfId="206" applyFont="1" applyFill="1" applyAlignment="1">
      <alignment horizontal="right" vertical="center"/>
    </xf>
    <xf numFmtId="0" fontId="2" fillId="0" borderId="0" xfId="206" applyFont="1" applyFill="1" applyAlignment="1">
      <alignment horizontal="left" vertical="center"/>
    </xf>
    <xf numFmtId="0" fontId="2" fillId="0" borderId="0" xfId="206" applyFont="1" applyAlignment="1">
      <alignment vertical="center"/>
    </xf>
    <xf numFmtId="0" fontId="2" fillId="0" borderId="0" xfId="206" applyFont="1" applyAlignment="1">
      <alignment horizontal="right" vertical="center"/>
    </xf>
    <xf numFmtId="0" fontId="2" fillId="0" borderId="0" xfId="206" applyFont="1" applyAlignment="1">
      <alignment horizontal="left" vertical="center"/>
    </xf>
    <xf numFmtId="0" fontId="2" fillId="0" borderId="0" xfId="206" applyFont="1" applyAlignment="1">
      <alignment vertical="top" wrapText="1"/>
    </xf>
    <xf numFmtId="0" fontId="2" fillId="0" borderId="0" xfId="206" applyFont="1" applyAlignment="1">
      <alignment horizontal="left" vertical="top" wrapText="1"/>
    </xf>
    <xf numFmtId="0" fontId="2" fillId="0" borderId="0" xfId="206" applyFont="1" applyAlignment="1">
      <alignment horizontal="right" vertical="top"/>
    </xf>
    <xf numFmtId="0" fontId="2" fillId="0" borderId="0" xfId="206" applyFont="1" applyBorder="1" applyAlignment="1">
      <alignment horizontal="left" vertical="center"/>
    </xf>
    <xf numFmtId="0" fontId="2" fillId="0" borderId="5" xfId="206" applyFont="1" applyBorder="1" applyAlignment="1">
      <alignment vertical="center"/>
    </xf>
    <xf numFmtId="0" fontId="2" fillId="0" borderId="0" xfId="206" applyFont="1" applyBorder="1" applyAlignment="1">
      <alignment vertical="center"/>
    </xf>
    <xf numFmtId="0" fontId="2" fillId="0" borderId="0" xfId="206" applyNumberFormat="1" applyFont="1" applyFill="1" applyBorder="1"/>
    <xf numFmtId="167" fontId="9" fillId="0" borderId="12" xfId="206" applyNumberFormat="1" applyFont="1" applyFill="1" applyBorder="1" applyAlignment="1">
      <alignment horizontal="left" vertical="center" wrapText="1"/>
    </xf>
    <xf numFmtId="0" fontId="9" fillId="0" borderId="12" xfId="206" applyNumberFormat="1" applyFont="1" applyFill="1" applyBorder="1" applyAlignment="1">
      <alignment horizontal="justify" vertical="center" wrapText="1"/>
    </xf>
    <xf numFmtId="0" fontId="18" fillId="0" borderId="17" xfId="207" applyFont="1" applyBorder="1"/>
    <xf numFmtId="0" fontId="18" fillId="0" borderId="18" xfId="207" applyFont="1" applyBorder="1"/>
    <xf numFmtId="170" fontId="20" fillId="0" borderId="18" xfId="207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vertical="center"/>
    </xf>
    <xf numFmtId="168" fontId="0" fillId="0" borderId="0" xfId="0" applyNumberFormat="1" applyAlignment="1">
      <alignment vertical="center"/>
    </xf>
    <xf numFmtId="0" fontId="42" fillId="0" borderId="0" xfId="0" applyFont="1" applyAlignment="1">
      <alignment vertical="center"/>
    </xf>
    <xf numFmtId="0" fontId="23" fillId="0" borderId="0" xfId="30" applyFont="1" applyFill="1" applyAlignment="1">
      <alignment vertical="center" wrapText="1"/>
    </xf>
    <xf numFmtId="0" fontId="23" fillId="0" borderId="0" xfId="30" applyFont="1" applyFill="1" applyBorder="1" applyAlignment="1">
      <alignment vertical="center" wrapText="1"/>
    </xf>
    <xf numFmtId="0" fontId="43" fillId="0" borderId="0" xfId="0" applyFont="1" applyAlignment="1">
      <alignment vertical="center"/>
    </xf>
    <xf numFmtId="168" fontId="2" fillId="0" borderId="9" xfId="3" applyNumberFormat="1" applyBorder="1" applyAlignment="1" applyProtection="1">
      <alignment horizontal="left" vertical="center" indent="1"/>
      <protection locked="0"/>
    </xf>
    <xf numFmtId="41" fontId="2" fillId="0" borderId="10" xfId="3" applyBorder="1" applyAlignment="1">
      <alignment vertical="center"/>
    </xf>
    <xf numFmtId="168" fontId="2" fillId="0" borderId="7" xfId="3" applyNumberFormat="1" applyBorder="1" applyAlignment="1">
      <alignment horizontal="left" vertical="center" indent="1"/>
    </xf>
    <xf numFmtId="168" fontId="7" fillId="0" borderId="9" xfId="3" applyNumberFormat="1" applyFont="1" applyBorder="1" applyAlignment="1">
      <alignment horizontal="left" vertical="center" indent="1"/>
    </xf>
    <xf numFmtId="169" fontId="7" fillId="0" borderId="0" xfId="3" applyNumberFormat="1" applyFont="1" applyBorder="1" applyAlignment="1">
      <alignment horizontal="centerContinuous" vertical="center"/>
    </xf>
    <xf numFmtId="166" fontId="2" fillId="0" borderId="0" xfId="207" applyNumberFormat="1"/>
    <xf numFmtId="0" fontId="2" fillId="0" borderId="5" xfId="206" quotePrefix="1" applyNumberFormat="1" applyFont="1" applyFill="1" applyBorder="1" applyAlignment="1" applyProtection="1">
      <alignment horizontal="left" vertical="center" wrapText="1"/>
      <protection locked="0"/>
    </xf>
    <xf numFmtId="41" fontId="2" fillId="0" borderId="0" xfId="2" applyFont="1"/>
    <xf numFmtId="41" fontId="19" fillId="0" borderId="0" xfId="2" applyFont="1" applyFill="1"/>
    <xf numFmtId="43" fontId="2" fillId="0" borderId="0" xfId="206" applyNumberFormat="1" applyFont="1" applyAlignment="1">
      <alignment horizontal="left" vertical="center"/>
    </xf>
    <xf numFmtId="0" fontId="2" fillId="0" borderId="0" xfId="206" applyNumberFormat="1" applyFont="1" applyFill="1" applyBorder="1" applyAlignment="1" applyProtection="1">
      <alignment vertical="top" wrapText="1"/>
      <protection locked="0"/>
    </xf>
    <xf numFmtId="0" fontId="2" fillId="0" borderId="28" xfId="206" quotePrefix="1" applyNumberFormat="1" applyFont="1" applyFill="1" applyBorder="1" applyAlignment="1">
      <alignment vertical="center"/>
    </xf>
    <xf numFmtId="0" fontId="2" fillId="0" borderId="0" xfId="206" applyNumberFormat="1" applyFont="1" applyFill="1" applyBorder="1" applyAlignment="1">
      <alignment vertical="top"/>
    </xf>
    <xf numFmtId="0" fontId="2" fillId="0" borderId="0" xfId="206" applyNumberFormat="1" applyFont="1" applyFill="1" applyBorder="1" applyAlignment="1">
      <alignment vertical="center"/>
    </xf>
    <xf numFmtId="0" fontId="2" fillId="0" borderId="0" xfId="206" quotePrefix="1" applyNumberFormat="1" applyFont="1" applyFill="1" applyBorder="1" applyAlignment="1">
      <alignment vertical="top"/>
    </xf>
    <xf numFmtId="0" fontId="2" fillId="0" borderId="12" xfId="206" applyNumberFormat="1" applyFont="1" applyFill="1" applyBorder="1" applyAlignment="1">
      <alignment vertical="center"/>
    </xf>
    <xf numFmtId="0" fontId="2" fillId="0" borderId="5" xfId="206" applyNumberFormat="1" applyFont="1" applyFill="1" applyBorder="1" applyAlignment="1" applyProtection="1">
      <alignment vertical="center"/>
      <protection locked="0"/>
    </xf>
    <xf numFmtId="168" fontId="7" fillId="0" borderId="9" xfId="2" applyNumberFormat="1" applyFont="1" applyBorder="1" applyAlignment="1" applyProtection="1">
      <alignment horizontal="left" vertical="top"/>
      <protection locked="0"/>
    </xf>
    <xf numFmtId="165" fontId="2" fillId="0" borderId="0" xfId="1" applyNumberFormat="1" applyFont="1"/>
    <xf numFmtId="165" fontId="2" fillId="0" borderId="0" xfId="1" applyNumberFormat="1" applyFont="1" applyBorder="1"/>
    <xf numFmtId="0" fontId="2" fillId="0" borderId="4" xfId="206" applyNumberFormat="1" applyFont="1" applyFill="1" applyBorder="1" applyAlignment="1">
      <alignment vertical="top"/>
    </xf>
    <xf numFmtId="0" fontId="2" fillId="0" borderId="5" xfId="206" applyNumberFormat="1" applyFont="1" applyFill="1" applyBorder="1" applyAlignment="1">
      <alignment vertical="top"/>
    </xf>
    <xf numFmtId="0" fontId="2" fillId="0" borderId="6" xfId="206" applyNumberFormat="1" applyFont="1" applyFill="1" applyBorder="1" applyAlignment="1">
      <alignment vertical="top"/>
    </xf>
    <xf numFmtId="0" fontId="2" fillId="0" borderId="0" xfId="0" applyFont="1" applyAlignment="1">
      <alignment horizontal="centerContinuous" vertical="center"/>
    </xf>
    <xf numFmtId="0" fontId="12" fillId="0" borderId="3" xfId="206" applyNumberFormat="1" applyFont="1" applyFill="1" applyBorder="1" applyAlignment="1">
      <alignment vertical="center" wrapText="1"/>
    </xf>
    <xf numFmtId="0" fontId="12" fillId="0" borderId="24" xfId="206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165" fontId="0" fillId="0" borderId="0" xfId="1" applyNumberFormat="1" applyFont="1" applyAlignment="1">
      <alignment vertical="center"/>
    </xf>
    <xf numFmtId="165" fontId="2" fillId="0" borderId="0" xfId="1" applyNumberFormat="1" applyFont="1" applyAlignment="1">
      <alignment vertical="center"/>
    </xf>
    <xf numFmtId="43" fontId="0" fillId="0" borderId="0" xfId="1" applyFont="1" applyAlignment="1">
      <alignment vertical="center"/>
    </xf>
    <xf numFmtId="168" fontId="1" fillId="0" borderId="9" xfId="2" applyNumberFormat="1" applyBorder="1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0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 wrapText="1"/>
    </xf>
    <xf numFmtId="0" fontId="7" fillId="0" borderId="0" xfId="0" applyFont="1"/>
    <xf numFmtId="0" fontId="0" fillId="0" borderId="33" xfId="0" applyBorder="1"/>
    <xf numFmtId="0" fontId="7" fillId="0" borderId="1" xfId="0" quotePrefix="1" applyFont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4" xfId="0" applyBorder="1" applyAlignment="1">
      <alignment vertical="center"/>
    </xf>
    <xf numFmtId="0" fontId="0" fillId="4" borderId="34" xfId="0" applyFill="1" applyBorder="1" applyAlignment="1">
      <alignment horizontal="center" vertical="center"/>
    </xf>
    <xf numFmtId="0" fontId="0" fillId="0" borderId="34" xfId="0" quotePrefix="1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vertical="center"/>
    </xf>
    <xf numFmtId="0" fontId="0" fillId="4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4" borderId="33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6" xfId="0" quotePrefix="1" applyBorder="1" applyAlignment="1">
      <alignment vertical="center"/>
    </xf>
    <xf numFmtId="0" fontId="0" fillId="4" borderId="38" xfId="0" applyFill="1" applyBorder="1" applyAlignment="1">
      <alignment horizontal="center" vertical="center"/>
    </xf>
    <xf numFmtId="0" fontId="24" fillId="0" borderId="0" xfId="0" applyFont="1"/>
    <xf numFmtId="0" fontId="14" fillId="0" borderId="0" xfId="0" applyFont="1"/>
    <xf numFmtId="0" fontId="2" fillId="0" borderId="36" xfId="0" applyFont="1" applyBorder="1" applyAlignment="1">
      <alignment vertical="center"/>
    </xf>
    <xf numFmtId="0" fontId="42" fillId="0" borderId="0" xfId="206" applyNumberFormat="1" applyFont="1" applyFill="1" applyBorder="1"/>
    <xf numFmtId="0" fontId="16" fillId="0" borderId="0" xfId="207" applyFont="1" applyFill="1" applyBorder="1"/>
    <xf numFmtId="0" fontId="7" fillId="0" borderId="0" xfId="0" applyFont="1" applyFill="1" applyAlignment="1">
      <alignment horizontal="centerContinuous" vertical="center"/>
    </xf>
    <xf numFmtId="168" fontId="42" fillId="0" borderId="0" xfId="0" applyNumberFormat="1" applyFont="1" applyAlignment="1">
      <alignment vertical="center"/>
    </xf>
    <xf numFmtId="0" fontId="2" fillId="0" borderId="11" xfId="206" applyFont="1" applyFill="1" applyBorder="1" applyAlignment="1">
      <alignment horizontal="left" vertical="top" indent="1"/>
    </xf>
    <xf numFmtId="0" fontId="2" fillId="0" borderId="0" xfId="206" applyFont="1" applyFill="1" applyBorder="1" applyAlignment="1">
      <alignment horizontal="left" vertical="top" indent="1"/>
    </xf>
    <xf numFmtId="0" fontId="2" fillId="0" borderId="0" xfId="206" applyFont="1" applyFill="1" applyBorder="1" applyAlignment="1">
      <alignment horizontal="left" vertical="top"/>
    </xf>
    <xf numFmtId="0" fontId="2" fillId="0" borderId="10" xfId="0" applyFont="1" applyBorder="1" applyAlignment="1" applyProtection="1">
      <alignment vertical="center"/>
      <protection locked="0"/>
    </xf>
    <xf numFmtId="0" fontId="2" fillId="0" borderId="0" xfId="0" applyFont="1"/>
    <xf numFmtId="172" fontId="2" fillId="0" borderId="0" xfId="206" applyNumberFormat="1" applyFont="1" applyFill="1" applyAlignment="1" applyProtection="1">
      <alignment horizontal="right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165" fontId="0" fillId="0" borderId="0" xfId="1" applyNumberFormat="1" applyFont="1" applyAlignment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vertical="center"/>
    </xf>
    <xf numFmtId="41" fontId="2" fillId="0" borderId="10" xfId="3" applyFont="1" applyFill="1" applyBorder="1" applyAlignment="1">
      <alignment vertical="center"/>
    </xf>
    <xf numFmtId="165" fontId="2" fillId="0" borderId="0" xfId="1" applyNumberFormat="1" applyFont="1" applyFill="1" applyAlignment="1">
      <alignment vertical="center"/>
    </xf>
    <xf numFmtId="0" fontId="44" fillId="0" borderId="0" xfId="0" applyFont="1" applyFill="1" applyAlignment="1">
      <alignment vertical="center"/>
    </xf>
    <xf numFmtId="0" fontId="44" fillId="0" borderId="10" xfId="0" applyFont="1" applyFill="1" applyBorder="1" applyAlignment="1" applyProtection="1">
      <alignment horizontal="center" vertical="center"/>
      <protection locked="0"/>
    </xf>
    <xf numFmtId="168" fontId="44" fillId="0" borderId="9" xfId="3" applyNumberFormat="1" applyFont="1" applyFill="1" applyBorder="1" applyAlignment="1" applyProtection="1">
      <alignment horizontal="left" vertical="center" indent="1"/>
      <protection locked="0"/>
    </xf>
    <xf numFmtId="41" fontId="44" fillId="0" borderId="10" xfId="3" applyFont="1" applyFill="1" applyBorder="1" applyAlignment="1">
      <alignment vertical="center"/>
    </xf>
    <xf numFmtId="165" fontId="44" fillId="0" borderId="0" xfId="1" applyNumberFormat="1" applyFont="1" applyFill="1" applyAlignment="1">
      <alignment vertical="center"/>
    </xf>
    <xf numFmtId="0" fontId="20" fillId="0" borderId="10" xfId="207" applyFont="1" applyBorder="1" applyAlignment="1">
      <alignment horizontal="left" indent="1"/>
    </xf>
    <xf numFmtId="0" fontId="28" fillId="0" borderId="0" xfId="207" applyFont="1" applyBorder="1"/>
    <xf numFmtId="0" fontId="8" fillId="0" borderId="0" xfId="206" applyFont="1" applyAlignment="1">
      <alignment horizontal="center" vertical="center"/>
    </xf>
    <xf numFmtId="0" fontId="42" fillId="0" borderId="0" xfId="206" applyFont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 wrapText="1"/>
    </xf>
    <xf numFmtId="0" fontId="30" fillId="0" borderId="0" xfId="206" applyFont="1" applyAlignment="1">
      <alignment horizontal="center" vertical="center"/>
    </xf>
    <xf numFmtId="0" fontId="8" fillId="0" borderId="0" xfId="206" applyFont="1" applyAlignment="1">
      <alignment vertical="top" wrapText="1"/>
    </xf>
    <xf numFmtId="0" fontId="8" fillId="0" borderId="0" xfId="206" applyFont="1" applyAlignment="1">
      <alignment horizontal="right" vertical="top"/>
    </xf>
    <xf numFmtId="0" fontId="8" fillId="0" borderId="0" xfId="206" quotePrefix="1" applyFont="1" applyAlignment="1">
      <alignment horizontal="left" vertical="top"/>
    </xf>
    <xf numFmtId="0" fontId="45" fillId="0" borderId="0" xfId="206" applyFont="1" applyAlignment="1">
      <alignment horizontal="left" vertical="center"/>
    </xf>
    <xf numFmtId="0" fontId="45" fillId="0" borderId="0" xfId="206" applyFont="1" applyAlignment="1">
      <alignment horizontal="center" vertical="center"/>
    </xf>
    <xf numFmtId="0" fontId="45" fillId="0" borderId="0" xfId="206" applyFont="1" applyAlignment="1">
      <alignment vertical="center"/>
    </xf>
    <xf numFmtId="0" fontId="29" fillId="0" borderId="0" xfId="0" applyFont="1" applyAlignment="1"/>
    <xf numFmtId="0" fontId="5" fillId="0" borderId="0" xfId="206" applyFont="1" applyAlignment="1">
      <alignment vertical="center"/>
    </xf>
    <xf numFmtId="0" fontId="24" fillId="0" borderId="0" xfId="206" applyFont="1" applyAlignment="1">
      <alignment vertical="center"/>
    </xf>
    <xf numFmtId="0" fontId="8" fillId="0" borderId="0" xfId="206" applyFont="1" applyAlignment="1" applyProtection="1">
      <alignment vertical="top" wrapText="1"/>
      <protection locked="0"/>
    </xf>
    <xf numFmtId="171" fontId="2" fillId="0" borderId="0" xfId="2" applyNumberFormat="1" applyFont="1" applyBorder="1" applyAlignment="1" applyProtection="1">
      <alignment horizontal="left" vertical="center"/>
      <protection locked="0"/>
    </xf>
    <xf numFmtId="168" fontId="2" fillId="0" borderId="9" xfId="2" applyNumberFormat="1" applyFont="1" applyBorder="1" applyAlignment="1" applyProtection="1">
      <alignment horizontal="left" vertical="center"/>
      <protection locked="0"/>
    </xf>
    <xf numFmtId="168" fontId="2" fillId="0" borderId="9" xfId="2" applyNumberFormat="1" applyFont="1" applyBorder="1" applyAlignment="1" applyProtection="1">
      <alignment horizontal="left" vertical="center" indent="1"/>
      <protection locked="0"/>
    </xf>
    <xf numFmtId="165" fontId="44" fillId="0" borderId="0" xfId="0" applyNumberFormat="1" applyFont="1" applyFill="1" applyAlignment="1">
      <alignment vertical="center"/>
    </xf>
    <xf numFmtId="168" fontId="44" fillId="0" borderId="0" xfId="0" applyNumberFormat="1" applyFont="1" applyFill="1" applyAlignment="1">
      <alignment vertical="center"/>
    </xf>
    <xf numFmtId="0" fontId="46" fillId="0" borderId="10" xfId="206" quotePrefix="1" applyNumberFormat="1" applyFont="1" applyFill="1" applyBorder="1" applyAlignment="1">
      <alignment horizontal="center" vertical="center" wrapText="1"/>
    </xf>
    <xf numFmtId="0" fontId="46" fillId="0" borderId="12" xfId="206" applyNumberFormat="1" applyFont="1" applyFill="1" applyBorder="1" applyAlignment="1">
      <alignment horizontal="center" vertical="center" wrapText="1"/>
    </xf>
    <xf numFmtId="0" fontId="46" fillId="0" borderId="10" xfId="206" applyNumberFormat="1" applyFont="1" applyFill="1" applyBorder="1" applyAlignment="1">
      <alignment vertical="center" wrapText="1"/>
    </xf>
    <xf numFmtId="0" fontId="46" fillId="0" borderId="0" xfId="206" applyNumberFormat="1" applyFont="1" applyFill="1" applyBorder="1" applyAlignment="1">
      <alignment vertical="center" wrapText="1"/>
    </xf>
    <xf numFmtId="0" fontId="46" fillId="0" borderId="12" xfId="206" applyNumberFormat="1" applyFont="1" applyFill="1" applyBorder="1" applyAlignment="1">
      <alignment vertical="center" wrapText="1"/>
    </xf>
    <xf numFmtId="0" fontId="46" fillId="0" borderId="10" xfId="206" applyNumberFormat="1" applyFont="1" applyFill="1" applyBorder="1" applyAlignment="1">
      <alignment vertical="center"/>
    </xf>
    <xf numFmtId="0" fontId="46" fillId="0" borderId="0" xfId="206" applyNumberFormat="1" applyFont="1" applyFill="1" applyBorder="1" applyAlignment="1">
      <alignment vertical="center"/>
    </xf>
    <xf numFmtId="0" fontId="46" fillId="0" borderId="12" xfId="206" applyNumberFormat="1" applyFont="1" applyFill="1" applyBorder="1" applyAlignment="1">
      <alignment vertical="center"/>
    </xf>
    <xf numFmtId="0" fontId="44" fillId="0" borderId="10" xfId="0" applyFont="1" applyFill="1" applyBorder="1" applyAlignment="1" applyProtection="1">
      <alignment vertical="center"/>
      <protection locked="0"/>
    </xf>
    <xf numFmtId="0" fontId="44" fillId="0" borderId="0" xfId="0" applyFont="1" applyFill="1" applyBorder="1" applyAlignment="1" applyProtection="1">
      <alignment vertical="center"/>
      <protection locked="0"/>
    </xf>
    <xf numFmtId="171" fontId="44" fillId="0" borderId="0" xfId="2" applyNumberFormat="1" applyFont="1" applyFill="1" applyBorder="1" applyAlignment="1" applyProtection="1">
      <alignment horizontal="left" vertical="center"/>
      <protection locked="0"/>
    </xf>
    <xf numFmtId="168" fontId="44" fillId="0" borderId="9" xfId="2" applyNumberFormat="1" applyFont="1" applyFill="1" applyBorder="1" applyAlignment="1" applyProtection="1">
      <alignment horizontal="left" vertical="center"/>
      <protection locked="0"/>
    </xf>
    <xf numFmtId="0" fontId="46" fillId="0" borderId="10" xfId="206" applyNumberFormat="1" applyFont="1" applyFill="1" applyBorder="1" applyAlignment="1">
      <alignment horizontal="center" vertical="center" wrapText="1"/>
    </xf>
    <xf numFmtId="0" fontId="46" fillId="0" borderId="10" xfId="206" applyNumberFormat="1" applyFont="1" applyFill="1" applyBorder="1" applyAlignment="1">
      <alignment horizontal="left" vertical="center" indent="1"/>
    </xf>
    <xf numFmtId="0" fontId="47" fillId="2" borderId="0" xfId="206" applyFont="1" applyFill="1" applyAlignment="1">
      <alignment vertical="center"/>
    </xf>
    <xf numFmtId="0" fontId="47" fillId="0" borderId="0" xfId="206" applyFont="1" applyFill="1" applyAlignment="1">
      <alignment vertical="center"/>
    </xf>
    <xf numFmtId="0" fontId="44" fillId="0" borderId="0" xfId="206" applyNumberFormat="1" applyFont="1" applyFill="1" applyBorder="1" applyProtection="1">
      <protection locked="0"/>
    </xf>
    <xf numFmtId="0" fontId="44" fillId="0" borderId="0" xfId="206" applyNumberFormat="1" applyFont="1" applyFill="1" applyBorder="1"/>
    <xf numFmtId="0" fontId="44" fillId="0" borderId="0" xfId="206" applyNumberFormat="1" applyFont="1" applyFill="1" applyBorder="1" applyAlignment="1"/>
    <xf numFmtId="0" fontId="44" fillId="3" borderId="0" xfId="206" applyNumberFormat="1" applyFont="1" applyFill="1" applyBorder="1" applyProtection="1">
      <protection locked="0"/>
    </xf>
    <xf numFmtId="167" fontId="2" fillId="0" borderId="0" xfId="206" applyNumberFormat="1" applyFont="1" applyFill="1" applyBorder="1" applyAlignment="1" applyProtection="1">
      <alignment vertical="center"/>
      <protection locked="0"/>
    </xf>
    <xf numFmtId="167" fontId="2" fillId="0" borderId="0" xfId="206" applyNumberFormat="1" applyFont="1" applyFill="1" applyBorder="1" applyAlignment="1" applyProtection="1">
      <alignment horizontal="center" vertical="center"/>
      <protection locked="0"/>
    </xf>
    <xf numFmtId="0" fontId="42" fillId="0" borderId="0" xfId="1" applyNumberFormat="1" applyFont="1" applyAlignment="1">
      <alignment vertical="center"/>
    </xf>
    <xf numFmtId="0" fontId="0" fillId="0" borderId="0" xfId="0" applyFill="1" applyAlignment="1">
      <alignment horizontal="centerContinuous" vertical="center"/>
    </xf>
    <xf numFmtId="167" fontId="47" fillId="0" borderId="0" xfId="206" applyNumberFormat="1" applyFont="1" applyFill="1" applyBorder="1" applyAlignment="1" applyProtection="1">
      <alignment horizontal="left" vertical="center"/>
      <protection locked="0"/>
    </xf>
    <xf numFmtId="0" fontId="45" fillId="0" borderId="1" xfId="0" applyFont="1" applyFill="1" applyBorder="1" applyAlignment="1">
      <alignment horizontal="left" vertical="center"/>
    </xf>
    <xf numFmtId="0" fontId="0" fillId="0" borderId="2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31" fillId="0" borderId="0" xfId="0" applyFont="1" applyAlignment="1">
      <alignment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/>
    </xf>
    <xf numFmtId="0" fontId="51" fillId="0" borderId="1" xfId="0" applyFont="1" applyBorder="1" applyAlignment="1">
      <alignment vertical="center"/>
    </xf>
    <xf numFmtId="3" fontId="50" fillId="0" borderId="1" xfId="0" applyNumberFormat="1" applyFont="1" applyBorder="1" applyAlignment="1">
      <alignment horizontal="right" vertical="center"/>
    </xf>
    <xf numFmtId="0" fontId="32" fillId="0" borderId="0" xfId="0" applyFont="1" applyAlignment="1">
      <alignment horizontal="justify" vertical="center"/>
    </xf>
    <xf numFmtId="0" fontId="27" fillId="0" borderId="0" xfId="30" applyFont="1" applyFill="1" applyBorder="1" applyAlignment="1">
      <alignment vertical="center" wrapText="1"/>
    </xf>
    <xf numFmtId="3" fontId="4" fillId="0" borderId="0" xfId="30" quotePrefix="1" applyNumberFormat="1" applyFont="1" applyFill="1" applyBorder="1" applyAlignment="1">
      <alignment vertical="center" wrapText="1"/>
    </xf>
    <xf numFmtId="0" fontId="32" fillId="0" borderId="0" xfId="0" applyFont="1" applyAlignment="1">
      <alignment horizontal="left" vertical="center"/>
    </xf>
    <xf numFmtId="0" fontId="52" fillId="0" borderId="0" xfId="0" applyFont="1" applyAlignment="1">
      <alignment horizontal="center" vertical="center"/>
    </xf>
    <xf numFmtId="0" fontId="52" fillId="0" borderId="0" xfId="0" applyFont="1" applyAlignment="1">
      <alignment vertical="center"/>
    </xf>
    <xf numFmtId="0" fontId="52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wrapText="1"/>
    </xf>
    <xf numFmtId="0" fontId="52" fillId="5" borderId="0" xfId="0" applyFont="1" applyFill="1" applyAlignment="1">
      <alignment vertical="center" wrapText="1"/>
    </xf>
    <xf numFmtId="0" fontId="52" fillId="0" borderId="0" xfId="0" applyFont="1" applyAlignment="1">
      <alignment vertical="center" wrapText="1"/>
    </xf>
    <xf numFmtId="0" fontId="53" fillId="5" borderId="41" xfId="0" applyFont="1" applyFill="1" applyBorder="1" applyAlignment="1">
      <alignment horizontal="center" vertical="center" wrapText="1"/>
    </xf>
    <xf numFmtId="0" fontId="53" fillId="0" borderId="42" xfId="0" applyFont="1" applyFill="1" applyBorder="1" applyAlignment="1">
      <alignment horizontal="center" vertical="center" wrapText="1"/>
    </xf>
    <xf numFmtId="14" fontId="52" fillId="0" borderId="8" xfId="0" applyNumberFormat="1" applyFont="1" applyBorder="1" applyAlignment="1">
      <alignment horizontal="center" vertical="center" wrapText="1"/>
    </xf>
    <xf numFmtId="14" fontId="52" fillId="5" borderId="4" xfId="0" applyNumberFormat="1" applyFont="1" applyFill="1" applyBorder="1" applyAlignment="1">
      <alignment horizontal="center" vertical="center" wrapText="1"/>
    </xf>
    <xf numFmtId="0" fontId="52" fillId="0" borderId="8" xfId="0" applyFont="1" applyFill="1" applyBorder="1" applyAlignment="1">
      <alignment horizontal="center" vertical="center" wrapText="1"/>
    </xf>
    <xf numFmtId="14" fontId="52" fillId="0" borderId="1" xfId="0" applyNumberFormat="1" applyFont="1" applyBorder="1" applyAlignment="1">
      <alignment horizontal="center" vertical="center" wrapText="1"/>
    </xf>
    <xf numFmtId="0" fontId="52" fillId="5" borderId="2" xfId="0" applyFont="1" applyFill="1" applyBorder="1" applyAlignment="1">
      <alignment horizontal="center" vertical="center" wrapText="1"/>
    </xf>
    <xf numFmtId="0" fontId="52" fillId="0" borderId="1" xfId="0" applyFont="1" applyFill="1" applyBorder="1" applyAlignment="1">
      <alignment horizontal="center" vertical="center" wrapText="1"/>
    </xf>
    <xf numFmtId="14" fontId="52" fillId="0" borderId="1" xfId="0" applyNumberFormat="1" applyFont="1" applyFill="1" applyBorder="1" applyAlignment="1">
      <alignment horizontal="center" vertical="center" wrapText="1"/>
    </xf>
    <xf numFmtId="14" fontId="52" fillId="5" borderId="2" xfId="0" applyNumberFormat="1" applyFont="1" applyFill="1" applyBorder="1" applyAlignment="1">
      <alignment horizontal="center" vertical="center" wrapText="1"/>
    </xf>
    <xf numFmtId="0" fontId="54" fillId="5" borderId="2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2" fillId="5" borderId="1" xfId="0" applyFont="1" applyFill="1" applyBorder="1" applyAlignment="1">
      <alignment vertical="center" wrapText="1"/>
    </xf>
    <xf numFmtId="0" fontId="52" fillId="0" borderId="1" xfId="0" applyFont="1" applyBorder="1" applyAlignment="1">
      <alignment vertical="center" wrapText="1"/>
    </xf>
    <xf numFmtId="3" fontId="5" fillId="0" borderId="0" xfId="206" applyNumberFormat="1" applyFont="1" applyAlignment="1">
      <alignment vertical="center"/>
    </xf>
    <xf numFmtId="1" fontId="23" fillId="0" borderId="0" xfId="30" applyNumberFormat="1" applyFont="1" applyFill="1" applyBorder="1" applyAlignment="1">
      <alignment horizontal="center" vertical="center" wrapText="1"/>
    </xf>
    <xf numFmtId="0" fontId="7" fillId="0" borderId="43" xfId="206" applyFont="1" applyFill="1" applyBorder="1" applyAlignment="1">
      <alignment vertical="center"/>
    </xf>
    <xf numFmtId="172" fontId="7" fillId="0" borderId="43" xfId="206" quotePrefix="1" applyNumberFormat="1" applyFont="1" applyFill="1" applyBorder="1" applyAlignment="1" applyProtection="1">
      <alignment horizontal="center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2" fillId="0" borderId="0" xfId="0" applyFont="1" applyBorder="1" applyProtection="1">
      <protection locked="0"/>
    </xf>
    <xf numFmtId="168" fontId="2" fillId="0" borderId="0" xfId="3" applyNumberFormat="1" applyBorder="1" applyAlignment="1" applyProtection="1">
      <alignment horizontal="left" vertical="center" indent="1"/>
      <protection locked="0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 applyProtection="1">
      <alignment horizontal="center" vertical="center"/>
      <protection locked="0"/>
    </xf>
    <xf numFmtId="168" fontId="2" fillId="0" borderId="0" xfId="3" applyNumberFormat="1" applyFont="1" applyBorder="1" applyAlignment="1" applyProtection="1">
      <alignment horizontal="left" vertical="center" indent="1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68" fontId="44" fillId="0" borderId="0" xfId="3" applyNumberFormat="1" applyFont="1" applyFill="1" applyBorder="1" applyAlignment="1" applyProtection="1">
      <alignment horizontal="left" vertical="center" indent="1"/>
      <protection locked="0"/>
    </xf>
    <xf numFmtId="168" fontId="2" fillId="0" borderId="0" xfId="3" applyNumberFormat="1" applyFont="1" applyFill="1" applyBorder="1" applyAlignment="1" applyProtection="1">
      <alignment horizontal="left" vertical="center" indent="1"/>
      <protection locked="0"/>
    </xf>
    <xf numFmtId="0" fontId="55" fillId="6" borderId="1" xfId="30" applyNumberFormat="1" applyFont="1" applyFill="1" applyBorder="1" applyAlignment="1">
      <alignment horizontal="center" vertical="center" wrapText="1"/>
    </xf>
    <xf numFmtId="3" fontId="55" fillId="6" borderId="1" xfId="30" applyNumberFormat="1" applyFont="1" applyFill="1" applyBorder="1" applyAlignment="1">
      <alignment horizontal="center" vertical="center" wrapText="1"/>
    </xf>
    <xf numFmtId="0" fontId="55" fillId="6" borderId="0" xfId="30" applyFont="1" applyFill="1" applyAlignment="1">
      <alignment horizontal="center" vertical="center" wrapText="1"/>
    </xf>
    <xf numFmtId="0" fontId="55" fillId="6" borderId="0" xfId="30" applyFont="1" applyFill="1" applyAlignment="1">
      <alignment horizontal="center" vertical="center"/>
    </xf>
    <xf numFmtId="0" fontId="52" fillId="5" borderId="2" xfId="0" applyFont="1" applyFill="1" applyBorder="1" applyAlignment="1">
      <alignment vertical="center" wrapText="1"/>
    </xf>
    <xf numFmtId="0" fontId="23" fillId="7" borderId="44" xfId="30" applyFont="1" applyFill="1" applyBorder="1" applyAlignment="1">
      <alignment vertical="center" wrapText="1"/>
    </xf>
    <xf numFmtId="0" fontId="23" fillId="7" borderId="0" xfId="30" applyFont="1" applyFill="1" applyAlignment="1">
      <alignment vertical="center" wrapText="1"/>
    </xf>
    <xf numFmtId="0" fontId="46" fillId="0" borderId="0" xfId="206" applyNumberFormat="1" applyFont="1" applyFill="1" applyBorder="1" applyAlignment="1">
      <alignment horizontal="center" vertical="center" wrapText="1"/>
    </xf>
    <xf numFmtId="165" fontId="9" fillId="0" borderId="12" xfId="22" applyNumberFormat="1" applyFont="1" applyFill="1" applyBorder="1" applyAlignment="1">
      <alignment vertical="center" wrapText="1"/>
    </xf>
    <xf numFmtId="0" fontId="10" fillId="0" borderId="0" xfId="206" applyNumberFormat="1" applyFont="1" applyFill="1" applyBorder="1" applyAlignment="1">
      <alignment vertical="top"/>
    </xf>
    <xf numFmtId="0" fontId="10" fillId="0" borderId="0" xfId="206" applyNumberFormat="1" applyFont="1" applyFill="1" applyBorder="1" applyAlignment="1">
      <alignment horizontal="center" vertical="top" wrapText="1"/>
    </xf>
    <xf numFmtId="0" fontId="10" fillId="0" borderId="12" xfId="206" applyNumberFormat="1" applyFont="1" applyFill="1" applyBorder="1" applyAlignment="1">
      <alignment vertical="top"/>
    </xf>
    <xf numFmtId="0" fontId="56" fillId="0" borderId="0" xfId="206" applyFont="1" applyFill="1" applyAlignment="1">
      <alignment vertical="center"/>
    </xf>
    <xf numFmtId="0" fontId="55" fillId="6" borderId="1" xfId="30" applyFont="1" applyFill="1" applyBorder="1" applyAlignment="1">
      <alignment horizontal="center" vertical="center"/>
    </xf>
    <xf numFmtId="0" fontId="9" fillId="0" borderId="4" xfId="206" applyNumberFormat="1" applyFont="1" applyFill="1" applyBorder="1"/>
    <xf numFmtId="0" fontId="9" fillId="0" borderId="5" xfId="206" applyNumberFormat="1" applyFont="1" applyFill="1" applyBorder="1"/>
    <xf numFmtId="0" fontId="9" fillId="0" borderId="6" xfId="206" applyNumberFormat="1" applyFont="1" applyFill="1" applyBorder="1"/>
    <xf numFmtId="173" fontId="23" fillId="0" borderId="0" xfId="30" applyNumberFormat="1" applyFont="1" applyFill="1" applyBorder="1" applyAlignment="1" applyProtection="1">
      <alignment vertical="center" wrapText="1"/>
      <protection locked="0"/>
    </xf>
    <xf numFmtId="0" fontId="2" fillId="0" borderId="0" xfId="207" applyFont="1" applyBorder="1"/>
    <xf numFmtId="0" fontId="52" fillId="8" borderId="8" xfId="0" applyFont="1" applyFill="1" applyBorder="1" applyAlignment="1">
      <alignment horizontal="center" vertical="center" wrapText="1"/>
    </xf>
    <xf numFmtId="0" fontId="52" fillId="8" borderId="1" xfId="0" applyFont="1" applyFill="1" applyBorder="1" applyAlignment="1">
      <alignment horizontal="left" vertical="center" wrapText="1"/>
    </xf>
    <xf numFmtId="0" fontId="52" fillId="8" borderId="1" xfId="0" applyFont="1" applyFill="1" applyBorder="1" applyAlignment="1">
      <alignment horizontal="center" vertical="center" wrapText="1"/>
    </xf>
    <xf numFmtId="0" fontId="52" fillId="9" borderId="8" xfId="0" applyFont="1" applyFill="1" applyBorder="1" applyAlignment="1">
      <alignment horizontal="center" vertical="center" wrapText="1"/>
    </xf>
    <xf numFmtId="0" fontId="52" fillId="9" borderId="1" xfId="0" applyFont="1" applyFill="1" applyBorder="1" applyAlignment="1">
      <alignment horizontal="left" vertical="center" wrapText="1"/>
    </xf>
    <xf numFmtId="0" fontId="52" fillId="9" borderId="1" xfId="0" applyFont="1" applyFill="1" applyBorder="1" applyAlignment="1">
      <alignment horizontal="center" vertical="center" wrapText="1"/>
    </xf>
    <xf numFmtId="0" fontId="52" fillId="10" borderId="8" xfId="0" applyFont="1" applyFill="1" applyBorder="1" applyAlignment="1">
      <alignment horizontal="center" vertical="center" wrapText="1"/>
    </xf>
    <xf numFmtId="0" fontId="52" fillId="10" borderId="1" xfId="0" applyFont="1" applyFill="1" applyBorder="1" applyAlignment="1">
      <alignment horizontal="left" vertical="center" wrapText="1"/>
    </xf>
    <xf numFmtId="0" fontId="52" fillId="10" borderId="1" xfId="0" applyFont="1" applyFill="1" applyBorder="1" applyAlignment="1">
      <alignment horizontal="center" vertical="center" wrapText="1"/>
    </xf>
    <xf numFmtId="0" fontId="52" fillId="11" borderId="8" xfId="0" applyFont="1" applyFill="1" applyBorder="1" applyAlignment="1">
      <alignment horizontal="center" vertical="center" wrapText="1"/>
    </xf>
    <xf numFmtId="0" fontId="52" fillId="11" borderId="8" xfId="0" applyFont="1" applyFill="1" applyBorder="1" applyAlignment="1">
      <alignment horizontal="left" vertical="center" wrapText="1"/>
    </xf>
    <xf numFmtId="0" fontId="52" fillId="8" borderId="1" xfId="0" applyFont="1" applyFill="1" applyBorder="1" applyAlignment="1">
      <alignment vertical="center"/>
    </xf>
    <xf numFmtId="0" fontId="52" fillId="8" borderId="1" xfId="0" applyFont="1" applyFill="1" applyBorder="1" applyAlignment="1">
      <alignment horizontal="left" vertical="center"/>
    </xf>
    <xf numFmtId="0" fontId="52" fillId="8" borderId="1" xfId="0" applyFont="1" applyFill="1" applyBorder="1" applyAlignment="1">
      <alignment vertical="center" wrapText="1"/>
    </xf>
    <xf numFmtId="0" fontId="54" fillId="9" borderId="1" xfId="0" applyFont="1" applyFill="1" applyBorder="1" applyAlignment="1">
      <alignment horizontal="left" vertical="center" wrapText="1"/>
    </xf>
    <xf numFmtId="0" fontId="52" fillId="9" borderId="1" xfId="0" applyFont="1" applyFill="1" applyBorder="1" applyAlignment="1">
      <alignment vertical="center"/>
    </xf>
    <xf numFmtId="0" fontId="52" fillId="9" borderId="1" xfId="0" applyFont="1" applyFill="1" applyBorder="1" applyAlignment="1">
      <alignment horizontal="left" vertical="center"/>
    </xf>
    <xf numFmtId="0" fontId="54" fillId="10" borderId="1" xfId="0" applyFont="1" applyFill="1" applyBorder="1" applyAlignment="1">
      <alignment horizontal="left" vertical="center" wrapText="1"/>
    </xf>
    <xf numFmtId="0" fontId="52" fillId="10" borderId="1" xfId="0" applyFont="1" applyFill="1" applyBorder="1" applyAlignment="1">
      <alignment vertical="center"/>
    </xf>
    <xf numFmtId="0" fontId="52" fillId="10" borderId="1" xfId="0" applyFont="1" applyFill="1" applyBorder="1" applyAlignment="1">
      <alignment vertical="center" wrapText="1"/>
    </xf>
    <xf numFmtId="41" fontId="2" fillId="0" borderId="0" xfId="2" applyFont="1" applyBorder="1"/>
    <xf numFmtId="165" fontId="7" fillId="0" borderId="0" xfId="1" applyNumberFormat="1" applyFont="1" applyBorder="1" applyAlignment="1">
      <alignment horizontal="center"/>
    </xf>
    <xf numFmtId="0" fontId="38" fillId="7" borderId="1" xfId="30" applyFont="1" applyFill="1" applyBorder="1" applyAlignment="1">
      <alignment horizontal="center" vertical="center" wrapText="1"/>
    </xf>
    <xf numFmtId="0" fontId="38" fillId="7" borderId="1" xfId="30" applyFont="1" applyFill="1" applyBorder="1" applyAlignment="1">
      <alignment vertical="center" wrapText="1"/>
    </xf>
    <xf numFmtId="0" fontId="23" fillId="7" borderId="1" xfId="30" applyFont="1" applyFill="1" applyBorder="1" applyAlignment="1">
      <alignment vertical="center" wrapText="1"/>
    </xf>
    <xf numFmtId="0" fontId="8" fillId="0" borderId="0" xfId="206" applyFont="1" applyAlignment="1">
      <alignment vertical="center" wrapText="1"/>
    </xf>
    <xf numFmtId="167" fontId="23" fillId="13" borderId="1" xfId="30" quotePrefix="1" applyNumberFormat="1" applyFont="1" applyFill="1" applyBorder="1" applyAlignment="1">
      <alignment vertical="center" wrapText="1"/>
    </xf>
    <xf numFmtId="0" fontId="55" fillId="6" borderId="1" xfId="30" applyNumberFormat="1" applyFont="1" applyFill="1" applyBorder="1" applyAlignment="1">
      <alignment horizontal="center" vertical="center"/>
    </xf>
    <xf numFmtId="0" fontId="23" fillId="14" borderId="1" xfId="30" quotePrefix="1" applyNumberFormat="1" applyFont="1" applyFill="1" applyBorder="1" applyAlignment="1" applyProtection="1">
      <alignment horizontal="center" vertical="center" wrapText="1"/>
      <protection locked="0"/>
    </xf>
    <xf numFmtId="0" fontId="23" fillId="14" borderId="1" xfId="30" applyFont="1" applyFill="1" applyBorder="1" applyAlignment="1">
      <alignment horizontal="center" vertical="center" wrapText="1"/>
    </xf>
    <xf numFmtId="0" fontId="23" fillId="15" borderId="1" xfId="30" applyFont="1" applyFill="1" applyBorder="1" applyAlignment="1" applyProtection="1">
      <alignment vertical="center" wrapText="1"/>
      <protection locked="0"/>
    </xf>
    <xf numFmtId="0" fontId="23" fillId="13" borderId="1" xfId="30" applyFont="1" applyFill="1" applyBorder="1" applyAlignment="1">
      <alignment horizontal="center" vertical="center" wrapText="1"/>
    </xf>
    <xf numFmtId="0" fontId="4" fillId="13" borderId="1" xfId="30" applyFont="1" applyFill="1" applyBorder="1" applyAlignment="1">
      <alignment vertical="center" wrapText="1"/>
    </xf>
    <xf numFmtId="0" fontId="23" fillId="13" borderId="1" xfId="30" applyFont="1" applyFill="1" applyBorder="1" applyAlignment="1">
      <alignment vertical="center" wrapText="1"/>
    </xf>
    <xf numFmtId="167" fontId="23" fillId="13" borderId="1" xfId="30" quotePrefix="1" applyNumberFormat="1" applyFont="1" applyFill="1" applyBorder="1" applyAlignment="1" applyProtection="1">
      <alignment vertical="center" wrapText="1"/>
      <protection locked="0"/>
    </xf>
    <xf numFmtId="0" fontId="27" fillId="13" borderId="1" xfId="30" quotePrefix="1" applyFont="1" applyFill="1" applyBorder="1" applyAlignment="1">
      <alignment horizontal="center" vertical="center" wrapText="1"/>
    </xf>
    <xf numFmtId="3" fontId="4" fillId="13" borderId="1" xfId="30" quotePrefix="1" applyNumberFormat="1" applyFont="1" applyFill="1" applyBorder="1" applyAlignment="1">
      <alignment horizontal="center" vertical="center" wrapText="1"/>
    </xf>
    <xf numFmtId="1" fontId="23" fillId="13" borderId="1" xfId="30" quotePrefix="1" applyNumberFormat="1" applyFont="1" applyFill="1" applyBorder="1" applyAlignment="1">
      <alignment horizontal="center" vertical="center" wrapText="1"/>
    </xf>
    <xf numFmtId="1" fontId="23" fillId="9" borderId="1" xfId="30" quotePrefix="1" applyNumberFormat="1" applyFont="1" applyFill="1" applyBorder="1" applyAlignment="1">
      <alignment horizontal="center" vertical="center" wrapText="1"/>
    </xf>
    <xf numFmtId="167" fontId="23" fillId="13" borderId="1" xfId="30" quotePrefix="1" applyNumberFormat="1" applyFont="1" applyFill="1" applyBorder="1" applyAlignment="1" applyProtection="1">
      <alignment horizontal="left" vertical="center" wrapText="1"/>
      <protection locked="0"/>
    </xf>
    <xf numFmtId="0" fontId="23" fillId="13" borderId="1" xfId="30" quotePrefix="1" applyNumberFormat="1" applyFont="1" applyFill="1" applyBorder="1" applyAlignment="1" applyProtection="1">
      <alignment horizontal="center" vertical="center" wrapText="1"/>
      <protection locked="0"/>
    </xf>
    <xf numFmtId="0" fontId="23" fillId="16" borderId="1" xfId="30" quotePrefix="1" applyNumberFormat="1" applyFont="1" applyFill="1" applyBorder="1" applyAlignment="1" applyProtection="1">
      <alignment horizontal="center" vertical="center" wrapText="1"/>
      <protection locked="0"/>
    </xf>
    <xf numFmtId="167" fontId="23" fillId="16" borderId="1" xfId="30" quotePrefix="1" applyNumberFormat="1" applyFont="1" applyFill="1" applyBorder="1" applyAlignment="1" applyProtection="1">
      <alignment horizontal="left" vertical="center" wrapText="1"/>
      <protection locked="0"/>
    </xf>
    <xf numFmtId="3" fontId="23" fillId="13" borderId="1" xfId="30" applyNumberFormat="1" applyFont="1" applyFill="1" applyBorder="1" applyAlignment="1">
      <alignment vertical="center" wrapText="1"/>
    </xf>
    <xf numFmtId="3" fontId="23" fillId="13" borderId="1" xfId="30" applyNumberFormat="1" applyFont="1" applyFill="1" applyBorder="1" applyAlignment="1">
      <alignment horizontal="center" vertical="center" wrapText="1"/>
    </xf>
    <xf numFmtId="167" fontId="23" fillId="13" borderId="1" xfId="30" applyNumberFormat="1" applyFont="1" applyFill="1" applyBorder="1" applyAlignment="1" applyProtection="1">
      <alignment vertical="center" wrapText="1"/>
      <protection locked="0"/>
    </xf>
    <xf numFmtId="0" fontId="23" fillId="13" borderId="1" xfId="30" quotePrefix="1" applyNumberFormat="1" applyFont="1" applyFill="1" applyBorder="1" applyAlignment="1">
      <alignment horizontal="center" vertical="center" wrapText="1"/>
    </xf>
    <xf numFmtId="0" fontId="23" fillId="0" borderId="1" xfId="30" applyFont="1" applyFill="1" applyBorder="1" applyAlignment="1">
      <alignment horizontal="center" vertical="center" wrapText="1"/>
    </xf>
    <xf numFmtId="0" fontId="23" fillId="12" borderId="1" xfId="30" applyFont="1" applyFill="1" applyBorder="1" applyAlignment="1">
      <alignment horizontal="center" vertical="center" wrapText="1"/>
    </xf>
    <xf numFmtId="0" fontId="4" fillId="0" borderId="1" xfId="30" applyFont="1" applyFill="1" applyBorder="1" applyAlignment="1">
      <alignment vertical="center" wrapText="1"/>
    </xf>
    <xf numFmtId="0" fontId="23" fillId="0" borderId="1" xfId="30" applyFont="1" applyFill="1" applyBorder="1" applyAlignment="1">
      <alignment vertical="center" wrapText="1"/>
    </xf>
    <xf numFmtId="173" fontId="23" fillId="0" borderId="1" xfId="30" applyNumberFormat="1" applyFont="1" applyFill="1" applyBorder="1" applyAlignment="1">
      <alignment vertical="center" wrapText="1"/>
    </xf>
    <xf numFmtId="1" fontId="23" fillId="0" borderId="1" xfId="30" applyNumberFormat="1" applyFont="1" applyFill="1" applyBorder="1" applyAlignment="1">
      <alignment horizontal="center" vertical="center" wrapText="1"/>
    </xf>
    <xf numFmtId="1" fontId="23" fillId="0" borderId="1" xfId="30" applyNumberFormat="1" applyFont="1" applyFill="1" applyBorder="1" applyAlignment="1">
      <alignment vertical="center" wrapText="1"/>
    </xf>
    <xf numFmtId="0" fontId="23" fillId="0" borderId="1" xfId="30" applyNumberFormat="1" applyFont="1" applyFill="1" applyBorder="1" applyAlignment="1">
      <alignment horizontal="center" vertical="center" wrapText="1"/>
    </xf>
    <xf numFmtId="3" fontId="23" fillId="0" borderId="1" xfId="30" applyNumberFormat="1" applyFont="1" applyFill="1" applyBorder="1" applyAlignment="1">
      <alignment vertical="center" wrapText="1"/>
    </xf>
    <xf numFmtId="3" fontId="23" fillId="0" borderId="1" xfId="30" applyNumberFormat="1" applyFont="1" applyFill="1" applyBorder="1" applyAlignment="1">
      <alignment horizontal="center" vertical="center" wrapText="1"/>
    </xf>
    <xf numFmtId="0" fontId="38" fillId="0" borderId="1" xfId="207" applyFont="1" applyBorder="1" applyAlignment="1">
      <alignment horizontal="center" vertical="center"/>
    </xf>
    <xf numFmtId="41" fontId="38" fillId="0" borderId="1" xfId="2" applyFont="1" applyBorder="1" applyAlignment="1">
      <alignment vertical="center"/>
    </xf>
    <xf numFmtId="41" fontId="38" fillId="0" borderId="1" xfId="2" applyFont="1" applyBorder="1" applyAlignment="1">
      <alignment vertical="center" wrapText="1"/>
    </xf>
    <xf numFmtId="1" fontId="55" fillId="6" borderId="1" xfId="30" applyNumberFormat="1" applyFont="1" applyFill="1" applyBorder="1" applyAlignment="1">
      <alignment horizontal="center" vertical="center"/>
    </xf>
    <xf numFmtId="41" fontId="55" fillId="6" borderId="1" xfId="2" applyFont="1" applyFill="1" applyBorder="1" applyAlignment="1">
      <alignment horizontal="center" vertical="center" wrapText="1"/>
    </xf>
    <xf numFmtId="41" fontId="23" fillId="13" borderId="1" xfId="2" quotePrefix="1" applyFont="1" applyFill="1" applyBorder="1" applyAlignment="1">
      <alignment vertical="center" wrapText="1"/>
    </xf>
    <xf numFmtId="41" fontId="23" fillId="13" borderId="1" xfId="2" quotePrefix="1" applyFont="1" applyFill="1" applyBorder="1" applyAlignment="1">
      <alignment horizontal="center" vertical="center" wrapText="1"/>
    </xf>
    <xf numFmtId="41" fontId="23" fillId="0" borderId="1" xfId="2" applyFont="1" applyFill="1" applyBorder="1" applyAlignment="1">
      <alignment horizontal="center" vertical="center" wrapText="1"/>
    </xf>
    <xf numFmtId="0" fontId="55" fillId="6" borderId="1" xfId="2" applyNumberFormat="1" applyFont="1" applyFill="1" applyBorder="1" applyAlignment="1">
      <alignment horizontal="center" vertical="center"/>
    </xf>
    <xf numFmtId="41" fontId="23" fillId="0" borderId="0" xfId="2" applyFont="1" applyFill="1" applyBorder="1" applyAlignment="1">
      <alignment vertical="center" wrapText="1"/>
    </xf>
    <xf numFmtId="0" fontId="53" fillId="12" borderId="40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1" xfId="0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55" fillId="6" borderId="1" xfId="30" applyFont="1" applyFill="1" applyBorder="1" applyAlignment="1">
      <alignment horizontal="center" vertical="center" wrapText="1"/>
    </xf>
    <xf numFmtId="1" fontId="55" fillId="6" borderId="1" xfId="30" applyNumberFormat="1" applyFont="1" applyFill="1" applyBorder="1" applyAlignment="1">
      <alignment horizontal="center" vertical="center" wrapText="1"/>
    </xf>
    <xf numFmtId="167" fontId="2" fillId="0" borderId="0" xfId="206" applyNumberFormat="1" applyFont="1" applyFill="1" applyBorder="1" applyAlignment="1" applyProtection="1">
      <alignment horizontal="left" vertical="center"/>
      <protection locked="0"/>
    </xf>
    <xf numFmtId="0" fontId="2" fillId="0" borderId="0" xfId="206" applyFont="1" applyAlignment="1">
      <alignment horizontal="center" vertical="center"/>
    </xf>
    <xf numFmtId="0" fontId="13" fillId="0" borderId="0" xfId="206" applyFont="1" applyAlignment="1">
      <alignment horizontal="center" vertical="center"/>
    </xf>
    <xf numFmtId="0" fontId="8" fillId="0" borderId="0" xfId="206" applyFont="1" applyAlignment="1">
      <alignment horizontal="center" vertical="center"/>
    </xf>
    <xf numFmtId="3" fontId="5" fillId="0" borderId="0" xfId="206" applyNumberFormat="1" applyFont="1" applyAlignment="1">
      <alignment horizontal="center" vertical="center"/>
    </xf>
    <xf numFmtId="0" fontId="8" fillId="0" borderId="0" xfId="206" applyFont="1" applyAlignment="1">
      <alignment horizontal="justify" vertical="top" wrapText="1"/>
    </xf>
    <xf numFmtId="0" fontId="5" fillId="0" borderId="0" xfId="206" applyFont="1" applyAlignment="1">
      <alignment horizontal="center" vertical="center"/>
    </xf>
    <xf numFmtId="0" fontId="8" fillId="0" borderId="0" xfId="206" applyFont="1" applyAlignment="1">
      <alignment horizontal="center" vertical="top" wrapText="1"/>
    </xf>
    <xf numFmtId="0" fontId="8" fillId="0" borderId="0" xfId="206" applyFont="1" applyAlignment="1">
      <alignment horizontal="left" vertical="center"/>
    </xf>
    <xf numFmtId="0" fontId="29" fillId="0" borderId="0" xfId="0" applyFont="1" applyAlignment="1">
      <alignment horizontal="center"/>
    </xf>
    <xf numFmtId="0" fontId="9" fillId="0" borderId="10" xfId="206" quotePrefix="1" applyNumberFormat="1" applyFont="1" applyFill="1" applyBorder="1" applyAlignment="1">
      <alignment horizontal="center" vertical="center" wrapText="1"/>
    </xf>
    <xf numFmtId="0" fontId="9" fillId="0" borderId="10" xfId="206" applyNumberFormat="1" applyFont="1" applyFill="1" applyBorder="1" applyAlignment="1">
      <alignment horizontal="center" vertical="center" wrapText="1"/>
    </xf>
    <xf numFmtId="0" fontId="9" fillId="0" borderId="0" xfId="206" applyNumberFormat="1" applyFont="1" applyFill="1" applyBorder="1" applyAlignment="1">
      <alignment horizontal="center" vertical="center" wrapText="1"/>
    </xf>
    <xf numFmtId="0" fontId="9" fillId="0" borderId="12" xfId="206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6" fillId="0" borderId="16" xfId="207" applyFont="1" applyBorder="1" applyAlignment="1">
      <alignment horizontal="left" indent="1"/>
    </xf>
    <xf numFmtId="0" fontId="16" fillId="0" borderId="0" xfId="207" applyFont="1" applyBorder="1" applyAlignment="1">
      <alignment horizontal="left" vertical="top"/>
    </xf>
    <xf numFmtId="0" fontId="16" fillId="0" borderId="12" xfId="207" applyFont="1" applyBorder="1" applyAlignment="1">
      <alignment horizontal="left" vertical="top"/>
    </xf>
    <xf numFmtId="0" fontId="0" fillId="0" borderId="0" xfId="0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207" applyFont="1" applyBorder="1"/>
    <xf numFmtId="41" fontId="19" fillId="0" borderId="9" xfId="2" applyFont="1" applyBorder="1" applyAlignment="1" applyProtection="1">
      <alignment vertical="top" wrapText="1"/>
      <protection locked="0"/>
    </xf>
    <xf numFmtId="1" fontId="55" fillId="6" borderId="1" xfId="3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8" fontId="2" fillId="0" borderId="0" xfId="2" applyNumberFormat="1" applyFont="1" applyBorder="1" applyAlignment="1" applyProtection="1">
      <alignment horizontal="right" vertical="center"/>
      <protection locked="0"/>
    </xf>
    <xf numFmtId="168" fontId="7" fillId="0" borderId="0" xfId="2" applyNumberFormat="1" applyFont="1" applyBorder="1" applyAlignment="1">
      <alignment horizontal="left" vertical="center"/>
    </xf>
    <xf numFmtId="0" fontId="33" fillId="0" borderId="10" xfId="0" applyFont="1" applyFill="1" applyBorder="1" applyAlignment="1" applyProtection="1">
      <alignment vertical="top" wrapText="1"/>
      <protection locked="0"/>
    </xf>
    <xf numFmtId="0" fontId="33" fillId="0" borderId="0" xfId="0" applyFont="1" applyFill="1" applyBorder="1" applyAlignment="1" applyProtection="1">
      <alignment vertical="top" wrapText="1"/>
      <protection locked="0"/>
    </xf>
    <xf numFmtId="0" fontId="33" fillId="0" borderId="12" xfId="0" applyFont="1" applyFill="1" applyBorder="1" applyAlignment="1" applyProtection="1">
      <alignment vertical="top" wrapText="1"/>
      <protection locked="0"/>
    </xf>
    <xf numFmtId="1" fontId="23" fillId="13" borderId="1" xfId="30" quotePrefix="1" applyNumberFormat="1" applyFont="1" applyFill="1" applyBorder="1" applyAlignment="1">
      <alignment horizontal="left" vertical="center" wrapText="1"/>
    </xf>
    <xf numFmtId="1" fontId="23" fillId="0" borderId="1" xfId="30" applyNumberFormat="1" applyFont="1" applyFill="1" applyBorder="1" applyAlignment="1">
      <alignment horizontal="left" vertical="center" wrapText="1"/>
    </xf>
    <xf numFmtId="0" fontId="52" fillId="11" borderId="1" xfId="0" applyFont="1" applyFill="1" applyBorder="1" applyAlignment="1">
      <alignment horizontal="left" vertical="center" wrapText="1"/>
    </xf>
    <xf numFmtId="0" fontId="52" fillId="11" borderId="1" xfId="0" quotePrefix="1" applyFont="1" applyFill="1" applyBorder="1" applyAlignment="1">
      <alignment horizontal="left" vertical="center"/>
    </xf>
    <xf numFmtId="41" fontId="23" fillId="0" borderId="1" xfId="2" applyFont="1" applyFill="1" applyBorder="1" applyAlignment="1">
      <alignment vertical="center" wrapText="1"/>
    </xf>
    <xf numFmtId="41" fontId="0" fillId="0" borderId="0" xfId="2" applyFont="1" applyBorder="1" applyAlignment="1">
      <alignment horizontal="left" vertical="center"/>
    </xf>
    <xf numFmtId="168" fontId="1" fillId="0" borderId="9" xfId="3" applyNumberFormat="1" applyFont="1" applyFill="1" applyBorder="1" applyAlignment="1" applyProtection="1">
      <alignment horizontal="left" vertical="center" indent="1"/>
      <protection locked="0"/>
    </xf>
    <xf numFmtId="0" fontId="52" fillId="9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41" fontId="1" fillId="0" borderId="9" xfId="2" applyFont="1" applyBorder="1" applyAlignment="1" applyProtection="1">
      <alignment vertical="top" wrapText="1"/>
      <protection locked="0"/>
    </xf>
    <xf numFmtId="0" fontId="1" fillId="0" borderId="10" xfId="0" applyFont="1" applyFill="1" applyBorder="1" applyAlignment="1" applyProtection="1">
      <alignment horizontal="center" vertical="center"/>
      <protection locked="0"/>
    </xf>
    <xf numFmtId="0" fontId="1" fillId="0" borderId="1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Protection="1">
      <protection locked="0"/>
    </xf>
    <xf numFmtId="0" fontId="1" fillId="0" borderId="0" xfId="0" applyFont="1" applyBorder="1" applyAlignment="1" applyProtection="1">
      <alignment vertical="center"/>
      <protection locked="0"/>
    </xf>
    <xf numFmtId="41" fontId="33" fillId="0" borderId="9" xfId="2" applyFont="1" applyBorder="1" applyAlignment="1" applyProtection="1">
      <alignment vertical="top" wrapText="1"/>
      <protection locked="0"/>
    </xf>
    <xf numFmtId="41" fontId="59" fillId="0" borderId="9" xfId="2" applyFont="1" applyBorder="1" applyAlignment="1" applyProtection="1">
      <alignment vertical="top" wrapText="1"/>
      <protection locked="0"/>
    </xf>
    <xf numFmtId="41" fontId="33" fillId="0" borderId="9" xfId="2" applyFont="1" applyBorder="1" applyAlignment="1" applyProtection="1">
      <alignment horizontal="left" vertical="top" wrapText="1"/>
      <protection locked="0"/>
    </xf>
    <xf numFmtId="168" fontId="1" fillId="0" borderId="9" xfId="3" applyNumberFormat="1" applyFont="1" applyBorder="1" applyAlignment="1" applyProtection="1">
      <alignment horizontal="left" vertical="center" indent="1"/>
      <protection locked="0"/>
    </xf>
    <xf numFmtId="0" fontId="52" fillId="17" borderId="8" xfId="0" applyFont="1" applyFill="1" applyBorder="1" applyAlignment="1">
      <alignment horizontal="center" vertical="center" wrapText="1"/>
    </xf>
    <xf numFmtId="0" fontId="52" fillId="17" borderId="1" xfId="0" applyFont="1" applyFill="1" applyBorder="1" applyAlignment="1">
      <alignment horizontal="left" vertical="center" wrapText="1"/>
    </xf>
    <xf numFmtId="0" fontId="52" fillId="17" borderId="1" xfId="0" applyFont="1" applyFill="1" applyBorder="1" applyAlignment="1">
      <alignment horizontal="center" vertical="center" wrapText="1"/>
    </xf>
    <xf numFmtId="0" fontId="52" fillId="17" borderId="1" xfId="0" applyFont="1" applyFill="1" applyBorder="1" applyAlignment="1">
      <alignment vertical="center"/>
    </xf>
    <xf numFmtId="0" fontId="52" fillId="17" borderId="1" xfId="0" quotePrefix="1" applyFont="1" applyFill="1" applyBorder="1" applyAlignment="1">
      <alignment vertical="center"/>
    </xf>
    <xf numFmtId="0" fontId="52" fillId="17" borderId="1" xfId="0" applyFont="1" applyFill="1" applyBorder="1" applyAlignment="1">
      <alignment vertical="center" wrapText="1"/>
    </xf>
    <xf numFmtId="0" fontId="1" fillId="0" borderId="0" xfId="206" applyNumberFormat="1" applyFont="1" applyFill="1" applyAlignment="1">
      <alignment horizontal="left" vertical="center"/>
    </xf>
    <xf numFmtId="0" fontId="1" fillId="0" borderId="0" xfId="206" applyFont="1" applyFill="1" applyAlignment="1">
      <alignment horizontal="center" vertical="center"/>
    </xf>
    <xf numFmtId="0" fontId="1" fillId="0" borderId="0" xfId="206" applyFont="1" applyFill="1" applyAlignment="1">
      <alignment horizontal="right" vertical="center"/>
    </xf>
    <xf numFmtId="0" fontId="1" fillId="0" borderId="0" xfId="206" applyNumberFormat="1" applyFont="1" applyFill="1" applyAlignment="1">
      <alignment horizontal="center" vertical="center"/>
    </xf>
    <xf numFmtId="0" fontId="1" fillId="0" borderId="0" xfId="206" applyNumberFormat="1" applyFont="1" applyFill="1" applyAlignment="1">
      <alignment vertical="center"/>
    </xf>
    <xf numFmtId="0" fontId="1" fillId="0" borderId="0" xfId="206" quotePrefix="1" applyNumberFormat="1" applyFont="1" applyFill="1" applyAlignment="1">
      <alignment horizontal="left" vertical="center"/>
    </xf>
    <xf numFmtId="0" fontId="1" fillId="0" borderId="0" xfId="206" applyFont="1" applyFill="1" applyAlignment="1">
      <alignment vertical="center"/>
    </xf>
    <xf numFmtId="0" fontId="1" fillId="0" borderId="25" xfId="206" applyFont="1" applyFill="1" applyBorder="1" applyAlignment="1">
      <alignment horizontal="center" vertical="center" wrapText="1"/>
    </xf>
    <xf numFmtId="0" fontId="1" fillId="0" borderId="26" xfId="206" applyFont="1" applyFill="1" applyBorder="1" applyAlignment="1">
      <alignment horizontal="left" vertical="center" indent="1"/>
    </xf>
    <xf numFmtId="0" fontId="1" fillId="0" borderId="27" xfId="206" applyFont="1" applyFill="1" applyBorder="1" applyAlignment="1">
      <alignment horizontal="left" vertical="center"/>
    </xf>
    <xf numFmtId="0" fontId="1" fillId="0" borderId="9" xfId="206" applyFont="1" applyFill="1" applyBorder="1" applyAlignment="1">
      <alignment horizontal="center" vertical="center" wrapText="1"/>
    </xf>
    <xf numFmtId="0" fontId="1" fillId="0" borderId="0" xfId="206" applyFont="1" applyFill="1" applyBorder="1" applyAlignment="1">
      <alignment horizontal="right" vertical="center"/>
    </xf>
    <xf numFmtId="0" fontId="1" fillId="0" borderId="0" xfId="206" applyFont="1" applyFill="1" applyBorder="1" applyAlignment="1">
      <alignment vertical="center"/>
    </xf>
    <xf numFmtId="0" fontId="1" fillId="0" borderId="4" xfId="206" applyNumberFormat="1" applyFont="1" applyFill="1" applyBorder="1" applyAlignment="1">
      <alignment vertical="top"/>
    </xf>
    <xf numFmtId="0" fontId="1" fillId="0" borderId="5" xfId="206" applyNumberFormat="1" applyFont="1" applyFill="1" applyBorder="1" applyAlignment="1">
      <alignment vertical="top"/>
    </xf>
    <xf numFmtId="0" fontId="1" fillId="0" borderId="6" xfId="206" applyNumberFormat="1" applyFont="1" applyFill="1" applyBorder="1" applyAlignment="1">
      <alignment vertical="top"/>
    </xf>
    <xf numFmtId="0" fontId="1" fillId="0" borderId="1" xfId="206" applyFont="1" applyFill="1" applyBorder="1" applyAlignment="1">
      <alignment horizontal="center" vertical="center" wrapText="1"/>
    </xf>
    <xf numFmtId="0" fontId="1" fillId="0" borderId="28" xfId="206" quotePrefix="1" applyNumberFormat="1" applyFont="1" applyFill="1" applyBorder="1" applyAlignment="1">
      <alignment vertical="center"/>
    </xf>
    <xf numFmtId="0" fontId="1" fillId="0" borderId="3" xfId="206" applyFont="1" applyFill="1" applyBorder="1" applyAlignment="1">
      <alignment horizontal="right" vertical="center"/>
    </xf>
    <xf numFmtId="0" fontId="1" fillId="0" borderId="3" xfId="206" applyFont="1" applyFill="1" applyBorder="1" applyAlignment="1">
      <alignment horizontal="left" vertical="center"/>
    </xf>
    <xf numFmtId="0" fontId="1" fillId="0" borderId="11" xfId="206" applyNumberFormat="1" applyFont="1" applyFill="1" applyBorder="1" applyAlignment="1">
      <alignment horizontal="right" vertical="center" wrapText="1"/>
    </xf>
    <xf numFmtId="0" fontId="1" fillId="0" borderId="0" xfId="206" applyNumberFormat="1" applyFont="1" applyFill="1" applyBorder="1" applyAlignment="1" applyProtection="1">
      <alignment vertical="center"/>
      <protection locked="0"/>
    </xf>
    <xf numFmtId="0" fontId="1" fillId="0" borderId="0" xfId="206" applyNumberFormat="1" applyFont="1" applyFill="1" applyBorder="1" applyAlignment="1">
      <alignment horizontal="right" vertical="center"/>
    </xf>
    <xf numFmtId="0" fontId="1" fillId="0" borderId="0" xfId="206" quotePrefix="1" applyNumberFormat="1" applyFont="1" applyFill="1" applyBorder="1" applyAlignment="1">
      <alignment vertical="center"/>
    </xf>
    <xf numFmtId="0" fontId="1" fillId="0" borderId="0" xfId="206" applyFont="1" applyFill="1" applyBorder="1" applyAlignment="1">
      <alignment horizontal="left" vertical="center"/>
    </xf>
    <xf numFmtId="0" fontId="1" fillId="0" borderId="10" xfId="206" applyNumberFormat="1" applyFont="1" applyFill="1" applyBorder="1" applyAlignment="1">
      <alignment horizontal="right" vertical="center" wrapText="1"/>
    </xf>
    <xf numFmtId="0" fontId="1" fillId="0" borderId="8" xfId="206" applyFont="1" applyFill="1" applyBorder="1" applyAlignment="1">
      <alignment horizontal="center" vertical="center" wrapText="1"/>
    </xf>
    <xf numFmtId="0" fontId="1" fillId="0" borderId="5" xfId="206" applyFont="1" applyFill="1" applyBorder="1" applyAlignment="1">
      <alignment horizontal="right" vertical="center"/>
    </xf>
    <xf numFmtId="0" fontId="1" fillId="0" borderId="5" xfId="206" applyFont="1" applyFill="1" applyBorder="1" applyAlignment="1">
      <alignment horizontal="left" vertical="center"/>
    </xf>
    <xf numFmtId="0" fontId="1" fillId="0" borderId="4" xfId="206" applyNumberFormat="1" applyFont="1" applyFill="1" applyBorder="1" applyAlignment="1">
      <alignment horizontal="right" vertical="center" wrapText="1"/>
    </xf>
    <xf numFmtId="0" fontId="1" fillId="0" borderId="5" xfId="206" applyNumberFormat="1" applyFont="1" applyFill="1" applyBorder="1" applyAlignment="1">
      <alignment horizontal="center" vertical="center" wrapText="1"/>
    </xf>
    <xf numFmtId="0" fontId="1" fillId="0" borderId="6" xfId="206" applyNumberFormat="1" applyFont="1" applyFill="1" applyBorder="1" applyAlignment="1">
      <alignment vertical="center" wrapText="1"/>
    </xf>
    <xf numFmtId="0" fontId="1" fillId="0" borderId="7" xfId="206" applyFont="1" applyFill="1" applyBorder="1" applyAlignment="1">
      <alignment horizontal="center" vertical="top" wrapText="1"/>
    </xf>
    <xf numFmtId="0" fontId="1" fillId="0" borderId="3" xfId="206" applyFont="1" applyFill="1" applyBorder="1" applyAlignment="1">
      <alignment horizontal="left" vertical="top" indent="1"/>
    </xf>
    <xf numFmtId="0" fontId="1" fillId="0" borderId="24" xfId="206" applyFont="1" applyFill="1" applyBorder="1" applyAlignment="1">
      <alignment horizontal="left" vertical="top"/>
    </xf>
    <xf numFmtId="0" fontId="1" fillId="0" borderId="8" xfId="206" applyFont="1" applyFill="1" applyBorder="1" applyAlignment="1">
      <alignment horizontal="center" vertical="top" wrapText="1"/>
    </xf>
    <xf numFmtId="0" fontId="1" fillId="0" borderId="5" xfId="206" applyFont="1" applyFill="1" applyBorder="1" applyAlignment="1">
      <alignment horizontal="right" vertical="top"/>
    </xf>
    <xf numFmtId="0" fontId="1" fillId="0" borderId="6" xfId="206" applyFont="1" applyFill="1" applyBorder="1" applyAlignment="1">
      <alignment vertical="top"/>
    </xf>
    <xf numFmtId="0" fontId="1" fillId="0" borderId="3" xfId="206" applyFont="1" applyFill="1" applyBorder="1" applyAlignment="1">
      <alignment horizontal="left" vertical="center" indent="1"/>
    </xf>
    <xf numFmtId="0" fontId="1" fillId="0" borderId="24" xfId="206" applyFont="1" applyFill="1" applyBorder="1" applyAlignment="1">
      <alignment horizontal="left" vertical="center"/>
    </xf>
    <xf numFmtId="0" fontId="1" fillId="0" borderId="7" xfId="206" applyFont="1" applyFill="1" applyBorder="1" applyAlignment="1">
      <alignment horizontal="center" vertical="center" wrapText="1"/>
    </xf>
    <xf numFmtId="0" fontId="1" fillId="0" borderId="3" xfId="206" applyNumberFormat="1" applyFont="1" applyFill="1" applyBorder="1" applyAlignment="1">
      <alignment horizontal="center" vertical="center" wrapText="1"/>
    </xf>
    <xf numFmtId="0" fontId="1" fillId="0" borderId="24" xfId="206" applyNumberFormat="1" applyFont="1" applyFill="1" applyBorder="1" applyAlignment="1">
      <alignment vertical="center" wrapText="1"/>
    </xf>
    <xf numFmtId="0" fontId="1" fillId="0" borderId="5" xfId="206" applyNumberFormat="1" applyFont="1" applyFill="1" applyBorder="1" applyAlignment="1" applyProtection="1">
      <alignment vertical="center"/>
      <protection locked="0"/>
    </xf>
    <xf numFmtId="0" fontId="1" fillId="0" borderId="0" xfId="206" applyNumberFormat="1" applyFont="1" applyFill="1" applyBorder="1" applyAlignment="1">
      <alignment horizontal="center" vertical="center" wrapText="1"/>
    </xf>
    <xf numFmtId="0" fontId="1" fillId="0" borderId="12" xfId="206" quotePrefix="1" applyNumberFormat="1" applyFont="1" applyFill="1" applyBorder="1" applyAlignment="1">
      <alignment vertical="center" wrapText="1"/>
    </xf>
    <xf numFmtId="0" fontId="1" fillId="0" borderId="28" xfId="206" applyFont="1" applyFill="1" applyBorder="1" applyAlignment="1">
      <alignment horizontal="right" vertical="center"/>
    </xf>
    <xf numFmtId="0" fontId="1" fillId="0" borderId="28" xfId="206" applyFont="1" applyFill="1" applyBorder="1" applyAlignment="1">
      <alignment vertical="center"/>
    </xf>
    <xf numFmtId="0" fontId="1" fillId="0" borderId="3" xfId="206" applyFont="1" applyFill="1" applyBorder="1" applyAlignment="1" applyProtection="1">
      <alignment vertical="center"/>
      <protection locked="0"/>
    </xf>
    <xf numFmtId="0" fontId="1" fillId="0" borderId="3" xfId="206" applyNumberFormat="1" applyFont="1" applyFill="1" applyBorder="1" applyAlignment="1" applyProtection="1">
      <alignment vertical="center" wrapText="1"/>
      <protection locked="0"/>
    </xf>
    <xf numFmtId="0" fontId="1" fillId="0" borderId="24" xfId="206" applyNumberFormat="1" applyFont="1" applyFill="1" applyBorder="1" applyAlignment="1" applyProtection="1">
      <alignment vertical="center" wrapText="1"/>
      <protection locked="0"/>
    </xf>
    <xf numFmtId="0" fontId="1" fillId="0" borderId="0" xfId="206" applyFont="1" applyFill="1" applyBorder="1" applyAlignment="1" applyProtection="1">
      <alignment vertical="center"/>
      <protection locked="0"/>
    </xf>
    <xf numFmtId="0" fontId="1" fillId="0" borderId="10" xfId="206" applyNumberFormat="1" applyFont="1" applyFill="1" applyBorder="1" applyAlignment="1" applyProtection="1">
      <alignment vertical="center" wrapText="1"/>
      <protection locked="0"/>
    </xf>
    <xf numFmtId="0" fontId="1" fillId="0" borderId="0" xfId="206" applyNumberFormat="1" applyFont="1" applyFill="1" applyBorder="1" applyAlignment="1" applyProtection="1">
      <alignment vertical="center" wrapText="1"/>
      <protection locked="0"/>
    </xf>
    <xf numFmtId="0" fontId="1" fillId="0" borderId="12" xfId="206" applyNumberFormat="1" applyFont="1" applyFill="1" applyBorder="1" applyAlignment="1" applyProtection="1">
      <alignment vertical="center" wrapText="1"/>
      <protection locked="0"/>
    </xf>
    <xf numFmtId="0" fontId="1" fillId="0" borderId="5" xfId="206" applyFont="1" applyFill="1" applyBorder="1" applyAlignment="1" applyProtection="1">
      <alignment vertical="center"/>
      <protection locked="0"/>
    </xf>
    <xf numFmtId="0" fontId="1" fillId="0" borderId="4" xfId="206" applyNumberFormat="1" applyFont="1" applyFill="1" applyBorder="1" applyAlignment="1" applyProtection="1">
      <alignment vertical="center" wrapText="1"/>
      <protection locked="0"/>
    </xf>
    <xf numFmtId="0" fontId="1" fillId="0" borderId="5" xfId="206" applyNumberFormat="1" applyFont="1" applyFill="1" applyBorder="1" applyAlignment="1" applyProtection="1">
      <alignment vertical="center" wrapText="1"/>
      <protection locked="0"/>
    </xf>
    <xf numFmtId="0" fontId="1" fillId="0" borderId="6" xfId="206" applyNumberFormat="1" applyFont="1" applyFill="1" applyBorder="1" applyAlignment="1" applyProtection="1">
      <alignment vertical="center" wrapText="1"/>
      <protection locked="0"/>
    </xf>
    <xf numFmtId="0" fontId="1" fillId="0" borderId="11" xfId="206" applyFont="1" applyFill="1" applyBorder="1" applyAlignment="1">
      <alignment horizontal="left" vertical="top" indent="1"/>
    </xf>
    <xf numFmtId="0" fontId="1" fillId="0" borderId="0" xfId="206" applyFont="1" applyFill="1" applyBorder="1" applyAlignment="1">
      <alignment horizontal="left" vertical="top" indent="1"/>
    </xf>
    <xf numFmtId="0" fontId="1" fillId="0" borderId="0" xfId="206" applyFont="1" applyFill="1" applyBorder="1" applyAlignment="1">
      <alignment horizontal="left" vertical="top"/>
    </xf>
    <xf numFmtId="0" fontId="1" fillId="0" borderId="10" xfId="206" applyNumberFormat="1" applyFont="1" applyFill="1" applyBorder="1" applyAlignment="1" applyProtection="1">
      <alignment horizontal="right" vertical="center" wrapText="1"/>
      <protection locked="0"/>
    </xf>
    <xf numFmtId="0" fontId="1" fillId="0" borderId="0" xfId="206" applyNumberFormat="1" applyFont="1" applyFill="1" applyBorder="1" applyAlignment="1" applyProtection="1">
      <alignment horizontal="center" vertical="center" wrapText="1"/>
      <protection locked="0"/>
    </xf>
    <xf numFmtId="0" fontId="1" fillId="0" borderId="12" xfId="206" quotePrefix="1" applyNumberFormat="1" applyFont="1" applyFill="1" applyBorder="1" applyAlignment="1" applyProtection="1">
      <alignment vertical="center" wrapText="1"/>
      <protection locked="0"/>
    </xf>
    <xf numFmtId="0" fontId="1" fillId="0" borderId="29" xfId="206" applyFont="1" applyFill="1" applyBorder="1" applyAlignment="1">
      <alignment horizontal="center" vertical="center" wrapText="1"/>
    </xf>
    <xf numFmtId="0" fontId="1" fillId="0" borderId="30" xfId="206" applyFont="1" applyFill="1" applyBorder="1" applyAlignment="1">
      <alignment horizontal="left" vertical="center" indent="1"/>
    </xf>
    <xf numFmtId="0" fontId="1" fillId="0" borderId="31" xfId="206" applyFont="1" applyFill="1" applyBorder="1" applyAlignment="1">
      <alignment horizontal="left" vertical="center"/>
    </xf>
    <xf numFmtId="0" fontId="1" fillId="0" borderId="30" xfId="206" applyNumberFormat="1" applyFont="1" applyFill="1" applyBorder="1" applyAlignment="1">
      <alignment vertical="center" wrapText="1"/>
    </xf>
    <xf numFmtId="0" fontId="1" fillId="0" borderId="32" xfId="206" applyNumberFormat="1" applyFont="1" applyFill="1" applyBorder="1" applyAlignment="1">
      <alignment vertical="center" wrapText="1"/>
    </xf>
    <xf numFmtId="0" fontId="1" fillId="0" borderId="31" xfId="206" applyNumberFormat="1" applyFont="1" applyFill="1" applyBorder="1" applyAlignment="1">
      <alignment vertical="center" wrapText="1"/>
    </xf>
    <xf numFmtId="0" fontId="1" fillId="0" borderId="0" xfId="206" applyFont="1" applyFill="1" applyBorder="1" applyAlignment="1">
      <alignment horizontal="right" vertical="center" wrapText="1"/>
    </xf>
    <xf numFmtId="0" fontId="1" fillId="0" borderId="0" xfId="206" applyFont="1" applyFill="1" applyBorder="1" applyAlignment="1">
      <alignment vertical="center" wrapText="1"/>
    </xf>
    <xf numFmtId="0" fontId="1" fillId="0" borderId="0" xfId="206" applyNumberFormat="1" applyFont="1" applyFill="1" applyBorder="1" applyAlignment="1">
      <alignment vertical="center" wrapText="1"/>
    </xf>
    <xf numFmtId="0" fontId="1" fillId="0" borderId="0" xfId="206" applyNumberFormat="1" applyFont="1" applyFill="1" applyAlignment="1" applyProtection="1">
      <alignment vertical="center"/>
      <protection locked="0"/>
    </xf>
    <xf numFmtId="0" fontId="1" fillId="0" borderId="5" xfId="206" applyNumberFormat="1" applyFont="1" applyFill="1" applyBorder="1" applyAlignment="1">
      <alignment horizontal="left" vertical="center"/>
    </xf>
    <xf numFmtId="0" fontId="1" fillId="0" borderId="5" xfId="206" applyNumberFormat="1" applyFont="1" applyFill="1" applyBorder="1" applyAlignment="1">
      <alignment vertical="center"/>
    </xf>
    <xf numFmtId="0" fontId="23" fillId="18" borderId="1" xfId="30" applyFont="1" applyFill="1" applyBorder="1" applyAlignment="1">
      <alignment horizontal="center" vertical="center" wrapText="1"/>
    </xf>
    <xf numFmtId="0" fontId="52" fillId="10" borderId="0" xfId="0" applyFont="1" applyFill="1" applyAlignment="1">
      <alignment vertical="center"/>
    </xf>
    <xf numFmtId="0" fontId="52" fillId="10" borderId="0" xfId="0" applyFont="1" applyFill="1" applyAlignment="1">
      <alignment vertical="center" wrapText="1"/>
    </xf>
    <xf numFmtId="0" fontId="52" fillId="10" borderId="0" xfId="0" applyFont="1" applyFill="1" applyAlignment="1">
      <alignment horizontal="left" vertical="center" wrapText="1"/>
    </xf>
    <xf numFmtId="0" fontId="1" fillId="0" borderId="0" xfId="206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23" fillId="5" borderId="1" xfId="30" applyFont="1" applyFill="1" applyBorder="1" applyAlignment="1">
      <alignment horizontal="center" vertical="center" wrapText="1"/>
    </xf>
    <xf numFmtId="0" fontId="60" fillId="0" borderId="0" xfId="206" applyFont="1" applyAlignment="1">
      <alignment vertical="center"/>
    </xf>
    <xf numFmtId="0" fontId="61" fillId="0" borderId="0" xfId="206" applyFont="1" applyAlignment="1">
      <alignment vertical="center"/>
    </xf>
    <xf numFmtId="41" fontId="44" fillId="0" borderId="10" xfId="3" applyFont="1" applyBorder="1" applyAlignment="1">
      <alignment vertical="center"/>
    </xf>
    <xf numFmtId="0" fontId="52" fillId="0" borderId="1" xfId="0" applyFont="1" applyBorder="1" applyAlignment="1">
      <alignment horizontal="left" vertical="center" wrapText="1"/>
    </xf>
    <xf numFmtId="14" fontId="52" fillId="0" borderId="0" xfId="0" applyNumberFormat="1" applyFont="1" applyBorder="1" applyAlignment="1">
      <alignment horizontal="center" vertical="center" wrapText="1"/>
    </xf>
    <xf numFmtId="14" fontId="54" fillId="0" borderId="0" xfId="0" applyNumberFormat="1" applyFont="1" applyBorder="1" applyAlignment="1">
      <alignment horizontal="center" vertical="center" wrapText="1"/>
    </xf>
    <xf numFmtId="0" fontId="52" fillId="0" borderId="8" xfId="0" applyFont="1" applyBorder="1" applyAlignment="1">
      <alignment horizontal="left" vertical="center" wrapText="1"/>
    </xf>
    <xf numFmtId="0" fontId="52" fillId="5" borderId="0" xfId="0" applyFont="1" applyFill="1" applyBorder="1" applyAlignment="1">
      <alignment vertical="center" wrapText="1"/>
    </xf>
    <xf numFmtId="0" fontId="52" fillId="5" borderId="0" xfId="0" applyFont="1" applyFill="1" applyBorder="1" applyAlignment="1">
      <alignment horizontal="center" vertical="center" wrapText="1"/>
    </xf>
    <xf numFmtId="0" fontId="54" fillId="5" borderId="0" xfId="0" applyFont="1" applyFill="1" applyBorder="1" applyAlignment="1">
      <alignment horizontal="center" vertical="center" wrapText="1"/>
    </xf>
    <xf numFmtId="0" fontId="52" fillId="5" borderId="1" xfId="0" applyFont="1" applyFill="1" applyBorder="1" applyAlignment="1">
      <alignment horizontal="center" vertical="center" wrapText="1"/>
    </xf>
    <xf numFmtId="14" fontId="52" fillId="5" borderId="0" xfId="0" applyNumberFormat="1" applyFont="1" applyFill="1" applyBorder="1" applyAlignment="1">
      <alignment horizontal="center" vertical="center" wrapText="1"/>
    </xf>
    <xf numFmtId="0" fontId="52" fillId="0" borderId="0" xfId="0" applyFont="1" applyBorder="1" applyAlignment="1">
      <alignment vertical="center" wrapText="1"/>
    </xf>
    <xf numFmtId="0" fontId="52" fillId="0" borderId="0" xfId="0" applyFont="1" applyFill="1" applyBorder="1" applyAlignment="1">
      <alignment horizontal="center" vertical="center" wrapText="1"/>
    </xf>
    <xf numFmtId="14" fontId="54" fillId="0" borderId="0" xfId="0" applyNumberFormat="1" applyFont="1" applyFill="1" applyBorder="1" applyAlignment="1">
      <alignment horizontal="center" vertical="center" wrapText="1"/>
    </xf>
    <xf numFmtId="0" fontId="54" fillId="0" borderId="0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3" fillId="0" borderId="40" xfId="0" applyFont="1" applyBorder="1" applyAlignment="1">
      <alignment horizontal="center" vertical="center" wrapText="1"/>
    </xf>
    <xf numFmtId="0" fontId="53" fillId="0" borderId="45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5" fillId="6" borderId="1" xfId="30" applyFont="1" applyFill="1" applyBorder="1" applyAlignment="1">
      <alignment horizontal="center" vertical="center" wrapText="1"/>
    </xf>
    <xf numFmtId="0" fontId="7" fillId="6" borderId="0" xfId="30" applyFont="1" applyFill="1" applyAlignment="1">
      <alignment horizontal="center" vertical="center" wrapText="1"/>
    </xf>
    <xf numFmtId="1" fontId="55" fillId="6" borderId="1" xfId="30" applyNumberFormat="1" applyFont="1" applyFill="1" applyBorder="1" applyAlignment="1">
      <alignment horizontal="center" vertical="center" wrapText="1"/>
    </xf>
    <xf numFmtId="167" fontId="2" fillId="0" borderId="5" xfId="206" applyNumberFormat="1" applyFont="1" applyFill="1" applyBorder="1" applyAlignment="1" applyProtection="1">
      <alignment horizontal="left" vertical="center"/>
    </xf>
    <xf numFmtId="0" fontId="2" fillId="0" borderId="0" xfId="206" applyNumberFormat="1" applyFont="1" applyFill="1" applyAlignment="1" applyProtection="1">
      <alignment horizontal="center"/>
      <protection locked="0"/>
    </xf>
    <xf numFmtId="0" fontId="2" fillId="0" borderId="0" xfId="206" applyNumberFormat="1" applyFont="1" applyFill="1" applyAlignment="1" applyProtection="1">
      <alignment horizontal="center" vertical="top"/>
      <protection locked="0"/>
    </xf>
    <xf numFmtId="0" fontId="3" fillId="0" borderId="0" xfId="206" applyNumberFormat="1" applyFont="1" applyFill="1" applyAlignment="1" applyProtection="1">
      <alignment horizontal="center"/>
      <protection locked="0"/>
    </xf>
    <xf numFmtId="0" fontId="7" fillId="0" borderId="0" xfId="206" applyNumberFormat="1" applyFont="1" applyFill="1" applyAlignment="1" applyProtection="1">
      <alignment horizontal="center" vertical="top"/>
      <protection locked="0"/>
    </xf>
    <xf numFmtId="0" fontId="2" fillId="0" borderId="10" xfId="206" quotePrefix="1" applyNumberFormat="1" applyFont="1" applyFill="1" applyBorder="1" applyAlignment="1" applyProtection="1">
      <alignment horizontal="left" vertical="top" wrapText="1"/>
      <protection locked="0"/>
    </xf>
    <xf numFmtId="0" fontId="2" fillId="0" borderId="0" xfId="206" quotePrefix="1" applyNumberFormat="1" applyFont="1" applyFill="1" applyBorder="1" applyAlignment="1" applyProtection="1">
      <alignment horizontal="left" vertical="top" wrapText="1"/>
      <protection locked="0"/>
    </xf>
    <xf numFmtId="0" fontId="2" fillId="0" borderId="0" xfId="206" applyNumberFormat="1" applyFont="1" applyFill="1" applyBorder="1" applyAlignment="1" applyProtection="1">
      <alignment horizontal="left" vertical="center" wrapText="1"/>
      <protection locked="0"/>
    </xf>
    <xf numFmtId="0" fontId="2" fillId="0" borderId="12" xfId="206" applyNumberFormat="1" applyFont="1" applyFill="1" applyBorder="1" applyAlignment="1" applyProtection="1">
      <alignment horizontal="left" vertical="center" wrapText="1"/>
      <protection locked="0"/>
    </xf>
    <xf numFmtId="0" fontId="2" fillId="0" borderId="11" xfId="206" quotePrefix="1" applyNumberFormat="1" applyFont="1" applyFill="1" applyBorder="1" applyAlignment="1" applyProtection="1">
      <alignment horizontal="left" vertical="top" wrapText="1"/>
      <protection locked="0"/>
    </xf>
    <xf numFmtId="0" fontId="2" fillId="0" borderId="3" xfId="206" quotePrefix="1" applyNumberFormat="1" applyFont="1" applyFill="1" applyBorder="1" applyAlignment="1" applyProtection="1">
      <alignment horizontal="left" vertical="top" wrapText="1"/>
      <protection locked="0"/>
    </xf>
    <xf numFmtId="0" fontId="2" fillId="0" borderId="3" xfId="206" applyNumberFormat="1" applyFont="1" applyFill="1" applyBorder="1" applyAlignment="1" applyProtection="1">
      <alignment horizontal="left" vertical="center" wrapText="1"/>
      <protection locked="0"/>
    </xf>
    <xf numFmtId="0" fontId="2" fillId="0" borderId="24" xfId="206" applyNumberFormat="1" applyFont="1" applyFill="1" applyBorder="1" applyAlignment="1" applyProtection="1">
      <alignment horizontal="left" vertical="center" wrapText="1"/>
      <protection locked="0"/>
    </xf>
    <xf numFmtId="0" fontId="2" fillId="0" borderId="2" xfId="206" applyNumberFormat="1" applyFont="1" applyFill="1" applyBorder="1" applyAlignment="1">
      <alignment horizontal="center" vertical="center" wrapText="1"/>
    </xf>
    <xf numFmtId="0" fontId="2" fillId="0" borderId="28" xfId="206" applyNumberFormat="1" applyFont="1" applyFill="1" applyBorder="1" applyAlignment="1">
      <alignment horizontal="center" vertical="center" wrapText="1"/>
    </xf>
    <xf numFmtId="0" fontId="2" fillId="0" borderId="39" xfId="206" applyNumberFormat="1" applyFont="1" applyFill="1" applyBorder="1" applyAlignment="1">
      <alignment horizontal="center" vertical="center" wrapText="1"/>
    </xf>
    <xf numFmtId="0" fontId="2" fillId="0" borderId="3" xfId="206" applyNumberFormat="1" applyFont="1" applyFill="1" applyBorder="1" applyAlignment="1" applyProtection="1">
      <alignment horizontal="left" vertical="center"/>
      <protection locked="0"/>
    </xf>
    <xf numFmtId="0" fontId="2" fillId="0" borderId="3" xfId="206" applyNumberFormat="1" applyFont="1" applyFill="1" applyBorder="1" applyAlignment="1">
      <alignment horizontal="left" vertical="center" wrapText="1"/>
    </xf>
    <xf numFmtId="167" fontId="2" fillId="0" borderId="0" xfId="206" applyNumberFormat="1" applyFont="1" applyFill="1" applyBorder="1" applyAlignment="1" applyProtection="1">
      <alignment horizontal="left" vertical="center"/>
      <protection locked="0"/>
    </xf>
    <xf numFmtId="167" fontId="2" fillId="0" borderId="5" xfId="206" applyNumberFormat="1" applyFont="1" applyFill="1" applyBorder="1" applyAlignment="1" applyProtection="1">
      <alignment horizontal="left" vertical="center"/>
      <protection locked="0"/>
    </xf>
    <xf numFmtId="0" fontId="2" fillId="0" borderId="5" xfId="206" applyNumberFormat="1" applyFont="1" applyFill="1" applyBorder="1" applyAlignment="1" applyProtection="1">
      <alignment horizontal="left" vertical="center" wrapText="1"/>
      <protection locked="0"/>
    </xf>
    <xf numFmtId="0" fontId="2" fillId="0" borderId="11" xfId="206" applyNumberFormat="1" applyFont="1" applyFill="1" applyBorder="1" applyAlignment="1" applyProtection="1">
      <alignment horizontal="left" vertical="top" wrapText="1" indent="1"/>
      <protection locked="0"/>
    </xf>
    <xf numFmtId="0" fontId="2" fillId="0" borderId="3" xfId="0" applyNumberFormat="1" applyFont="1" applyBorder="1" applyAlignment="1" applyProtection="1">
      <alignment horizontal="left" vertical="top" wrapText="1"/>
      <protection locked="0"/>
    </xf>
    <xf numFmtId="0" fontId="2" fillId="0" borderId="24" xfId="0" applyNumberFormat="1" applyFont="1" applyBorder="1" applyAlignment="1" applyProtection="1">
      <alignment horizontal="left" vertical="top" wrapText="1"/>
      <protection locked="0"/>
    </xf>
    <xf numFmtId="0" fontId="2" fillId="0" borderId="4" xfId="0" applyNumberFormat="1" applyFont="1" applyBorder="1" applyAlignment="1" applyProtection="1">
      <alignment horizontal="left" vertical="top" wrapText="1"/>
      <protection locked="0"/>
    </xf>
    <xf numFmtId="0" fontId="2" fillId="0" borderId="5" xfId="0" applyNumberFormat="1" applyFont="1" applyBorder="1" applyAlignment="1" applyProtection="1">
      <alignment horizontal="left" vertical="top" wrapText="1"/>
      <protection locked="0"/>
    </xf>
    <xf numFmtId="0" fontId="2" fillId="0" borderId="6" xfId="0" applyNumberFormat="1" applyFont="1" applyBorder="1" applyAlignment="1" applyProtection="1">
      <alignment horizontal="left" vertical="top" wrapText="1"/>
      <protection locked="0"/>
    </xf>
    <xf numFmtId="0" fontId="2" fillId="0" borderId="2" xfId="206" applyNumberFormat="1" applyFont="1" applyFill="1" applyBorder="1" applyAlignment="1" applyProtection="1">
      <alignment horizontal="left" vertical="center" indent="1"/>
      <protection locked="0"/>
    </xf>
    <xf numFmtId="0" fontId="2" fillId="0" borderId="28" xfId="0" applyNumberFormat="1" applyFont="1" applyBorder="1" applyAlignment="1" applyProtection="1">
      <alignment horizontal="left" vertical="center" indent="1"/>
      <protection locked="0"/>
    </xf>
    <xf numFmtId="0" fontId="2" fillId="0" borderId="39" xfId="0" applyNumberFormat="1" applyFont="1" applyBorder="1" applyAlignment="1" applyProtection="1">
      <alignment horizontal="left" vertical="center" indent="1"/>
      <protection locked="0"/>
    </xf>
    <xf numFmtId="0" fontId="24" fillId="0" borderId="0" xfId="206" applyFont="1" applyFill="1" applyAlignment="1">
      <alignment horizontal="center" vertical="center"/>
    </xf>
    <xf numFmtId="0" fontId="2" fillId="0" borderId="46" xfId="206" applyNumberFormat="1" applyFont="1" applyFill="1" applyBorder="1" applyAlignment="1">
      <alignment horizontal="left" vertical="center" wrapText="1"/>
    </xf>
    <xf numFmtId="0" fontId="2" fillId="0" borderId="26" xfId="206" applyNumberFormat="1" applyFont="1" applyFill="1" applyBorder="1" applyAlignment="1">
      <alignment horizontal="left" vertical="center" wrapText="1"/>
    </xf>
    <xf numFmtId="0" fontId="2" fillId="0" borderId="27" xfId="206" applyNumberFormat="1" applyFont="1" applyFill="1" applyBorder="1" applyAlignment="1">
      <alignment horizontal="left" vertical="center" wrapText="1"/>
    </xf>
    <xf numFmtId="0" fontId="2" fillId="0" borderId="2" xfId="206" applyFont="1" applyFill="1" applyBorder="1" applyAlignment="1">
      <alignment horizontal="left" vertical="center" wrapText="1"/>
    </xf>
    <xf numFmtId="0" fontId="2" fillId="0" borderId="39" xfId="206" applyFont="1" applyFill="1" applyBorder="1" applyAlignment="1">
      <alignment horizontal="left" vertical="center" wrapText="1"/>
    </xf>
    <xf numFmtId="0" fontId="7" fillId="0" borderId="2" xfId="206" applyNumberFormat="1" applyFont="1" applyFill="1" applyBorder="1" applyAlignment="1" applyProtection="1">
      <alignment horizontal="center" vertical="center"/>
      <protection locked="0"/>
    </xf>
    <xf numFmtId="0" fontId="7" fillId="0" borderId="28" xfId="206" applyNumberFormat="1" applyFont="1" applyFill="1" applyBorder="1" applyAlignment="1" applyProtection="1">
      <alignment horizontal="center" vertical="center"/>
      <protection locked="0"/>
    </xf>
    <xf numFmtId="174" fontId="8" fillId="0" borderId="28" xfId="206" applyNumberFormat="1" applyFont="1" applyFill="1" applyBorder="1" applyAlignment="1" applyProtection="1">
      <alignment horizontal="left" vertical="center"/>
      <protection locked="0"/>
    </xf>
    <xf numFmtId="174" fontId="8" fillId="0" borderId="39" xfId="206" applyNumberFormat="1" applyFont="1" applyFill="1" applyBorder="1" applyAlignment="1" applyProtection="1">
      <alignment horizontal="left" vertical="center"/>
      <protection locked="0"/>
    </xf>
    <xf numFmtId="0" fontId="2" fillId="0" borderId="0" xfId="206" applyFont="1" applyAlignment="1">
      <alignment horizontal="justify" vertical="top" wrapText="1"/>
    </xf>
    <xf numFmtId="0" fontId="13" fillId="0" borderId="0" xfId="206" applyFont="1" applyAlignment="1">
      <alignment horizontal="center" vertical="center"/>
    </xf>
    <xf numFmtId="0" fontId="8" fillId="0" borderId="0" xfId="206" applyFont="1" applyAlignment="1">
      <alignment horizontal="center" vertical="center"/>
    </xf>
    <xf numFmtId="174" fontId="44" fillId="0" borderId="0" xfId="206" quotePrefix="1" applyNumberFormat="1" applyFont="1" applyAlignment="1">
      <alignment horizontal="left" vertical="center"/>
    </xf>
    <xf numFmtId="174" fontId="44" fillId="0" borderId="0" xfId="0" applyNumberFormat="1" applyFont="1" applyAlignment="1">
      <alignment horizontal="left" vertical="center"/>
    </xf>
    <xf numFmtId="0" fontId="2" fillId="0" borderId="0" xfId="206" applyFont="1" applyAlignment="1">
      <alignment horizontal="center" vertical="center"/>
    </xf>
    <xf numFmtId="3" fontId="3" fillId="0" borderId="0" xfId="206" applyNumberFormat="1" applyFont="1" applyAlignment="1">
      <alignment horizontal="center" vertical="center"/>
    </xf>
    <xf numFmtId="0" fontId="3" fillId="0" borderId="0" xfId="206" applyFont="1" applyAlignment="1">
      <alignment horizontal="center" vertical="center"/>
    </xf>
    <xf numFmtId="0" fontId="7" fillId="0" borderId="0" xfId="206" applyFont="1" applyAlignment="1">
      <alignment horizontal="center" vertical="center"/>
    </xf>
    <xf numFmtId="0" fontId="2" fillId="0" borderId="0" xfId="206" applyFont="1" applyAlignment="1" applyProtection="1">
      <alignment horizontal="left" vertical="top" wrapText="1"/>
      <protection locked="0"/>
    </xf>
    <xf numFmtId="167" fontId="2" fillId="0" borderId="5" xfId="206" applyNumberFormat="1" applyFont="1" applyBorder="1" applyAlignment="1">
      <alignment horizontal="left" vertical="center"/>
    </xf>
    <xf numFmtId="0" fontId="1" fillId="0" borderId="10" xfId="206" quotePrefix="1" applyNumberFormat="1" applyFont="1" applyFill="1" applyBorder="1" applyAlignment="1" applyProtection="1">
      <alignment horizontal="left" vertical="top" wrapText="1"/>
      <protection locked="0"/>
    </xf>
    <xf numFmtId="0" fontId="1" fillId="0" borderId="0" xfId="206" quotePrefix="1" applyNumberFormat="1" applyFont="1" applyFill="1" applyBorder="1" applyAlignment="1" applyProtection="1">
      <alignment horizontal="left" vertical="top" wrapText="1"/>
      <protection locked="0"/>
    </xf>
    <xf numFmtId="0" fontId="1" fillId="0" borderId="0" xfId="206" applyNumberFormat="1" applyFont="1" applyFill="1" applyBorder="1" applyAlignment="1" applyProtection="1">
      <alignment horizontal="left" vertical="center" wrapText="1"/>
      <protection locked="0"/>
    </xf>
    <xf numFmtId="0" fontId="1" fillId="0" borderId="12" xfId="206" applyNumberFormat="1" applyFont="1" applyFill="1" applyBorder="1" applyAlignment="1" applyProtection="1">
      <alignment horizontal="left" vertical="center" wrapText="1"/>
      <protection locked="0"/>
    </xf>
    <xf numFmtId="0" fontId="1" fillId="0" borderId="3" xfId="206" applyNumberFormat="1" applyFont="1" applyFill="1" applyBorder="1" applyAlignment="1" applyProtection="1">
      <alignment horizontal="left" vertical="center" wrapText="1"/>
      <protection locked="0"/>
    </xf>
    <xf numFmtId="0" fontId="1" fillId="0" borderId="24" xfId="206" applyNumberFormat="1" applyFont="1" applyFill="1" applyBorder="1" applyAlignment="1" applyProtection="1">
      <alignment horizontal="left" vertical="center" wrapText="1"/>
      <protection locked="0"/>
    </xf>
    <xf numFmtId="0" fontId="1" fillId="0" borderId="11" xfId="206" applyNumberFormat="1" applyFont="1" applyFill="1" applyBorder="1" applyAlignment="1" applyProtection="1">
      <alignment horizontal="left" vertical="top" wrapText="1"/>
      <protection locked="0"/>
    </xf>
    <xf numFmtId="0" fontId="1" fillId="0" borderId="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8" xfId="206" applyNumberFormat="1" applyFont="1" applyFill="1" applyBorder="1" applyAlignment="1">
      <alignment horizontal="center" vertical="center" wrapText="1"/>
    </xf>
    <xf numFmtId="0" fontId="1" fillId="0" borderId="39" xfId="206" applyNumberFormat="1" applyFont="1" applyFill="1" applyBorder="1" applyAlignment="1">
      <alignment horizontal="center" vertical="center" wrapText="1"/>
    </xf>
    <xf numFmtId="0" fontId="1" fillId="0" borderId="11" xfId="206" quotePrefix="1" applyNumberFormat="1" applyFont="1" applyFill="1" applyBorder="1" applyAlignment="1" applyProtection="1">
      <alignment horizontal="left" vertical="top" wrapText="1"/>
      <protection locked="0"/>
    </xf>
    <xf numFmtId="0" fontId="1" fillId="0" borderId="3" xfId="206" quotePrefix="1" applyNumberFormat="1" applyFont="1" applyFill="1" applyBorder="1" applyAlignment="1" applyProtection="1">
      <alignment horizontal="left" vertical="top" wrapText="1"/>
      <protection locked="0"/>
    </xf>
    <xf numFmtId="0" fontId="1" fillId="0" borderId="0" xfId="206" quotePrefix="1" applyNumberFormat="1" applyFont="1" applyFill="1" applyBorder="1" applyAlignment="1" applyProtection="1">
      <alignment horizontal="left" vertical="center" wrapText="1"/>
      <protection locked="0"/>
    </xf>
    <xf numFmtId="167" fontId="1" fillId="0" borderId="5" xfId="206" applyNumberFormat="1" applyFont="1" applyFill="1" applyBorder="1" applyAlignment="1" applyProtection="1">
      <alignment horizontal="left" vertical="center"/>
    </xf>
    <xf numFmtId="167" fontId="1" fillId="0" borderId="5" xfId="206" applyNumberFormat="1" applyFont="1" applyFill="1" applyBorder="1" applyAlignment="1" applyProtection="1">
      <alignment horizontal="left" vertical="center"/>
      <protection locked="0"/>
    </xf>
    <xf numFmtId="0" fontId="1" fillId="12" borderId="3" xfId="206" applyNumberFormat="1" applyFont="1" applyFill="1" applyBorder="1" applyAlignment="1" applyProtection="1">
      <alignment horizontal="left" vertical="center"/>
      <protection locked="0"/>
    </xf>
    <xf numFmtId="14" fontId="1" fillId="0" borderId="11" xfId="206" quotePrefix="1" applyNumberFormat="1" applyFont="1" applyFill="1" applyBorder="1" applyAlignment="1" applyProtection="1">
      <alignment horizontal="center" vertical="top"/>
      <protection locked="0"/>
    </xf>
    <xf numFmtId="14" fontId="1" fillId="0" borderId="3" xfId="206" applyNumberFormat="1" applyFont="1" applyFill="1" applyBorder="1" applyAlignment="1" applyProtection="1">
      <alignment horizontal="center" vertical="top"/>
      <protection locked="0"/>
    </xf>
    <xf numFmtId="14" fontId="1" fillId="0" borderId="24" xfId="206" applyNumberFormat="1" applyFont="1" applyFill="1" applyBorder="1" applyAlignment="1" applyProtection="1">
      <alignment horizontal="center" vertical="top"/>
      <protection locked="0"/>
    </xf>
    <xf numFmtId="0" fontId="1" fillId="0" borderId="5" xfId="206" applyNumberFormat="1" applyFont="1" applyFill="1" applyBorder="1" applyAlignment="1" applyProtection="1">
      <alignment horizontal="left" vertical="center" wrapText="1"/>
      <protection locked="0"/>
    </xf>
    <xf numFmtId="0" fontId="1" fillId="0" borderId="2" xfId="206" applyNumberFormat="1" applyFont="1" applyFill="1" applyBorder="1" applyAlignment="1">
      <alignment horizontal="center" vertical="center" wrapText="1"/>
    </xf>
    <xf numFmtId="167" fontId="1" fillId="0" borderId="0" xfId="206" applyNumberFormat="1" applyFont="1" applyFill="1" applyBorder="1" applyAlignment="1" applyProtection="1">
      <alignment horizontal="left" vertical="center"/>
      <protection locked="0"/>
    </xf>
    <xf numFmtId="0" fontId="1" fillId="0" borderId="46" xfId="206" applyNumberFormat="1" applyFont="1" applyFill="1" applyBorder="1" applyAlignment="1">
      <alignment horizontal="left" vertical="center" wrapText="1"/>
    </xf>
    <xf numFmtId="0" fontId="1" fillId="0" borderId="26" xfId="206" applyNumberFormat="1" applyFont="1" applyFill="1" applyBorder="1" applyAlignment="1">
      <alignment horizontal="left" vertical="center" wrapText="1"/>
    </xf>
    <xf numFmtId="0" fontId="1" fillId="0" borderId="27" xfId="206" applyNumberFormat="1" applyFont="1" applyFill="1" applyBorder="1" applyAlignment="1">
      <alignment horizontal="left" vertical="center" wrapText="1"/>
    </xf>
    <xf numFmtId="0" fontId="7" fillId="0" borderId="2" xfId="206" applyNumberFormat="1" applyFont="1" applyFill="1" applyBorder="1" applyAlignment="1" applyProtection="1">
      <alignment horizontal="left" vertical="center" wrapText="1"/>
      <protection locked="0"/>
    </xf>
    <xf numFmtId="0" fontId="7" fillId="0" borderId="28" xfId="206" applyNumberFormat="1" applyFont="1" applyFill="1" applyBorder="1" applyAlignment="1" applyProtection="1">
      <alignment horizontal="left" vertical="center" wrapText="1"/>
      <protection locked="0"/>
    </xf>
    <xf numFmtId="0" fontId="1" fillId="0" borderId="3" xfId="206" applyNumberFormat="1" applyFont="1" applyFill="1" applyBorder="1" applyAlignment="1">
      <alignment horizontal="left" vertical="center" wrapText="1"/>
    </xf>
    <xf numFmtId="0" fontId="1" fillId="0" borderId="0" xfId="206" applyNumberFormat="1" applyFont="1" applyFill="1" applyBorder="1" applyAlignment="1">
      <alignment horizontal="left" vertical="center" wrapText="1"/>
    </xf>
    <xf numFmtId="0" fontId="1" fillId="0" borderId="12" xfId="206" applyNumberFormat="1" applyFont="1" applyFill="1" applyBorder="1" applyAlignment="1">
      <alignment horizontal="left" vertical="center" wrapText="1"/>
    </xf>
    <xf numFmtId="0" fontId="1" fillId="0" borderId="2" xfId="206" applyFont="1" applyFill="1" applyBorder="1" applyAlignment="1">
      <alignment horizontal="left" vertical="center" wrapText="1"/>
    </xf>
    <xf numFmtId="0" fontId="1" fillId="0" borderId="39" xfId="206" applyFont="1" applyFill="1" applyBorder="1" applyAlignment="1">
      <alignment horizontal="left" vertical="center" wrapText="1"/>
    </xf>
    <xf numFmtId="0" fontId="1" fillId="0" borderId="2" xfId="206" applyNumberFormat="1" applyFont="1" applyFill="1" applyBorder="1" applyAlignment="1" applyProtection="1">
      <alignment horizontal="left" vertical="center" wrapText="1" indent="1"/>
      <protection locked="0"/>
    </xf>
    <xf numFmtId="0" fontId="1" fillId="0" borderId="28" xfId="0" applyNumberFormat="1" applyFont="1" applyBorder="1" applyAlignment="1" applyProtection="1">
      <alignment horizontal="left" vertical="center" wrapText="1" indent="1"/>
      <protection locked="0"/>
    </xf>
    <xf numFmtId="0" fontId="1" fillId="0" borderId="39" xfId="0" applyNumberFormat="1" applyFont="1" applyBorder="1" applyAlignment="1" applyProtection="1">
      <alignment horizontal="left" vertical="center" wrapText="1" indent="1"/>
      <protection locked="0"/>
    </xf>
    <xf numFmtId="0" fontId="37" fillId="0" borderId="0" xfId="206" applyFont="1" applyBorder="1" applyAlignment="1">
      <alignment horizontal="center" vertical="center"/>
    </xf>
    <xf numFmtId="0" fontId="5" fillId="0" borderId="0" xfId="206" applyFont="1" applyAlignment="1">
      <alignment horizontal="center" vertical="center"/>
    </xf>
    <xf numFmtId="0" fontId="8" fillId="0" borderId="0" xfId="206" applyFont="1" applyAlignment="1" applyProtection="1">
      <alignment horizontal="justify" vertical="top" wrapText="1"/>
      <protection locked="0"/>
    </xf>
    <xf numFmtId="0" fontId="8" fillId="0" borderId="0" xfId="206" applyFont="1" applyAlignment="1">
      <alignment horizontal="center" vertical="top" wrapText="1"/>
    </xf>
    <xf numFmtId="3" fontId="5" fillId="0" borderId="0" xfId="206" applyNumberFormat="1" applyFont="1" applyAlignment="1">
      <alignment horizontal="center" vertical="center"/>
    </xf>
    <xf numFmtId="0" fontId="8" fillId="0" borderId="0" xfId="206" applyFont="1" applyAlignment="1">
      <alignment horizontal="justify" vertical="top" wrapText="1"/>
    </xf>
    <xf numFmtId="0" fontId="60" fillId="0" borderId="0" xfId="206" applyFont="1" applyAlignment="1">
      <alignment horizontal="left" vertical="center"/>
    </xf>
    <xf numFmtId="0" fontId="29" fillId="0" borderId="0" xfId="0" applyFont="1" applyAlignment="1">
      <alignment horizontal="center"/>
    </xf>
    <xf numFmtId="0" fontId="36" fillId="0" borderId="0" xfId="206" applyFont="1" applyAlignment="1">
      <alignment horizontal="center" vertical="center"/>
    </xf>
    <xf numFmtId="0" fontId="8" fillId="0" borderId="0" xfId="0" applyFont="1" applyAlignment="1">
      <alignment horizontal="justify" vertical="top" wrapText="1"/>
    </xf>
    <xf numFmtId="3" fontId="11" fillId="0" borderId="10" xfId="206" applyNumberFormat="1" applyFont="1" applyFill="1" applyBorder="1" applyAlignment="1">
      <alignment horizontal="center" wrapText="1"/>
    </xf>
    <xf numFmtId="3" fontId="11" fillId="0" borderId="0" xfId="206" applyNumberFormat="1" applyFont="1" applyFill="1" applyBorder="1" applyAlignment="1">
      <alignment horizontal="center" wrapText="1"/>
    </xf>
    <xf numFmtId="3" fontId="11" fillId="0" borderId="12" xfId="206" applyNumberFormat="1" applyFont="1" applyFill="1" applyBorder="1" applyAlignment="1">
      <alignment horizontal="center" wrapText="1"/>
    </xf>
    <xf numFmtId="0" fontId="11" fillId="0" borderId="10" xfId="206" applyNumberFormat="1" applyFont="1" applyFill="1" applyBorder="1" applyAlignment="1">
      <alignment horizontal="center" wrapText="1"/>
    </xf>
    <xf numFmtId="0" fontId="11" fillId="0" borderId="0" xfId="206" applyNumberFormat="1" applyFont="1" applyFill="1" applyBorder="1" applyAlignment="1">
      <alignment horizontal="center" wrapText="1"/>
    </xf>
    <xf numFmtId="0" fontId="11" fillId="0" borderId="12" xfId="206" applyNumberFormat="1" applyFont="1" applyFill="1" applyBorder="1" applyAlignment="1">
      <alignment horizontal="center" wrapText="1"/>
    </xf>
    <xf numFmtId="173" fontId="10" fillId="0" borderId="4" xfId="206" applyNumberFormat="1" applyFont="1" applyFill="1" applyBorder="1" applyAlignment="1">
      <alignment horizontal="center" vertical="top" wrapText="1"/>
    </xf>
    <xf numFmtId="173" fontId="10" fillId="0" borderId="5" xfId="206" applyNumberFormat="1" applyFont="1" applyFill="1" applyBorder="1" applyAlignment="1">
      <alignment horizontal="center" vertical="top" wrapText="1"/>
    </xf>
    <xf numFmtId="173" fontId="10" fillId="0" borderId="6" xfId="206" applyNumberFormat="1" applyFont="1" applyFill="1" applyBorder="1" applyAlignment="1">
      <alignment horizontal="center" vertical="top" wrapText="1"/>
    </xf>
    <xf numFmtId="0" fontId="10" fillId="0" borderId="4" xfId="206" applyNumberFormat="1" applyFont="1" applyFill="1" applyBorder="1" applyAlignment="1">
      <alignment horizontal="center" vertical="top" wrapText="1"/>
    </xf>
    <xf numFmtId="0" fontId="10" fillId="0" borderId="5" xfId="206" applyNumberFormat="1" applyFont="1" applyFill="1" applyBorder="1" applyAlignment="1">
      <alignment horizontal="center" vertical="top" wrapText="1"/>
    </xf>
    <xf numFmtId="0" fontId="10" fillId="0" borderId="6" xfId="206" applyNumberFormat="1" applyFont="1" applyFill="1" applyBorder="1" applyAlignment="1">
      <alignment horizontal="center" vertical="top" wrapText="1"/>
    </xf>
    <xf numFmtId="0" fontId="10" fillId="0" borderId="4" xfId="206" applyNumberFormat="1" applyFont="1" applyFill="1" applyBorder="1" applyAlignment="1">
      <alignment horizontal="center" vertical="center" wrapText="1"/>
    </xf>
    <xf numFmtId="0" fontId="10" fillId="0" borderId="5" xfId="206" applyNumberFormat="1" applyFont="1" applyFill="1" applyBorder="1" applyAlignment="1">
      <alignment horizontal="center" vertical="center" wrapText="1"/>
    </xf>
    <xf numFmtId="0" fontId="10" fillId="0" borderId="6" xfId="206" applyNumberFormat="1" applyFont="1" applyFill="1" applyBorder="1" applyAlignment="1">
      <alignment horizontal="center" vertical="center" wrapText="1"/>
    </xf>
    <xf numFmtId="0" fontId="9" fillId="0" borderId="11" xfId="206" applyNumberFormat="1" applyFont="1" applyFill="1" applyBorder="1" applyAlignment="1">
      <alignment horizontal="justify" vertical="top" wrapText="1"/>
    </xf>
    <xf numFmtId="0" fontId="9" fillId="0" borderId="3" xfId="206" applyNumberFormat="1" applyFont="1" applyFill="1" applyBorder="1" applyAlignment="1">
      <alignment horizontal="justify" vertical="top" wrapText="1"/>
    </xf>
    <xf numFmtId="0" fontId="9" fillId="0" borderId="24" xfId="206" applyNumberFormat="1" applyFont="1" applyFill="1" applyBorder="1" applyAlignment="1">
      <alignment horizontal="justify" vertical="top" wrapText="1"/>
    </xf>
    <xf numFmtId="0" fontId="9" fillId="0" borderId="10" xfId="206" applyNumberFormat="1" applyFont="1" applyFill="1" applyBorder="1" applyAlignment="1">
      <alignment horizontal="justify" vertical="top" wrapText="1"/>
    </xf>
    <xf numFmtId="0" fontId="9" fillId="0" borderId="0" xfId="206" applyNumberFormat="1" applyFont="1" applyFill="1" applyBorder="1" applyAlignment="1">
      <alignment horizontal="justify" vertical="top" wrapText="1"/>
    </xf>
    <xf numFmtId="0" fontId="9" fillId="0" borderId="12" xfId="206" applyNumberFormat="1" applyFont="1" applyFill="1" applyBorder="1" applyAlignment="1">
      <alignment horizontal="justify" vertical="top" wrapText="1"/>
    </xf>
    <xf numFmtId="0" fontId="10" fillId="0" borderId="10" xfId="206" applyNumberFormat="1" applyFont="1" applyFill="1" applyBorder="1" applyAlignment="1">
      <alignment horizontal="center" wrapText="1"/>
    </xf>
    <xf numFmtId="0" fontId="10" fillId="0" borderId="0" xfId="206" applyNumberFormat="1" applyFont="1" applyFill="1" applyBorder="1" applyAlignment="1">
      <alignment horizontal="center" wrapText="1"/>
    </xf>
    <xf numFmtId="0" fontId="10" fillId="0" borderId="12" xfId="206" applyNumberFormat="1" applyFont="1" applyFill="1" applyBorder="1" applyAlignment="1">
      <alignment horizontal="center" wrapText="1"/>
    </xf>
    <xf numFmtId="0" fontId="9" fillId="0" borderId="10" xfId="206" applyNumberFormat="1" applyFont="1" applyFill="1" applyBorder="1" applyAlignment="1">
      <alignment horizontal="center" vertical="center" wrapText="1"/>
    </xf>
    <xf numFmtId="0" fontId="9" fillId="0" borderId="0" xfId="206" applyNumberFormat="1" applyFont="1" applyFill="1" applyBorder="1" applyAlignment="1">
      <alignment horizontal="center" vertical="center" wrapText="1"/>
    </xf>
    <xf numFmtId="0" fontId="9" fillId="0" borderId="12" xfId="206" applyNumberFormat="1" applyFont="1" applyFill="1" applyBorder="1" applyAlignment="1">
      <alignment horizontal="center" vertical="center" wrapText="1"/>
    </xf>
    <xf numFmtId="0" fontId="9" fillId="0" borderId="10" xfId="206" quotePrefix="1" applyNumberFormat="1" applyFont="1" applyFill="1" applyBorder="1" applyAlignment="1">
      <alignment horizontal="center" vertical="center" wrapText="1"/>
    </xf>
    <xf numFmtId="0" fontId="9" fillId="0" borderId="0" xfId="206" quotePrefix="1" applyNumberFormat="1" applyFont="1" applyFill="1" applyBorder="1" applyAlignment="1">
      <alignment horizontal="center" vertical="center" wrapText="1"/>
    </xf>
    <xf numFmtId="0" fontId="9" fillId="0" borderId="12" xfId="206" quotePrefix="1" applyNumberFormat="1" applyFont="1" applyFill="1" applyBorder="1" applyAlignment="1">
      <alignment horizontal="center" vertical="center" wrapText="1"/>
    </xf>
    <xf numFmtId="3" fontId="11" fillId="12" borderId="10" xfId="206" applyNumberFormat="1" applyFont="1" applyFill="1" applyBorder="1" applyAlignment="1">
      <alignment horizontal="center" wrapText="1"/>
    </xf>
    <xf numFmtId="3" fontId="11" fillId="12" borderId="0" xfId="206" applyNumberFormat="1" applyFont="1" applyFill="1" applyBorder="1" applyAlignment="1">
      <alignment horizontal="center" wrapText="1"/>
    </xf>
    <xf numFmtId="3" fontId="11" fillId="12" borderId="12" xfId="206" applyNumberFormat="1" applyFont="1" applyFill="1" applyBorder="1" applyAlignment="1">
      <alignment horizontal="center" wrapText="1"/>
    </xf>
    <xf numFmtId="173" fontId="10" fillId="12" borderId="4" xfId="206" applyNumberFormat="1" applyFont="1" applyFill="1" applyBorder="1" applyAlignment="1">
      <alignment horizontal="center" vertical="center" wrapText="1"/>
    </xf>
    <xf numFmtId="173" fontId="10" fillId="12" borderId="5" xfId="206" applyNumberFormat="1" applyFont="1" applyFill="1" applyBorder="1" applyAlignment="1">
      <alignment horizontal="center" vertical="center" wrapText="1"/>
    </xf>
    <xf numFmtId="173" fontId="10" fillId="12" borderId="6" xfId="206" applyNumberFormat="1" applyFont="1" applyFill="1" applyBorder="1" applyAlignment="1">
      <alignment horizontal="center" vertical="center" wrapText="1"/>
    </xf>
    <xf numFmtId="0" fontId="10" fillId="12" borderId="4" xfId="206" applyNumberFormat="1" applyFont="1" applyFill="1" applyBorder="1" applyAlignment="1">
      <alignment horizontal="center" vertical="center" wrapText="1"/>
    </xf>
    <xf numFmtId="0" fontId="10" fillId="12" borderId="5" xfId="206" applyNumberFormat="1" applyFont="1" applyFill="1" applyBorder="1" applyAlignment="1">
      <alignment horizontal="center" vertical="center" wrapText="1"/>
    </xf>
    <xf numFmtId="0" fontId="10" fillId="12" borderId="6" xfId="206" applyNumberFormat="1" applyFont="1" applyFill="1" applyBorder="1" applyAlignment="1">
      <alignment horizontal="center" vertical="center" wrapText="1"/>
    </xf>
    <xf numFmtId="0" fontId="9" fillId="0" borderId="10" xfId="206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206" applyNumberFormat="1" applyFont="1" applyFill="1" applyBorder="1" applyAlignment="1" applyProtection="1">
      <alignment horizontal="center" vertical="center" wrapText="1"/>
      <protection locked="0"/>
    </xf>
    <xf numFmtId="0" fontId="9" fillId="0" borderId="12" xfId="206" applyNumberFormat="1" applyFont="1" applyFill="1" applyBorder="1" applyAlignment="1" applyProtection="1">
      <alignment horizontal="center" vertical="center" wrapText="1"/>
      <protection locked="0"/>
    </xf>
    <xf numFmtId="173" fontId="10" fillId="0" borderId="4" xfId="206" applyNumberFormat="1" applyFont="1" applyFill="1" applyBorder="1" applyAlignment="1">
      <alignment horizontal="center" vertical="center" wrapText="1"/>
    </xf>
    <xf numFmtId="173" fontId="10" fillId="0" borderId="5" xfId="206" applyNumberFormat="1" applyFont="1" applyFill="1" applyBorder="1" applyAlignment="1">
      <alignment horizontal="center" vertical="center" wrapText="1"/>
    </xf>
    <xf numFmtId="173" fontId="10" fillId="0" borderId="6" xfId="206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0" fillId="0" borderId="28" xfId="0" applyNumberForma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41" fontId="7" fillId="0" borderId="2" xfId="208" applyNumberFormat="1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167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7" fillId="0" borderId="0" xfId="2" applyNumberFormat="1" applyFont="1" applyBorder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16" fillId="0" borderId="16" xfId="207" applyFont="1" applyBorder="1" applyAlignment="1">
      <alignment horizontal="left" indent="1"/>
    </xf>
    <xf numFmtId="0" fontId="16" fillId="0" borderId="21" xfId="207" applyFont="1" applyFill="1" applyBorder="1" applyAlignment="1">
      <alignment horizontal="left"/>
    </xf>
    <xf numFmtId="0" fontId="16" fillId="0" borderId="0" xfId="207" applyFont="1" applyFill="1" applyBorder="1" applyAlignment="1">
      <alignment horizontal="left"/>
    </xf>
    <xf numFmtId="0" fontId="16" fillId="0" borderId="12" xfId="207" applyFont="1" applyFill="1" applyBorder="1" applyAlignment="1">
      <alignment horizontal="left"/>
    </xf>
    <xf numFmtId="0" fontId="17" fillId="0" borderId="47" xfId="207" applyFont="1" applyBorder="1" applyAlignment="1">
      <alignment horizontal="center"/>
    </xf>
    <xf numFmtId="0" fontId="17" fillId="0" borderId="16" xfId="207" applyFont="1" applyBorder="1" applyAlignment="1">
      <alignment horizontal="center"/>
    </xf>
    <xf numFmtId="0" fontId="17" fillId="0" borderId="48" xfId="207" applyFont="1" applyBorder="1" applyAlignment="1">
      <alignment horizontal="center"/>
    </xf>
    <xf numFmtId="166" fontId="18" fillId="0" borderId="0" xfId="207" applyNumberFormat="1" applyFont="1" applyBorder="1" applyAlignment="1">
      <alignment horizontal="left"/>
    </xf>
    <xf numFmtId="0" fontId="16" fillId="0" borderId="21" xfId="207" applyFont="1" applyBorder="1" applyAlignment="1">
      <alignment horizontal="left" vertical="top"/>
    </xf>
    <xf numFmtId="0" fontId="16" fillId="0" borderId="0" xfId="207" applyFont="1" applyBorder="1" applyAlignment="1">
      <alignment horizontal="left" vertical="top"/>
    </xf>
    <xf numFmtId="0" fontId="16" fillId="0" borderId="12" xfId="207" applyFont="1" applyBorder="1" applyAlignment="1">
      <alignment horizontal="left" vertical="top"/>
    </xf>
    <xf numFmtId="0" fontId="16" fillId="0" borderId="0" xfId="207" applyFont="1" applyBorder="1" applyAlignment="1">
      <alignment horizontal="justify" vertical="top" wrapText="1"/>
    </xf>
    <xf numFmtId="0" fontId="0" fillId="0" borderId="0" xfId="0" applyAlignment="1"/>
    <xf numFmtId="0" fontId="20" fillId="0" borderId="0" xfId="207" applyFont="1" applyBorder="1" applyAlignment="1">
      <alignment horizontal="center"/>
    </xf>
    <xf numFmtId="0" fontId="20" fillId="0" borderId="12" xfId="207" applyFont="1" applyBorder="1" applyAlignment="1">
      <alignment horizontal="center"/>
    </xf>
    <xf numFmtId="0" fontId="16" fillId="0" borderId="0" xfId="207" applyFont="1" applyFill="1" applyBorder="1" applyAlignment="1">
      <alignment horizontal="center"/>
    </xf>
    <xf numFmtId="0" fontId="16" fillId="0" borderId="12" xfId="207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0" fillId="0" borderId="0" xfId="0" applyNumberFormat="1" applyFill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 applyProtection="1">
      <alignment horizontal="left" vertical="top" wrapText="1"/>
      <protection locked="0"/>
    </xf>
    <xf numFmtId="0" fontId="1" fillId="0" borderId="10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Fill="1" applyBorder="1" applyAlignment="1" applyProtection="1">
      <alignment horizontal="left" vertical="center" wrapText="1"/>
      <protection locked="0"/>
    </xf>
    <xf numFmtId="0" fontId="1" fillId="0" borderId="12" xfId="0" applyFont="1" applyFill="1" applyBorder="1" applyAlignment="1" applyProtection="1">
      <alignment horizontal="left" vertical="center" wrapText="1"/>
      <protection locked="0"/>
    </xf>
    <xf numFmtId="0" fontId="59" fillId="0" borderId="10" xfId="0" applyFont="1" applyFill="1" applyBorder="1" applyAlignment="1" applyProtection="1">
      <alignment horizontal="left" vertical="top" wrapText="1"/>
      <protection locked="0"/>
    </xf>
    <xf numFmtId="0" fontId="59" fillId="0" borderId="0" xfId="0" applyFont="1" applyFill="1" applyBorder="1" applyAlignment="1" applyProtection="1">
      <alignment horizontal="left" vertical="top" wrapText="1"/>
      <protection locked="0"/>
    </xf>
    <xf numFmtId="0" fontId="59" fillId="0" borderId="12" xfId="0" applyFont="1" applyFill="1" applyBorder="1" applyAlignment="1" applyProtection="1">
      <alignment horizontal="left" vertical="top" wrapText="1"/>
      <protection locked="0"/>
    </xf>
    <xf numFmtId="0" fontId="2" fillId="0" borderId="0" xfId="0" applyNumberFormat="1" applyFont="1" applyFill="1" applyAlignment="1" applyProtection="1">
      <alignment horizontal="left" vertical="top"/>
      <protection locked="0"/>
    </xf>
    <xf numFmtId="0" fontId="0" fillId="0" borderId="28" xfId="0" applyBorder="1" applyAlignment="1"/>
    <xf numFmtId="0" fontId="0" fillId="0" borderId="39" xfId="0" applyBorder="1" applyAlignment="1"/>
    <xf numFmtId="0" fontId="44" fillId="0" borderId="10" xfId="0" applyFont="1" applyFill="1" applyBorder="1" applyAlignment="1" applyProtection="1">
      <alignment horizontal="left" vertical="center" wrapText="1"/>
      <protection locked="0"/>
    </xf>
    <xf numFmtId="0" fontId="44" fillId="0" borderId="0" xfId="0" applyFont="1" applyFill="1" applyBorder="1" applyAlignment="1" applyProtection="1">
      <alignment horizontal="left" vertical="center" wrapText="1"/>
      <protection locked="0"/>
    </xf>
    <xf numFmtId="0" fontId="44" fillId="0" borderId="12" xfId="0" applyFont="1" applyFill="1" applyBorder="1" applyAlignment="1" applyProtection="1">
      <alignment horizontal="left" vertical="center" wrapText="1"/>
      <protection locked="0"/>
    </xf>
    <xf numFmtId="0" fontId="33" fillId="0" borderId="10" xfId="0" applyFont="1" applyFill="1" applyBorder="1" applyAlignment="1" applyProtection="1">
      <alignment horizontal="left" vertical="top" wrapText="1"/>
      <protection locked="0"/>
    </xf>
    <xf numFmtId="0" fontId="33" fillId="0" borderId="0" xfId="0" applyFont="1" applyFill="1" applyBorder="1" applyAlignment="1" applyProtection="1">
      <alignment horizontal="left" vertical="top" wrapText="1"/>
      <protection locked="0"/>
    </xf>
    <xf numFmtId="0" fontId="33" fillId="0" borderId="12" xfId="0" applyFont="1" applyFill="1" applyBorder="1" applyAlignment="1" applyProtection="1">
      <alignment horizontal="left" vertical="top" wrapText="1"/>
      <protection locked="0"/>
    </xf>
    <xf numFmtId="0" fontId="7" fillId="0" borderId="2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16" fillId="0" borderId="21" xfId="207" applyFont="1" applyBorder="1" applyAlignment="1">
      <alignment horizontal="left"/>
    </xf>
    <xf numFmtId="0" fontId="16" fillId="0" borderId="0" xfId="207" applyFont="1" applyBorder="1" applyAlignment="1">
      <alignment horizontal="left"/>
    </xf>
    <xf numFmtId="0" fontId="16" fillId="0" borderId="12" xfId="207" applyFont="1" applyBorder="1" applyAlignment="1">
      <alignment horizontal="left"/>
    </xf>
    <xf numFmtId="0" fontId="0" fillId="0" borderId="0" xfId="0" applyNumberFormat="1" applyAlignment="1" applyProtection="1">
      <alignment horizontal="left" vertical="top"/>
      <protection locked="0"/>
    </xf>
    <xf numFmtId="174" fontId="2" fillId="0" borderId="0" xfId="206" quotePrefix="1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</cellXfs>
  <cellStyles count="209">
    <cellStyle name="Comma" xfId="1" builtinId="3"/>
    <cellStyle name="Comma [0]" xfId="2" builtinId="6"/>
    <cellStyle name="Comma [0] 2" xfId="3"/>
    <cellStyle name="Comma [0] 2 2" xfId="4"/>
    <cellStyle name="Comma [0] 2 3" xfId="5"/>
    <cellStyle name="Comma [0] 2 4" xfId="6"/>
    <cellStyle name="Comma [0] 3 2" xfId="7"/>
    <cellStyle name="Comma [0] 3 3" xfId="8"/>
    <cellStyle name="Comma [0] 3 4" xfId="9"/>
    <cellStyle name="Comma [0] 3 5" xfId="10"/>
    <cellStyle name="Comma [0] 3 6" xfId="11"/>
    <cellStyle name="Comma 2" xfId="12"/>
    <cellStyle name="Comma 2 2" xfId="13"/>
    <cellStyle name="Comma 2 3" xfId="14"/>
    <cellStyle name="Comma 2 4" xfId="15"/>
    <cellStyle name="Comma 2 5" xfId="16"/>
    <cellStyle name="Comma 3 2" xfId="17"/>
    <cellStyle name="Comma 3 3" xfId="18"/>
    <cellStyle name="Comma 3 4" xfId="19"/>
    <cellStyle name="Comma 3 5" xfId="20"/>
    <cellStyle name="Comma 3 6" xfId="21"/>
    <cellStyle name="Comma 4" xfId="22"/>
    <cellStyle name="Comma 4 2" xfId="23"/>
    <cellStyle name="Comma 4 3" xfId="24"/>
    <cellStyle name="Comma 4 4" xfId="25"/>
    <cellStyle name="Comma 4 5" xfId="26"/>
    <cellStyle name="Comma 4 6" xfId="27"/>
    <cellStyle name="Normal" xfId="0" builtinId="0"/>
    <cellStyle name="Normal 14" xfId="28"/>
    <cellStyle name="Normal 17" xfId="29"/>
    <cellStyle name="Normal 2" xfId="30"/>
    <cellStyle name="Normal 2 10" xfId="31"/>
    <cellStyle name="Normal 2 11" xfId="32"/>
    <cellStyle name="Normal 2 12" xfId="33"/>
    <cellStyle name="Normal 2 13" xfId="34"/>
    <cellStyle name="Normal 2 14" xfId="35"/>
    <cellStyle name="Normal 2 15" xfId="36"/>
    <cellStyle name="Normal 2 16" xfId="37"/>
    <cellStyle name="Normal 2 17" xfId="38"/>
    <cellStyle name="Normal 2 18" xfId="39"/>
    <cellStyle name="Normal 2 19" xfId="40"/>
    <cellStyle name="Normal 2 2" xfId="41"/>
    <cellStyle name="Normal 2 20" xfId="42"/>
    <cellStyle name="Normal 2 21" xfId="43"/>
    <cellStyle name="Normal 2 22" xfId="44"/>
    <cellStyle name="Normal 2 23" xfId="45"/>
    <cellStyle name="Normal 2 24" xfId="46"/>
    <cellStyle name="Normal 2 25" xfId="47"/>
    <cellStyle name="Normal 2 26" xfId="48"/>
    <cellStyle name="Normal 2 27" xfId="49"/>
    <cellStyle name="Normal 2 28" xfId="50"/>
    <cellStyle name="Normal 2 29" xfId="51"/>
    <cellStyle name="Normal 2 3" xfId="52"/>
    <cellStyle name="Normal 2 30" xfId="53"/>
    <cellStyle name="Normal 2 31" xfId="54"/>
    <cellStyle name="Normal 2 32" xfId="55"/>
    <cellStyle name="Normal 2 33" xfId="56"/>
    <cellStyle name="Normal 2 34" xfId="57"/>
    <cellStyle name="Normal 2 35" xfId="58"/>
    <cellStyle name="Normal 2 36" xfId="59"/>
    <cellStyle name="Normal 2 37" xfId="60"/>
    <cellStyle name="Normal 2 38" xfId="61"/>
    <cellStyle name="Normal 2 39" xfId="62"/>
    <cellStyle name="Normal 2 4" xfId="63"/>
    <cellStyle name="Normal 2 40" xfId="64"/>
    <cellStyle name="Normal 2 41" xfId="65"/>
    <cellStyle name="Normal 2 42" xfId="66"/>
    <cellStyle name="Normal 2 43" xfId="67"/>
    <cellStyle name="Normal 2 44" xfId="68"/>
    <cellStyle name="Normal 2 45" xfId="69"/>
    <cellStyle name="Normal 2 46" xfId="70"/>
    <cellStyle name="Normal 2 47" xfId="71"/>
    <cellStyle name="Normal 2 48" xfId="72"/>
    <cellStyle name="Normal 2 49" xfId="73"/>
    <cellStyle name="Normal 2 5" xfId="74"/>
    <cellStyle name="Normal 2 50" xfId="75"/>
    <cellStyle name="Normal 2 51" xfId="76"/>
    <cellStyle name="Normal 2 52" xfId="77"/>
    <cellStyle name="Normal 2 53" xfId="78"/>
    <cellStyle name="Normal 2 54" xfId="79"/>
    <cellStyle name="Normal 2 55" xfId="80"/>
    <cellStyle name="Normal 2 56" xfId="81"/>
    <cellStyle name="Normal 2 57" xfId="82"/>
    <cellStyle name="Normal 2 58" xfId="83"/>
    <cellStyle name="Normal 2 59" xfId="84"/>
    <cellStyle name="Normal 2 6" xfId="85"/>
    <cellStyle name="Normal 2 60" xfId="86"/>
    <cellStyle name="Normal 2 61" xfId="87"/>
    <cellStyle name="Normal 2 62" xfId="88"/>
    <cellStyle name="Normal 2 63" xfId="89"/>
    <cellStyle name="Normal 2 64" xfId="90"/>
    <cellStyle name="Normal 2 65" xfId="91"/>
    <cellStyle name="Normal 2 66" xfId="92"/>
    <cellStyle name="Normal 2 67" xfId="93"/>
    <cellStyle name="Normal 2 68" xfId="94"/>
    <cellStyle name="Normal 2 69" xfId="95"/>
    <cellStyle name="Normal 2 7" xfId="96"/>
    <cellStyle name="Normal 2 70" xfId="97"/>
    <cellStyle name="Normal 2 71" xfId="98"/>
    <cellStyle name="Normal 2 72" xfId="99"/>
    <cellStyle name="Normal 2 73" xfId="100"/>
    <cellStyle name="Normal 2 74" xfId="101"/>
    <cellStyle name="Normal 2 75" xfId="102"/>
    <cellStyle name="Normal 2 76" xfId="103"/>
    <cellStyle name="Normal 2 77" xfId="104"/>
    <cellStyle name="Normal 2 78" xfId="105"/>
    <cellStyle name="Normal 2 79" xfId="106"/>
    <cellStyle name="Normal 2 8" xfId="107"/>
    <cellStyle name="Normal 2 80" xfId="108"/>
    <cellStyle name="Normal 2 81" xfId="109"/>
    <cellStyle name="Normal 2 9" xfId="110"/>
    <cellStyle name="Normal 20" xfId="111"/>
    <cellStyle name="Normal 21" xfId="112"/>
    <cellStyle name="Normal 22" xfId="113"/>
    <cellStyle name="Normal 23" xfId="114"/>
    <cellStyle name="Normal 24" xfId="115"/>
    <cellStyle name="Normal 25" xfId="116"/>
    <cellStyle name="Normal 26" xfId="117"/>
    <cellStyle name="Normal 27" xfId="118"/>
    <cellStyle name="Normal 28" xfId="119"/>
    <cellStyle name="Normal 29" xfId="120"/>
    <cellStyle name="Normal 3" xfId="121"/>
    <cellStyle name="Normal 3 2" xfId="122"/>
    <cellStyle name="Normal 3 2 2" xfId="123"/>
    <cellStyle name="Normal 3 2 3" xfId="124"/>
    <cellStyle name="Normal 3 2 4" xfId="125"/>
    <cellStyle name="Normal 3 2 5" xfId="126"/>
    <cellStyle name="Normal 3 2 6" xfId="127"/>
    <cellStyle name="Normal 3 3" xfId="128"/>
    <cellStyle name="Normal 3 4" xfId="129"/>
    <cellStyle name="Normal 3 5" xfId="130"/>
    <cellStyle name="Normal 3 6" xfId="131"/>
    <cellStyle name="Normal 30" xfId="132"/>
    <cellStyle name="Normal 31" xfId="133"/>
    <cellStyle name="Normal 32" xfId="134"/>
    <cellStyle name="Normal 33" xfId="135"/>
    <cellStyle name="Normal 34" xfId="136"/>
    <cellStyle name="Normal 35" xfId="137"/>
    <cellStyle name="Normal 36" xfId="138"/>
    <cellStyle name="Normal 37" xfId="139"/>
    <cellStyle name="Normal 38" xfId="140"/>
    <cellStyle name="Normal 39" xfId="141"/>
    <cellStyle name="Normal 4 2" xfId="142"/>
    <cellStyle name="Normal 4 3" xfId="143"/>
    <cellStyle name="Normal 4 4" xfId="144"/>
    <cellStyle name="Normal 4 5" xfId="145"/>
    <cellStyle name="Normal 4 6" xfId="146"/>
    <cellStyle name="Normal 4 7" xfId="147"/>
    <cellStyle name="Normal 40" xfId="148"/>
    <cellStyle name="Normal 41" xfId="149"/>
    <cellStyle name="Normal 42" xfId="150"/>
    <cellStyle name="Normal 43" xfId="151"/>
    <cellStyle name="Normal 44" xfId="152"/>
    <cellStyle name="Normal 45" xfId="153"/>
    <cellStyle name="Normal 46" xfId="154"/>
    <cellStyle name="Normal 47" xfId="155"/>
    <cellStyle name="Normal 48" xfId="156"/>
    <cellStyle name="Normal 49" xfId="157"/>
    <cellStyle name="Normal 5 2" xfId="158"/>
    <cellStyle name="Normal 5 3" xfId="159"/>
    <cellStyle name="Normal 5 4" xfId="160"/>
    <cellStyle name="Normal 5 5" xfId="161"/>
    <cellStyle name="Normal 5 6" xfId="162"/>
    <cellStyle name="Normal 50" xfId="163"/>
    <cellStyle name="Normal 51" xfId="164"/>
    <cellStyle name="Normal 52" xfId="165"/>
    <cellStyle name="Normal 53" xfId="166"/>
    <cellStyle name="Normal 54" xfId="167"/>
    <cellStyle name="Normal 55" xfId="168"/>
    <cellStyle name="Normal 56" xfId="169"/>
    <cellStyle name="Normal 57" xfId="170"/>
    <cellStyle name="Normal 58" xfId="171"/>
    <cellStyle name="Normal 59" xfId="172"/>
    <cellStyle name="Normal 6" xfId="173"/>
    <cellStyle name="Normal 60" xfId="174"/>
    <cellStyle name="Normal 61" xfId="175"/>
    <cellStyle name="Normal 62" xfId="176"/>
    <cellStyle name="Normal 63" xfId="177"/>
    <cellStyle name="Normal 64" xfId="178"/>
    <cellStyle name="Normal 65" xfId="179"/>
    <cellStyle name="Normal 66" xfId="180"/>
    <cellStyle name="Normal 67" xfId="181"/>
    <cellStyle name="Normal 68" xfId="182"/>
    <cellStyle name="Normal 69" xfId="183"/>
    <cellStyle name="Normal 7" xfId="184"/>
    <cellStyle name="Normal 70" xfId="185"/>
    <cellStyle name="Normal 71" xfId="186"/>
    <cellStyle name="Normal 72" xfId="187"/>
    <cellStyle name="Normal 73" xfId="188"/>
    <cellStyle name="Normal 74" xfId="189"/>
    <cellStyle name="Normal 75" xfId="190"/>
    <cellStyle name="Normal 76" xfId="191"/>
    <cellStyle name="Normal 77" xfId="192"/>
    <cellStyle name="Normal 78" xfId="193"/>
    <cellStyle name="Normal 79" xfId="194"/>
    <cellStyle name="Normal 8" xfId="195"/>
    <cellStyle name="Normal 80" xfId="196"/>
    <cellStyle name="Normal 81" xfId="197"/>
    <cellStyle name="Normal 82" xfId="198"/>
    <cellStyle name="Normal 83" xfId="199"/>
    <cellStyle name="Normal 84" xfId="200"/>
    <cellStyle name="Normal 85" xfId="201"/>
    <cellStyle name="Normal 86" xfId="202"/>
    <cellStyle name="Normal 87" xfId="203"/>
    <cellStyle name="Normal 88" xfId="204"/>
    <cellStyle name="Normal 9" xfId="205"/>
    <cellStyle name="Normal_Format SPPD ST" xfId="206"/>
    <cellStyle name="Normal_GU08-04" xfId="207"/>
    <cellStyle name="Normal_Honor_PCL_Ruta" xfId="20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36</xdr:row>
      <xdr:rowOff>76200</xdr:rowOff>
    </xdr:from>
    <xdr:to>
      <xdr:col>10</xdr:col>
      <xdr:colOff>0</xdr:colOff>
      <xdr:row>36</xdr:row>
      <xdr:rowOff>76200</xdr:rowOff>
    </xdr:to>
    <xdr:sp macro="" textlink="">
      <xdr:nvSpPr>
        <xdr:cNvPr id="211199" name="Line 1">
          <a:extLst>
            <a:ext uri="{FF2B5EF4-FFF2-40B4-BE49-F238E27FC236}">
              <a16:creationId xmlns="" xmlns:a16="http://schemas.microsoft.com/office/drawing/2014/main" id="{00000000-0008-0000-0500-0000FF380300}"/>
            </a:ext>
          </a:extLst>
        </xdr:cNvPr>
        <xdr:cNvSpPr>
          <a:spLocks noChangeShapeType="1"/>
        </xdr:cNvSpPr>
      </xdr:nvSpPr>
      <xdr:spPr bwMode="auto">
        <a:xfrm>
          <a:off x="6915150" y="69627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37</xdr:row>
      <xdr:rowOff>76200</xdr:rowOff>
    </xdr:from>
    <xdr:to>
      <xdr:col>10</xdr:col>
      <xdr:colOff>0</xdr:colOff>
      <xdr:row>37</xdr:row>
      <xdr:rowOff>76200</xdr:rowOff>
    </xdr:to>
    <xdr:sp macro="" textlink="">
      <xdr:nvSpPr>
        <xdr:cNvPr id="210175" name="Line 1">
          <a:extLst>
            <a:ext uri="{FF2B5EF4-FFF2-40B4-BE49-F238E27FC236}">
              <a16:creationId xmlns="" xmlns:a16="http://schemas.microsoft.com/office/drawing/2014/main" id="{00000000-0008-0000-0700-0000FF340300}"/>
            </a:ext>
          </a:extLst>
        </xdr:cNvPr>
        <xdr:cNvSpPr>
          <a:spLocks noChangeShapeType="1"/>
        </xdr:cNvSpPr>
      </xdr:nvSpPr>
      <xdr:spPr bwMode="auto">
        <a:xfrm>
          <a:off x="6905625" y="77628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57150</xdr:rowOff>
    </xdr:from>
    <xdr:to>
      <xdr:col>0</xdr:col>
      <xdr:colOff>1009650</xdr:colOff>
      <xdr:row>3</xdr:row>
      <xdr:rowOff>47625</xdr:rowOff>
    </xdr:to>
    <xdr:pic>
      <xdr:nvPicPr>
        <xdr:cNvPr id="212733" name="Picture 1" descr="Description: C:\Users\KHOIRIYAH\Documents\VCD\Logo BPS.gif">
          <a:extLst>
            <a:ext uri="{FF2B5EF4-FFF2-40B4-BE49-F238E27FC236}">
              <a16:creationId xmlns="" xmlns:a16="http://schemas.microsoft.com/office/drawing/2014/main" id="{00000000-0008-0000-0A00-0000FD3E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7150"/>
          <a:ext cx="85725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7327</xdr:colOff>
      <xdr:row>36</xdr:row>
      <xdr:rowOff>95745</xdr:rowOff>
    </xdr:from>
    <xdr:to>
      <xdr:col>10</xdr:col>
      <xdr:colOff>502627</xdr:colOff>
      <xdr:row>36</xdr:row>
      <xdr:rowOff>315057</xdr:rowOff>
    </xdr:to>
    <xdr:sp macro="" textlink="">
      <xdr:nvSpPr>
        <xdr:cNvPr id="4" name="Flowchart: Alternate Process 3">
          <a:extLst>
            <a:ext uri="{FF2B5EF4-FFF2-40B4-BE49-F238E27FC236}">
              <a16:creationId xmlns="" xmlns:a16="http://schemas.microsoft.com/office/drawing/2014/main" id="{00000000-0008-0000-0A00-000004000000}"/>
            </a:ext>
          </a:extLst>
        </xdr:cNvPr>
        <xdr:cNvSpPr/>
      </xdr:nvSpPr>
      <xdr:spPr>
        <a:xfrm flipV="1">
          <a:off x="7327" y="9151822"/>
          <a:ext cx="6246935" cy="219312"/>
        </a:xfrm>
        <a:prstGeom prst="flowChartAlternateProcess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 editAs="oneCell">
    <xdr:from>
      <xdr:col>12</xdr:col>
      <xdr:colOff>51954</xdr:colOff>
      <xdr:row>32</xdr:row>
      <xdr:rowOff>233797</xdr:rowOff>
    </xdr:from>
    <xdr:to>
      <xdr:col>14</xdr:col>
      <xdr:colOff>277092</xdr:colOff>
      <xdr:row>33</xdr:row>
      <xdr:rowOff>424296</xdr:rowOff>
    </xdr:to>
    <xdr:pic>
      <xdr:nvPicPr>
        <xdr:cNvPr id="5" name="Picture 4" descr="E:\ttd pak agus\ttd pak agus-0001.jpg">
          <a:extLst>
            <a:ext uri="{FF2B5EF4-FFF2-40B4-BE49-F238E27FC236}">
              <a16:creationId xmlns="" xmlns:a16="http://schemas.microsoft.com/office/drawing/2014/main" id="{00000000-0008-0000-0A00-000005000000}"/>
            </a:ext>
          </a:extLst>
        </xdr:cNvPr>
        <xdr:cNvPicPr/>
      </xdr:nvPicPr>
      <xdr:blipFill rotWithShape="1">
        <a:blip xmlns:r="http://schemas.openxmlformats.org/officeDocument/2006/relationships" r:embed="rId2" cstate="print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2137" b="77265" l="66566" r="79141">
                      <a14:foregroundMark x1="70919" y1="73205" x2="70919" y2="73205"/>
                      <a14:foregroundMark x1="70677" y1="74786" x2="70677" y2="74786"/>
                      <a14:foregroundMark x1="71100" y1="77265" x2="71100" y2="77265"/>
                      <a14:foregroundMark x1="79141" y1="75726" x2="79141" y2="75726"/>
                    </a14:backgroundRemoval>
                  </a14:imgEffect>
                  <a14:imgEffect>
                    <a14:artisticPhotocopy/>
                  </a14:imgEffect>
                  <a14:imgEffect>
                    <a14:colorTemperature colorTemp="53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6480" t="71565" r="19559" b="22384"/>
        <a:stretch/>
      </xdr:blipFill>
      <xdr:spPr bwMode="auto">
        <a:xfrm>
          <a:off x="6650181" y="7784524"/>
          <a:ext cx="891888" cy="57149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57150</xdr:rowOff>
    </xdr:from>
    <xdr:to>
      <xdr:col>2</xdr:col>
      <xdr:colOff>619125</xdr:colOff>
      <xdr:row>4</xdr:row>
      <xdr:rowOff>0</xdr:rowOff>
    </xdr:to>
    <xdr:pic>
      <xdr:nvPicPr>
        <xdr:cNvPr id="213502" name="Picture 1" descr="BPS">
          <a:extLst>
            <a:ext uri="{FF2B5EF4-FFF2-40B4-BE49-F238E27FC236}">
              <a16:creationId xmlns="" xmlns:a16="http://schemas.microsoft.com/office/drawing/2014/main" id="{00000000-0008-0000-0E00-0000FE41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7150"/>
          <a:ext cx="9144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57150</xdr:rowOff>
    </xdr:from>
    <xdr:to>
      <xdr:col>2</xdr:col>
      <xdr:colOff>619125</xdr:colOff>
      <xdr:row>4</xdr:row>
      <xdr:rowOff>0</xdr:rowOff>
    </xdr:to>
    <xdr:pic>
      <xdr:nvPicPr>
        <xdr:cNvPr id="214526" name="Picture 1" descr="BPS">
          <a:extLst>
            <a:ext uri="{FF2B5EF4-FFF2-40B4-BE49-F238E27FC236}">
              <a16:creationId xmlns="" xmlns:a16="http://schemas.microsoft.com/office/drawing/2014/main" id="{00000000-0008-0000-1A00-0000FE450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57150"/>
          <a:ext cx="10191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123825</xdr:colOff>
      <xdr:row>0</xdr:row>
      <xdr:rowOff>57150</xdr:rowOff>
    </xdr:from>
    <xdr:to>
      <xdr:col>2</xdr:col>
      <xdr:colOff>619125</xdr:colOff>
      <xdr:row>4</xdr:row>
      <xdr:rowOff>0</xdr:rowOff>
    </xdr:to>
    <xdr:pic>
      <xdr:nvPicPr>
        <xdr:cNvPr id="4" name="Picture 1" descr="BPS">
          <a:extLst>
            <a:ext uri="{FF2B5EF4-FFF2-40B4-BE49-F238E27FC236}">
              <a16:creationId xmlns="" xmlns:a16="http://schemas.microsoft.com/office/drawing/2014/main" id="{00000000-0008-0000-1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prstClr val="black"/>
            <a:schemeClr val="tx2">
              <a:tint val="45000"/>
              <a:satMod val="400000"/>
            </a:schemeClr>
          </a:duotone>
        </a:blip>
        <a:srcRect/>
        <a:stretch>
          <a:fillRect/>
        </a:stretch>
      </xdr:blipFill>
      <xdr:spPr bwMode="auto">
        <a:xfrm>
          <a:off x="123825" y="57150"/>
          <a:ext cx="101917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terbilang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terbilang"/>
    </sheetNames>
    <definedNames>
      <definedName name="terbilang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C11"/>
  <sheetViews>
    <sheetView showGridLines="0" workbookViewId="0">
      <selection activeCell="C11" sqref="C11"/>
    </sheetView>
  </sheetViews>
  <sheetFormatPr defaultRowHeight="12.75" x14ac:dyDescent="0.2"/>
  <cols>
    <col min="1" max="1" width="5" customWidth="1"/>
    <col min="2" max="2" width="4.28515625" customWidth="1"/>
  </cols>
  <sheetData>
    <row r="1" spans="1:3" x14ac:dyDescent="0.2">
      <c r="A1" s="293" t="s">
        <v>0</v>
      </c>
    </row>
    <row r="3" spans="1:3" x14ac:dyDescent="0.2">
      <c r="A3">
        <v>1</v>
      </c>
      <c r="B3" s="293" t="s">
        <v>1</v>
      </c>
    </row>
    <row r="4" spans="1:3" x14ac:dyDescent="0.2">
      <c r="B4" s="293" t="s">
        <v>2</v>
      </c>
      <c r="C4" s="293" t="s">
        <v>3</v>
      </c>
    </row>
    <row r="5" spans="1:3" x14ac:dyDescent="0.2">
      <c r="B5" s="293" t="s">
        <v>4</v>
      </c>
      <c r="C5" s="293" t="s">
        <v>5</v>
      </c>
    </row>
    <row r="6" spans="1:3" x14ac:dyDescent="0.2">
      <c r="C6" s="293" t="s">
        <v>6</v>
      </c>
    </row>
    <row r="7" spans="1:3" x14ac:dyDescent="0.2">
      <c r="A7">
        <v>2</v>
      </c>
      <c r="B7" s="293" t="s">
        <v>7</v>
      </c>
    </row>
    <row r="8" spans="1:3" x14ac:dyDescent="0.2">
      <c r="A8">
        <v>3</v>
      </c>
      <c r="B8" s="293" t="s">
        <v>8</v>
      </c>
    </row>
    <row r="9" spans="1:3" x14ac:dyDescent="0.2">
      <c r="A9">
        <v>4</v>
      </c>
      <c r="B9" s="293" t="s">
        <v>9</v>
      </c>
    </row>
    <row r="10" spans="1:3" x14ac:dyDescent="0.2">
      <c r="A10">
        <v>5</v>
      </c>
      <c r="B10" s="293" t="s">
        <v>10</v>
      </c>
    </row>
    <row r="11" spans="1:3" x14ac:dyDescent="0.2">
      <c r="A11">
        <v>6</v>
      </c>
      <c r="B11" s="29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Y20"/>
  <sheetViews>
    <sheetView workbookViewId="0">
      <selection activeCell="A17" sqref="A17:E17"/>
    </sheetView>
  </sheetViews>
  <sheetFormatPr defaultRowHeight="16.5" customHeight="1" x14ac:dyDescent="0.2"/>
  <cols>
    <col min="1" max="1" width="10.5703125" customWidth="1"/>
    <col min="2" max="3" width="4.140625" customWidth="1"/>
    <col min="4" max="4" width="9.7109375" customWidth="1"/>
    <col min="5" max="5" width="10.7109375" customWidth="1"/>
    <col min="6" max="7" width="4.5703125" customWidth="1"/>
    <col min="8" max="9" width="10.7109375" customWidth="1"/>
    <col min="10" max="11" width="4.140625" customWidth="1"/>
    <col min="12" max="13" width="10.7109375" customWidth="1"/>
    <col min="14" max="15" width="4" customWidth="1"/>
    <col min="16" max="17" width="10.42578125" customWidth="1"/>
    <col min="20" max="20" width="12.42578125" customWidth="1"/>
    <col min="21" max="21" width="23.140625" bestFit="1" customWidth="1"/>
    <col min="24" max="25" width="30.85546875" customWidth="1"/>
  </cols>
  <sheetData>
    <row r="1" spans="1:25" ht="16.5" customHeight="1" x14ac:dyDescent="0.2">
      <c r="A1" s="655" t="s">
        <v>12</v>
      </c>
      <c r="B1" s="655"/>
      <c r="C1" s="655"/>
      <c r="D1" s="655"/>
      <c r="E1" s="655"/>
      <c r="F1" s="655"/>
      <c r="G1" s="655"/>
      <c r="H1" s="655"/>
      <c r="I1" s="655"/>
      <c r="J1" s="655"/>
      <c r="K1" s="655"/>
      <c r="L1" s="655"/>
      <c r="M1" s="655"/>
      <c r="N1" s="655"/>
      <c r="O1" s="655"/>
      <c r="P1" s="655"/>
      <c r="Q1" s="655"/>
    </row>
    <row r="3" spans="1:25" ht="16.5" customHeight="1" x14ac:dyDescent="0.2">
      <c r="A3" s="656" t="s">
        <v>13</v>
      </c>
      <c r="B3" s="657" t="s">
        <v>14</v>
      </c>
      <c r="C3" s="657"/>
      <c r="D3" s="657"/>
      <c r="E3" s="657"/>
      <c r="F3" s="657" t="s">
        <v>15</v>
      </c>
      <c r="G3" s="657"/>
      <c r="H3" s="657"/>
      <c r="I3" s="657"/>
      <c r="J3" s="657" t="s">
        <v>16</v>
      </c>
      <c r="K3" s="657"/>
      <c r="L3" s="657"/>
      <c r="M3" s="657"/>
      <c r="N3" s="657" t="s">
        <v>17</v>
      </c>
      <c r="O3" s="657"/>
      <c r="P3" s="657"/>
      <c r="Q3" s="657"/>
      <c r="S3" s="659" t="s">
        <v>18</v>
      </c>
      <c r="T3" s="656"/>
      <c r="U3" s="656"/>
      <c r="V3" s="357"/>
    </row>
    <row r="4" spans="1:25" ht="30.75" customHeight="1" x14ac:dyDescent="0.2">
      <c r="A4" s="656"/>
      <c r="B4" s="658" t="s">
        <v>19</v>
      </c>
      <c r="C4" s="658"/>
      <c r="D4" s="490" t="s">
        <v>20</v>
      </c>
      <c r="E4" s="490" t="s">
        <v>21</v>
      </c>
      <c r="F4" s="658" t="s">
        <v>19</v>
      </c>
      <c r="G4" s="658"/>
      <c r="H4" s="490" t="s">
        <v>20</v>
      </c>
      <c r="I4" s="490" t="s">
        <v>21</v>
      </c>
      <c r="J4" s="658" t="s">
        <v>19</v>
      </c>
      <c r="K4" s="658"/>
      <c r="L4" s="490" t="s">
        <v>20</v>
      </c>
      <c r="M4" s="490" t="s">
        <v>21</v>
      </c>
      <c r="N4" s="658" t="s">
        <v>19</v>
      </c>
      <c r="O4" s="658"/>
      <c r="P4" s="490" t="s">
        <v>20</v>
      </c>
      <c r="Q4" s="490" t="s">
        <v>21</v>
      </c>
      <c r="S4" s="358" t="s">
        <v>22</v>
      </c>
      <c r="T4" s="358" t="s">
        <v>13</v>
      </c>
      <c r="U4" s="359" t="s">
        <v>23</v>
      </c>
      <c r="V4" s="357"/>
    </row>
    <row r="5" spans="1:25" ht="16.5" customHeight="1" x14ac:dyDescent="0.2">
      <c r="A5" s="353" t="s">
        <v>24</v>
      </c>
      <c r="B5" s="354">
        <v>8</v>
      </c>
      <c r="C5" s="489" t="s">
        <v>25</v>
      </c>
      <c r="D5" s="355">
        <v>75000</v>
      </c>
      <c r="E5" s="355">
        <f t="shared" ref="E5:E10" si="0">B5*D5</f>
        <v>600000</v>
      </c>
      <c r="F5" s="354">
        <v>6</v>
      </c>
      <c r="G5" s="489" t="s">
        <v>25</v>
      </c>
      <c r="H5" s="355">
        <v>75000</v>
      </c>
      <c r="I5" s="355">
        <f t="shared" ref="I5:I10" si="1">F5*H5</f>
        <v>450000</v>
      </c>
      <c r="J5" s="354">
        <v>3</v>
      </c>
      <c r="K5" s="489" t="s">
        <v>25</v>
      </c>
      <c r="L5" s="355">
        <v>75000</v>
      </c>
      <c r="M5" s="355">
        <f t="shared" ref="M5:M10" si="2">J5*L5</f>
        <v>225000</v>
      </c>
      <c r="N5" s="354">
        <v>7</v>
      </c>
      <c r="O5" s="489" t="s">
        <v>25</v>
      </c>
      <c r="P5" s="355">
        <v>75000</v>
      </c>
      <c r="Q5" s="355">
        <f t="shared" ref="Q5:Q10" si="3">N5*P5</f>
        <v>525000</v>
      </c>
      <c r="S5" s="360">
        <v>7601</v>
      </c>
      <c r="T5" s="361" t="s">
        <v>24</v>
      </c>
      <c r="U5" s="362">
        <v>3135000</v>
      </c>
      <c r="V5" s="357"/>
    </row>
    <row r="6" spans="1:25" ht="16.5" customHeight="1" x14ac:dyDescent="0.2">
      <c r="A6" s="353" t="s">
        <v>26</v>
      </c>
      <c r="B6" s="354">
        <v>9</v>
      </c>
      <c r="C6" s="489" t="s">
        <v>25</v>
      </c>
      <c r="D6" s="355">
        <v>75000</v>
      </c>
      <c r="E6" s="355">
        <f t="shared" si="0"/>
        <v>675000</v>
      </c>
      <c r="F6" s="354">
        <v>7</v>
      </c>
      <c r="G6" s="489" t="s">
        <v>25</v>
      </c>
      <c r="H6" s="355">
        <v>75000</v>
      </c>
      <c r="I6" s="355">
        <f t="shared" si="1"/>
        <v>525000</v>
      </c>
      <c r="J6" s="354">
        <v>4</v>
      </c>
      <c r="K6" s="489" t="s">
        <v>25</v>
      </c>
      <c r="L6" s="355">
        <v>75000</v>
      </c>
      <c r="M6" s="355">
        <f t="shared" si="2"/>
        <v>300000</v>
      </c>
      <c r="N6" s="354">
        <v>7</v>
      </c>
      <c r="O6" s="489" t="s">
        <v>25</v>
      </c>
      <c r="P6" s="355">
        <v>75000</v>
      </c>
      <c r="Q6" s="355">
        <f t="shared" si="3"/>
        <v>525000</v>
      </c>
      <c r="S6" s="360">
        <v>7603</v>
      </c>
      <c r="T6" s="361" t="s">
        <v>27</v>
      </c>
      <c r="U6" s="362">
        <v>5525000</v>
      </c>
      <c r="V6" s="357"/>
    </row>
    <row r="7" spans="1:25" ht="16.5" customHeight="1" x14ac:dyDescent="0.2">
      <c r="A7" s="353" t="s">
        <v>27</v>
      </c>
      <c r="B7" s="354">
        <v>8</v>
      </c>
      <c r="C7" s="489" t="s">
        <v>25</v>
      </c>
      <c r="D7" s="355">
        <v>75000</v>
      </c>
      <c r="E7" s="355">
        <f t="shared" si="0"/>
        <v>600000</v>
      </c>
      <c r="F7" s="354">
        <v>6</v>
      </c>
      <c r="G7" s="489" t="s">
        <v>25</v>
      </c>
      <c r="H7" s="355">
        <v>75000</v>
      </c>
      <c r="I7" s="355">
        <f t="shared" si="1"/>
        <v>450000</v>
      </c>
      <c r="J7" s="354">
        <v>3</v>
      </c>
      <c r="K7" s="489" t="s">
        <v>25</v>
      </c>
      <c r="L7" s="355">
        <v>75000</v>
      </c>
      <c r="M7" s="355">
        <f t="shared" si="2"/>
        <v>225000</v>
      </c>
      <c r="N7" s="354">
        <v>7</v>
      </c>
      <c r="O7" s="489" t="s">
        <v>25</v>
      </c>
      <c r="P7" s="355">
        <v>75000</v>
      </c>
      <c r="Q7" s="355">
        <f t="shared" si="3"/>
        <v>525000</v>
      </c>
      <c r="S7" s="360">
        <v>7604</v>
      </c>
      <c r="T7" s="361" t="s">
        <v>28</v>
      </c>
      <c r="U7" s="362">
        <v>3190000</v>
      </c>
      <c r="V7" s="357"/>
    </row>
    <row r="8" spans="1:25" ht="16.5" customHeight="1" x14ac:dyDescent="0.2">
      <c r="A8" s="353" t="s">
        <v>28</v>
      </c>
      <c r="B8" s="354">
        <v>9</v>
      </c>
      <c r="C8" s="489" t="s">
        <v>25</v>
      </c>
      <c r="D8" s="355">
        <v>75000</v>
      </c>
      <c r="E8" s="355">
        <f t="shared" si="0"/>
        <v>675000</v>
      </c>
      <c r="F8" s="354">
        <v>6</v>
      </c>
      <c r="G8" s="489" t="s">
        <v>25</v>
      </c>
      <c r="H8" s="355">
        <v>75000</v>
      </c>
      <c r="I8" s="355">
        <f t="shared" si="1"/>
        <v>450000</v>
      </c>
      <c r="J8" s="354">
        <v>3</v>
      </c>
      <c r="K8" s="489" t="s">
        <v>25</v>
      </c>
      <c r="L8" s="355">
        <v>75000</v>
      </c>
      <c r="M8" s="355">
        <f t="shared" si="2"/>
        <v>225000</v>
      </c>
      <c r="N8" s="354">
        <v>6</v>
      </c>
      <c r="O8" s="489" t="s">
        <v>25</v>
      </c>
      <c r="P8" s="355">
        <v>75000</v>
      </c>
      <c r="Q8" s="355">
        <f t="shared" si="3"/>
        <v>450000</v>
      </c>
      <c r="S8" s="360">
        <v>7605</v>
      </c>
      <c r="T8" s="361" t="s">
        <v>29</v>
      </c>
      <c r="U8" s="362">
        <v>3300000</v>
      </c>
      <c r="V8" s="357"/>
    </row>
    <row r="9" spans="1:25" ht="16.5" customHeight="1" x14ac:dyDescent="0.2">
      <c r="A9" s="353" t="s">
        <v>29</v>
      </c>
      <c r="B9" s="354">
        <v>8</v>
      </c>
      <c r="C9" s="489" t="s">
        <v>25</v>
      </c>
      <c r="D9" s="355">
        <v>75000</v>
      </c>
      <c r="E9" s="355">
        <f t="shared" si="0"/>
        <v>600000</v>
      </c>
      <c r="F9" s="354">
        <v>6</v>
      </c>
      <c r="G9" s="489" t="s">
        <v>25</v>
      </c>
      <c r="H9" s="355">
        <v>75000</v>
      </c>
      <c r="I9" s="355">
        <f t="shared" si="1"/>
        <v>450000</v>
      </c>
      <c r="J9" s="354">
        <v>4</v>
      </c>
      <c r="K9" s="489" t="s">
        <v>25</v>
      </c>
      <c r="L9" s="355">
        <v>75000</v>
      </c>
      <c r="M9" s="355">
        <f t="shared" si="2"/>
        <v>300000</v>
      </c>
      <c r="N9" s="354">
        <v>7</v>
      </c>
      <c r="O9" s="489" t="s">
        <v>25</v>
      </c>
      <c r="P9" s="355">
        <v>75000</v>
      </c>
      <c r="Q9" s="355">
        <f t="shared" si="3"/>
        <v>525000</v>
      </c>
      <c r="S9" s="360" t="s">
        <v>30</v>
      </c>
      <c r="T9" s="360"/>
      <c r="U9" s="362">
        <v>15150000</v>
      </c>
      <c r="V9" s="357"/>
    </row>
    <row r="10" spans="1:25" ht="16.5" customHeight="1" x14ac:dyDescent="0.2">
      <c r="A10" s="353" t="s">
        <v>31</v>
      </c>
      <c r="B10" s="354">
        <v>8</v>
      </c>
      <c r="C10" s="489" t="s">
        <v>25</v>
      </c>
      <c r="D10" s="355">
        <v>75000</v>
      </c>
      <c r="E10" s="355">
        <f t="shared" si="0"/>
        <v>600000</v>
      </c>
      <c r="F10" s="354">
        <v>6</v>
      </c>
      <c r="G10" s="489" t="s">
        <v>25</v>
      </c>
      <c r="H10" s="355">
        <v>75000</v>
      </c>
      <c r="I10" s="355">
        <f t="shared" si="1"/>
        <v>450000</v>
      </c>
      <c r="J10" s="354">
        <v>3</v>
      </c>
      <c r="K10" s="489" t="s">
        <v>25</v>
      </c>
      <c r="L10" s="355">
        <v>75000</v>
      </c>
      <c r="M10" s="355">
        <f t="shared" si="2"/>
        <v>225000</v>
      </c>
      <c r="N10" s="354">
        <v>6</v>
      </c>
      <c r="O10" s="489" t="s">
        <v>25</v>
      </c>
      <c r="P10" s="355">
        <v>75000</v>
      </c>
      <c r="Q10" s="355">
        <f t="shared" si="3"/>
        <v>450000</v>
      </c>
      <c r="V10" s="357"/>
    </row>
    <row r="11" spans="1:25" ht="16.5" customHeight="1" x14ac:dyDescent="0.2">
      <c r="A11" s="353" t="s">
        <v>32</v>
      </c>
      <c r="B11" s="354">
        <f>SUM(B5:B10)</f>
        <v>50</v>
      </c>
      <c r="C11" s="489" t="s">
        <v>25</v>
      </c>
      <c r="D11" s="355">
        <v>75000</v>
      </c>
      <c r="E11" s="356">
        <f>SUM(E5:E10)</f>
        <v>3750000</v>
      </c>
      <c r="F11" s="354">
        <f>SUM(F5:F10)</f>
        <v>37</v>
      </c>
      <c r="G11" s="489" t="s">
        <v>25</v>
      </c>
      <c r="H11" s="355">
        <v>75000</v>
      </c>
      <c r="I11" s="356">
        <f>SUM(I5:I10)</f>
        <v>2775000</v>
      </c>
      <c r="J11" s="354">
        <f>SUM(J5:J10)</f>
        <v>20</v>
      </c>
      <c r="K11" s="489" t="s">
        <v>25</v>
      </c>
      <c r="L11" s="355">
        <v>75000</v>
      </c>
      <c r="M11" s="356">
        <f>SUM(M5:M10)</f>
        <v>1500000</v>
      </c>
      <c r="N11" s="354">
        <f>SUM(N5:N10)</f>
        <v>40</v>
      </c>
      <c r="O11" s="489" t="s">
        <v>25</v>
      </c>
      <c r="P11" s="355">
        <v>75000</v>
      </c>
      <c r="Q11" s="356">
        <f>SUM(Q5:Q10)</f>
        <v>3000000</v>
      </c>
      <c r="X11" s="363"/>
    </row>
    <row r="12" spans="1:25" ht="16.5" customHeight="1" x14ac:dyDescent="0.2">
      <c r="X12" s="364"/>
      <c r="Y12" s="365"/>
    </row>
    <row r="13" spans="1:25" ht="16.5" customHeight="1" x14ac:dyDescent="0.2">
      <c r="A13" s="366" t="s">
        <v>33</v>
      </c>
    </row>
    <row r="14" spans="1:25" ht="16.5" customHeight="1" x14ac:dyDescent="0.2">
      <c r="A14" s="363"/>
    </row>
    <row r="15" spans="1:25" ht="16.5" customHeight="1" x14ac:dyDescent="0.2">
      <c r="A15" s="660" t="s">
        <v>34</v>
      </c>
      <c r="B15" s="660"/>
      <c r="C15" s="660"/>
      <c r="D15" s="660"/>
      <c r="E15" s="660"/>
      <c r="F15" s="660" t="s">
        <v>35</v>
      </c>
      <c r="G15" s="660"/>
      <c r="H15" s="660"/>
      <c r="I15" s="660"/>
      <c r="J15" s="660"/>
      <c r="K15" s="660"/>
    </row>
    <row r="16" spans="1:25" ht="16.5" customHeight="1" x14ac:dyDescent="0.2">
      <c r="A16" s="653" t="s">
        <v>15</v>
      </c>
      <c r="B16" s="653"/>
      <c r="C16" s="653"/>
      <c r="D16" s="653"/>
      <c r="E16" s="653"/>
      <c r="F16" s="654" t="s">
        <v>36</v>
      </c>
      <c r="G16" s="654"/>
      <c r="H16" s="654"/>
      <c r="I16" s="654"/>
      <c r="J16" s="654"/>
      <c r="K16" s="654"/>
    </row>
    <row r="17" spans="1:11" ht="16.5" customHeight="1" x14ac:dyDescent="0.2">
      <c r="A17" s="653" t="s">
        <v>16</v>
      </c>
      <c r="B17" s="653"/>
      <c r="C17" s="653"/>
      <c r="D17" s="653"/>
      <c r="E17" s="653"/>
      <c r="F17" s="654" t="s">
        <v>37</v>
      </c>
      <c r="G17" s="654"/>
      <c r="H17" s="654"/>
      <c r="I17" s="654"/>
      <c r="J17" s="654"/>
      <c r="K17" s="654"/>
    </row>
    <row r="18" spans="1:11" ht="16.5" customHeight="1" x14ac:dyDescent="0.2">
      <c r="A18" s="653" t="s">
        <v>17</v>
      </c>
      <c r="B18" s="653"/>
      <c r="C18" s="653"/>
      <c r="D18" s="653"/>
      <c r="E18" s="653"/>
      <c r="F18" s="654" t="s">
        <v>38</v>
      </c>
      <c r="G18" s="654"/>
      <c r="H18" s="654"/>
      <c r="I18" s="654"/>
      <c r="J18" s="654"/>
      <c r="K18" s="654"/>
    </row>
    <row r="19" spans="1:11" ht="16.5" customHeight="1" x14ac:dyDescent="0.2">
      <c r="A19" s="653" t="s">
        <v>18</v>
      </c>
      <c r="B19" s="653"/>
      <c r="C19" s="653"/>
      <c r="D19" s="653"/>
      <c r="E19" s="653"/>
      <c r="F19" s="654" t="s">
        <v>39</v>
      </c>
      <c r="G19" s="654"/>
      <c r="H19" s="654"/>
      <c r="I19" s="654"/>
      <c r="J19" s="654"/>
      <c r="K19" s="654"/>
    </row>
    <row r="20" spans="1:11" ht="16.5" customHeight="1" x14ac:dyDescent="0.2">
      <c r="A20" s="653" t="s">
        <v>14</v>
      </c>
      <c r="B20" s="653"/>
      <c r="C20" s="653"/>
      <c r="D20" s="653"/>
      <c r="E20" s="653"/>
      <c r="F20" s="654" t="s">
        <v>39</v>
      </c>
      <c r="G20" s="654"/>
      <c r="H20" s="654"/>
      <c r="I20" s="654"/>
      <c r="J20" s="654"/>
      <c r="K20" s="654"/>
    </row>
  </sheetData>
  <mergeCells count="23">
    <mergeCell ref="S3:U3"/>
    <mergeCell ref="A15:E15"/>
    <mergeCell ref="A17:E17"/>
    <mergeCell ref="A18:E18"/>
    <mergeCell ref="A19:E19"/>
    <mergeCell ref="F15:K15"/>
    <mergeCell ref="F16:K16"/>
    <mergeCell ref="F17:K17"/>
    <mergeCell ref="F18:K18"/>
    <mergeCell ref="A16:E16"/>
    <mergeCell ref="A20:E20"/>
    <mergeCell ref="F19:K19"/>
    <mergeCell ref="F20:K20"/>
    <mergeCell ref="A1:Q1"/>
    <mergeCell ref="A3:A4"/>
    <mergeCell ref="B3:E3"/>
    <mergeCell ref="F3:I3"/>
    <mergeCell ref="J3:M3"/>
    <mergeCell ref="N3:Q3"/>
    <mergeCell ref="B4:C4"/>
    <mergeCell ref="F4:G4"/>
    <mergeCell ref="J4:K4"/>
    <mergeCell ref="N4:O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view="pageBreakPreview" zoomScaleNormal="100" zoomScaleSheetLayoutView="100" workbookViewId="0">
      <selection activeCell="A4" sqref="A4"/>
    </sheetView>
  </sheetViews>
  <sheetFormatPr defaultColWidth="8.5703125" defaultRowHeight="12.75" x14ac:dyDescent="0.2"/>
  <cols>
    <col min="1" max="1" width="4" style="367" customWidth="1"/>
    <col min="2" max="2" width="24.140625" style="368" customWidth="1"/>
    <col min="3" max="3" width="20.28515625" style="368" customWidth="1"/>
    <col min="4" max="4" width="41.7109375" style="372" customWidth="1"/>
    <col min="5" max="5" width="21.42578125" style="370" customWidth="1"/>
    <col min="6" max="6" width="10.28515625" style="370" hidden="1" customWidth="1"/>
    <col min="7" max="7" width="10" style="371" hidden="1" customWidth="1"/>
    <col min="8" max="8" width="9.140625" style="372" hidden="1" customWidth="1"/>
    <col min="9" max="16384" width="8.5703125" style="368"/>
  </cols>
  <sheetData>
    <row r="1" spans="1:8" ht="13.5" thickBot="1" x14ac:dyDescent="0.25"/>
    <row r="2" spans="1:8" ht="20.25" customHeight="1" thickBot="1" x14ac:dyDescent="0.25">
      <c r="A2" s="491" t="s">
        <v>40</v>
      </c>
      <c r="B2" s="491" t="s">
        <v>41</v>
      </c>
      <c r="C2" s="491" t="s">
        <v>42</v>
      </c>
      <c r="D2" s="491" t="s">
        <v>43</v>
      </c>
      <c r="E2" s="661" t="s">
        <v>481</v>
      </c>
      <c r="F2" s="662"/>
      <c r="G2" s="663" t="s">
        <v>44</v>
      </c>
      <c r="H2" s="663"/>
    </row>
    <row r="3" spans="1:8" ht="15" customHeight="1" thickBot="1" x14ac:dyDescent="0.25">
      <c r="A3" s="488">
        <v>1</v>
      </c>
      <c r="B3" s="488">
        <v>2</v>
      </c>
      <c r="C3" s="488">
        <v>3</v>
      </c>
      <c r="D3" s="488">
        <v>4</v>
      </c>
      <c r="E3" s="488">
        <v>5</v>
      </c>
      <c r="F3" s="491" t="s">
        <v>45</v>
      </c>
      <c r="G3" s="373">
        <v>2016</v>
      </c>
      <c r="H3" s="374">
        <v>2017</v>
      </c>
    </row>
    <row r="4" spans="1:8" s="369" customFormat="1" ht="26.25" customHeight="1" x14ac:dyDescent="0.2">
      <c r="A4" s="430">
        <v>1</v>
      </c>
      <c r="B4" s="529" t="s">
        <v>468</v>
      </c>
      <c r="C4" s="530" t="s">
        <v>470</v>
      </c>
      <c r="D4" s="431" t="s">
        <v>46</v>
      </c>
      <c r="E4" s="430" t="s">
        <v>51</v>
      </c>
      <c r="F4" s="375" t="s">
        <v>47</v>
      </c>
      <c r="G4" s="376" t="s">
        <v>48</v>
      </c>
      <c r="H4" s="377"/>
    </row>
    <row r="5" spans="1:8" s="369" customFormat="1" ht="26.25" customHeight="1" x14ac:dyDescent="0.2">
      <c r="A5" s="421">
        <v>2</v>
      </c>
      <c r="B5" s="422" t="s">
        <v>49</v>
      </c>
      <c r="C5" s="422" t="s">
        <v>50</v>
      </c>
      <c r="D5" s="422" t="s">
        <v>498</v>
      </c>
      <c r="E5" s="423" t="s">
        <v>51</v>
      </c>
      <c r="F5" s="378">
        <v>42008</v>
      </c>
      <c r="G5" s="379"/>
      <c r="H5" s="380" t="s">
        <v>52</v>
      </c>
    </row>
    <row r="6" spans="1:8" s="369" customFormat="1" ht="26.25" customHeight="1" x14ac:dyDescent="0.2">
      <c r="A6" s="424">
        <v>3</v>
      </c>
      <c r="B6" s="425" t="s">
        <v>70</v>
      </c>
      <c r="C6" s="425" t="s">
        <v>71</v>
      </c>
      <c r="D6" s="425" t="s">
        <v>499</v>
      </c>
      <c r="E6" s="426" t="s">
        <v>72</v>
      </c>
      <c r="F6" s="378" t="s">
        <v>73</v>
      </c>
      <c r="G6" s="406"/>
      <c r="H6" s="386"/>
    </row>
    <row r="7" spans="1:8" s="369" customFormat="1" ht="25.5" customHeight="1" x14ac:dyDescent="0.2">
      <c r="A7" s="427">
        <v>4</v>
      </c>
      <c r="B7" s="439" t="s">
        <v>132</v>
      </c>
      <c r="C7" s="439" t="s">
        <v>133</v>
      </c>
      <c r="D7" s="440" t="s">
        <v>546</v>
      </c>
      <c r="E7" s="429" t="s">
        <v>134</v>
      </c>
      <c r="F7" s="378" t="s">
        <v>121</v>
      </c>
      <c r="G7" s="379" t="s">
        <v>122</v>
      </c>
      <c r="H7" s="380"/>
    </row>
    <row r="8" spans="1:8" s="369" customFormat="1" ht="26.25" customHeight="1" x14ac:dyDescent="0.2">
      <c r="A8" s="427">
        <v>5</v>
      </c>
      <c r="B8" s="439" t="s">
        <v>154</v>
      </c>
      <c r="C8" s="439" t="s">
        <v>155</v>
      </c>
      <c r="D8" s="440" t="s">
        <v>546</v>
      </c>
      <c r="E8" s="429" t="s">
        <v>134</v>
      </c>
      <c r="F8" s="640"/>
      <c r="G8" s="406"/>
      <c r="H8" s="386"/>
    </row>
    <row r="9" spans="1:8" s="369" customFormat="1" ht="26.25" customHeight="1" x14ac:dyDescent="0.2">
      <c r="A9" s="424">
        <v>6</v>
      </c>
      <c r="B9" s="425" t="s">
        <v>74</v>
      </c>
      <c r="C9" s="435" t="s">
        <v>75</v>
      </c>
      <c r="D9" s="425" t="s">
        <v>500</v>
      </c>
      <c r="E9" s="426" t="s">
        <v>55</v>
      </c>
      <c r="F9" s="378"/>
      <c r="G9" s="406"/>
      <c r="H9" s="386"/>
    </row>
    <row r="10" spans="1:8" x14ac:dyDescent="0.2">
      <c r="A10" s="427">
        <v>7</v>
      </c>
      <c r="B10" s="439" t="s">
        <v>148</v>
      </c>
      <c r="C10" s="439" t="s">
        <v>149</v>
      </c>
      <c r="D10" s="440" t="s">
        <v>545</v>
      </c>
      <c r="E10" s="429" t="s">
        <v>143</v>
      </c>
      <c r="F10" s="640"/>
      <c r="G10" s="385"/>
      <c r="H10" s="386"/>
    </row>
    <row r="11" spans="1:8" ht="26.25" customHeight="1" x14ac:dyDescent="0.2">
      <c r="A11" s="427">
        <v>8</v>
      </c>
      <c r="B11" s="439" t="s">
        <v>130</v>
      </c>
      <c r="C11" s="439" t="s">
        <v>131</v>
      </c>
      <c r="D11" s="440" t="s">
        <v>545</v>
      </c>
      <c r="E11" s="429" t="s">
        <v>125</v>
      </c>
      <c r="F11" s="378" t="s">
        <v>121</v>
      </c>
      <c r="G11" s="647" t="s">
        <v>122</v>
      </c>
      <c r="H11" s="380"/>
    </row>
    <row r="12" spans="1:8" ht="26.25" customHeight="1" x14ac:dyDescent="0.2">
      <c r="A12" s="427">
        <v>9</v>
      </c>
      <c r="B12" s="440" t="s">
        <v>527</v>
      </c>
      <c r="C12" s="439" t="s">
        <v>528</v>
      </c>
      <c r="D12" s="440" t="s">
        <v>545</v>
      </c>
      <c r="E12" s="429" t="s">
        <v>143</v>
      </c>
      <c r="F12" s="640"/>
      <c r="G12" s="385"/>
      <c r="H12" s="386"/>
    </row>
    <row r="13" spans="1:8" ht="26.25" customHeight="1" x14ac:dyDescent="0.2">
      <c r="A13" s="427">
        <v>10</v>
      </c>
      <c r="B13" s="439" t="s">
        <v>137</v>
      </c>
      <c r="C13" s="439" t="s">
        <v>138</v>
      </c>
      <c r="D13" s="440" t="s">
        <v>548</v>
      </c>
      <c r="E13" s="429" t="s">
        <v>125</v>
      </c>
      <c r="F13" s="640"/>
      <c r="G13" s="385"/>
      <c r="H13" s="386"/>
    </row>
    <row r="14" spans="1:8" ht="26.25" customHeight="1" x14ac:dyDescent="0.2">
      <c r="A14" s="427">
        <v>11</v>
      </c>
      <c r="B14" s="439" t="s">
        <v>167</v>
      </c>
      <c r="C14" s="439" t="s">
        <v>168</v>
      </c>
      <c r="D14" s="440" t="s">
        <v>548</v>
      </c>
      <c r="E14" s="429" t="s">
        <v>169</v>
      </c>
      <c r="F14" s="640"/>
      <c r="G14" s="385"/>
      <c r="H14" s="386"/>
    </row>
    <row r="15" spans="1:8" ht="26.25" customHeight="1" x14ac:dyDescent="0.2">
      <c r="A15" s="427">
        <v>12</v>
      </c>
      <c r="B15" s="428" t="s">
        <v>128</v>
      </c>
      <c r="C15" s="438" t="s">
        <v>129</v>
      </c>
      <c r="D15" s="428" t="s">
        <v>522</v>
      </c>
      <c r="E15" s="429" t="s">
        <v>125</v>
      </c>
      <c r="F15" s="378" t="s">
        <v>121</v>
      </c>
      <c r="G15" s="379" t="s">
        <v>122</v>
      </c>
      <c r="H15" s="380"/>
    </row>
    <row r="16" spans="1:8" s="369" customFormat="1" ht="26.25" customHeight="1" x14ac:dyDescent="0.2">
      <c r="A16" s="427">
        <v>13</v>
      </c>
      <c r="B16" s="440" t="s">
        <v>536</v>
      </c>
      <c r="C16" s="439" t="s">
        <v>540</v>
      </c>
      <c r="D16" s="440" t="s">
        <v>544</v>
      </c>
      <c r="E16" s="429" t="s">
        <v>143</v>
      </c>
      <c r="F16" s="640"/>
      <c r="G16" s="406"/>
      <c r="H16" s="386"/>
    </row>
    <row r="17" spans="1:8" s="369" customFormat="1" ht="26.25" customHeight="1" x14ac:dyDescent="0.2">
      <c r="A17" s="427">
        <v>14</v>
      </c>
      <c r="B17" s="439" t="s">
        <v>170</v>
      </c>
      <c r="C17" s="439" t="s">
        <v>171</v>
      </c>
      <c r="D17" s="440" t="s">
        <v>548</v>
      </c>
      <c r="E17" s="429" t="s">
        <v>134</v>
      </c>
      <c r="F17" s="640"/>
      <c r="G17" s="406"/>
      <c r="H17" s="386"/>
    </row>
    <row r="18" spans="1:8" s="369" customFormat="1" ht="26.25" customHeight="1" x14ac:dyDescent="0.2">
      <c r="A18" s="424">
        <v>15</v>
      </c>
      <c r="B18" s="425" t="s">
        <v>76</v>
      </c>
      <c r="C18" s="435" t="s">
        <v>77</v>
      </c>
      <c r="D18" s="425" t="s">
        <v>501</v>
      </c>
      <c r="E18" s="426" t="s">
        <v>55</v>
      </c>
      <c r="F18" s="378">
        <v>41643</v>
      </c>
      <c r="G18" s="379" t="s">
        <v>80</v>
      </c>
      <c r="H18" s="380"/>
    </row>
    <row r="19" spans="1:8" s="369" customFormat="1" x14ac:dyDescent="0.2">
      <c r="A19" s="427">
        <v>16</v>
      </c>
      <c r="B19" s="439" t="s">
        <v>144</v>
      </c>
      <c r="C19" s="439" t="s">
        <v>145</v>
      </c>
      <c r="D19" s="440" t="s">
        <v>549</v>
      </c>
      <c r="E19" s="429" t="s">
        <v>143</v>
      </c>
      <c r="F19" s="640"/>
      <c r="G19" s="406"/>
      <c r="H19" s="386"/>
    </row>
    <row r="20" spans="1:8" s="369" customFormat="1" ht="26.25" customHeight="1" x14ac:dyDescent="0.2">
      <c r="A20" s="427">
        <v>17</v>
      </c>
      <c r="B20" s="439" t="s">
        <v>141</v>
      </c>
      <c r="C20" s="439" t="s">
        <v>142</v>
      </c>
      <c r="D20" s="440" t="s">
        <v>549</v>
      </c>
      <c r="E20" s="429" t="s">
        <v>143</v>
      </c>
      <c r="F20" s="640"/>
      <c r="G20" s="406"/>
      <c r="H20" s="386"/>
    </row>
    <row r="21" spans="1:8" s="369" customFormat="1" ht="26.25" customHeight="1" x14ac:dyDescent="0.2">
      <c r="A21" s="427">
        <v>18</v>
      </c>
      <c r="B21" s="439" t="s">
        <v>152</v>
      </c>
      <c r="C21" s="439" t="s">
        <v>153</v>
      </c>
      <c r="D21" s="440" t="s">
        <v>549</v>
      </c>
      <c r="E21" s="429" t="s">
        <v>134</v>
      </c>
      <c r="F21" s="640"/>
      <c r="G21" s="406"/>
      <c r="H21" s="386"/>
    </row>
    <row r="22" spans="1:8" s="369" customFormat="1" ht="25.5" x14ac:dyDescent="0.2">
      <c r="A22" s="424">
        <v>19</v>
      </c>
      <c r="B22" s="436" t="s">
        <v>78</v>
      </c>
      <c r="C22" s="425" t="s">
        <v>79</v>
      </c>
      <c r="D22" s="425" t="s">
        <v>502</v>
      </c>
      <c r="E22" s="426" t="s">
        <v>72</v>
      </c>
      <c r="F22" s="378"/>
      <c r="G22" s="379"/>
      <c r="H22" s="380"/>
    </row>
    <row r="23" spans="1:8" s="369" customFormat="1" ht="36" customHeight="1" x14ac:dyDescent="0.2">
      <c r="A23" s="427">
        <v>20</v>
      </c>
      <c r="B23" s="440" t="s">
        <v>135</v>
      </c>
      <c r="C23" s="439" t="s">
        <v>136</v>
      </c>
      <c r="D23" s="440" t="s">
        <v>547</v>
      </c>
      <c r="E23" s="429" t="s">
        <v>134</v>
      </c>
      <c r="F23" s="643"/>
      <c r="G23" s="406"/>
      <c r="H23" s="386"/>
    </row>
    <row r="24" spans="1:8" s="369" customFormat="1" ht="36" customHeight="1" x14ac:dyDescent="0.2">
      <c r="A24" s="421">
        <v>21</v>
      </c>
      <c r="B24" s="433" t="s">
        <v>53</v>
      </c>
      <c r="C24" s="433" t="s">
        <v>54</v>
      </c>
      <c r="D24" s="422" t="s">
        <v>503</v>
      </c>
      <c r="E24" s="423" t="s">
        <v>55</v>
      </c>
      <c r="F24" s="378">
        <v>40547</v>
      </c>
      <c r="G24" s="379"/>
      <c r="H24" s="381" t="s">
        <v>56</v>
      </c>
    </row>
    <row r="25" spans="1:8" s="369" customFormat="1" ht="26.25" customHeight="1" x14ac:dyDescent="0.2">
      <c r="A25" s="424">
        <v>22</v>
      </c>
      <c r="B25" s="436" t="s">
        <v>474</v>
      </c>
      <c r="C25" s="436" t="s">
        <v>473</v>
      </c>
      <c r="D25" s="534" t="s">
        <v>509</v>
      </c>
      <c r="E25" s="426" t="s">
        <v>125</v>
      </c>
      <c r="F25" s="381"/>
      <c r="G25" s="379"/>
      <c r="H25" s="380"/>
    </row>
    <row r="26" spans="1:8" s="369" customFormat="1" ht="26.25" customHeight="1" x14ac:dyDescent="0.2">
      <c r="A26" s="427">
        <v>23</v>
      </c>
      <c r="B26" s="440" t="s">
        <v>535</v>
      </c>
      <c r="C26" s="439" t="s">
        <v>539</v>
      </c>
      <c r="D26" s="440" t="s">
        <v>543</v>
      </c>
      <c r="E26" s="429" t="s">
        <v>143</v>
      </c>
      <c r="F26" s="640"/>
      <c r="G26" s="406"/>
      <c r="H26" s="386"/>
    </row>
    <row r="27" spans="1:8" s="369" customFormat="1" ht="26.25" customHeight="1" x14ac:dyDescent="0.2">
      <c r="A27" s="424">
        <v>24</v>
      </c>
      <c r="B27" s="425" t="s">
        <v>81</v>
      </c>
      <c r="C27" s="425" t="s">
        <v>82</v>
      </c>
      <c r="D27" s="425" t="s">
        <v>507</v>
      </c>
      <c r="E27" s="426" t="s">
        <v>72</v>
      </c>
      <c r="F27" s="381">
        <v>42014</v>
      </c>
      <c r="G27" s="382" t="s">
        <v>83</v>
      </c>
      <c r="H27" s="380"/>
    </row>
    <row r="28" spans="1:8" s="369" customFormat="1" ht="26.25" customHeight="1" x14ac:dyDescent="0.2">
      <c r="A28" s="427">
        <v>25</v>
      </c>
      <c r="B28" s="439" t="s">
        <v>146</v>
      </c>
      <c r="C28" s="439" t="s">
        <v>147</v>
      </c>
      <c r="D28" s="440" t="s">
        <v>556</v>
      </c>
      <c r="E28" s="429" t="s">
        <v>134</v>
      </c>
      <c r="F28" s="640"/>
      <c r="G28" s="406"/>
      <c r="H28" s="386"/>
    </row>
    <row r="29" spans="1:8" s="369" customFormat="1" ht="26.25" customHeight="1" x14ac:dyDescent="0.2">
      <c r="A29" s="424">
        <v>26</v>
      </c>
      <c r="B29" s="425" t="s">
        <v>85</v>
      </c>
      <c r="C29" s="425" t="s">
        <v>86</v>
      </c>
      <c r="D29" s="425" t="s">
        <v>508</v>
      </c>
      <c r="E29" s="426" t="s">
        <v>72</v>
      </c>
      <c r="F29" s="381">
        <v>42008</v>
      </c>
      <c r="G29" s="379"/>
      <c r="H29" s="380" t="s">
        <v>84</v>
      </c>
    </row>
    <row r="30" spans="1:8" s="369" customFormat="1" ht="26.25" customHeight="1" x14ac:dyDescent="0.2">
      <c r="A30" s="427">
        <v>27</v>
      </c>
      <c r="B30" s="440" t="s">
        <v>156</v>
      </c>
      <c r="C30" s="439" t="s">
        <v>157</v>
      </c>
      <c r="D30" s="440" t="s">
        <v>550</v>
      </c>
      <c r="E30" s="429" t="s">
        <v>134</v>
      </c>
      <c r="F30" s="640"/>
      <c r="G30" s="406"/>
      <c r="H30" s="386"/>
    </row>
    <row r="31" spans="1:8" s="369" customFormat="1" ht="26.25" customHeight="1" x14ac:dyDescent="0.2">
      <c r="A31" s="421">
        <v>28</v>
      </c>
      <c r="B31" s="432" t="s">
        <v>57</v>
      </c>
      <c r="C31" s="432" t="s">
        <v>58</v>
      </c>
      <c r="D31" s="434" t="s">
        <v>504</v>
      </c>
      <c r="E31" s="423" t="s">
        <v>51</v>
      </c>
      <c r="F31" s="378" t="s">
        <v>59</v>
      </c>
      <c r="G31" s="382" t="s">
        <v>60</v>
      </c>
      <c r="H31" s="380"/>
    </row>
    <row r="32" spans="1:8" s="369" customFormat="1" ht="26.25" customHeight="1" x14ac:dyDescent="0.2">
      <c r="A32" s="547">
        <v>29</v>
      </c>
      <c r="B32" s="548" t="s">
        <v>87</v>
      </c>
      <c r="C32" s="548" t="s">
        <v>88</v>
      </c>
      <c r="D32" s="548" t="s">
        <v>530</v>
      </c>
      <c r="E32" s="549" t="s">
        <v>55</v>
      </c>
      <c r="F32" s="378" t="s">
        <v>73</v>
      </c>
      <c r="G32" s="406"/>
      <c r="H32" s="386"/>
    </row>
    <row r="33" spans="1:8" s="369" customFormat="1" ht="25.5" customHeight="1" x14ac:dyDescent="0.2">
      <c r="A33" s="427">
        <v>30</v>
      </c>
      <c r="B33" s="439" t="s">
        <v>139</v>
      </c>
      <c r="C33" s="439" t="s">
        <v>140</v>
      </c>
      <c r="D33" s="440" t="s">
        <v>523</v>
      </c>
      <c r="E33" s="429" t="s">
        <v>134</v>
      </c>
      <c r="F33" s="640"/>
      <c r="G33" s="406"/>
      <c r="H33" s="386"/>
    </row>
    <row r="34" spans="1:8" s="369" customFormat="1" ht="25.5" customHeight="1" x14ac:dyDescent="0.2">
      <c r="A34" s="424">
        <v>31</v>
      </c>
      <c r="B34" s="425" t="s">
        <v>91</v>
      </c>
      <c r="C34" s="425" t="s">
        <v>92</v>
      </c>
      <c r="D34" s="425" t="s">
        <v>510</v>
      </c>
      <c r="E34" s="426" t="s">
        <v>72</v>
      </c>
      <c r="F34" s="378" t="s">
        <v>89</v>
      </c>
      <c r="G34" s="383" t="s">
        <v>90</v>
      </c>
      <c r="H34" s="384"/>
    </row>
    <row r="35" spans="1:8" s="369" customFormat="1" ht="25.5" customHeight="1" x14ac:dyDescent="0.2">
      <c r="A35" s="427">
        <v>32</v>
      </c>
      <c r="B35" s="439" t="s">
        <v>160</v>
      </c>
      <c r="C35" s="439" t="s">
        <v>161</v>
      </c>
      <c r="D35" s="440" t="s">
        <v>552</v>
      </c>
      <c r="E35" s="429" t="s">
        <v>143</v>
      </c>
      <c r="F35" s="640"/>
      <c r="G35" s="406"/>
      <c r="H35" s="386"/>
    </row>
    <row r="36" spans="1:8" ht="25.5" customHeight="1" x14ac:dyDescent="0.2">
      <c r="A36" s="424">
        <v>33</v>
      </c>
      <c r="B36" s="425" t="s">
        <v>94</v>
      </c>
      <c r="C36" s="425" t="s">
        <v>95</v>
      </c>
      <c r="D36" s="425" t="s">
        <v>511</v>
      </c>
      <c r="E36" s="426" t="s">
        <v>55</v>
      </c>
      <c r="F36" s="641">
        <v>42008</v>
      </c>
      <c r="G36" s="646"/>
      <c r="H36" s="652" t="s">
        <v>93</v>
      </c>
    </row>
    <row r="37" spans="1:8" ht="25.5" customHeight="1" x14ac:dyDescent="0.2">
      <c r="A37" s="427">
        <v>34</v>
      </c>
      <c r="B37" s="428" t="s">
        <v>126</v>
      </c>
      <c r="C37" s="438" t="s">
        <v>127</v>
      </c>
      <c r="D37" s="428" t="s">
        <v>521</v>
      </c>
      <c r="E37" s="429" t="s">
        <v>125</v>
      </c>
      <c r="F37" s="641" t="s">
        <v>121</v>
      </c>
      <c r="G37" s="645" t="s">
        <v>122</v>
      </c>
      <c r="H37" s="650"/>
    </row>
    <row r="38" spans="1:8" ht="25.5" customHeight="1" x14ac:dyDescent="0.2">
      <c r="A38" s="421">
        <v>35</v>
      </c>
      <c r="B38" s="422" t="s">
        <v>61</v>
      </c>
      <c r="C38" s="422" t="s">
        <v>62</v>
      </c>
      <c r="D38" s="422" t="s">
        <v>505</v>
      </c>
      <c r="E38" s="423" t="s">
        <v>51</v>
      </c>
      <c r="F38" s="641" t="s">
        <v>63</v>
      </c>
      <c r="G38" s="645"/>
      <c r="H38" s="650" t="s">
        <v>64</v>
      </c>
    </row>
    <row r="39" spans="1:8" ht="25.5" customHeight="1" x14ac:dyDescent="0.2">
      <c r="A39" s="424">
        <v>36</v>
      </c>
      <c r="B39" s="425" t="s">
        <v>98</v>
      </c>
      <c r="C39" s="425" t="s">
        <v>99</v>
      </c>
      <c r="D39" s="425" t="s">
        <v>512</v>
      </c>
      <c r="E39" s="426" t="s">
        <v>55</v>
      </c>
      <c r="F39" s="642" t="s">
        <v>96</v>
      </c>
      <c r="G39" s="646"/>
      <c r="H39" s="651" t="s">
        <v>97</v>
      </c>
    </row>
    <row r="40" spans="1:8" ht="25.5" customHeight="1" x14ac:dyDescent="0.2">
      <c r="A40" s="427">
        <v>37</v>
      </c>
      <c r="B40" s="439" t="s">
        <v>158</v>
      </c>
      <c r="C40" s="439" t="s">
        <v>159</v>
      </c>
      <c r="D40" s="440" t="s">
        <v>551</v>
      </c>
      <c r="E40" s="429" t="s">
        <v>143</v>
      </c>
    </row>
    <row r="41" spans="1:8" ht="25.5" customHeight="1" x14ac:dyDescent="0.2">
      <c r="A41" s="427">
        <v>38</v>
      </c>
      <c r="B41" s="439" t="s">
        <v>165</v>
      </c>
      <c r="C41" s="439" t="s">
        <v>166</v>
      </c>
      <c r="D41" s="440" t="s">
        <v>551</v>
      </c>
      <c r="E41" s="429" t="s">
        <v>143</v>
      </c>
    </row>
    <row r="42" spans="1:8" ht="25.5" customHeight="1" x14ac:dyDescent="0.2">
      <c r="A42" s="424">
        <v>39</v>
      </c>
      <c r="B42" s="425" t="s">
        <v>105</v>
      </c>
      <c r="C42" s="425" t="s">
        <v>106</v>
      </c>
      <c r="D42" s="425" t="s">
        <v>515</v>
      </c>
      <c r="E42" s="426" t="s">
        <v>72</v>
      </c>
      <c r="F42" s="641">
        <v>42008</v>
      </c>
      <c r="G42" s="645"/>
      <c r="H42" s="650" t="s">
        <v>107</v>
      </c>
    </row>
    <row r="43" spans="1:8" ht="25.5" customHeight="1" x14ac:dyDescent="0.2">
      <c r="A43" s="424">
        <v>40</v>
      </c>
      <c r="B43" s="425" t="s">
        <v>101</v>
      </c>
      <c r="C43" s="425" t="s">
        <v>102</v>
      </c>
      <c r="D43" s="425" t="s">
        <v>513</v>
      </c>
      <c r="E43" s="426" t="s">
        <v>72</v>
      </c>
      <c r="F43" s="641">
        <v>41643</v>
      </c>
      <c r="G43" s="645"/>
      <c r="H43" s="650" t="s">
        <v>100</v>
      </c>
    </row>
    <row r="44" spans="1:8" ht="25.5" customHeight="1" x14ac:dyDescent="0.2">
      <c r="A44" s="427">
        <v>41</v>
      </c>
      <c r="B44" s="440" t="s">
        <v>534</v>
      </c>
      <c r="C44" s="439" t="s">
        <v>538</v>
      </c>
      <c r="D44" s="440" t="s">
        <v>542</v>
      </c>
      <c r="E44" s="429" t="s">
        <v>143</v>
      </c>
    </row>
    <row r="45" spans="1:8" ht="25.5" customHeight="1" x14ac:dyDescent="0.2">
      <c r="A45" s="421">
        <v>42</v>
      </c>
      <c r="B45" s="432" t="s">
        <v>65</v>
      </c>
      <c r="C45" s="432" t="s">
        <v>66</v>
      </c>
      <c r="D45" s="434" t="s">
        <v>506</v>
      </c>
      <c r="E45" s="423" t="s">
        <v>51</v>
      </c>
      <c r="F45" s="641">
        <v>41278</v>
      </c>
      <c r="G45" s="645"/>
      <c r="H45" s="650" t="s">
        <v>67</v>
      </c>
    </row>
    <row r="46" spans="1:8" ht="25.5" customHeight="1" x14ac:dyDescent="0.2">
      <c r="A46" s="424">
        <v>43</v>
      </c>
      <c r="B46" s="425" t="s">
        <v>108</v>
      </c>
      <c r="C46" s="425" t="s">
        <v>109</v>
      </c>
      <c r="D46" s="425" t="s">
        <v>514</v>
      </c>
      <c r="E46" s="426" t="s">
        <v>72</v>
      </c>
      <c r="F46" s="641" t="s">
        <v>103</v>
      </c>
      <c r="G46" s="645" t="s">
        <v>104</v>
      </c>
      <c r="H46" s="650"/>
    </row>
    <row r="47" spans="1:8" ht="25.5" customHeight="1" x14ac:dyDescent="0.2">
      <c r="A47" s="427">
        <v>44</v>
      </c>
      <c r="B47" s="440" t="s">
        <v>472</v>
      </c>
      <c r="C47" s="439" t="s">
        <v>471</v>
      </c>
      <c r="D47" s="440" t="s">
        <v>554</v>
      </c>
      <c r="E47" s="429" t="s">
        <v>134</v>
      </c>
    </row>
    <row r="48" spans="1:8" ht="25.5" customHeight="1" x14ac:dyDescent="0.2">
      <c r="A48" s="424">
        <v>45</v>
      </c>
      <c r="B48" s="425" t="s">
        <v>111</v>
      </c>
      <c r="C48" s="425" t="s">
        <v>112</v>
      </c>
      <c r="D48" s="425" t="s">
        <v>516</v>
      </c>
      <c r="E48" s="426" t="s">
        <v>72</v>
      </c>
      <c r="F48" s="641">
        <v>41278</v>
      </c>
      <c r="G48" s="645" t="s">
        <v>110</v>
      </c>
      <c r="H48" s="650"/>
    </row>
    <row r="49" spans="1:8" ht="25.5" customHeight="1" x14ac:dyDescent="0.2">
      <c r="A49" s="427">
        <v>46</v>
      </c>
      <c r="B49" s="440" t="s">
        <v>557</v>
      </c>
      <c r="C49" s="439" t="s">
        <v>558</v>
      </c>
      <c r="D49" s="440" t="s">
        <v>559</v>
      </c>
      <c r="E49" s="429" t="s">
        <v>134</v>
      </c>
    </row>
    <row r="50" spans="1:8" ht="25.5" customHeight="1" x14ac:dyDescent="0.2">
      <c r="A50" s="424">
        <v>47</v>
      </c>
      <c r="B50" s="425" t="s">
        <v>113</v>
      </c>
      <c r="C50" s="425" t="s">
        <v>114</v>
      </c>
      <c r="D50" s="425" t="s">
        <v>517</v>
      </c>
      <c r="E50" s="426" t="s">
        <v>72</v>
      </c>
      <c r="F50" s="641">
        <v>40912</v>
      </c>
      <c r="G50" s="648" t="s">
        <v>83</v>
      </c>
      <c r="H50" s="650"/>
    </row>
    <row r="51" spans="1:8" ht="25.5" customHeight="1" x14ac:dyDescent="0.2">
      <c r="A51" s="427">
        <v>48</v>
      </c>
      <c r="B51" s="440" t="s">
        <v>561</v>
      </c>
      <c r="C51" s="439" t="s">
        <v>562</v>
      </c>
      <c r="D51" s="440" t="s">
        <v>563</v>
      </c>
      <c r="E51" s="429" t="s">
        <v>143</v>
      </c>
    </row>
    <row r="52" spans="1:8" ht="25.5" customHeight="1" x14ac:dyDescent="0.2">
      <c r="A52" s="421">
        <v>49</v>
      </c>
      <c r="B52" s="432" t="s">
        <v>68</v>
      </c>
      <c r="C52" s="432" t="s">
        <v>69</v>
      </c>
      <c r="D52" s="434" t="s">
        <v>496</v>
      </c>
      <c r="E52" s="423" t="s">
        <v>51</v>
      </c>
      <c r="F52" s="641" t="s">
        <v>63</v>
      </c>
      <c r="G52" s="644"/>
      <c r="H52" s="650" t="s">
        <v>64</v>
      </c>
    </row>
    <row r="53" spans="1:8" ht="25.5" customHeight="1" x14ac:dyDescent="0.2">
      <c r="A53" s="424">
        <v>50</v>
      </c>
      <c r="B53" s="425" t="s">
        <v>116</v>
      </c>
      <c r="C53" s="425" t="s">
        <v>117</v>
      </c>
      <c r="D53" s="425" t="s">
        <v>518</v>
      </c>
      <c r="E53" s="426" t="s">
        <v>72</v>
      </c>
      <c r="F53" s="641">
        <v>42008</v>
      </c>
      <c r="G53" s="645"/>
      <c r="H53" s="650" t="s">
        <v>115</v>
      </c>
    </row>
    <row r="54" spans="1:8" ht="25.5" customHeight="1" x14ac:dyDescent="0.2">
      <c r="A54" s="424">
        <v>51</v>
      </c>
      <c r="B54" s="425" t="s">
        <v>119</v>
      </c>
      <c r="C54" s="437" t="s">
        <v>120</v>
      </c>
      <c r="D54" s="425" t="s">
        <v>519</v>
      </c>
      <c r="E54" s="426" t="s">
        <v>72</v>
      </c>
      <c r="F54" s="641">
        <v>42008</v>
      </c>
      <c r="G54" s="645"/>
      <c r="H54" s="650" t="s">
        <v>118</v>
      </c>
    </row>
    <row r="55" spans="1:8" ht="31.5" customHeight="1" x14ac:dyDescent="0.2">
      <c r="A55" s="427">
        <v>52</v>
      </c>
      <c r="B55" s="439" t="s">
        <v>150</v>
      </c>
      <c r="C55" s="439" t="s">
        <v>151</v>
      </c>
      <c r="D55" s="440" t="s">
        <v>524</v>
      </c>
      <c r="E55" s="429" t="s">
        <v>134</v>
      </c>
    </row>
    <row r="56" spans="1:8" ht="31.5" customHeight="1" x14ac:dyDescent="0.2">
      <c r="A56" s="424">
        <v>53</v>
      </c>
      <c r="B56" s="425" t="s">
        <v>123</v>
      </c>
      <c r="C56" s="437" t="s">
        <v>124</v>
      </c>
      <c r="D56" s="425" t="s">
        <v>520</v>
      </c>
      <c r="E56" s="426" t="s">
        <v>125</v>
      </c>
      <c r="F56" s="641" t="s">
        <v>121</v>
      </c>
      <c r="G56" s="645" t="s">
        <v>122</v>
      </c>
      <c r="H56" s="650"/>
    </row>
    <row r="57" spans="1:8" ht="31.5" customHeight="1" x14ac:dyDescent="0.2">
      <c r="A57" s="427">
        <v>54</v>
      </c>
      <c r="B57" s="439" t="s">
        <v>162</v>
      </c>
      <c r="C57" s="439" t="s">
        <v>163</v>
      </c>
      <c r="D57" s="440" t="s">
        <v>553</v>
      </c>
      <c r="E57" s="429" t="s">
        <v>164</v>
      </c>
    </row>
    <row r="58" spans="1:8" ht="31.5" customHeight="1" x14ac:dyDescent="0.2">
      <c r="A58" s="427">
        <v>55</v>
      </c>
      <c r="B58" s="440" t="s">
        <v>537</v>
      </c>
      <c r="C58" s="439" t="s">
        <v>541</v>
      </c>
      <c r="D58" s="440" t="s">
        <v>560</v>
      </c>
      <c r="E58" s="429" t="s">
        <v>143</v>
      </c>
    </row>
    <row r="59" spans="1:8" ht="32.1" customHeight="1" x14ac:dyDescent="0.2">
      <c r="A59" s="427">
        <v>56</v>
      </c>
      <c r="B59" s="439" t="s">
        <v>478</v>
      </c>
      <c r="C59" s="439" t="s">
        <v>480</v>
      </c>
      <c r="D59" s="440" t="s">
        <v>555</v>
      </c>
      <c r="E59" s="429" t="s">
        <v>143</v>
      </c>
    </row>
    <row r="60" spans="1:8" ht="32.1" customHeight="1" x14ac:dyDescent="0.2">
      <c r="A60" s="547">
        <v>57</v>
      </c>
      <c r="B60" s="550" t="s">
        <v>479</v>
      </c>
      <c r="C60" s="551" t="s">
        <v>477</v>
      </c>
      <c r="D60" s="552" t="s">
        <v>529</v>
      </c>
      <c r="E60" s="548" t="s">
        <v>51</v>
      </c>
      <c r="F60" s="641" t="s">
        <v>73</v>
      </c>
      <c r="G60" s="644"/>
      <c r="H60" s="649"/>
    </row>
    <row r="61" spans="1:8" ht="32.1" customHeight="1" x14ac:dyDescent="0.2">
      <c r="A61" s="547">
        <v>58</v>
      </c>
      <c r="B61" s="548" t="s">
        <v>532</v>
      </c>
      <c r="C61" s="548" t="s">
        <v>533</v>
      </c>
      <c r="D61" s="548" t="s">
        <v>564</v>
      </c>
      <c r="E61" s="548" t="s">
        <v>51</v>
      </c>
      <c r="F61" s="641"/>
      <c r="G61" s="644"/>
      <c r="H61" s="649"/>
    </row>
    <row r="62" spans="1:8" x14ac:dyDescent="0.2">
      <c r="A62" s="427"/>
      <c r="B62" s="440"/>
      <c r="C62" s="439"/>
      <c r="D62" s="440"/>
      <c r="E62" s="429"/>
    </row>
    <row r="63" spans="1:8" x14ac:dyDescent="0.2">
      <c r="B63" s="631"/>
      <c r="C63" s="631"/>
      <c r="D63" s="632"/>
      <c r="E63" s="633"/>
    </row>
  </sheetData>
  <sortState ref="A3:H61">
    <sortCondition ref="A4"/>
  </sortState>
  <mergeCells count="2">
    <mergeCell ref="E2:F2"/>
    <mergeCell ref="G2:H2"/>
  </mergeCells>
  <pageMargins left="0.7" right="0.7" top="0.75" bottom="0.75" header="0.3" footer="0.3"/>
  <pageSetup paperSize="9" scale="85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7030A0"/>
  </sheetPr>
  <dimension ref="A1:AY5"/>
  <sheetViews>
    <sheetView view="pageBreakPreview" zoomScaleNormal="90" zoomScaleSheetLayoutView="100" workbookViewId="0">
      <pane xSplit="4" ySplit="2" topLeftCell="AJ3" activePane="bottomRight" state="frozen"/>
      <selection pane="topRight" activeCell="E1" sqref="E1"/>
      <selection pane="bottomLeft" activeCell="A3" sqref="A3"/>
      <selection pane="bottomRight" activeCell="AY3" sqref="AY3"/>
    </sheetView>
  </sheetViews>
  <sheetFormatPr defaultColWidth="9.140625" defaultRowHeight="27.75" customHeight="1" x14ac:dyDescent="0.2"/>
  <cols>
    <col min="1" max="1" width="4.7109375" style="469" customWidth="1"/>
    <col min="2" max="2" width="7.5703125" style="475" bestFit="1" customWidth="1"/>
    <col min="3" max="3" width="6.42578125" style="475" customWidth="1"/>
    <col min="4" max="4" width="5.85546875" style="468" customWidth="1"/>
    <col min="5" max="5" width="18" style="471" customWidth="1"/>
    <col min="6" max="6" width="19.85546875" style="471" customWidth="1"/>
    <col min="7" max="7" width="12.140625" style="471" customWidth="1"/>
    <col min="8" max="8" width="28.5703125" style="471" customWidth="1"/>
    <col min="9" max="9" width="9" style="468" customWidth="1"/>
    <col min="10" max="10" width="28.7109375" style="470" customWidth="1"/>
    <col min="11" max="11" width="9.28515625" style="471" customWidth="1"/>
    <col min="12" max="12" width="8.7109375" style="471" customWidth="1"/>
    <col min="13" max="13" width="12.140625" style="471" customWidth="1"/>
    <col min="14" max="14" width="9" style="468" customWidth="1"/>
    <col min="15" max="16" width="12.28515625" style="472" customWidth="1"/>
    <col min="17" max="17" width="12.28515625" style="471" customWidth="1"/>
    <col min="18" max="18" width="7.85546875" style="468" bestFit="1" customWidth="1"/>
    <col min="19" max="19" width="13.140625" style="471" customWidth="1"/>
    <col min="20" max="20" width="7.85546875" style="473" customWidth="1"/>
    <col min="21" max="21" width="11.7109375" style="473" customWidth="1"/>
    <col min="22" max="22" width="18.42578125" style="473" customWidth="1"/>
    <col min="23" max="23" width="18.28515625" style="473" customWidth="1"/>
    <col min="24" max="24" width="11.5703125" style="528" customWidth="1"/>
    <col min="25" max="25" width="13.28515625" style="475" customWidth="1"/>
    <col min="26" max="26" width="12.85546875" style="475" customWidth="1"/>
    <col min="27" max="27" width="13.5703125" style="474" customWidth="1"/>
    <col min="28" max="28" width="12.85546875" style="474" customWidth="1"/>
    <col min="29" max="30" width="12.28515625" style="474" customWidth="1"/>
    <col min="31" max="31" width="10.7109375" style="476" customWidth="1"/>
    <col min="32" max="32" width="7.7109375" style="477" customWidth="1"/>
    <col min="33" max="33" width="10.85546875" style="476" customWidth="1"/>
    <col min="34" max="34" width="8.140625" style="477" customWidth="1"/>
    <col min="35" max="35" width="10" style="476" bestFit="1" customWidth="1"/>
    <col min="36" max="36" width="11.85546875" style="471" customWidth="1"/>
    <col min="37" max="37" width="11.85546875" style="473" customWidth="1"/>
    <col min="38" max="38" width="11.85546875" style="531" customWidth="1"/>
    <col min="39" max="39" width="11.85546875" style="473" customWidth="1"/>
    <col min="40" max="40" width="11.85546875" style="485" customWidth="1"/>
    <col min="41" max="42" width="11.85546875" style="388" customWidth="1"/>
    <col min="43" max="43" width="11.85546875" style="487" customWidth="1"/>
    <col min="44" max="44" width="9.140625" style="222"/>
    <col min="45" max="45" width="5.140625" style="222" customWidth="1"/>
    <col min="46" max="46" width="13" style="222" customWidth="1"/>
    <col min="47" max="47" width="19.5703125" style="222" customWidth="1"/>
    <col min="48" max="48" width="21.85546875" style="222" customWidth="1"/>
    <col min="49" max="49" width="21.140625" style="222" customWidth="1"/>
    <col min="50" max="50" width="35.42578125" style="222" customWidth="1"/>
    <col min="51" max="51" width="17.42578125" style="222" customWidth="1"/>
    <col min="52" max="16384" width="9.140625" style="222"/>
  </cols>
  <sheetData>
    <row r="1" spans="1:51" s="404" customFormat="1" ht="45" customHeight="1" x14ac:dyDescent="0.2">
      <c r="A1" s="492" t="s">
        <v>40</v>
      </c>
      <c r="B1" s="402" t="s">
        <v>172</v>
      </c>
      <c r="C1" s="664" t="s">
        <v>462</v>
      </c>
      <c r="D1" s="664"/>
      <c r="E1" s="492" t="s">
        <v>173</v>
      </c>
      <c r="F1" s="492" t="s">
        <v>41</v>
      </c>
      <c r="G1" s="492" t="s">
        <v>174</v>
      </c>
      <c r="H1" s="492" t="s">
        <v>43</v>
      </c>
      <c r="I1" s="492" t="s">
        <v>464</v>
      </c>
      <c r="J1" s="492" t="s">
        <v>175</v>
      </c>
      <c r="K1" s="492" t="s">
        <v>463</v>
      </c>
      <c r="L1" s="492" t="s">
        <v>176</v>
      </c>
      <c r="M1" s="492" t="s">
        <v>177</v>
      </c>
      <c r="N1" s="492" t="s">
        <v>178</v>
      </c>
      <c r="O1" s="492" t="s">
        <v>179</v>
      </c>
      <c r="P1" s="492" t="s">
        <v>465</v>
      </c>
      <c r="Q1" s="492" t="s">
        <v>180</v>
      </c>
      <c r="R1" s="492" t="s">
        <v>181</v>
      </c>
      <c r="S1" s="492" t="s">
        <v>182</v>
      </c>
      <c r="T1" s="493" t="s">
        <v>183</v>
      </c>
      <c r="U1" s="493" t="s">
        <v>482</v>
      </c>
      <c r="V1" s="493" t="s">
        <v>184</v>
      </c>
      <c r="W1" s="493" t="s">
        <v>185</v>
      </c>
      <c r="X1" s="520" t="s">
        <v>186</v>
      </c>
      <c r="Y1" s="402" t="s">
        <v>483</v>
      </c>
      <c r="Z1" s="493" t="s">
        <v>187</v>
      </c>
      <c r="AA1" s="493" t="s">
        <v>188</v>
      </c>
      <c r="AB1" s="493" t="s">
        <v>189</v>
      </c>
      <c r="AC1" s="666" t="s">
        <v>43</v>
      </c>
      <c r="AD1" s="666"/>
      <c r="AE1" s="403" t="s">
        <v>190</v>
      </c>
      <c r="AF1" s="403" t="s">
        <v>485</v>
      </c>
      <c r="AG1" s="403" t="s">
        <v>484</v>
      </c>
      <c r="AH1" s="403" t="s">
        <v>486</v>
      </c>
      <c r="AI1" s="403" t="s">
        <v>487</v>
      </c>
      <c r="AJ1" s="492" t="s">
        <v>191</v>
      </c>
      <c r="AK1" s="493" t="s">
        <v>488</v>
      </c>
      <c r="AL1" s="482" t="s">
        <v>489</v>
      </c>
      <c r="AM1" s="493" t="s">
        <v>490</v>
      </c>
      <c r="AN1" s="482" t="s">
        <v>491</v>
      </c>
      <c r="AO1" s="493" t="s">
        <v>492</v>
      </c>
      <c r="AP1" s="482" t="s">
        <v>493</v>
      </c>
      <c r="AQ1" s="482" t="s">
        <v>476</v>
      </c>
      <c r="AS1" s="665" t="s">
        <v>467</v>
      </c>
      <c r="AT1" s="665"/>
      <c r="AU1" s="665"/>
      <c r="AV1" s="665"/>
    </row>
    <row r="2" spans="1:51" s="405" customFormat="1" ht="14.25" customHeight="1" x14ac:dyDescent="0.2">
      <c r="A2" s="415">
        <v>1</v>
      </c>
      <c r="B2" s="448">
        <v>2</v>
      </c>
      <c r="C2" s="415">
        <v>3</v>
      </c>
      <c r="D2" s="448">
        <v>4</v>
      </c>
      <c r="E2" s="415">
        <v>5</v>
      </c>
      <c r="F2" s="448">
        <v>6</v>
      </c>
      <c r="G2" s="415">
        <v>7</v>
      </c>
      <c r="H2" s="448">
        <v>8</v>
      </c>
      <c r="I2" s="492">
        <v>9</v>
      </c>
      <c r="J2" s="448">
        <v>10</v>
      </c>
      <c r="K2" s="415">
        <v>11</v>
      </c>
      <c r="L2" s="448">
        <v>12</v>
      </c>
      <c r="M2" s="415">
        <v>13</v>
      </c>
      <c r="N2" s="448">
        <v>14</v>
      </c>
      <c r="O2" s="415">
        <v>15</v>
      </c>
      <c r="P2" s="448">
        <v>16</v>
      </c>
      <c r="Q2" s="415">
        <v>17</v>
      </c>
      <c r="R2" s="448">
        <v>18</v>
      </c>
      <c r="S2" s="415">
        <v>19</v>
      </c>
      <c r="T2" s="448">
        <v>20</v>
      </c>
      <c r="U2" s="415">
        <v>21</v>
      </c>
      <c r="V2" s="448">
        <v>22</v>
      </c>
      <c r="W2" s="415">
        <v>23</v>
      </c>
      <c r="X2" s="448">
        <v>24</v>
      </c>
      <c r="Y2" s="415">
        <v>25</v>
      </c>
      <c r="Z2" s="448">
        <v>26</v>
      </c>
      <c r="AA2" s="415">
        <v>27</v>
      </c>
      <c r="AB2" s="415">
        <v>28</v>
      </c>
      <c r="AC2" s="415">
        <v>29</v>
      </c>
      <c r="AD2" s="415">
        <v>30</v>
      </c>
      <c r="AE2" s="448">
        <v>31</v>
      </c>
      <c r="AF2" s="415">
        <v>32</v>
      </c>
      <c r="AG2" s="415">
        <v>33</v>
      </c>
      <c r="AH2" s="415">
        <v>34</v>
      </c>
      <c r="AI2" s="415">
        <v>35</v>
      </c>
      <c r="AJ2" s="415">
        <v>36</v>
      </c>
      <c r="AK2" s="481">
        <v>37</v>
      </c>
      <c r="AL2" s="486">
        <v>38</v>
      </c>
      <c r="AM2" s="481">
        <v>39</v>
      </c>
      <c r="AN2" s="486">
        <v>40</v>
      </c>
      <c r="AO2" s="481">
        <v>41</v>
      </c>
      <c r="AP2" s="481">
        <v>42</v>
      </c>
      <c r="AQ2" s="486">
        <v>43</v>
      </c>
    </row>
    <row r="3" spans="1:51" s="407" customFormat="1" ht="51" x14ac:dyDescent="0.2">
      <c r="A3" s="630">
        <v>1</v>
      </c>
      <c r="B3" s="449"/>
      <c r="C3" s="449"/>
      <c r="D3" s="450"/>
      <c r="E3" s="451" t="e">
        <f>VLOOKUP(B3,'Data Pegawai'!A$4:E$96,3)</f>
        <v>#N/A</v>
      </c>
      <c r="F3" s="451" t="e">
        <f>VLOOKUP(B3,'Data Pegawai'!A$4:E$96,2)</f>
        <v>#N/A</v>
      </c>
      <c r="G3" s="451" t="e">
        <f>VLOOKUP(B3,'Data Pegawai'!$A$4:E$96,5)</f>
        <v>#N/A</v>
      </c>
      <c r="H3" s="451" t="e">
        <f>VLOOKUP(B3,'Data Pegawai'!A$4:E$96,4)</f>
        <v>#N/A</v>
      </c>
      <c r="I3" s="452" t="s">
        <v>497</v>
      </c>
      <c r="J3" s="453"/>
      <c r="K3" s="454"/>
      <c r="L3" s="454" t="s">
        <v>28</v>
      </c>
      <c r="M3" s="454"/>
      <c r="N3" s="452"/>
      <c r="O3" s="455"/>
      <c r="P3" s="455"/>
      <c r="Q3" s="454" t="s">
        <v>193</v>
      </c>
      <c r="R3" s="456"/>
      <c r="S3" s="457"/>
      <c r="T3" s="458"/>
      <c r="U3" s="458"/>
      <c r="V3" s="459" t="e">
        <f>VLOOKUP(U3,$AS$3:$AV$5,3)</f>
        <v>#N/A</v>
      </c>
      <c r="W3" s="459" t="e">
        <f>VLOOKUP(U3,$AS$3:$AV$5,4)</f>
        <v>#N/A</v>
      </c>
      <c r="X3" s="460"/>
      <c r="Y3" s="461">
        <v>1</v>
      </c>
      <c r="Z3" s="462" t="str">
        <f>VLOOKUP(Y3,$AS$3:$AY$5,7)</f>
        <v>AGUS GEDE HENDRAYANA HERMAWAN</v>
      </c>
      <c r="AA3" s="463" t="str">
        <f>VLOOKUP(Y3,$AS$3:$AX$5,3)</f>
        <v>Agus Gede Hendrayana Hermawan, S.E., M.Si.</v>
      </c>
      <c r="AB3" s="463" t="str">
        <f>VLOOKUP(Y3,$AS$3:$AX$5,4)</f>
        <v>19780612 199912 1 001</v>
      </c>
      <c r="AC3" s="463" t="str">
        <f>VLOOKUP(Y3,$AS$3:$AX$5,5)</f>
        <v>Kepala Badan Pusat Statistik</v>
      </c>
      <c r="AD3" s="463" t="str">
        <f>VLOOKUP(Y3,$AS$3:$AX$5,6)</f>
        <v>Provinsi Sulawesi Barat</v>
      </c>
      <c r="AE3" s="464"/>
      <c r="AF3" s="465"/>
      <c r="AG3" s="464"/>
      <c r="AH3" s="465"/>
      <c r="AI3" s="464"/>
      <c r="AJ3" s="447"/>
      <c r="AK3" s="458"/>
      <c r="AL3" s="483"/>
      <c r="AM3" s="458"/>
      <c r="AN3" s="484"/>
      <c r="AO3" s="458"/>
      <c r="AP3" s="458"/>
      <c r="AQ3" s="483"/>
      <c r="AS3" s="443">
        <v>1</v>
      </c>
      <c r="AT3" s="444" t="s">
        <v>194</v>
      </c>
      <c r="AU3" s="444" t="str">
        <f>'Data Pegawai'!B4</f>
        <v>Agus Gede Hendrayana Hermawan, S.E., M.Si.</v>
      </c>
      <c r="AV3" s="444" t="str">
        <f>'Data Pegawai'!C4</f>
        <v>19780612 199912 1 001</v>
      </c>
      <c r="AW3" s="444" t="s">
        <v>195</v>
      </c>
      <c r="AX3" s="444" t="s">
        <v>196</v>
      </c>
      <c r="AY3" s="445" t="s">
        <v>469</v>
      </c>
    </row>
    <row r="4" spans="1:51" s="407" customFormat="1" ht="51" customHeight="1" x14ac:dyDescent="0.2">
      <c r="A4" s="468">
        <v>2</v>
      </c>
      <c r="B4" s="449"/>
      <c r="C4" s="449"/>
      <c r="D4" s="450"/>
      <c r="E4" s="451" t="e">
        <f>VLOOKUP(B4,'Data Pegawai'!A$4:E$96,3)</f>
        <v>#N/A</v>
      </c>
      <c r="F4" s="451" t="e">
        <f>VLOOKUP(B4,'Data Pegawai'!A$4:E$96,2)</f>
        <v>#N/A</v>
      </c>
      <c r="G4" s="451" t="e">
        <f>VLOOKUP(B4,'Data Pegawai'!$A$4:E$96,5)</f>
        <v>#N/A</v>
      </c>
      <c r="H4" s="451" t="e">
        <f>VLOOKUP(B4,'Data Pegawai'!A$4:E$96,4)</f>
        <v>#N/A</v>
      </c>
      <c r="I4" s="452" t="s">
        <v>497</v>
      </c>
      <c r="J4" s="453"/>
      <c r="K4" s="454"/>
      <c r="L4" s="454" t="s">
        <v>28</v>
      </c>
      <c r="M4" s="454"/>
      <c r="N4" s="452"/>
      <c r="O4" s="466"/>
      <c r="P4" s="466"/>
      <c r="Q4" s="454" t="s">
        <v>193</v>
      </c>
      <c r="R4" s="456"/>
      <c r="S4" s="457"/>
      <c r="T4" s="458"/>
      <c r="U4" s="458"/>
      <c r="V4" s="459" t="e">
        <f>VLOOKUP(U4,$AS$3:$AV$5,3)</f>
        <v>#N/A</v>
      </c>
      <c r="W4" s="459" t="e">
        <f>VLOOKUP(U4,$AS$3:$AV$5,4)</f>
        <v>#N/A</v>
      </c>
      <c r="X4" s="527"/>
      <c r="Y4" s="467">
        <v>1</v>
      </c>
      <c r="Z4" s="462" t="str">
        <f>VLOOKUP(Y4,$AS$3:$AY$5,7)</f>
        <v>AGUS GEDE HENDRAYANA HERMAWAN</v>
      </c>
      <c r="AA4" s="463" t="str">
        <f>VLOOKUP(Y4,$AS$3:$AX$5,3)</f>
        <v>Agus Gede Hendrayana Hermawan, S.E., M.Si.</v>
      </c>
      <c r="AB4" s="463" t="str">
        <f>VLOOKUP(Y4,$AS$3:$AX$5,4)</f>
        <v>19780612 199912 1 001</v>
      </c>
      <c r="AC4" s="463" t="str">
        <f>VLOOKUP(Y4,$AS$3:$AX$5,5)</f>
        <v>Kepala Badan Pusat Statistik</v>
      </c>
      <c r="AD4" s="463" t="str">
        <f>VLOOKUP(Y4,$AS$3:$AX$5,6)</f>
        <v>Provinsi Sulawesi Barat</v>
      </c>
      <c r="AE4" s="464"/>
      <c r="AF4" s="465"/>
      <c r="AG4" s="464"/>
      <c r="AH4" s="465"/>
      <c r="AI4" s="464"/>
      <c r="AJ4" s="447"/>
      <c r="AK4" s="458"/>
      <c r="AL4" s="483"/>
      <c r="AM4" s="458"/>
      <c r="AN4" s="484"/>
      <c r="AO4" s="458"/>
      <c r="AP4" s="458"/>
      <c r="AQ4" s="483"/>
      <c r="AS4" s="478">
        <v>2</v>
      </c>
      <c r="AT4" s="480" t="s">
        <v>531</v>
      </c>
      <c r="AU4" s="444" t="str">
        <f>'Data Pegawai'!B5</f>
        <v>Markus Uda, S.E.</v>
      </c>
      <c r="AV4" s="444" t="str">
        <f>'Data Pegawai'!C5</f>
        <v>19670522 199301 1 001</v>
      </c>
      <c r="AW4" s="444" t="s">
        <v>197</v>
      </c>
      <c r="AX4" s="444" t="s">
        <v>498</v>
      </c>
      <c r="AY4" s="445" t="s">
        <v>198</v>
      </c>
    </row>
    <row r="5" spans="1:51" s="408" customFormat="1" ht="45" x14ac:dyDescent="0.2">
      <c r="A5" s="636">
        <v>3</v>
      </c>
      <c r="B5" s="449"/>
      <c r="C5" s="449"/>
      <c r="D5" s="450"/>
      <c r="E5" s="451" t="e">
        <f>VLOOKUP(B5,'Data Pegawai'!A$4:E$96,3)</f>
        <v>#N/A</v>
      </c>
      <c r="F5" s="451" t="e">
        <f>VLOOKUP(B5,'Data Pegawai'!A$4:E$96,2)</f>
        <v>#N/A</v>
      </c>
      <c r="G5" s="451" t="e">
        <f>VLOOKUP(B5,'Data Pegawai'!$A$4:E$96,5)</f>
        <v>#N/A</v>
      </c>
      <c r="H5" s="451" t="e">
        <f>VLOOKUP(B5,'Data Pegawai'!A$4:E$96,4)</f>
        <v>#N/A</v>
      </c>
      <c r="I5" s="452" t="s">
        <v>497</v>
      </c>
      <c r="J5" s="453"/>
      <c r="K5" s="454"/>
      <c r="L5" s="454" t="s">
        <v>28</v>
      </c>
      <c r="M5" s="454"/>
      <c r="N5" s="452"/>
      <c r="O5" s="455"/>
      <c r="P5" s="455"/>
      <c r="Q5" s="454" t="s">
        <v>193</v>
      </c>
      <c r="R5" s="456"/>
      <c r="S5" s="457"/>
      <c r="T5" s="458"/>
      <c r="U5" s="458"/>
      <c r="V5" s="459" t="e">
        <f>VLOOKUP(U5,$AS$3:$AV$5,3)</f>
        <v>#N/A</v>
      </c>
      <c r="W5" s="459" t="e">
        <f>VLOOKUP(U5,$AS$3:$AV$5,4)</f>
        <v>#N/A</v>
      </c>
      <c r="X5" s="527"/>
      <c r="Y5" s="467">
        <v>1</v>
      </c>
      <c r="Z5" s="462" t="str">
        <f>VLOOKUP(Y5,$AS$3:$AY$5,7)</f>
        <v>AGUS GEDE HENDRAYANA HERMAWAN</v>
      </c>
      <c r="AA5" s="463" t="str">
        <f>VLOOKUP(Y5,$AS$3:$AX$5,3)</f>
        <v>Agus Gede Hendrayana Hermawan, S.E., M.Si.</v>
      </c>
      <c r="AB5" s="463" t="str">
        <f>VLOOKUP(Y5,$AS$3:$AX$5,4)</f>
        <v>19780612 199912 1 001</v>
      </c>
      <c r="AC5" s="463" t="str">
        <f>VLOOKUP(Y5,$AS$3:$AX$5,5)</f>
        <v>Kepala Badan Pusat Statistik</v>
      </c>
      <c r="AD5" s="463" t="str">
        <f>VLOOKUP(Y5,$AS$3:$AX$5,6)</f>
        <v>Provinsi Sulawesi Barat</v>
      </c>
      <c r="AE5" s="464"/>
      <c r="AF5" s="465"/>
      <c r="AG5" s="464"/>
      <c r="AH5" s="465"/>
      <c r="AI5" s="464"/>
      <c r="AJ5" s="447"/>
      <c r="AK5" s="458"/>
      <c r="AL5" s="483"/>
      <c r="AM5" s="458"/>
      <c r="AN5" s="484"/>
      <c r="AO5" s="458"/>
      <c r="AP5" s="458"/>
      <c r="AQ5" s="483"/>
      <c r="AS5" s="478">
        <v>3</v>
      </c>
      <c r="AT5" s="479" t="s">
        <v>199</v>
      </c>
      <c r="AU5" s="444" t="str">
        <f>'Data Pegawai'!B6</f>
        <v>Chitra Dewi Said, S.ST.</v>
      </c>
      <c r="AV5" s="444" t="str">
        <f>'Data Pegawai'!C6</f>
        <v>19831109 200602 2 001</v>
      </c>
      <c r="AW5" s="444" t="s">
        <v>197</v>
      </c>
      <c r="AX5" s="444" t="s">
        <v>525</v>
      </c>
      <c r="AY5" s="445" t="s">
        <v>200</v>
      </c>
    </row>
  </sheetData>
  <mergeCells count="3">
    <mergeCell ref="C1:D1"/>
    <mergeCell ref="AS1:AV1"/>
    <mergeCell ref="AC1:AD1"/>
  </mergeCells>
  <phoneticPr fontId="26" type="noConversion"/>
  <pageMargins left="0.27" right="0.19" top="0.4" bottom="0.75" header="0.3" footer="0.3"/>
  <pageSetup paperSize="9" scale="58" orientation="landscape" horizontalDpi="4294967292" r:id="rId1"/>
  <colBreaks count="1" manualBreakCount="1">
    <brk id="17" max="104857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7030A0"/>
  </sheetPr>
  <dimension ref="A1:E14"/>
  <sheetViews>
    <sheetView workbookViewId="0">
      <selection activeCell="B10" sqref="B10"/>
    </sheetView>
  </sheetViews>
  <sheetFormatPr defaultRowHeight="12.75" x14ac:dyDescent="0.2"/>
  <cols>
    <col min="1" max="1" width="17.42578125" bestFit="1" customWidth="1"/>
    <col min="2" max="2" width="26" bestFit="1" customWidth="1"/>
    <col min="3" max="3" width="33.7109375" customWidth="1"/>
  </cols>
  <sheetData>
    <row r="1" spans="1:5" x14ac:dyDescent="0.2">
      <c r="A1" s="293" t="s">
        <v>202</v>
      </c>
    </row>
    <row r="2" spans="1:5" x14ac:dyDescent="0.2">
      <c r="A2" s="293"/>
    </row>
    <row r="3" spans="1:5" x14ac:dyDescent="0.2">
      <c r="A3" s="212" t="s">
        <v>196</v>
      </c>
      <c r="B3" s="212" t="s">
        <v>203</v>
      </c>
      <c r="C3" s="212" t="s">
        <v>204</v>
      </c>
      <c r="D3" s="212"/>
      <c r="E3" s="212"/>
    </row>
    <row r="4" spans="1:5" x14ac:dyDescent="0.2">
      <c r="A4" s="212"/>
      <c r="B4" s="212"/>
      <c r="C4" s="212"/>
      <c r="D4" s="212"/>
      <c r="E4" s="212"/>
    </row>
    <row r="5" spans="1:5" x14ac:dyDescent="0.2">
      <c r="A5" s="212" t="s">
        <v>205</v>
      </c>
      <c r="B5" s="212" t="s">
        <v>206</v>
      </c>
      <c r="C5" s="212" t="s">
        <v>207</v>
      </c>
      <c r="D5" s="212"/>
      <c r="E5" s="212"/>
    </row>
    <row r="6" spans="1:5" x14ac:dyDescent="0.2">
      <c r="A6" s="212" t="s">
        <v>208</v>
      </c>
      <c r="B6" s="212" t="s">
        <v>209</v>
      </c>
      <c r="C6" s="212" t="s">
        <v>210</v>
      </c>
      <c r="D6" s="212"/>
      <c r="E6" s="212"/>
    </row>
    <row r="7" spans="1:5" x14ac:dyDescent="0.2">
      <c r="A7" s="285" t="s">
        <v>211</v>
      </c>
      <c r="B7" s="285" t="s">
        <v>212</v>
      </c>
      <c r="C7" s="285" t="s">
        <v>213</v>
      </c>
      <c r="D7" s="285"/>
      <c r="E7" s="285"/>
    </row>
    <row r="8" spans="1:5" x14ac:dyDescent="0.2">
      <c r="A8" s="285" t="s">
        <v>214</v>
      </c>
      <c r="B8" s="285" t="s">
        <v>215</v>
      </c>
      <c r="C8" s="285" t="s">
        <v>216</v>
      </c>
      <c r="D8" s="285"/>
      <c r="E8" s="285"/>
    </row>
    <row r="9" spans="1:5" x14ac:dyDescent="0.2">
      <c r="A9" s="212" t="s">
        <v>217</v>
      </c>
      <c r="B9" s="212" t="s">
        <v>218</v>
      </c>
      <c r="C9" s="212" t="s">
        <v>219</v>
      </c>
      <c r="D9" s="212"/>
      <c r="E9" s="212"/>
    </row>
    <row r="13" spans="1:5" x14ac:dyDescent="0.2">
      <c r="B13" s="212" t="s">
        <v>220</v>
      </c>
      <c r="C13" s="212" t="s">
        <v>221</v>
      </c>
      <c r="D13" s="212"/>
      <c r="E13" s="212"/>
    </row>
    <row r="14" spans="1:5" x14ac:dyDescent="0.2">
      <c r="B14" s="212" t="s">
        <v>222</v>
      </c>
      <c r="C14" s="212" t="s">
        <v>223</v>
      </c>
      <c r="D14" s="212"/>
      <c r="E14" s="2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4"/>
  <sheetViews>
    <sheetView view="pageBreakPreview" zoomScaleNormal="100" zoomScaleSheetLayoutView="100" workbookViewId="0">
      <selection activeCell="C40" sqref="C40"/>
    </sheetView>
  </sheetViews>
  <sheetFormatPr defaultColWidth="9.140625" defaultRowHeight="18" customHeight="1" x14ac:dyDescent="0.2"/>
  <cols>
    <col min="1" max="1" width="3.85546875" style="122" customWidth="1"/>
    <col min="2" max="2" width="3.7109375" style="126" customWidth="1"/>
    <col min="3" max="3" width="36.28515625" style="122" customWidth="1"/>
    <col min="4" max="4" width="2.85546875" style="127" customWidth="1"/>
    <col min="5" max="5" width="7.140625" style="127" customWidth="1"/>
    <col min="6" max="6" width="2.85546875" style="127" customWidth="1"/>
    <col min="7" max="7" width="20.5703125" style="127" customWidth="1"/>
    <col min="8" max="8" width="1.7109375" style="127" customWidth="1"/>
    <col min="9" max="9" width="4.28515625" style="127" customWidth="1"/>
    <col min="10" max="10" width="20.42578125" style="127" customWidth="1"/>
    <col min="11" max="16384" width="9.140625" style="122"/>
  </cols>
  <sheetData>
    <row r="1" spans="1:10" ht="18" customHeight="1" x14ac:dyDescent="0.2">
      <c r="A1" s="24" t="s">
        <v>224</v>
      </c>
    </row>
    <row r="2" spans="1:10" ht="18" customHeight="1" x14ac:dyDescent="0.2">
      <c r="A2" s="25" t="s">
        <v>225</v>
      </c>
    </row>
    <row r="3" spans="1:10" ht="4.5" customHeight="1" x14ac:dyDescent="0.2">
      <c r="A3" s="24"/>
    </row>
    <row r="4" spans="1:10" ht="12.75" customHeight="1" x14ac:dyDescent="0.2">
      <c r="G4" s="128" t="s">
        <v>226</v>
      </c>
      <c r="H4" s="128" t="s">
        <v>227</v>
      </c>
      <c r="I4" s="129">
        <v>1</v>
      </c>
    </row>
    <row r="5" spans="1:10" ht="12.75" customHeight="1" x14ac:dyDescent="0.2">
      <c r="A5" s="130"/>
      <c r="C5" s="130"/>
      <c r="D5" s="131"/>
      <c r="G5" s="128" t="s">
        <v>228</v>
      </c>
      <c r="H5" s="128" t="s">
        <v>227</v>
      </c>
      <c r="I5" s="129"/>
      <c r="J5" s="131"/>
    </row>
    <row r="6" spans="1:10" ht="12.75" customHeight="1" x14ac:dyDescent="0.2">
      <c r="A6" s="130"/>
      <c r="C6" s="130"/>
      <c r="D6" s="131"/>
      <c r="G6" s="128" t="s">
        <v>229</v>
      </c>
      <c r="H6" s="128" t="s">
        <v>227</v>
      </c>
      <c r="I6" s="294">
        <v>263</v>
      </c>
      <c r="J6" s="132" t="s">
        <v>230</v>
      </c>
    </row>
    <row r="7" spans="1:10" ht="4.5" customHeight="1" x14ac:dyDescent="0.2">
      <c r="A7" s="130"/>
      <c r="C7" s="130"/>
      <c r="D7" s="131"/>
      <c r="E7" s="131"/>
      <c r="F7" s="131"/>
      <c r="G7" s="131"/>
      <c r="H7" s="131"/>
      <c r="I7" s="131"/>
      <c r="J7" s="131"/>
    </row>
    <row r="8" spans="1:10" ht="20.100000000000001" customHeight="1" x14ac:dyDescent="0.2">
      <c r="A8" s="697" t="s">
        <v>231</v>
      </c>
      <c r="B8" s="697"/>
      <c r="C8" s="697"/>
      <c r="D8" s="697"/>
      <c r="E8" s="697"/>
      <c r="F8" s="697"/>
      <c r="G8" s="697"/>
      <c r="H8" s="697"/>
      <c r="I8" s="697"/>
      <c r="J8" s="697"/>
    </row>
    <row r="9" spans="1:10" ht="9.9499999999999993" customHeight="1" thickBot="1" x14ac:dyDescent="0.25"/>
    <row r="10" spans="1:10" ht="18" customHeight="1" thickTop="1" x14ac:dyDescent="0.2">
      <c r="A10" s="133" t="s">
        <v>232</v>
      </c>
      <c r="B10" s="134" t="s">
        <v>233</v>
      </c>
      <c r="C10" s="135"/>
      <c r="D10" s="698" t="s">
        <v>234</v>
      </c>
      <c r="E10" s="699"/>
      <c r="F10" s="699"/>
      <c r="G10" s="699"/>
      <c r="H10" s="699"/>
      <c r="I10" s="699"/>
      <c r="J10" s="700"/>
    </row>
    <row r="11" spans="1:10" ht="6.75" customHeight="1" x14ac:dyDescent="0.2">
      <c r="A11" s="136"/>
      <c r="B11" s="137"/>
      <c r="C11" s="138"/>
      <c r="D11" s="245"/>
      <c r="E11" s="246"/>
      <c r="F11" s="246"/>
      <c r="G11" s="246"/>
      <c r="H11" s="246"/>
      <c r="I11" s="246"/>
      <c r="J11" s="247"/>
    </row>
    <row r="12" spans="1:10" ht="33.75" customHeight="1" x14ac:dyDescent="0.2">
      <c r="A12" s="139" t="s">
        <v>235</v>
      </c>
      <c r="B12" s="701" t="s">
        <v>236</v>
      </c>
      <c r="C12" s="702"/>
      <c r="D12" s="703">
        <f>VLOOKUP($I$6,'Data SPD'!$A$3:$AI$4,4)</f>
        <v>0</v>
      </c>
      <c r="E12" s="704"/>
      <c r="F12" s="704"/>
      <c r="G12" s="704"/>
      <c r="H12" s="236" t="s">
        <v>237</v>
      </c>
      <c r="I12" s="705">
        <f>VLOOKUP($I$6,'Data SPD'!$A$3:$AI$4,3)</f>
        <v>0</v>
      </c>
      <c r="J12" s="706"/>
    </row>
    <row r="13" spans="1:10" ht="18" customHeight="1" x14ac:dyDescent="0.2">
      <c r="A13" s="136">
        <v>3</v>
      </c>
      <c r="B13" s="141" t="s">
        <v>2</v>
      </c>
      <c r="C13" s="142" t="s">
        <v>238</v>
      </c>
      <c r="D13" s="143" t="s">
        <v>2</v>
      </c>
      <c r="E13" s="88" t="e">
        <f>VLOOKUP($I$6,'Data SPD'!$A$3:$AI$4,5)</f>
        <v>#N/A</v>
      </c>
      <c r="F13" s="89"/>
      <c r="G13" s="144"/>
      <c r="H13" s="145"/>
      <c r="I13" s="90"/>
      <c r="J13" s="91"/>
    </row>
    <row r="14" spans="1:10" ht="18" customHeight="1" x14ac:dyDescent="0.2">
      <c r="A14" s="136"/>
      <c r="B14" s="137" t="s">
        <v>4</v>
      </c>
      <c r="C14" s="167" t="s">
        <v>239</v>
      </c>
      <c r="D14" s="165" t="s">
        <v>4</v>
      </c>
      <c r="E14" s="238" t="e">
        <f>VLOOKUP($I$6,'Data SPD'!$A$3:$AI$4,6)</f>
        <v>#N/A</v>
      </c>
      <c r="F14" s="238"/>
      <c r="G14" s="238"/>
      <c r="H14" s="239"/>
      <c r="I14" s="237"/>
      <c r="J14" s="240"/>
    </row>
    <row r="15" spans="1:10" ht="18" customHeight="1" x14ac:dyDescent="0.2">
      <c r="A15" s="146"/>
      <c r="B15" s="147" t="s">
        <v>240</v>
      </c>
      <c r="C15" s="148" t="s">
        <v>241</v>
      </c>
      <c r="D15" s="149" t="s">
        <v>242</v>
      </c>
      <c r="E15" s="687" t="e">
        <f>VLOOKUP($I$6,'Data SPD'!$A$3:$AI$5,7)</f>
        <v>#N/A</v>
      </c>
      <c r="F15" s="687"/>
      <c r="G15" s="687"/>
      <c r="H15" s="150"/>
      <c r="I15" s="150"/>
      <c r="J15" s="151"/>
    </row>
    <row r="16" spans="1:10" ht="18" customHeight="1" x14ac:dyDescent="0.2">
      <c r="A16" s="152">
        <v>4</v>
      </c>
      <c r="B16" s="153" t="s">
        <v>243</v>
      </c>
      <c r="C16" s="154"/>
      <c r="D16" s="688" t="e">
        <f>VLOOKUP($I$6,'Data SPD'!$A$3:$AI$5,8)</f>
        <v>#N/A</v>
      </c>
      <c r="E16" s="689"/>
      <c r="F16" s="689"/>
      <c r="G16" s="689"/>
      <c r="H16" s="689"/>
      <c r="I16" s="689"/>
      <c r="J16" s="690"/>
    </row>
    <row r="17" spans="1:19" ht="23.25" customHeight="1" x14ac:dyDescent="0.2">
      <c r="A17" s="155"/>
      <c r="B17" s="156"/>
      <c r="C17" s="157"/>
      <c r="D17" s="691"/>
      <c r="E17" s="692"/>
      <c r="F17" s="692"/>
      <c r="G17" s="692"/>
      <c r="H17" s="692"/>
      <c r="I17" s="692"/>
      <c r="J17" s="693"/>
      <c r="M17" s="122">
        <f>440000/3</f>
        <v>146666.66666666666</v>
      </c>
    </row>
    <row r="18" spans="1:19" ht="18" customHeight="1" x14ac:dyDescent="0.2">
      <c r="A18" s="146">
        <v>5</v>
      </c>
      <c r="B18" s="158" t="s">
        <v>244</v>
      </c>
      <c r="C18" s="159"/>
      <c r="D18" s="694" t="str">
        <f>VLOOKUP($I$6,'Data SPD'!$A$3:$AI$4,9)</f>
        <v>C</v>
      </c>
      <c r="E18" s="695"/>
      <c r="F18" s="695"/>
      <c r="G18" s="695"/>
      <c r="H18" s="695"/>
      <c r="I18" s="695"/>
      <c r="J18" s="696"/>
      <c r="P18" s="160"/>
      <c r="Q18" s="161"/>
      <c r="R18" s="161"/>
      <c r="S18" s="161"/>
    </row>
    <row r="19" spans="1:19" ht="23.25" customHeight="1" x14ac:dyDescent="0.2">
      <c r="A19" s="162">
        <v>6</v>
      </c>
      <c r="B19" s="141" t="s">
        <v>2</v>
      </c>
      <c r="C19" s="142" t="s">
        <v>245</v>
      </c>
      <c r="D19" s="143" t="s">
        <v>246</v>
      </c>
      <c r="E19" s="678">
        <f>VLOOKUP($I$6,'Data SPD'!$A$3:$AI$4,10)</f>
        <v>0</v>
      </c>
      <c r="F19" s="678"/>
      <c r="G19" s="678"/>
      <c r="H19" s="163"/>
      <c r="I19" s="163"/>
      <c r="J19" s="164"/>
    </row>
    <row r="20" spans="1:19" ht="18" customHeight="1" x14ac:dyDescent="0.2">
      <c r="A20" s="146"/>
      <c r="B20" s="147" t="s">
        <v>4</v>
      </c>
      <c r="C20" s="148" t="s">
        <v>247</v>
      </c>
      <c r="D20" s="149" t="s">
        <v>248</v>
      </c>
      <c r="E20" s="241">
        <f>VLOOKUP($I$6,'Data SPD'!$A$3:$AI$4,11)</f>
        <v>0</v>
      </c>
      <c r="F20" s="150"/>
      <c r="G20" s="150"/>
      <c r="H20" s="150"/>
      <c r="I20" s="150"/>
      <c r="J20" s="151"/>
      <c r="L20" s="685">
        <f>VLOOKUP($I$6,'Data SPD'!$A$3:$AI$4,16)</f>
        <v>0</v>
      </c>
      <c r="M20" s="685"/>
      <c r="N20" s="685"/>
    </row>
    <row r="21" spans="1:19" ht="18" customHeight="1" x14ac:dyDescent="0.2">
      <c r="A21" s="162">
        <v>7</v>
      </c>
      <c r="B21" s="141" t="s">
        <v>2</v>
      </c>
      <c r="C21" s="142" t="s">
        <v>249</v>
      </c>
      <c r="D21" s="143" t="s">
        <v>246</v>
      </c>
      <c r="E21" s="683" t="str">
        <f>VLOOKUP($I$6,'Data SPD'!$A$3:$AI$4,12)</f>
        <v>Mamuju</v>
      </c>
      <c r="F21" s="683"/>
      <c r="G21" s="683"/>
      <c r="H21" s="684" t="s">
        <v>250</v>
      </c>
      <c r="I21" s="684"/>
      <c r="J21" s="164"/>
      <c r="L21" s="685" t="str">
        <f>VLOOKUP($I$6,'Data SPD'!$A$3:$AI$4,17)</f>
        <v>BPS Provinsi Sulawesi Barat</v>
      </c>
      <c r="M21" s="685"/>
      <c r="N21" s="685"/>
    </row>
    <row r="22" spans="1:19" ht="18" customHeight="1" x14ac:dyDescent="0.2">
      <c r="A22" s="136"/>
      <c r="B22" s="137" t="s">
        <v>4</v>
      </c>
      <c r="C22" s="167" t="s">
        <v>251</v>
      </c>
      <c r="D22" s="165" t="s">
        <v>252</v>
      </c>
      <c r="E22" s="685">
        <f>VLOOKUP($I$6,'Data SPD'!$A$3:$AI$4,13)</f>
        <v>0</v>
      </c>
      <c r="F22" s="685"/>
      <c r="G22" s="685"/>
      <c r="H22" s="166"/>
      <c r="I22" s="166"/>
      <c r="J22" s="168"/>
    </row>
    <row r="23" spans="1:19" ht="18" customHeight="1" x14ac:dyDescent="0.2">
      <c r="A23" s="146"/>
      <c r="B23" s="147" t="s">
        <v>240</v>
      </c>
      <c r="C23" s="148" t="s">
        <v>253</v>
      </c>
      <c r="D23" s="149" t="s">
        <v>242</v>
      </c>
      <c r="E23" s="686">
        <f>VLOOKUP($I$6,'Data SPD'!$A$3:$AI$4,14)</f>
        <v>0</v>
      </c>
      <c r="F23" s="686"/>
      <c r="G23" s="686"/>
      <c r="H23" s="166"/>
      <c r="I23" s="166"/>
      <c r="J23" s="168"/>
    </row>
    <row r="24" spans="1:19" ht="18" customHeight="1" x14ac:dyDescent="0.2">
      <c r="A24" s="139">
        <v>8</v>
      </c>
      <c r="B24" s="169"/>
      <c r="C24" s="170" t="s">
        <v>254</v>
      </c>
      <c r="D24" s="680" t="s">
        <v>255</v>
      </c>
      <c r="E24" s="681"/>
      <c r="F24" s="682"/>
      <c r="G24" s="681" t="s">
        <v>256</v>
      </c>
      <c r="H24" s="681"/>
      <c r="I24" s="681"/>
      <c r="J24" s="682"/>
    </row>
    <row r="25" spans="1:19" ht="15.75" customHeight="1" x14ac:dyDescent="0.2">
      <c r="A25" s="162"/>
      <c r="B25" s="141" t="s">
        <v>232</v>
      </c>
      <c r="C25" s="171"/>
      <c r="D25" s="172"/>
      <c r="E25" s="93"/>
      <c r="F25" s="173"/>
      <c r="G25" s="93"/>
      <c r="H25" s="93"/>
      <c r="I25" s="93"/>
      <c r="J25" s="173"/>
      <c r="K25" s="676" t="s">
        <v>257</v>
      </c>
      <c r="L25" s="677"/>
      <c r="M25" s="678" t="s">
        <v>258</v>
      </c>
      <c r="N25" s="678"/>
      <c r="O25" s="678"/>
      <c r="P25" s="678"/>
      <c r="Q25" s="679"/>
    </row>
    <row r="26" spans="1:19" ht="15.75" customHeight="1" x14ac:dyDescent="0.2">
      <c r="A26" s="136"/>
      <c r="B26" s="137" t="s">
        <v>235</v>
      </c>
      <c r="C26" s="174"/>
      <c r="D26" s="175"/>
      <c r="E26" s="176"/>
      <c r="F26" s="177"/>
      <c r="G26" s="176"/>
      <c r="H26" s="176"/>
      <c r="I26" s="176"/>
      <c r="J26" s="177"/>
      <c r="K26" s="672">
        <v>2886</v>
      </c>
      <c r="L26" s="673"/>
      <c r="M26" s="674" t="s">
        <v>259</v>
      </c>
      <c r="N26" s="674"/>
      <c r="O26" s="674"/>
      <c r="P26" s="674"/>
      <c r="Q26" s="675"/>
    </row>
    <row r="27" spans="1:19" ht="15.75" customHeight="1" x14ac:dyDescent="0.2">
      <c r="A27" s="146"/>
      <c r="B27" s="147" t="s">
        <v>260</v>
      </c>
      <c r="C27" s="178"/>
      <c r="D27" s="179"/>
      <c r="E27" s="92"/>
      <c r="F27" s="180"/>
      <c r="G27" s="92"/>
      <c r="H27" s="92"/>
      <c r="I27" s="92"/>
      <c r="J27" s="180"/>
    </row>
    <row r="28" spans="1:19" ht="27" hidden="1" customHeight="1" x14ac:dyDescent="0.2">
      <c r="A28" s="162">
        <v>9</v>
      </c>
      <c r="B28" s="289" t="s">
        <v>261</v>
      </c>
      <c r="C28" s="154"/>
      <c r="D28" s="676" t="s">
        <v>257</v>
      </c>
      <c r="E28" s="677"/>
      <c r="F28" s="678" t="s">
        <v>258</v>
      </c>
      <c r="G28" s="678"/>
      <c r="H28" s="678"/>
      <c r="I28" s="678"/>
      <c r="J28" s="679"/>
      <c r="K28" s="676" t="s">
        <v>262</v>
      </c>
      <c r="L28" s="677"/>
      <c r="M28" s="678" t="s">
        <v>263</v>
      </c>
      <c r="N28" s="678"/>
      <c r="O28" s="678"/>
      <c r="P28" s="678"/>
      <c r="Q28" s="679"/>
    </row>
    <row r="29" spans="1:19" ht="26.25" hidden="1" customHeight="1" x14ac:dyDescent="0.2">
      <c r="A29" s="136"/>
      <c r="B29" s="290" t="s">
        <v>264</v>
      </c>
      <c r="C29" s="291"/>
      <c r="D29" s="672">
        <v>2886</v>
      </c>
      <c r="E29" s="673"/>
      <c r="F29" s="674" t="s">
        <v>259</v>
      </c>
      <c r="G29" s="674"/>
      <c r="H29" s="674"/>
      <c r="I29" s="674"/>
      <c r="J29" s="675"/>
      <c r="K29" s="672">
        <v>2895</v>
      </c>
      <c r="L29" s="673"/>
      <c r="M29" s="674" t="s">
        <v>265</v>
      </c>
      <c r="N29" s="674"/>
      <c r="O29" s="674"/>
      <c r="P29" s="674"/>
      <c r="Q29" s="675"/>
    </row>
    <row r="30" spans="1:19" ht="18" hidden="1" customHeight="1" x14ac:dyDescent="0.2">
      <c r="A30" s="136"/>
      <c r="B30" s="290" t="s">
        <v>266</v>
      </c>
      <c r="C30" s="291"/>
      <c r="D30" s="672" t="s">
        <v>267</v>
      </c>
      <c r="E30" s="673"/>
      <c r="F30" s="674" t="s">
        <v>268</v>
      </c>
      <c r="G30" s="674"/>
      <c r="H30" s="674"/>
      <c r="I30" s="674"/>
      <c r="J30" s="675"/>
    </row>
    <row r="31" spans="1:19" ht="18" customHeight="1" x14ac:dyDescent="0.2">
      <c r="A31" s="136">
        <v>9</v>
      </c>
      <c r="B31" s="137" t="s">
        <v>2</v>
      </c>
      <c r="C31" s="167" t="s">
        <v>269</v>
      </c>
      <c r="D31" s="181" t="s">
        <v>246</v>
      </c>
      <c r="E31" s="88">
        <f>IF(K31="","",VLOOKUP($I$6,'Data SPD'!$A$3:$AI$4,15))</f>
        <v>0</v>
      </c>
      <c r="F31" s="176"/>
      <c r="G31" s="182"/>
      <c r="H31" s="182"/>
      <c r="I31" s="182"/>
      <c r="J31" s="177"/>
      <c r="K31" s="183">
        <v>1</v>
      </c>
      <c r="L31" s="122" t="s">
        <v>270</v>
      </c>
    </row>
    <row r="32" spans="1:19" ht="18" customHeight="1" x14ac:dyDescent="0.2">
      <c r="A32" s="146"/>
      <c r="B32" s="147" t="s">
        <v>4</v>
      </c>
      <c r="C32" s="148" t="s">
        <v>183</v>
      </c>
      <c r="D32" s="184" t="s">
        <v>4</v>
      </c>
      <c r="E32" s="231">
        <f>IF(K31="","",VLOOKUP($I$6,'Data SPD'!$A$3:$AI$4,18))</f>
        <v>0</v>
      </c>
      <c r="F32" s="185"/>
      <c r="G32" s="186"/>
      <c r="H32" s="186"/>
      <c r="I32" s="186"/>
      <c r="J32" s="187"/>
    </row>
    <row r="33" spans="1:10" ht="18" customHeight="1" thickBot="1" x14ac:dyDescent="0.25">
      <c r="A33" s="188">
        <v>10</v>
      </c>
      <c r="B33" s="189" t="s">
        <v>271</v>
      </c>
      <c r="C33" s="190"/>
      <c r="D33" s="191"/>
      <c r="E33" s="192"/>
      <c r="F33" s="192"/>
      <c r="G33" s="192"/>
      <c r="H33" s="192"/>
      <c r="I33" s="192"/>
      <c r="J33" s="193"/>
    </row>
    <row r="34" spans="1:10" ht="14.25" customHeight="1" thickTop="1" x14ac:dyDescent="0.2">
      <c r="A34" s="194" t="s">
        <v>272</v>
      </c>
      <c r="B34" s="195"/>
      <c r="C34" s="196"/>
      <c r="D34" s="197"/>
      <c r="E34" s="197"/>
      <c r="F34" s="197"/>
      <c r="G34" s="197"/>
      <c r="H34" s="197"/>
      <c r="I34" s="197"/>
      <c r="J34" s="197"/>
    </row>
    <row r="35" spans="1:10" ht="15" customHeight="1" x14ac:dyDescent="0.2">
      <c r="F35" s="128" t="s">
        <v>273</v>
      </c>
      <c r="H35" s="128" t="s">
        <v>227</v>
      </c>
      <c r="I35" s="198" t="s">
        <v>28</v>
      </c>
    </row>
    <row r="36" spans="1:10" ht="14.25" customHeight="1" x14ac:dyDescent="0.2">
      <c r="F36" s="199" t="s">
        <v>274</v>
      </c>
      <c r="G36" s="140"/>
      <c r="H36" s="199" t="s">
        <v>227</v>
      </c>
      <c r="I36" s="667">
        <f>VLOOKUP($I$6,'Data SPD'!$A$3:$AI$4,2)</f>
        <v>0</v>
      </c>
      <c r="J36" s="667"/>
    </row>
    <row r="37" spans="1:10" ht="9.9499999999999993" customHeight="1" x14ac:dyDescent="0.2">
      <c r="J37" s="128" t="s">
        <v>275</v>
      </c>
    </row>
    <row r="38" spans="1:10" ht="15" customHeight="1" x14ac:dyDescent="0.2">
      <c r="F38" s="668">
        <f>VLOOKUP($I$6,'Data SPD'!$A$3:$AI$4,19)</f>
        <v>0</v>
      </c>
      <c r="G38" s="668"/>
      <c r="H38" s="668"/>
      <c r="I38" s="668"/>
      <c r="J38" s="668"/>
    </row>
    <row r="39" spans="1:10" ht="11.25" customHeight="1" x14ac:dyDescent="0.2">
      <c r="F39" s="669"/>
      <c r="G39" s="669"/>
      <c r="H39" s="669"/>
      <c r="I39" s="669"/>
      <c r="J39" s="669"/>
    </row>
    <row r="40" spans="1:10" ht="18" customHeight="1" x14ac:dyDescent="0.2">
      <c r="A40" s="235"/>
      <c r="B40" s="235"/>
      <c r="C40" s="235"/>
      <c r="D40" s="235"/>
      <c r="E40" s="235"/>
      <c r="F40" s="235"/>
      <c r="G40" s="88"/>
      <c r="H40" s="198"/>
      <c r="I40" s="198"/>
      <c r="J40" s="200"/>
    </row>
    <row r="41" spans="1:10" ht="18" customHeight="1" x14ac:dyDescent="0.2">
      <c r="F41" s="198"/>
      <c r="G41" s="198"/>
      <c r="H41" s="198"/>
      <c r="I41" s="198"/>
      <c r="J41" s="200"/>
    </row>
    <row r="42" spans="1:10" ht="18" customHeight="1" x14ac:dyDescent="0.2">
      <c r="B42" s="201"/>
      <c r="F42" s="670" t="e">
        <f>#REF!</f>
        <v>#REF!</v>
      </c>
      <c r="G42" s="670"/>
      <c r="H42" s="670"/>
      <c r="I42" s="670"/>
      <c r="J42" s="670"/>
    </row>
    <row r="43" spans="1:10" ht="15.75" customHeight="1" x14ac:dyDescent="0.2">
      <c r="F43" s="671" t="e">
        <f>#REF!</f>
        <v>#REF!</v>
      </c>
      <c r="G43" s="671"/>
      <c r="H43" s="671"/>
      <c r="I43" s="671"/>
      <c r="J43" s="671"/>
    </row>
    <row r="44" spans="1:10" ht="18" customHeight="1" x14ac:dyDescent="0.2">
      <c r="A44" s="202"/>
    </row>
  </sheetData>
  <mergeCells count="36">
    <mergeCell ref="A8:J8"/>
    <mergeCell ref="D10:J10"/>
    <mergeCell ref="B12:C12"/>
    <mergeCell ref="D12:G12"/>
    <mergeCell ref="I12:J12"/>
    <mergeCell ref="E15:G15"/>
    <mergeCell ref="D16:J17"/>
    <mergeCell ref="D18:J18"/>
    <mergeCell ref="E19:G19"/>
    <mergeCell ref="L20:N20"/>
    <mergeCell ref="E21:G21"/>
    <mergeCell ref="H21:I21"/>
    <mergeCell ref="L21:N21"/>
    <mergeCell ref="E22:G22"/>
    <mergeCell ref="E23:G23"/>
    <mergeCell ref="D24:F24"/>
    <mergeCell ref="G24:J24"/>
    <mergeCell ref="K25:L25"/>
    <mergeCell ref="M25:Q25"/>
    <mergeCell ref="K29:L29"/>
    <mergeCell ref="M29:Q29"/>
    <mergeCell ref="D30:E30"/>
    <mergeCell ref="F30:J30"/>
    <mergeCell ref="K26:L26"/>
    <mergeCell ref="M26:Q26"/>
    <mergeCell ref="D28:E28"/>
    <mergeCell ref="F28:J28"/>
    <mergeCell ref="K28:L28"/>
    <mergeCell ref="M28:Q28"/>
    <mergeCell ref="D29:E29"/>
    <mergeCell ref="F29:J29"/>
    <mergeCell ref="I36:J36"/>
    <mergeCell ref="F38:J38"/>
    <mergeCell ref="F39:J39"/>
    <mergeCell ref="F42:J42"/>
    <mergeCell ref="F43:J43"/>
  </mergeCells>
  <printOptions horizontalCentered="1"/>
  <pageMargins left="0.27559055118110198" right="0.23622047244094499" top="0.59055118110236204" bottom="0.59055118110236204" header="0.511811023622047" footer="0.511811023622047"/>
  <pageSetup pageOrder="overThenDown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9"/>
  <sheetViews>
    <sheetView topLeftCell="A7" workbookViewId="0">
      <selection activeCell="E27" sqref="E27"/>
    </sheetView>
  </sheetViews>
  <sheetFormatPr defaultColWidth="9.140625" defaultRowHeight="15" customHeight="1" x14ac:dyDescent="0.2"/>
  <cols>
    <col min="1" max="1" width="7.7109375" style="26" customWidth="1"/>
    <col min="2" max="2" width="2.85546875" style="26" customWidth="1"/>
    <col min="3" max="3" width="2.140625" style="28" customWidth="1"/>
    <col min="4" max="4" width="11" style="26" customWidth="1"/>
    <col min="5" max="5" width="16.28515625" style="26" customWidth="1"/>
    <col min="6" max="6" width="7.7109375" style="26" customWidth="1"/>
    <col min="7" max="7" width="11.5703125" style="26" customWidth="1"/>
    <col min="8" max="9" width="7.7109375" style="26" customWidth="1"/>
    <col min="10" max="10" width="1.7109375" style="26" customWidth="1"/>
    <col min="11" max="11" width="7.7109375" style="26" customWidth="1"/>
    <col min="12" max="12" width="8.7109375" style="26" customWidth="1"/>
    <col min="13" max="13" width="0.85546875" style="26" customWidth="1"/>
    <col min="14" max="16384" width="9.140625" style="26"/>
  </cols>
  <sheetData>
    <row r="1" spans="1:13" ht="21" customHeight="1" x14ac:dyDescent="0.2">
      <c r="A1" s="708" t="s">
        <v>276</v>
      </c>
      <c r="B1" s="708"/>
      <c r="C1" s="708"/>
      <c r="D1" s="708"/>
      <c r="E1" s="708"/>
      <c r="F1" s="708"/>
      <c r="G1" s="708"/>
      <c r="H1" s="708"/>
      <c r="I1" s="708"/>
      <c r="J1" s="708"/>
      <c r="K1" s="708"/>
      <c r="L1" s="708"/>
      <c r="M1" s="708"/>
    </row>
    <row r="2" spans="1:13" s="27" customFormat="1" ht="12" customHeight="1" x14ac:dyDescent="0.2">
      <c r="A2" s="709" t="str">
        <f>"Nomor. 0"&amp;D!L2&amp;" / ST / 2013"</f>
        <v>Nomor. 01 / ST / 2013</v>
      </c>
      <c r="B2" s="709"/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</row>
    <row r="3" spans="1:13" ht="12.75" customHeight="1" x14ac:dyDescent="0.2">
      <c r="A3" s="496"/>
      <c r="B3" s="496"/>
      <c r="C3" s="496"/>
      <c r="D3" s="496"/>
      <c r="E3" s="496"/>
      <c r="F3" s="496"/>
      <c r="G3" s="496"/>
      <c r="H3" s="496"/>
      <c r="I3" s="496"/>
      <c r="J3" s="496"/>
      <c r="K3" s="496"/>
      <c r="L3" s="496"/>
      <c r="M3" s="496"/>
    </row>
    <row r="4" spans="1:13" ht="3.75" customHeight="1" x14ac:dyDescent="0.2"/>
    <row r="5" spans="1:13" s="203" customFormat="1" ht="15" customHeight="1" x14ac:dyDescent="0.2">
      <c r="A5" s="203" t="s">
        <v>277</v>
      </c>
      <c r="C5" s="204"/>
    </row>
    <row r="6" spans="1:13" s="203" customFormat="1" ht="11.25" customHeight="1" x14ac:dyDescent="0.2">
      <c r="C6" s="204"/>
    </row>
    <row r="7" spans="1:13" s="203" customFormat="1" ht="18" customHeight="1" x14ac:dyDescent="0.2">
      <c r="A7" s="205" t="s">
        <v>278</v>
      </c>
      <c r="B7" s="203" t="s">
        <v>227</v>
      </c>
      <c r="C7" s="205" t="e">
        <f>D!$D$11</f>
        <v>#N/A</v>
      </c>
    </row>
    <row r="8" spans="1:13" s="203" customFormat="1" ht="18" customHeight="1" x14ac:dyDescent="0.2">
      <c r="A8" s="205" t="s">
        <v>42</v>
      </c>
      <c r="B8" s="203" t="s">
        <v>227</v>
      </c>
      <c r="C8" s="710" t="e">
        <f>D!$I$11</f>
        <v>#N/A</v>
      </c>
      <c r="D8" s="711"/>
      <c r="E8" s="711"/>
    </row>
    <row r="9" spans="1:13" s="203" customFormat="1" ht="18" customHeight="1" x14ac:dyDescent="0.2">
      <c r="A9" s="205" t="s">
        <v>43</v>
      </c>
      <c r="B9" s="203" t="s">
        <v>227</v>
      </c>
      <c r="C9" s="205" t="e">
        <f>D!E13</f>
        <v>#N/A</v>
      </c>
    </row>
    <row r="10" spans="1:13" s="203" customFormat="1" ht="18" customHeight="1" x14ac:dyDescent="0.2">
      <c r="A10" s="203" t="s">
        <v>279</v>
      </c>
      <c r="B10" s="205" t="s">
        <v>227</v>
      </c>
      <c r="C10" s="204" t="s">
        <v>201</v>
      </c>
    </row>
    <row r="11" spans="1:13" s="203" customFormat="1" ht="19.5" customHeight="1" x14ac:dyDescent="0.2">
      <c r="A11" s="206" t="s">
        <v>280</v>
      </c>
      <c r="B11" s="207" t="s">
        <v>227</v>
      </c>
      <c r="C11" s="208" t="s">
        <v>232</v>
      </c>
      <c r="D11" s="707" t="s">
        <v>281</v>
      </c>
      <c r="E11" s="707"/>
      <c r="F11" s="707"/>
      <c r="G11" s="707"/>
      <c r="H11" s="707"/>
      <c r="I11" s="707"/>
      <c r="J11" s="707"/>
      <c r="K11" s="707"/>
      <c r="L11" s="707"/>
      <c r="M11" s="205"/>
    </row>
    <row r="12" spans="1:13" s="203" customFormat="1" ht="21" customHeight="1" x14ac:dyDescent="0.2">
      <c r="A12" s="206"/>
      <c r="B12" s="207"/>
      <c r="C12" s="208" t="s">
        <v>235</v>
      </c>
      <c r="D12" s="707" t="s">
        <v>282</v>
      </c>
      <c r="E12" s="707"/>
      <c r="F12" s="707"/>
      <c r="G12" s="707"/>
      <c r="H12" s="707"/>
      <c r="I12" s="707"/>
      <c r="J12" s="707"/>
      <c r="K12" s="707"/>
      <c r="L12" s="707"/>
      <c r="M12" s="205"/>
    </row>
    <row r="13" spans="1:13" s="203" customFormat="1" ht="27.75" customHeight="1" x14ac:dyDescent="0.2">
      <c r="A13" s="206"/>
      <c r="B13" s="207"/>
      <c r="C13" s="208" t="s">
        <v>260</v>
      </c>
      <c r="D13" s="707" t="s">
        <v>283</v>
      </c>
      <c r="E13" s="707"/>
      <c r="F13" s="707"/>
      <c r="G13" s="707"/>
      <c r="H13" s="707"/>
      <c r="I13" s="707"/>
      <c r="J13" s="707"/>
      <c r="K13" s="707"/>
      <c r="L13" s="707"/>
      <c r="M13" s="205"/>
    </row>
    <row r="14" spans="1:13" s="203" customFormat="1" ht="28.5" customHeight="1" x14ac:dyDescent="0.2">
      <c r="A14" s="206"/>
      <c r="B14" s="207"/>
      <c r="C14" s="208" t="s">
        <v>284</v>
      </c>
      <c r="D14" s="707" t="s">
        <v>285</v>
      </c>
      <c r="E14" s="707"/>
      <c r="F14" s="707"/>
      <c r="G14" s="707"/>
      <c r="H14" s="707"/>
      <c r="I14" s="707"/>
      <c r="J14" s="707"/>
      <c r="K14" s="707"/>
      <c r="L14" s="707"/>
      <c r="M14" s="205"/>
    </row>
    <row r="15" spans="1:13" s="203" customFormat="1" ht="5.25" customHeight="1" x14ac:dyDescent="0.2">
      <c r="A15" s="206"/>
      <c r="B15" s="207"/>
      <c r="C15" s="208"/>
      <c r="D15" s="707"/>
      <c r="E15" s="707"/>
      <c r="F15" s="707"/>
      <c r="G15" s="707"/>
      <c r="H15" s="707"/>
      <c r="I15" s="707"/>
      <c r="J15" s="707"/>
      <c r="K15" s="707"/>
      <c r="L15" s="707"/>
      <c r="M15" s="205"/>
    </row>
    <row r="16" spans="1:13" s="203" customFormat="1" ht="15" customHeight="1" x14ac:dyDescent="0.2">
      <c r="C16" s="204"/>
      <c r="D16" s="205"/>
    </row>
    <row r="17" spans="1:14" s="203" customFormat="1" ht="15" customHeight="1" x14ac:dyDescent="0.2">
      <c r="A17" s="203" t="s">
        <v>175</v>
      </c>
      <c r="B17" s="203" t="s">
        <v>227</v>
      </c>
      <c r="C17" s="716" t="str">
        <f>D!D15&amp;" di "&amp;D!E19</f>
        <v>0 di 0</v>
      </c>
      <c r="D17" s="716"/>
      <c r="E17" s="716"/>
      <c r="F17" s="716"/>
      <c r="G17" s="716"/>
      <c r="H17" s="716"/>
      <c r="I17" s="716"/>
      <c r="J17" s="716"/>
      <c r="K17" s="716"/>
      <c r="L17" s="716"/>
    </row>
    <row r="18" spans="1:14" s="203" customFormat="1" ht="15" customHeight="1" x14ac:dyDescent="0.2">
      <c r="C18" s="716"/>
      <c r="D18" s="716"/>
      <c r="E18" s="716"/>
      <c r="F18" s="716"/>
      <c r="G18" s="716"/>
      <c r="H18" s="716"/>
      <c r="I18" s="716"/>
      <c r="J18" s="716"/>
      <c r="K18" s="716"/>
      <c r="L18" s="716"/>
    </row>
    <row r="19" spans="1:14" s="203" customFormat="1" ht="15" customHeight="1" x14ac:dyDescent="0.2">
      <c r="A19" s="203" t="s">
        <v>286</v>
      </c>
      <c r="B19" s="205" t="s">
        <v>227</v>
      </c>
      <c r="C19" s="205" t="str">
        <f>D!E20&amp;" hari, mulai tgl. "&amp;D!E21&amp;" s.d. "&amp;D!E22</f>
        <v>0 hari, mulai tgl. 0 s.d. 0</v>
      </c>
      <c r="D19" s="205"/>
      <c r="E19" s="205"/>
      <c r="F19" s="205"/>
      <c r="G19" s="205"/>
      <c r="H19" s="205"/>
      <c r="I19" s="205"/>
    </row>
    <row r="20" spans="1:14" s="203" customFormat="1" ht="15" customHeight="1" x14ac:dyDescent="0.2">
      <c r="B20" s="205"/>
      <c r="C20" s="204" t="s">
        <v>287</v>
      </c>
    </row>
    <row r="21" spans="1:14" s="203" customFormat="1" ht="15" customHeight="1" x14ac:dyDescent="0.2">
      <c r="A21" s="707" t="s">
        <v>288</v>
      </c>
      <c r="B21" s="707"/>
      <c r="C21" s="707"/>
      <c r="D21" s="707"/>
      <c r="E21" s="707"/>
      <c r="F21" s="707"/>
      <c r="G21" s="707"/>
      <c r="H21" s="707"/>
      <c r="I21" s="707"/>
      <c r="J21" s="707"/>
      <c r="K21" s="707"/>
      <c r="L21" s="707"/>
    </row>
    <row r="22" spans="1:14" s="203" customFormat="1" ht="15" customHeight="1" x14ac:dyDescent="0.2">
      <c r="A22" s="707"/>
      <c r="B22" s="707"/>
      <c r="C22" s="707"/>
      <c r="D22" s="707"/>
      <c r="E22" s="707"/>
      <c r="F22" s="707"/>
      <c r="G22" s="707"/>
      <c r="H22" s="707"/>
      <c r="I22" s="707"/>
      <c r="J22" s="707"/>
      <c r="K22" s="707"/>
      <c r="L22" s="707"/>
      <c r="N22" s="209"/>
    </row>
    <row r="23" spans="1:14" s="203" customFormat="1" ht="15" customHeight="1" x14ac:dyDescent="0.2">
      <c r="C23" s="204"/>
    </row>
    <row r="24" spans="1:14" s="203" customFormat="1" ht="15" customHeight="1" x14ac:dyDescent="0.2">
      <c r="C24" s="204"/>
    </row>
    <row r="25" spans="1:14" s="203" customFormat="1" ht="15" customHeight="1" x14ac:dyDescent="0.2">
      <c r="C25" s="204"/>
      <c r="H25" s="203" t="s">
        <v>273</v>
      </c>
      <c r="J25" s="203" t="s">
        <v>227</v>
      </c>
      <c r="K25" s="203" t="str">
        <f>D!I36</f>
        <v>Mamuju</v>
      </c>
    </row>
    <row r="26" spans="1:14" s="203" customFormat="1" ht="15" customHeight="1" x14ac:dyDescent="0.2">
      <c r="C26" s="204"/>
      <c r="H26" s="210" t="s">
        <v>289</v>
      </c>
      <c r="I26" s="210"/>
      <c r="J26" s="210" t="s">
        <v>227</v>
      </c>
      <c r="K26" s="717">
        <f>D!$I$37</f>
        <v>0</v>
      </c>
      <c r="L26" s="717"/>
      <c r="M26" s="211"/>
    </row>
    <row r="27" spans="1:14" s="203" customFormat="1" ht="9" customHeight="1" x14ac:dyDescent="0.2">
      <c r="C27" s="204"/>
    </row>
    <row r="28" spans="1:14" s="203" customFormat="1" ht="15" customHeight="1" x14ac:dyDescent="0.2">
      <c r="C28" s="204"/>
      <c r="H28" s="712" t="e">
        <f>#REF!</f>
        <v>#REF!</v>
      </c>
      <c r="I28" s="712"/>
      <c r="J28" s="712"/>
      <c r="K28" s="712"/>
      <c r="L28" s="712"/>
      <c r="M28" s="712"/>
    </row>
    <row r="29" spans="1:14" s="203" customFormat="1" ht="13.5" customHeight="1" x14ac:dyDescent="0.2">
      <c r="C29" s="204"/>
      <c r="H29" s="712" t="s">
        <v>196</v>
      </c>
      <c r="I29" s="712"/>
      <c r="J29" s="712"/>
      <c r="K29" s="712"/>
      <c r="L29" s="712"/>
      <c r="M29" s="712"/>
    </row>
    <row r="30" spans="1:14" s="203" customFormat="1" ht="45.75" customHeight="1" x14ac:dyDescent="0.2">
      <c r="C30" s="204"/>
    </row>
    <row r="31" spans="1:14" s="203" customFormat="1" ht="15" customHeight="1" x14ac:dyDescent="0.2">
      <c r="C31" s="204"/>
      <c r="H31" s="713" t="e">
        <f>#REF!</f>
        <v>#REF!</v>
      </c>
      <c r="I31" s="714"/>
      <c r="J31" s="714"/>
      <c r="K31" s="714"/>
      <c r="L31" s="714"/>
      <c r="M31" s="714"/>
    </row>
    <row r="32" spans="1:14" s="203" customFormat="1" ht="15" customHeight="1" x14ac:dyDescent="0.2">
      <c r="C32" s="204"/>
      <c r="H32" s="715" t="e">
        <f>#REF!</f>
        <v>#REF!</v>
      </c>
      <c r="I32" s="715"/>
      <c r="J32" s="715"/>
      <c r="K32" s="715"/>
      <c r="L32" s="715"/>
      <c r="M32" s="715"/>
    </row>
    <row r="33" spans="3:3" s="203" customFormat="1" ht="15" customHeight="1" x14ac:dyDescent="0.2">
      <c r="C33" s="204"/>
    </row>
    <row r="34" spans="3:3" s="203" customFormat="1" ht="15" customHeight="1" x14ac:dyDescent="0.2">
      <c r="C34" s="204"/>
    </row>
    <row r="35" spans="3:3" s="203" customFormat="1" ht="15" customHeight="1" x14ac:dyDescent="0.2">
      <c r="C35" s="204"/>
    </row>
    <row r="36" spans="3:3" s="203" customFormat="1" ht="15" customHeight="1" x14ac:dyDescent="0.2">
      <c r="C36" s="204"/>
    </row>
    <row r="37" spans="3:3" s="203" customFormat="1" ht="15" customHeight="1" x14ac:dyDescent="0.2">
      <c r="C37" s="204"/>
    </row>
    <row r="38" spans="3:3" s="203" customFormat="1" ht="15" customHeight="1" x14ac:dyDescent="0.2">
      <c r="C38" s="204"/>
    </row>
    <row r="39" spans="3:3" s="203" customFormat="1" ht="15" customHeight="1" x14ac:dyDescent="0.2">
      <c r="C39" s="204"/>
    </row>
    <row r="40" spans="3:3" s="203" customFormat="1" ht="15" customHeight="1" x14ac:dyDescent="0.2">
      <c r="C40" s="204"/>
    </row>
    <row r="41" spans="3:3" s="203" customFormat="1" ht="15" customHeight="1" x14ac:dyDescent="0.2">
      <c r="C41" s="204"/>
    </row>
    <row r="42" spans="3:3" s="203" customFormat="1" ht="15" customHeight="1" x14ac:dyDescent="0.2">
      <c r="C42" s="204"/>
    </row>
    <row r="43" spans="3:3" s="203" customFormat="1" ht="15" customHeight="1" x14ac:dyDescent="0.2">
      <c r="C43" s="204"/>
    </row>
    <row r="44" spans="3:3" s="203" customFormat="1" ht="15" customHeight="1" x14ac:dyDescent="0.2">
      <c r="C44" s="204"/>
    </row>
    <row r="45" spans="3:3" s="203" customFormat="1" ht="15" customHeight="1" x14ac:dyDescent="0.2">
      <c r="C45" s="204"/>
    </row>
    <row r="46" spans="3:3" s="203" customFormat="1" ht="15" customHeight="1" x14ac:dyDescent="0.2">
      <c r="C46" s="204"/>
    </row>
    <row r="47" spans="3:3" s="203" customFormat="1" ht="15" customHeight="1" x14ac:dyDescent="0.2">
      <c r="C47" s="204"/>
    </row>
    <row r="48" spans="3:3" s="203" customFormat="1" ht="15" customHeight="1" x14ac:dyDescent="0.2">
      <c r="C48" s="204"/>
    </row>
    <row r="49" spans="3:3" s="203" customFormat="1" ht="15" customHeight="1" x14ac:dyDescent="0.2">
      <c r="C49" s="204"/>
    </row>
    <row r="50" spans="3:3" s="203" customFormat="1" ht="15" customHeight="1" x14ac:dyDescent="0.2">
      <c r="C50" s="204"/>
    </row>
    <row r="51" spans="3:3" s="203" customFormat="1" ht="15" customHeight="1" x14ac:dyDescent="0.2">
      <c r="C51" s="204"/>
    </row>
    <row r="52" spans="3:3" s="203" customFormat="1" ht="15" customHeight="1" x14ac:dyDescent="0.2">
      <c r="C52" s="204"/>
    </row>
    <row r="53" spans="3:3" s="203" customFormat="1" ht="15" customHeight="1" x14ac:dyDescent="0.2">
      <c r="C53" s="204"/>
    </row>
    <row r="54" spans="3:3" s="203" customFormat="1" ht="15" customHeight="1" x14ac:dyDescent="0.2">
      <c r="C54" s="204"/>
    </row>
    <row r="55" spans="3:3" s="203" customFormat="1" ht="15" customHeight="1" x14ac:dyDescent="0.2">
      <c r="C55" s="204"/>
    </row>
    <row r="56" spans="3:3" s="203" customFormat="1" ht="15" customHeight="1" x14ac:dyDescent="0.2">
      <c r="C56" s="204"/>
    </row>
    <row r="57" spans="3:3" s="203" customFormat="1" ht="15" customHeight="1" x14ac:dyDescent="0.2">
      <c r="C57" s="204"/>
    </row>
    <row r="58" spans="3:3" s="203" customFormat="1" ht="15" customHeight="1" x14ac:dyDescent="0.2">
      <c r="C58" s="204"/>
    </row>
    <row r="59" spans="3:3" s="203" customFormat="1" ht="15" customHeight="1" x14ac:dyDescent="0.2">
      <c r="C59" s="204"/>
    </row>
    <row r="60" spans="3:3" s="203" customFormat="1" ht="15" customHeight="1" x14ac:dyDescent="0.2">
      <c r="C60" s="204"/>
    </row>
    <row r="61" spans="3:3" s="203" customFormat="1" ht="15" customHeight="1" x14ac:dyDescent="0.2">
      <c r="C61" s="204"/>
    </row>
    <row r="62" spans="3:3" s="203" customFormat="1" ht="15" customHeight="1" x14ac:dyDescent="0.2">
      <c r="C62" s="204"/>
    </row>
    <row r="63" spans="3:3" s="203" customFormat="1" ht="15" customHeight="1" x14ac:dyDescent="0.2">
      <c r="C63" s="204"/>
    </row>
    <row r="64" spans="3:3" s="203" customFormat="1" ht="15" customHeight="1" x14ac:dyDescent="0.2">
      <c r="C64" s="204"/>
    </row>
    <row r="65" spans="3:3" s="203" customFormat="1" ht="15" customHeight="1" x14ac:dyDescent="0.2">
      <c r="C65" s="204"/>
    </row>
    <row r="66" spans="3:3" s="203" customFormat="1" ht="15" customHeight="1" x14ac:dyDescent="0.2">
      <c r="C66" s="204"/>
    </row>
    <row r="67" spans="3:3" s="203" customFormat="1" ht="15" customHeight="1" x14ac:dyDescent="0.2">
      <c r="C67" s="204"/>
    </row>
    <row r="68" spans="3:3" s="203" customFormat="1" ht="15" customHeight="1" x14ac:dyDescent="0.2">
      <c r="C68" s="204"/>
    </row>
    <row r="69" spans="3:3" s="203" customFormat="1" ht="15" customHeight="1" x14ac:dyDescent="0.2">
      <c r="C69" s="204"/>
    </row>
    <row r="70" spans="3:3" s="203" customFormat="1" ht="15" customHeight="1" x14ac:dyDescent="0.2">
      <c r="C70" s="204"/>
    </row>
    <row r="71" spans="3:3" s="203" customFormat="1" ht="15" customHeight="1" x14ac:dyDescent="0.2">
      <c r="C71" s="204"/>
    </row>
    <row r="72" spans="3:3" s="203" customFormat="1" ht="15" customHeight="1" x14ac:dyDescent="0.2">
      <c r="C72" s="204"/>
    </row>
    <row r="73" spans="3:3" s="203" customFormat="1" ht="15" customHeight="1" x14ac:dyDescent="0.2">
      <c r="C73" s="204"/>
    </row>
    <row r="74" spans="3:3" s="203" customFormat="1" ht="15" customHeight="1" x14ac:dyDescent="0.2">
      <c r="C74" s="204"/>
    </row>
    <row r="75" spans="3:3" s="203" customFormat="1" ht="15" customHeight="1" x14ac:dyDescent="0.2">
      <c r="C75" s="204"/>
    </row>
    <row r="76" spans="3:3" s="203" customFormat="1" ht="15" customHeight="1" x14ac:dyDescent="0.2">
      <c r="C76" s="204"/>
    </row>
    <row r="77" spans="3:3" s="203" customFormat="1" ht="15" customHeight="1" x14ac:dyDescent="0.2">
      <c r="C77" s="204"/>
    </row>
    <row r="78" spans="3:3" s="203" customFormat="1" ht="15" customHeight="1" x14ac:dyDescent="0.2">
      <c r="C78" s="204"/>
    </row>
    <row r="79" spans="3:3" s="203" customFormat="1" ht="15" customHeight="1" x14ac:dyDescent="0.2">
      <c r="C79" s="204"/>
    </row>
    <row r="80" spans="3:3" s="203" customFormat="1" ht="15" customHeight="1" x14ac:dyDescent="0.2">
      <c r="C80" s="204"/>
    </row>
    <row r="81" spans="3:3" s="203" customFormat="1" ht="15" customHeight="1" x14ac:dyDescent="0.2">
      <c r="C81" s="204"/>
    </row>
    <row r="82" spans="3:3" s="203" customFormat="1" ht="15" customHeight="1" x14ac:dyDescent="0.2">
      <c r="C82" s="204"/>
    </row>
    <row r="83" spans="3:3" s="203" customFormat="1" ht="15" customHeight="1" x14ac:dyDescent="0.2">
      <c r="C83" s="204"/>
    </row>
    <row r="84" spans="3:3" s="203" customFormat="1" ht="15" customHeight="1" x14ac:dyDescent="0.2">
      <c r="C84" s="204"/>
    </row>
    <row r="85" spans="3:3" s="203" customFormat="1" ht="15" customHeight="1" x14ac:dyDescent="0.2">
      <c r="C85" s="204"/>
    </row>
    <row r="86" spans="3:3" s="203" customFormat="1" ht="15" customHeight="1" x14ac:dyDescent="0.2">
      <c r="C86" s="204"/>
    </row>
    <row r="87" spans="3:3" s="203" customFormat="1" ht="15" customHeight="1" x14ac:dyDescent="0.2">
      <c r="C87" s="204"/>
    </row>
    <row r="88" spans="3:3" s="203" customFormat="1" ht="15" customHeight="1" x14ac:dyDescent="0.2">
      <c r="C88" s="204"/>
    </row>
    <row r="89" spans="3:3" s="203" customFormat="1" ht="15" customHeight="1" x14ac:dyDescent="0.2">
      <c r="C89" s="204"/>
    </row>
  </sheetData>
  <mergeCells count="15">
    <mergeCell ref="H29:M29"/>
    <mergeCell ref="H31:M31"/>
    <mergeCell ref="H32:M32"/>
    <mergeCell ref="D14:L14"/>
    <mergeCell ref="D15:L15"/>
    <mergeCell ref="C17:L18"/>
    <mergeCell ref="A21:L22"/>
    <mergeCell ref="K26:L26"/>
    <mergeCell ref="H28:M28"/>
    <mergeCell ref="D13:L13"/>
    <mergeCell ref="A1:M1"/>
    <mergeCell ref="A2:M2"/>
    <mergeCell ref="C8:E8"/>
    <mergeCell ref="D11:L11"/>
    <mergeCell ref="D12:L12"/>
  </mergeCells>
  <printOptions horizontalCentered="1"/>
  <pageMargins left="0.6" right="0.5" top="0.56999999999999995" bottom="0.38" header="0.511811023622047" footer="0.26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S44"/>
  <sheetViews>
    <sheetView tabSelected="1" view="pageBreakPreview" zoomScaleNormal="100" zoomScaleSheetLayoutView="100" workbookViewId="0">
      <selection activeCell="B11" sqref="B11:C11"/>
    </sheetView>
  </sheetViews>
  <sheetFormatPr defaultColWidth="9.140625" defaultRowHeight="18" customHeight="1" x14ac:dyDescent="0.2"/>
  <cols>
    <col min="1" max="1" width="3.85546875" style="122" customWidth="1"/>
    <col min="2" max="2" width="3.7109375" style="126" customWidth="1"/>
    <col min="3" max="3" width="36.28515625" style="122" customWidth="1"/>
    <col min="4" max="4" width="4.140625" style="127" customWidth="1"/>
    <col min="5" max="5" width="7.42578125" style="127" customWidth="1"/>
    <col min="6" max="6" width="5" style="127" customWidth="1"/>
    <col min="7" max="7" width="16.85546875" style="127" customWidth="1"/>
    <col min="8" max="8" width="1.7109375" style="127" customWidth="1"/>
    <col min="9" max="9" width="5.28515625" style="127" customWidth="1"/>
    <col min="10" max="10" width="19.28515625" style="127" customWidth="1"/>
    <col min="11" max="11" width="9.140625" style="122"/>
    <col min="12" max="12" width="32" style="343" customWidth="1"/>
    <col min="13" max="16384" width="9.140625" style="122"/>
  </cols>
  <sheetData>
    <row r="1" spans="1:12" ht="18" customHeight="1" thickTop="1" thickBot="1" x14ac:dyDescent="0.25">
      <c r="A1" s="24" t="s">
        <v>224</v>
      </c>
      <c r="L1" s="389" t="s">
        <v>290</v>
      </c>
    </row>
    <row r="2" spans="1:12" ht="18" customHeight="1" thickTop="1" thickBot="1" x14ac:dyDescent="0.25">
      <c r="A2" s="25" t="s">
        <v>225</v>
      </c>
      <c r="L2" s="390">
        <v>1</v>
      </c>
    </row>
    <row r="3" spans="1:12" ht="4.5" customHeight="1" thickTop="1" x14ac:dyDescent="0.2">
      <c r="A3" s="24"/>
      <c r="L3" s="343">
        <v>318</v>
      </c>
    </row>
    <row r="4" spans="1:12" ht="12.75" customHeight="1" x14ac:dyDescent="0.2">
      <c r="G4" s="128" t="s">
        <v>226</v>
      </c>
      <c r="H4" s="128" t="s">
        <v>227</v>
      </c>
      <c r="I4" s="129">
        <v>2</v>
      </c>
    </row>
    <row r="5" spans="1:12" ht="12.75" customHeight="1" x14ac:dyDescent="0.2">
      <c r="A5" s="554"/>
      <c r="B5" s="555"/>
      <c r="C5" s="554"/>
      <c r="D5" s="556"/>
      <c r="E5" s="557"/>
      <c r="F5" s="557"/>
      <c r="G5" s="553" t="s">
        <v>495</v>
      </c>
      <c r="H5" s="553" t="s">
        <v>227</v>
      </c>
      <c r="I5" s="557" t="str">
        <f>VLOOKUP($L$2,'Data SPD'!$A$3:$AJ$5,3)&amp;"/SPD/2021"</f>
        <v>/SPD/2021</v>
      </c>
      <c r="J5" s="558"/>
    </row>
    <row r="6" spans="1:12" ht="4.5" customHeight="1" x14ac:dyDescent="0.2">
      <c r="A6" s="554"/>
      <c r="B6" s="555"/>
      <c r="C6" s="554"/>
      <c r="D6" s="556"/>
      <c r="E6" s="556"/>
      <c r="F6" s="556"/>
      <c r="G6" s="556"/>
      <c r="H6" s="556"/>
      <c r="I6" s="556"/>
      <c r="J6" s="556"/>
    </row>
    <row r="7" spans="1:12" ht="20.100000000000001" customHeight="1" x14ac:dyDescent="0.2">
      <c r="A7" s="697" t="s">
        <v>494</v>
      </c>
      <c r="B7" s="697"/>
      <c r="C7" s="697"/>
      <c r="D7" s="697"/>
      <c r="E7" s="697"/>
      <c r="F7" s="697"/>
      <c r="G7" s="697"/>
      <c r="H7" s="697"/>
      <c r="I7" s="697"/>
      <c r="J7" s="697"/>
    </row>
    <row r="8" spans="1:12" ht="9.9499999999999993" customHeight="1" thickBot="1" x14ac:dyDescent="0.25">
      <c r="A8" s="559"/>
      <c r="B8" s="555"/>
      <c r="C8" s="559"/>
      <c r="D8" s="557"/>
      <c r="E8" s="557"/>
      <c r="F8" s="557"/>
      <c r="G8" s="557"/>
      <c r="H8" s="557"/>
      <c r="I8" s="557"/>
      <c r="J8" s="557"/>
    </row>
    <row r="9" spans="1:12" ht="18" customHeight="1" thickTop="1" x14ac:dyDescent="0.2">
      <c r="A9" s="560" t="s">
        <v>232</v>
      </c>
      <c r="B9" s="561" t="s">
        <v>233</v>
      </c>
      <c r="C9" s="562"/>
      <c r="D9" s="744" t="str">
        <f>F42</f>
        <v>Prayitno, S.ST.</v>
      </c>
      <c r="E9" s="745"/>
      <c r="F9" s="745"/>
      <c r="G9" s="745"/>
      <c r="H9" s="745"/>
      <c r="I9" s="745"/>
      <c r="J9" s="746"/>
    </row>
    <row r="10" spans="1:12" ht="6.75" customHeight="1" x14ac:dyDescent="0.2">
      <c r="A10" s="563"/>
      <c r="B10" s="564"/>
      <c r="C10" s="565"/>
      <c r="D10" s="566"/>
      <c r="E10" s="567"/>
      <c r="F10" s="567"/>
      <c r="G10" s="567"/>
      <c r="H10" s="567"/>
      <c r="I10" s="567"/>
      <c r="J10" s="568"/>
    </row>
    <row r="11" spans="1:12" ht="33.75" customHeight="1" x14ac:dyDescent="0.2">
      <c r="A11" s="569" t="s">
        <v>235</v>
      </c>
      <c r="B11" s="752" t="s">
        <v>236</v>
      </c>
      <c r="C11" s="753"/>
      <c r="D11" s="747" t="e">
        <f>VLOOKUP($L$2,'Data SPD'!A3:AJ5,6)</f>
        <v>#N/A</v>
      </c>
      <c r="E11" s="748"/>
      <c r="F11" s="748"/>
      <c r="G11" s="748"/>
      <c r="H11" s="570" t="s">
        <v>237</v>
      </c>
      <c r="I11" s="705" t="e">
        <f>VLOOKUP($L$2,'Data SPD'!$A$3:$AJ$5,5)</f>
        <v>#N/A</v>
      </c>
      <c r="J11" s="706"/>
    </row>
    <row r="12" spans="1:12" ht="18" customHeight="1" x14ac:dyDescent="0.2">
      <c r="A12" s="563">
        <v>3</v>
      </c>
      <c r="B12" s="571" t="s">
        <v>2</v>
      </c>
      <c r="C12" s="572" t="s">
        <v>238</v>
      </c>
      <c r="D12" s="573" t="s">
        <v>2</v>
      </c>
      <c r="E12" s="574" t="e">
        <f>VLOOKUP($L$2,'Data SPD'!$A$3:$AJ$5,7)</f>
        <v>#N/A</v>
      </c>
      <c r="F12" s="89"/>
      <c r="G12" s="575"/>
      <c r="H12" s="576"/>
      <c r="I12" s="90"/>
      <c r="J12" s="91"/>
      <c r="L12" s="414"/>
    </row>
    <row r="13" spans="1:12" ht="27.75" customHeight="1" x14ac:dyDescent="0.2">
      <c r="A13" s="563"/>
      <c r="B13" s="564" t="s">
        <v>4</v>
      </c>
      <c r="C13" s="577" t="s">
        <v>239</v>
      </c>
      <c r="D13" s="578" t="s">
        <v>4</v>
      </c>
      <c r="E13" s="750" t="e">
        <f>VLOOKUP($L$2,'Data SPD'!$A$3:$AJ$5,8)</f>
        <v>#N/A</v>
      </c>
      <c r="F13" s="750"/>
      <c r="G13" s="750"/>
      <c r="H13" s="750"/>
      <c r="I13" s="750"/>
      <c r="J13" s="751"/>
    </row>
    <row r="14" spans="1:12" ht="18" customHeight="1" x14ac:dyDescent="0.2">
      <c r="A14" s="579"/>
      <c r="B14" s="580" t="s">
        <v>240</v>
      </c>
      <c r="C14" s="581" t="s">
        <v>241</v>
      </c>
      <c r="D14" s="582" t="s">
        <v>242</v>
      </c>
      <c r="E14" s="741" t="str">
        <f>VLOOKUP($L$2,'Data SPD'!$A$3:$AJ$5,9)</f>
        <v>C</v>
      </c>
      <c r="F14" s="741"/>
      <c r="G14" s="741"/>
      <c r="H14" s="583"/>
      <c r="I14" s="583"/>
      <c r="J14" s="584"/>
    </row>
    <row r="15" spans="1:12" ht="18" customHeight="1" x14ac:dyDescent="0.2">
      <c r="A15" s="585">
        <v>4</v>
      </c>
      <c r="B15" s="586" t="s">
        <v>243</v>
      </c>
      <c r="C15" s="587"/>
      <c r="D15" s="724">
        <f>VLOOKUP($L$2,'Data SPD'!$A$3:$AJ$5,10)</f>
        <v>0</v>
      </c>
      <c r="E15" s="725"/>
      <c r="F15" s="725"/>
      <c r="G15" s="725"/>
      <c r="H15" s="725"/>
      <c r="I15" s="725"/>
      <c r="J15" s="726"/>
    </row>
    <row r="16" spans="1:12" ht="22.5" customHeight="1" x14ac:dyDescent="0.2">
      <c r="A16" s="588"/>
      <c r="B16" s="589"/>
      <c r="C16" s="590"/>
      <c r="D16" s="727"/>
      <c r="E16" s="728"/>
      <c r="F16" s="728"/>
      <c r="G16" s="728"/>
      <c r="H16" s="728"/>
      <c r="I16" s="728"/>
      <c r="J16" s="729"/>
    </row>
    <row r="17" spans="1:19" ht="35.25" customHeight="1" x14ac:dyDescent="0.2">
      <c r="A17" s="579">
        <v>5</v>
      </c>
      <c r="B17" s="591" t="s">
        <v>244</v>
      </c>
      <c r="C17" s="592"/>
      <c r="D17" s="754">
        <f>VLOOKUP($L$2,'Data SPD'!$A$3:$AJ$5,11)</f>
        <v>0</v>
      </c>
      <c r="E17" s="755"/>
      <c r="F17" s="755"/>
      <c r="G17" s="755"/>
      <c r="H17" s="755"/>
      <c r="I17" s="755"/>
      <c r="J17" s="756"/>
      <c r="P17" s="160"/>
      <c r="Q17" s="161"/>
      <c r="R17" s="161"/>
      <c r="S17" s="161"/>
    </row>
    <row r="18" spans="1:19" ht="23.25" customHeight="1" x14ac:dyDescent="0.2">
      <c r="A18" s="593">
        <v>6</v>
      </c>
      <c r="B18" s="571" t="s">
        <v>2</v>
      </c>
      <c r="C18" s="572" t="s">
        <v>245</v>
      </c>
      <c r="D18" s="573" t="s">
        <v>246</v>
      </c>
      <c r="E18" s="722" t="str">
        <f>VLOOKUP($L$2,'Data SPD'!$A$3:$AJ$5,12)</f>
        <v>Mamuju</v>
      </c>
      <c r="F18" s="722"/>
      <c r="G18" s="722"/>
      <c r="H18" s="594"/>
      <c r="I18" s="594"/>
      <c r="J18" s="595"/>
    </row>
    <row r="19" spans="1:19" ht="18" customHeight="1" x14ac:dyDescent="0.2">
      <c r="A19" s="579"/>
      <c r="B19" s="580" t="s">
        <v>4</v>
      </c>
      <c r="C19" s="581" t="s">
        <v>247</v>
      </c>
      <c r="D19" s="582" t="s">
        <v>248</v>
      </c>
      <c r="E19" s="596">
        <f>VLOOKUP($L$2,'Data SPD'!$A$3:$AJ$5,13)</f>
        <v>0</v>
      </c>
      <c r="F19" s="583"/>
      <c r="G19" s="583"/>
      <c r="H19" s="583"/>
      <c r="I19" s="583"/>
      <c r="J19" s="584"/>
      <c r="L19" s="352"/>
      <c r="M19" s="494"/>
      <c r="N19" s="494"/>
    </row>
    <row r="20" spans="1:19" ht="18" customHeight="1" x14ac:dyDescent="0.2">
      <c r="A20" s="593">
        <v>7</v>
      </c>
      <c r="B20" s="571" t="s">
        <v>2</v>
      </c>
      <c r="C20" s="572" t="s">
        <v>249</v>
      </c>
      <c r="D20" s="573" t="s">
        <v>246</v>
      </c>
      <c r="E20" s="737">
        <f>VLOOKUP($L$2,'Data SPD'!$A$3:$AJ$5,14)</f>
        <v>0</v>
      </c>
      <c r="F20" s="737"/>
      <c r="G20" s="737"/>
      <c r="H20" s="749"/>
      <c r="I20" s="749"/>
      <c r="J20" s="595"/>
      <c r="L20" s="352"/>
      <c r="M20" s="494"/>
      <c r="N20" s="494"/>
    </row>
    <row r="21" spans="1:19" ht="18" customHeight="1" x14ac:dyDescent="0.2">
      <c r="A21" s="563"/>
      <c r="B21" s="564" t="s">
        <v>4</v>
      </c>
      <c r="C21" s="577" t="s">
        <v>251</v>
      </c>
      <c r="D21" s="578" t="s">
        <v>252</v>
      </c>
      <c r="E21" s="743">
        <f>VLOOKUP($L$2,'Data SPD'!$A$3:$AJ$5,15)</f>
        <v>0</v>
      </c>
      <c r="F21" s="743"/>
      <c r="G21" s="743"/>
      <c r="H21" s="597"/>
      <c r="I21" s="597"/>
      <c r="J21" s="598"/>
    </row>
    <row r="22" spans="1:19" ht="18" customHeight="1" x14ac:dyDescent="0.2">
      <c r="A22" s="579"/>
      <c r="B22" s="580" t="s">
        <v>240</v>
      </c>
      <c r="C22" s="581" t="s">
        <v>253</v>
      </c>
      <c r="D22" s="582" t="s">
        <v>242</v>
      </c>
      <c r="E22" s="736">
        <f>VLOOKUP($L$2,'Data SPD'!$A$3:$AJ$5,16)</f>
        <v>0</v>
      </c>
      <c r="F22" s="736"/>
      <c r="G22" s="736"/>
      <c r="H22" s="597"/>
      <c r="I22" s="597"/>
      <c r="J22" s="598"/>
    </row>
    <row r="23" spans="1:19" ht="18" customHeight="1" x14ac:dyDescent="0.2">
      <c r="A23" s="569">
        <v>8</v>
      </c>
      <c r="B23" s="599"/>
      <c r="C23" s="600" t="s">
        <v>254</v>
      </c>
      <c r="D23" s="742" t="s">
        <v>255</v>
      </c>
      <c r="E23" s="730"/>
      <c r="F23" s="731"/>
      <c r="G23" s="730" t="s">
        <v>256</v>
      </c>
      <c r="H23" s="730"/>
      <c r="I23" s="730"/>
      <c r="J23" s="731"/>
    </row>
    <row r="24" spans="1:19" ht="16.5" customHeight="1" x14ac:dyDescent="0.2">
      <c r="A24" s="593"/>
      <c r="B24" s="571" t="s">
        <v>232</v>
      </c>
      <c r="C24" s="601"/>
      <c r="D24" s="738"/>
      <c r="E24" s="739"/>
      <c r="F24" s="740"/>
      <c r="G24" s="602"/>
      <c r="H24" s="602"/>
      <c r="I24" s="602"/>
      <c r="J24" s="603"/>
      <c r="K24" s="673"/>
      <c r="L24" s="673"/>
      <c r="M24" s="674"/>
      <c r="N24" s="674"/>
      <c r="O24" s="674"/>
      <c r="P24" s="674"/>
      <c r="Q24" s="674"/>
    </row>
    <row r="25" spans="1:19" ht="15.75" customHeight="1" x14ac:dyDescent="0.2">
      <c r="A25" s="563"/>
      <c r="B25" s="564" t="s">
        <v>235</v>
      </c>
      <c r="C25" s="604"/>
      <c r="D25" s="605"/>
      <c r="E25" s="606"/>
      <c r="F25" s="607"/>
      <c r="G25" s="606"/>
      <c r="H25" s="606"/>
      <c r="I25" s="606"/>
      <c r="J25" s="607"/>
      <c r="K25" s="673"/>
      <c r="L25" s="673"/>
      <c r="M25" s="674"/>
      <c r="N25" s="674"/>
      <c r="O25" s="674"/>
      <c r="P25" s="674"/>
      <c r="Q25" s="674"/>
    </row>
    <row r="26" spans="1:19" ht="15.75" customHeight="1" x14ac:dyDescent="0.2">
      <c r="A26" s="579"/>
      <c r="B26" s="580" t="s">
        <v>260</v>
      </c>
      <c r="C26" s="608"/>
      <c r="D26" s="609"/>
      <c r="E26" s="610"/>
      <c r="F26" s="611"/>
      <c r="G26" s="610"/>
      <c r="H26" s="610"/>
      <c r="I26" s="610"/>
      <c r="J26" s="611"/>
    </row>
    <row r="27" spans="1:19" ht="27" hidden="1" customHeight="1" x14ac:dyDescent="0.2">
      <c r="A27" s="593">
        <v>9</v>
      </c>
      <c r="B27" s="612" t="s">
        <v>261</v>
      </c>
      <c r="C27" s="587"/>
      <c r="D27" s="732" t="s">
        <v>257</v>
      </c>
      <c r="E27" s="733"/>
      <c r="F27" s="722" t="s">
        <v>258</v>
      </c>
      <c r="G27" s="722"/>
      <c r="H27" s="722"/>
      <c r="I27" s="722"/>
      <c r="J27" s="723"/>
      <c r="K27" s="676" t="s">
        <v>262</v>
      </c>
      <c r="L27" s="677"/>
      <c r="M27" s="678" t="s">
        <v>263</v>
      </c>
      <c r="N27" s="678"/>
      <c r="O27" s="678"/>
      <c r="P27" s="678"/>
      <c r="Q27" s="679"/>
    </row>
    <row r="28" spans="1:19" ht="26.25" hidden="1" customHeight="1" x14ac:dyDescent="0.2">
      <c r="A28" s="563"/>
      <c r="B28" s="613" t="s">
        <v>264</v>
      </c>
      <c r="C28" s="614"/>
      <c r="D28" s="718">
        <v>2886</v>
      </c>
      <c r="E28" s="719"/>
      <c r="F28" s="720" t="s">
        <v>259</v>
      </c>
      <c r="G28" s="720"/>
      <c r="H28" s="720"/>
      <c r="I28" s="720"/>
      <c r="J28" s="721"/>
      <c r="K28" s="672">
        <v>2895</v>
      </c>
      <c r="L28" s="673"/>
      <c r="M28" s="674" t="s">
        <v>265</v>
      </c>
      <c r="N28" s="674"/>
      <c r="O28" s="674"/>
      <c r="P28" s="674"/>
      <c r="Q28" s="675"/>
    </row>
    <row r="29" spans="1:19" ht="18" hidden="1" customHeight="1" x14ac:dyDescent="0.2">
      <c r="A29" s="563"/>
      <c r="B29" s="613" t="s">
        <v>266</v>
      </c>
      <c r="C29" s="614"/>
      <c r="D29" s="718" t="s">
        <v>267</v>
      </c>
      <c r="E29" s="719"/>
      <c r="F29" s="720" t="s">
        <v>268</v>
      </c>
      <c r="G29" s="720"/>
      <c r="H29" s="720"/>
      <c r="I29" s="720"/>
      <c r="J29" s="721"/>
    </row>
    <row r="30" spans="1:19" ht="18" customHeight="1" x14ac:dyDescent="0.2">
      <c r="A30" s="563">
        <v>9</v>
      </c>
      <c r="B30" s="564" t="s">
        <v>2</v>
      </c>
      <c r="C30" s="577" t="s">
        <v>269</v>
      </c>
      <c r="D30" s="615" t="s">
        <v>246</v>
      </c>
      <c r="E30" s="574" t="s">
        <v>193</v>
      </c>
      <c r="F30" s="606"/>
      <c r="G30" s="616"/>
      <c r="H30" s="616"/>
      <c r="I30" s="616"/>
      <c r="J30" s="607"/>
      <c r="K30" s="342">
        <v>1</v>
      </c>
      <c r="L30" s="343" t="s">
        <v>270</v>
      </c>
    </row>
    <row r="31" spans="1:19" ht="18" customHeight="1" x14ac:dyDescent="0.2">
      <c r="A31" s="563"/>
      <c r="B31" s="564" t="s">
        <v>4</v>
      </c>
      <c r="C31" s="577" t="s">
        <v>183</v>
      </c>
      <c r="D31" s="615" t="s">
        <v>4</v>
      </c>
      <c r="E31" s="734">
        <f>VLOOKUP($L$2,'Data SPD'!$A$3:$AJ$5,20)</f>
        <v>0</v>
      </c>
      <c r="F31" s="734"/>
      <c r="G31" s="734"/>
      <c r="H31" s="616"/>
      <c r="I31" s="616"/>
      <c r="J31" s="617"/>
    </row>
    <row r="32" spans="1:19" ht="18" customHeight="1" x14ac:dyDescent="0.2">
      <c r="A32" s="563"/>
      <c r="B32" s="564" t="s">
        <v>240</v>
      </c>
      <c r="C32" s="577" t="s">
        <v>291</v>
      </c>
      <c r="D32" s="615" t="s">
        <v>242</v>
      </c>
      <c r="E32" s="734">
        <f>VLOOKUP($L$2,'Data SPD'!$A$3:$AJ$5,19)</f>
        <v>0</v>
      </c>
      <c r="F32" s="734"/>
      <c r="G32" s="734"/>
      <c r="H32" s="616"/>
      <c r="I32" s="616"/>
      <c r="J32" s="617"/>
    </row>
    <row r="33" spans="1:19" ht="18" customHeight="1" x14ac:dyDescent="0.2">
      <c r="A33" s="563"/>
      <c r="B33" s="564" t="s">
        <v>292</v>
      </c>
      <c r="C33" s="577" t="s">
        <v>181</v>
      </c>
      <c r="D33" s="615" t="s">
        <v>292</v>
      </c>
      <c r="E33" s="734">
        <f>VLOOKUP($L$2,'Data SPD'!$A$3:$AJ$5,18)</f>
        <v>0</v>
      </c>
      <c r="F33" s="734"/>
      <c r="G33" s="734"/>
      <c r="H33" s="616"/>
      <c r="I33" s="616"/>
      <c r="J33" s="617"/>
    </row>
    <row r="34" spans="1:19" ht="18" customHeight="1" thickBot="1" x14ac:dyDescent="0.25">
      <c r="A34" s="618">
        <v>10</v>
      </c>
      <c r="B34" s="619" t="s">
        <v>271</v>
      </c>
      <c r="C34" s="620"/>
      <c r="D34" s="621"/>
      <c r="E34" s="622"/>
      <c r="F34" s="622"/>
      <c r="G34" s="622"/>
      <c r="H34" s="622"/>
      <c r="I34" s="622"/>
      <c r="J34" s="623"/>
    </row>
    <row r="35" spans="1:19" ht="14.25" customHeight="1" thickTop="1" x14ac:dyDescent="0.2">
      <c r="A35" s="194"/>
      <c r="B35" s="624"/>
      <c r="C35" s="625"/>
      <c r="D35" s="626"/>
      <c r="E35" s="626"/>
      <c r="F35" s="626"/>
      <c r="G35" s="626"/>
      <c r="H35" s="626"/>
      <c r="I35" s="626"/>
      <c r="J35" s="626"/>
    </row>
    <row r="36" spans="1:19" ht="15" customHeight="1" x14ac:dyDescent="0.2">
      <c r="A36" s="559"/>
      <c r="B36" s="555"/>
      <c r="C36" s="559"/>
      <c r="D36" s="557"/>
      <c r="E36" s="557"/>
      <c r="F36" s="553" t="s">
        <v>273</v>
      </c>
      <c r="G36" s="557"/>
      <c r="H36" s="553" t="s">
        <v>227</v>
      </c>
      <c r="I36" s="627" t="s">
        <v>28</v>
      </c>
      <c r="J36" s="557"/>
    </row>
    <row r="37" spans="1:19" ht="14.25" customHeight="1" x14ac:dyDescent="0.2">
      <c r="A37" s="559"/>
      <c r="B37" s="555"/>
      <c r="C37" s="559"/>
      <c r="D37" s="557"/>
      <c r="E37" s="557"/>
      <c r="F37" s="628" t="s">
        <v>274</v>
      </c>
      <c r="G37" s="629"/>
      <c r="H37" s="628" t="s">
        <v>227</v>
      </c>
      <c r="I37" s="735">
        <f>VLOOKUP($L$2,'Data SPD'!$A$3:$AJ$5,24)</f>
        <v>0</v>
      </c>
      <c r="J37" s="735"/>
    </row>
    <row r="38" spans="1:19" ht="9.9499999999999993" customHeight="1" x14ac:dyDescent="0.2">
      <c r="J38" s="128" t="s">
        <v>275</v>
      </c>
    </row>
    <row r="39" spans="1:19" ht="15" customHeight="1" x14ac:dyDescent="0.2">
      <c r="F39" s="668" t="s">
        <v>233</v>
      </c>
      <c r="G39" s="668"/>
      <c r="H39" s="668"/>
      <c r="I39" s="668"/>
      <c r="J39" s="668"/>
    </row>
    <row r="40" spans="1:19" ht="18" customHeight="1" x14ac:dyDescent="0.2">
      <c r="A40" s="235"/>
      <c r="B40" s="235"/>
      <c r="C40" s="235"/>
      <c r="D40" s="235"/>
      <c r="E40" s="235"/>
      <c r="F40" s="235"/>
      <c r="G40" s="88"/>
      <c r="H40" s="198"/>
      <c r="I40" s="198"/>
      <c r="J40" s="200"/>
    </row>
    <row r="41" spans="1:19" ht="31.5" customHeight="1" x14ac:dyDescent="0.2">
      <c r="F41" s="198"/>
      <c r="G41" s="198"/>
      <c r="H41" s="198"/>
      <c r="I41" s="198"/>
      <c r="J41" s="200"/>
    </row>
    <row r="42" spans="1:19" ht="18" customHeight="1" x14ac:dyDescent="0.2">
      <c r="B42" s="201"/>
      <c r="F42" s="670" t="s">
        <v>68</v>
      </c>
      <c r="G42" s="670"/>
      <c r="H42" s="670"/>
      <c r="I42" s="670"/>
      <c r="J42" s="670"/>
    </row>
    <row r="43" spans="1:19" ht="15.75" customHeight="1" x14ac:dyDescent="0.2">
      <c r="F43" s="671" t="s">
        <v>293</v>
      </c>
      <c r="G43" s="671"/>
      <c r="H43" s="671"/>
      <c r="I43" s="671"/>
      <c r="J43" s="671"/>
    </row>
    <row r="44" spans="1:19" ht="18" customHeight="1" x14ac:dyDescent="0.2">
      <c r="A44" s="202"/>
      <c r="S44" s="122">
        <v>6</v>
      </c>
    </row>
  </sheetData>
  <mergeCells count="38">
    <mergeCell ref="K27:L27"/>
    <mergeCell ref="M27:Q27"/>
    <mergeCell ref="K28:L28"/>
    <mergeCell ref="M28:Q28"/>
    <mergeCell ref="K24:L24"/>
    <mergeCell ref="M24:Q24"/>
    <mergeCell ref="K25:L25"/>
    <mergeCell ref="M25:Q25"/>
    <mergeCell ref="D9:J9"/>
    <mergeCell ref="D11:G11"/>
    <mergeCell ref="H20:I20"/>
    <mergeCell ref="E13:J13"/>
    <mergeCell ref="A7:J7"/>
    <mergeCell ref="I11:J11"/>
    <mergeCell ref="B11:C11"/>
    <mergeCell ref="D17:J17"/>
    <mergeCell ref="E22:G22"/>
    <mergeCell ref="E20:G20"/>
    <mergeCell ref="D24:F24"/>
    <mergeCell ref="E14:G14"/>
    <mergeCell ref="D23:F23"/>
    <mergeCell ref="E21:G21"/>
    <mergeCell ref="D29:E29"/>
    <mergeCell ref="F29:J29"/>
    <mergeCell ref="F27:J27"/>
    <mergeCell ref="F43:J43"/>
    <mergeCell ref="D15:J16"/>
    <mergeCell ref="G23:J23"/>
    <mergeCell ref="F39:J39"/>
    <mergeCell ref="D27:E27"/>
    <mergeCell ref="E32:G32"/>
    <mergeCell ref="E33:G33"/>
    <mergeCell ref="F42:J42"/>
    <mergeCell ref="F28:J28"/>
    <mergeCell ref="I37:J37"/>
    <mergeCell ref="E31:G31"/>
    <mergeCell ref="D28:E28"/>
    <mergeCell ref="E18:G18"/>
  </mergeCells>
  <phoneticPr fontId="4" type="noConversion"/>
  <printOptions horizontalCentered="1"/>
  <pageMargins left="0.27559055118110237" right="0.23622047244094491" top="0.59055118110236227" bottom="0.59055118110236227" header="0.51181102362204722" footer="0.51181102362204722"/>
  <pageSetup paperSize="9" scale="95" pageOrder="overThenDown" orientation="portrait" horizontalDpi="360" verticalDpi="36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A1:N94"/>
  <sheetViews>
    <sheetView view="pageBreakPreview" topLeftCell="A21" zoomScale="110" zoomScaleNormal="100" zoomScaleSheetLayoutView="110" workbookViewId="0">
      <selection activeCell="O30" sqref="O30"/>
    </sheetView>
  </sheetViews>
  <sheetFormatPr defaultColWidth="9.140625" defaultRowHeight="15" customHeight="1" x14ac:dyDescent="0.2"/>
  <cols>
    <col min="1" max="1" width="17.5703125" style="26" customWidth="1"/>
    <col min="2" max="2" width="2.85546875" style="308" customWidth="1"/>
    <col min="3" max="3" width="2.140625" style="28" customWidth="1"/>
    <col min="4" max="4" width="11" style="26" customWidth="1"/>
    <col min="5" max="5" width="16.28515625" style="26" customWidth="1"/>
    <col min="6" max="6" width="7.7109375" style="26" customWidth="1"/>
    <col min="7" max="7" width="11.5703125" style="26" customWidth="1"/>
    <col min="8" max="9" width="7.7109375" style="26" customWidth="1"/>
    <col min="10" max="10" width="1.7109375" style="26" customWidth="1"/>
    <col min="11" max="11" width="7.7109375" style="26" customWidth="1"/>
    <col min="12" max="12" width="5.140625" style="26" customWidth="1"/>
    <col min="13" max="13" width="0.85546875" style="26" customWidth="1"/>
    <col min="14" max="16384" width="9.140625" style="26"/>
  </cols>
  <sheetData>
    <row r="1" spans="1:13" ht="9.75" customHeight="1" x14ac:dyDescent="0.2">
      <c r="A1" s="310"/>
      <c r="B1" s="497"/>
    </row>
    <row r="2" spans="1:13" ht="20.25" customHeight="1" x14ac:dyDescent="0.2">
      <c r="B2" s="763" t="s">
        <v>294</v>
      </c>
      <c r="C2" s="763"/>
      <c r="D2" s="763"/>
      <c r="E2" s="763"/>
    </row>
    <row r="3" spans="1:13" ht="20.25" customHeight="1" x14ac:dyDescent="0.2">
      <c r="A3" s="503"/>
      <c r="B3" s="637" t="s">
        <v>295</v>
      </c>
      <c r="C3" s="638"/>
      <c r="D3" s="638"/>
      <c r="E3" s="638"/>
    </row>
    <row r="4" spans="1:13" ht="12.75" customHeight="1" x14ac:dyDescent="0.2">
      <c r="A4" s="503"/>
      <c r="B4" s="497"/>
    </row>
    <row r="5" spans="1:13" ht="15" customHeight="1" x14ac:dyDescent="0.2">
      <c r="A5" s="764"/>
      <c r="B5" s="764"/>
      <c r="C5" s="764"/>
      <c r="D5" s="764"/>
      <c r="E5" s="764"/>
      <c r="F5" s="764"/>
      <c r="G5" s="764"/>
      <c r="H5" s="764"/>
      <c r="I5" s="764"/>
      <c r="J5" s="764"/>
      <c r="K5" s="764"/>
      <c r="L5" s="319"/>
    </row>
    <row r="7" spans="1:13" ht="21" customHeight="1" x14ac:dyDescent="0.2">
      <c r="A7" s="765" t="s">
        <v>276</v>
      </c>
      <c r="B7" s="765"/>
      <c r="C7" s="765"/>
      <c r="D7" s="765"/>
      <c r="E7" s="765"/>
      <c r="F7" s="765"/>
      <c r="G7" s="765"/>
      <c r="H7" s="765"/>
      <c r="I7" s="765"/>
      <c r="J7" s="765"/>
      <c r="K7" s="765"/>
      <c r="L7" s="321"/>
      <c r="M7" s="321"/>
    </row>
    <row r="8" spans="1:13" s="27" customFormat="1" ht="12" customHeight="1" x14ac:dyDescent="0.2">
      <c r="A8" s="758" t="str">
        <f>"Nomor : "&amp;VLOOKUP(D!L2,'Data SPD'!A3:AJ5,3)&amp;"/ST/"&amp;VLOOKUP(D!L2,'Data SPD'!A3:AJ5,4)&amp;"/2021"</f>
        <v>Nomor : /ST//2021</v>
      </c>
      <c r="B8" s="758"/>
      <c r="C8" s="758"/>
      <c r="D8" s="758"/>
      <c r="E8" s="758"/>
      <c r="F8" s="758"/>
      <c r="G8" s="758"/>
      <c r="H8" s="758"/>
      <c r="I8" s="758"/>
      <c r="J8" s="758"/>
      <c r="K8" s="758"/>
      <c r="L8" s="320"/>
      <c r="M8" s="320"/>
    </row>
    <row r="9" spans="1:13" s="27" customFormat="1" ht="12" customHeight="1" x14ac:dyDescent="0.2">
      <c r="A9" s="497"/>
      <c r="B9" s="497"/>
      <c r="C9" s="497"/>
      <c r="D9" s="497"/>
      <c r="E9" s="497"/>
      <c r="F9" s="497"/>
      <c r="G9" s="497"/>
      <c r="H9" s="497"/>
      <c r="I9" s="497"/>
      <c r="J9" s="497"/>
      <c r="K9" s="497"/>
      <c r="L9" s="497"/>
      <c r="M9" s="497"/>
    </row>
    <row r="10" spans="1:13" s="27" customFormat="1" ht="15" customHeight="1" x14ac:dyDescent="0.2">
      <c r="A10" s="502" t="s">
        <v>296</v>
      </c>
      <c r="B10" s="497" t="s">
        <v>227</v>
      </c>
      <c r="C10" s="766" t="str">
        <f>"Bahwa dalam rangka  "&amp;D!D15&amp; ", maka dipandang perlu menugaskan pegawai untuk melaksanakan kegiatan tersebut;"</f>
        <v>Bahwa dalam rangka  0, maka dipandang perlu menugaskan pegawai untuk melaksanakan kegiatan tersebut;</v>
      </c>
      <c r="D10" s="766"/>
      <c r="E10" s="766"/>
      <c r="F10" s="766"/>
      <c r="G10" s="766"/>
      <c r="H10" s="766"/>
      <c r="I10" s="766"/>
      <c r="J10" s="766"/>
      <c r="K10" s="766"/>
      <c r="L10" s="311"/>
      <c r="M10" s="497"/>
    </row>
    <row r="11" spans="1:13" s="27" customFormat="1" ht="12" customHeight="1" x14ac:dyDescent="0.2">
      <c r="A11" s="497"/>
      <c r="B11" s="497"/>
      <c r="C11" s="766"/>
      <c r="D11" s="766"/>
      <c r="E11" s="766"/>
      <c r="F11" s="766"/>
      <c r="G11" s="766"/>
      <c r="H11" s="766"/>
      <c r="I11" s="766"/>
      <c r="J11" s="766"/>
      <c r="K11" s="766"/>
      <c r="L11" s="311"/>
      <c r="M11" s="497"/>
    </row>
    <row r="12" spans="1:13" s="27" customFormat="1" ht="12" customHeight="1" x14ac:dyDescent="0.2">
      <c r="A12" s="497"/>
      <c r="B12" s="497"/>
      <c r="C12" s="766"/>
      <c r="D12" s="766"/>
      <c r="E12" s="766"/>
      <c r="F12" s="766"/>
      <c r="G12" s="766"/>
      <c r="H12" s="766"/>
      <c r="I12" s="766"/>
      <c r="J12" s="766"/>
      <c r="K12" s="766"/>
      <c r="L12" s="311"/>
      <c r="M12" s="497"/>
    </row>
    <row r="13" spans="1:13" ht="21" customHeight="1" x14ac:dyDescent="0.2">
      <c r="A13" s="312"/>
      <c r="B13" s="312"/>
      <c r="C13" s="766"/>
      <c r="D13" s="766"/>
      <c r="E13" s="766"/>
      <c r="F13" s="766"/>
      <c r="G13" s="766"/>
      <c r="H13" s="766"/>
      <c r="I13" s="766"/>
      <c r="J13" s="766"/>
      <c r="K13" s="766"/>
      <c r="L13" s="311"/>
      <c r="M13" s="312"/>
    </row>
    <row r="14" spans="1:13" ht="7.5" customHeight="1" x14ac:dyDescent="0.2">
      <c r="B14" s="497"/>
    </row>
    <row r="15" spans="1:13" s="203" customFormat="1" ht="21.75" customHeight="1" x14ac:dyDescent="0.2">
      <c r="A15" s="313" t="s">
        <v>280</v>
      </c>
      <c r="B15" s="501" t="s">
        <v>227</v>
      </c>
      <c r="C15" s="314" t="s">
        <v>232</v>
      </c>
      <c r="D15" s="762" t="s">
        <v>281</v>
      </c>
      <c r="E15" s="762"/>
      <c r="F15" s="762"/>
      <c r="G15" s="762"/>
      <c r="H15" s="762"/>
      <c r="I15" s="762"/>
      <c r="J15" s="762"/>
      <c r="K15" s="762"/>
      <c r="L15" s="313"/>
      <c r="M15" s="502"/>
    </row>
    <row r="16" spans="1:13" s="203" customFormat="1" ht="31.5" customHeight="1" x14ac:dyDescent="0.2">
      <c r="A16" s="313"/>
      <c r="B16" s="501"/>
      <c r="C16" s="314" t="s">
        <v>235</v>
      </c>
      <c r="D16" s="762" t="s">
        <v>297</v>
      </c>
      <c r="E16" s="762"/>
      <c r="F16" s="762"/>
      <c r="G16" s="762"/>
      <c r="H16" s="762"/>
      <c r="I16" s="762"/>
      <c r="J16" s="762"/>
      <c r="K16" s="762"/>
      <c r="L16" s="313"/>
      <c r="M16" s="502"/>
    </row>
    <row r="17" spans="1:13" s="203" customFormat="1" ht="32.25" customHeight="1" x14ac:dyDescent="0.2">
      <c r="A17" s="313"/>
      <c r="B17" s="501"/>
      <c r="C17" s="314" t="s">
        <v>260</v>
      </c>
      <c r="D17" s="762" t="s">
        <v>298</v>
      </c>
      <c r="E17" s="762"/>
      <c r="F17" s="762"/>
      <c r="G17" s="762"/>
      <c r="H17" s="762"/>
      <c r="I17" s="762"/>
      <c r="J17" s="762"/>
      <c r="K17" s="762"/>
      <c r="L17" s="313"/>
      <c r="M17" s="502"/>
    </row>
    <row r="18" spans="1:13" s="203" customFormat="1" ht="32.25" customHeight="1" x14ac:dyDescent="0.2">
      <c r="A18" s="313"/>
      <c r="B18" s="501"/>
      <c r="C18" s="315" t="s">
        <v>284</v>
      </c>
      <c r="D18" s="762" t="s">
        <v>299</v>
      </c>
      <c r="E18" s="762"/>
      <c r="F18" s="762"/>
      <c r="G18" s="762"/>
      <c r="H18" s="762"/>
      <c r="I18" s="762"/>
      <c r="J18" s="762"/>
      <c r="K18" s="762"/>
      <c r="L18" s="313"/>
      <c r="M18" s="502"/>
    </row>
    <row r="19" spans="1:13" s="203" customFormat="1" ht="36" customHeight="1" x14ac:dyDescent="0.2">
      <c r="A19" s="313"/>
      <c r="B19" s="501"/>
      <c r="C19" s="315" t="s">
        <v>300</v>
      </c>
      <c r="D19" s="762" t="s">
        <v>301</v>
      </c>
      <c r="E19" s="762"/>
      <c r="F19" s="762"/>
      <c r="G19" s="762"/>
      <c r="H19" s="762"/>
      <c r="I19" s="762"/>
      <c r="J19" s="762"/>
      <c r="K19" s="762"/>
      <c r="L19" s="313"/>
      <c r="M19" s="502"/>
    </row>
    <row r="20" spans="1:13" s="203" customFormat="1" ht="34.5" customHeight="1" x14ac:dyDescent="0.2">
      <c r="A20" s="313"/>
      <c r="B20" s="501"/>
      <c r="C20" s="315" t="s">
        <v>302</v>
      </c>
      <c r="D20" s="762" t="s">
        <v>303</v>
      </c>
      <c r="E20" s="762"/>
      <c r="F20" s="762"/>
      <c r="G20" s="762"/>
      <c r="H20" s="762"/>
      <c r="I20" s="762"/>
      <c r="J20" s="762"/>
      <c r="K20" s="762"/>
      <c r="L20" s="313"/>
      <c r="M20" s="502"/>
    </row>
    <row r="21" spans="1:13" s="203" customFormat="1" ht="5.25" customHeight="1" x14ac:dyDescent="0.2">
      <c r="A21" s="313"/>
      <c r="B21" s="501"/>
      <c r="C21" s="314"/>
      <c r="D21" s="762"/>
      <c r="E21" s="762"/>
      <c r="F21" s="762"/>
      <c r="G21" s="762"/>
      <c r="H21" s="762"/>
      <c r="I21" s="762"/>
      <c r="J21" s="762"/>
      <c r="K21" s="762"/>
      <c r="L21" s="762"/>
      <c r="M21" s="502"/>
    </row>
    <row r="22" spans="1:13" s="203" customFormat="1" ht="13.5" customHeight="1" x14ac:dyDescent="0.2">
      <c r="A22" s="313"/>
      <c r="B22" s="501"/>
      <c r="C22" s="314"/>
      <c r="D22" s="499"/>
      <c r="E22" s="499"/>
      <c r="F22" s="499"/>
      <c r="G22" s="499"/>
      <c r="H22" s="499"/>
      <c r="I22" s="499"/>
      <c r="J22" s="499"/>
      <c r="K22" s="499"/>
      <c r="L22" s="499"/>
      <c r="M22" s="502"/>
    </row>
    <row r="23" spans="1:13" s="203" customFormat="1" ht="15" customHeight="1" x14ac:dyDescent="0.2">
      <c r="A23" s="758" t="s">
        <v>304</v>
      </c>
      <c r="B23" s="758"/>
      <c r="C23" s="758"/>
      <c r="D23" s="758"/>
      <c r="E23" s="758"/>
      <c r="F23" s="758"/>
      <c r="G23" s="758"/>
      <c r="H23" s="758"/>
      <c r="I23" s="758"/>
      <c r="J23" s="758"/>
      <c r="K23" s="758"/>
      <c r="L23" s="758"/>
      <c r="M23" s="26"/>
    </row>
    <row r="24" spans="1:13" s="203" customFormat="1" ht="15" customHeight="1" x14ac:dyDescent="0.2">
      <c r="A24" s="500"/>
      <c r="B24" s="500"/>
      <c r="C24" s="500"/>
      <c r="D24" s="500"/>
      <c r="E24" s="500"/>
      <c r="F24" s="500"/>
      <c r="G24" s="500"/>
      <c r="H24" s="500"/>
      <c r="I24" s="500"/>
      <c r="J24" s="500"/>
      <c r="K24" s="500"/>
      <c r="L24" s="500"/>
      <c r="M24" s="26"/>
    </row>
    <row r="25" spans="1:13" s="309" customFormat="1" ht="18" customHeight="1" x14ac:dyDescent="0.2">
      <c r="A25" s="316" t="s">
        <v>305</v>
      </c>
      <c r="B25" s="317" t="s">
        <v>227</v>
      </c>
      <c r="C25" s="316" t="e">
        <f>D!$D$11</f>
        <v>#N/A</v>
      </c>
      <c r="D25" s="318"/>
      <c r="E25" s="318"/>
      <c r="F25" s="318"/>
      <c r="G25" s="318"/>
      <c r="H25" s="318"/>
      <c r="I25" s="318"/>
      <c r="J25" s="318"/>
      <c r="K25" s="318"/>
      <c r="L25" s="318"/>
      <c r="M25" s="318"/>
    </row>
    <row r="26" spans="1:13" s="309" customFormat="1" ht="7.5" customHeight="1" x14ac:dyDescent="0.2">
      <c r="A26" s="316"/>
      <c r="B26" s="317"/>
      <c r="C26" s="316"/>
      <c r="D26" s="318"/>
      <c r="E26" s="318"/>
      <c r="F26" s="318"/>
      <c r="G26" s="318"/>
      <c r="H26" s="318"/>
      <c r="I26" s="318"/>
      <c r="J26" s="318"/>
      <c r="K26" s="318"/>
      <c r="L26" s="318"/>
      <c r="M26" s="318"/>
    </row>
    <row r="27" spans="1:13" s="203" customFormat="1" ht="15" customHeight="1" x14ac:dyDescent="0.2">
      <c r="A27" s="26" t="s">
        <v>306</v>
      </c>
      <c r="B27" s="497" t="s">
        <v>227</v>
      </c>
      <c r="C27" s="759" t="str">
        <f>"Melakukan perjalanan dinas dalam rangka "&amp;D!D15&amp;" pada tanggal "&amp;D!E21&amp;" s/d "&amp;D!E22&amp;" di " &amp;D!E19</f>
        <v>Melakukan perjalanan dinas dalam rangka 0 pada tanggal 0 s/d 0 di 0</v>
      </c>
      <c r="D27" s="759"/>
      <c r="E27" s="759"/>
      <c r="F27" s="759"/>
      <c r="G27" s="759"/>
      <c r="H27" s="759"/>
      <c r="I27" s="759"/>
      <c r="J27" s="759"/>
      <c r="K27" s="759"/>
      <c r="L27" s="322"/>
      <c r="M27" s="26"/>
    </row>
    <row r="28" spans="1:13" s="203" customFormat="1" ht="51" customHeight="1" x14ac:dyDescent="0.2">
      <c r="A28" s="26"/>
      <c r="B28" s="497"/>
      <c r="C28" s="759"/>
      <c r="D28" s="759"/>
      <c r="E28" s="759"/>
      <c r="F28" s="759"/>
      <c r="G28" s="759"/>
      <c r="H28" s="759"/>
      <c r="I28" s="759"/>
      <c r="J28" s="759"/>
      <c r="K28" s="759"/>
      <c r="L28" s="322"/>
      <c r="M28" s="26"/>
    </row>
    <row r="29" spans="1:13" s="203" customFormat="1" ht="15" customHeight="1" x14ac:dyDescent="0.2">
      <c r="A29" s="26"/>
      <c r="B29" s="497"/>
      <c r="C29" s="28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13" s="203" customFormat="1" ht="15" customHeight="1" x14ac:dyDescent="0.2">
      <c r="A30" s="26"/>
      <c r="B30" s="497"/>
      <c r="C30" s="28"/>
      <c r="D30" s="26"/>
      <c r="E30" s="26"/>
      <c r="F30" s="709" t="str">
        <f>"Mamuju, "&amp;VLOOKUP(D!$L$2,'Data SPD'!$A$3:$AI$5,24)</f>
        <v xml:space="preserve">Mamuju, </v>
      </c>
      <c r="G30" s="709"/>
      <c r="H30" s="709"/>
      <c r="I30" s="709"/>
      <c r="J30" s="709"/>
      <c r="K30" s="709"/>
      <c r="L30" s="26"/>
      <c r="M30" s="26"/>
    </row>
    <row r="31" spans="1:13" s="203" customFormat="1" ht="9" customHeight="1" x14ac:dyDescent="0.2">
      <c r="A31" s="26"/>
      <c r="B31" s="497"/>
      <c r="C31" s="28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3" s="203" customFormat="1" ht="15" customHeight="1" x14ac:dyDescent="0.2">
      <c r="A32" s="26"/>
      <c r="B32" s="497"/>
      <c r="C32" s="28"/>
      <c r="D32" s="26"/>
      <c r="E32" s="26"/>
      <c r="F32" s="709" t="str">
        <f>VLOOKUP(D!L2,'Data SPD'!A3:AJ5,29)</f>
        <v>Kepala Badan Pusat Statistik</v>
      </c>
      <c r="G32" s="709"/>
      <c r="H32" s="709"/>
      <c r="I32" s="709"/>
      <c r="J32" s="709"/>
      <c r="K32" s="709"/>
      <c r="L32" s="26"/>
      <c r="M32" s="26"/>
    </row>
    <row r="33" spans="1:14" s="203" customFormat="1" ht="30" customHeight="1" x14ac:dyDescent="0.2">
      <c r="A33" s="26"/>
      <c r="B33" s="497"/>
      <c r="C33" s="28"/>
      <c r="D33" s="26"/>
      <c r="E33" s="26"/>
      <c r="F33" s="760" t="str">
        <f>VLOOKUP(D!L2,'Data SPD'!A3:AJ5,30)</f>
        <v>Provinsi Sulawesi Barat</v>
      </c>
      <c r="G33" s="760"/>
      <c r="H33" s="760"/>
      <c r="I33" s="760"/>
      <c r="J33" s="760"/>
      <c r="K33" s="760"/>
      <c r="L33" s="446"/>
      <c r="M33" s="26"/>
    </row>
    <row r="34" spans="1:14" s="203" customFormat="1" ht="34.5" customHeight="1" x14ac:dyDescent="0.2">
      <c r="A34" s="26"/>
      <c r="B34" s="497"/>
      <c r="C34" s="28"/>
      <c r="D34" s="26"/>
      <c r="E34" s="26"/>
      <c r="F34" s="26"/>
      <c r="G34" s="26"/>
      <c r="I34" s="26"/>
      <c r="J34" s="26"/>
      <c r="K34" s="26"/>
      <c r="L34" s="26"/>
      <c r="M34" s="26"/>
    </row>
    <row r="35" spans="1:14" s="203" customFormat="1" ht="22.5" customHeight="1" x14ac:dyDescent="0.2">
      <c r="A35" s="26"/>
      <c r="B35" s="497"/>
      <c r="C35" s="28"/>
      <c r="D35" s="26"/>
      <c r="E35" s="26"/>
      <c r="F35" s="761" t="str">
        <f>VLOOKUP(D!L2,'Data SPD'!A3:AJ5,26)</f>
        <v>AGUS GEDE HENDRAYANA HERMAWAN</v>
      </c>
      <c r="G35" s="761"/>
      <c r="H35" s="761"/>
      <c r="I35" s="761"/>
      <c r="J35" s="761"/>
      <c r="K35" s="761"/>
      <c r="L35" s="26"/>
      <c r="M35" s="26"/>
    </row>
    <row r="36" spans="1:14" s="203" customFormat="1" ht="59.25" customHeight="1" x14ac:dyDescent="0.2">
      <c r="A36" s="26"/>
      <c r="B36" s="497"/>
      <c r="C36" s="28"/>
      <c r="D36" s="26"/>
      <c r="E36" s="26"/>
      <c r="F36" s="26"/>
      <c r="G36" s="498"/>
      <c r="H36" s="498"/>
      <c r="I36" s="498"/>
      <c r="J36" s="498"/>
      <c r="K36" s="498"/>
      <c r="L36" s="26"/>
      <c r="M36" s="26"/>
    </row>
    <row r="37" spans="1:14" s="203" customFormat="1" ht="32.25" customHeight="1" x14ac:dyDescent="0.2">
      <c r="A37" s="757" t="s">
        <v>307</v>
      </c>
      <c r="B37" s="757"/>
      <c r="C37" s="757"/>
      <c r="D37" s="757"/>
      <c r="E37" s="757"/>
      <c r="F37" s="757"/>
      <c r="G37" s="757"/>
      <c r="H37" s="757"/>
      <c r="I37" s="757"/>
      <c r="J37" s="757"/>
      <c r="K37" s="757"/>
      <c r="L37" s="387"/>
      <c r="M37" s="387"/>
      <c r="N37" s="387"/>
    </row>
    <row r="38" spans="1:14" s="203" customFormat="1" ht="15" customHeight="1" x14ac:dyDescent="0.2">
      <c r="B38" s="495"/>
      <c r="C38" s="204"/>
    </row>
    <row r="39" spans="1:14" s="203" customFormat="1" ht="15" customHeight="1" x14ac:dyDescent="0.2">
      <c r="B39" s="495"/>
      <c r="C39" s="204"/>
    </row>
    <row r="40" spans="1:14" s="203" customFormat="1" ht="15" customHeight="1" x14ac:dyDescent="0.2">
      <c r="B40" s="495"/>
      <c r="C40" s="204"/>
    </row>
    <row r="41" spans="1:14" s="203" customFormat="1" ht="15" customHeight="1" x14ac:dyDescent="0.2">
      <c r="B41" s="495"/>
      <c r="C41" s="204"/>
    </row>
    <row r="42" spans="1:14" s="203" customFormat="1" ht="15" customHeight="1" x14ac:dyDescent="0.2">
      <c r="B42" s="495"/>
      <c r="C42" s="204"/>
    </row>
    <row r="43" spans="1:14" s="203" customFormat="1" ht="15" customHeight="1" x14ac:dyDescent="0.2">
      <c r="B43" s="495"/>
      <c r="C43" s="204"/>
    </row>
    <row r="44" spans="1:14" s="203" customFormat="1" ht="15" customHeight="1" x14ac:dyDescent="0.2">
      <c r="B44" s="495"/>
      <c r="C44" s="204"/>
    </row>
    <row r="45" spans="1:14" s="203" customFormat="1" ht="15" customHeight="1" x14ac:dyDescent="0.2">
      <c r="B45" s="495"/>
      <c r="C45" s="204"/>
    </row>
    <row r="46" spans="1:14" s="203" customFormat="1" ht="15" customHeight="1" x14ac:dyDescent="0.2">
      <c r="B46" s="495"/>
      <c r="C46" s="204"/>
    </row>
    <row r="47" spans="1:14" s="203" customFormat="1" ht="15" customHeight="1" x14ac:dyDescent="0.2">
      <c r="B47" s="495"/>
      <c r="C47" s="204"/>
    </row>
    <row r="48" spans="1:14" s="203" customFormat="1" ht="15" customHeight="1" x14ac:dyDescent="0.2">
      <c r="B48" s="495"/>
      <c r="C48" s="204"/>
    </row>
    <row r="49" spans="2:3" s="203" customFormat="1" ht="15" customHeight="1" x14ac:dyDescent="0.2">
      <c r="B49" s="495"/>
      <c r="C49" s="204"/>
    </row>
    <row r="50" spans="2:3" s="203" customFormat="1" ht="15" customHeight="1" x14ac:dyDescent="0.2">
      <c r="B50" s="495"/>
      <c r="C50" s="204"/>
    </row>
    <row r="51" spans="2:3" s="203" customFormat="1" ht="15" customHeight="1" x14ac:dyDescent="0.2">
      <c r="B51" s="495"/>
      <c r="C51" s="204"/>
    </row>
    <row r="52" spans="2:3" s="203" customFormat="1" ht="15" customHeight="1" x14ac:dyDescent="0.2">
      <c r="B52" s="495"/>
      <c r="C52" s="204"/>
    </row>
    <row r="53" spans="2:3" s="203" customFormat="1" ht="15" customHeight="1" x14ac:dyDescent="0.2">
      <c r="B53" s="495"/>
      <c r="C53" s="204"/>
    </row>
    <row r="54" spans="2:3" s="203" customFormat="1" ht="15" customHeight="1" x14ac:dyDescent="0.2">
      <c r="B54" s="495"/>
      <c r="C54" s="204"/>
    </row>
    <row r="55" spans="2:3" s="203" customFormat="1" ht="15" customHeight="1" x14ac:dyDescent="0.2">
      <c r="B55" s="495"/>
      <c r="C55" s="204"/>
    </row>
    <row r="56" spans="2:3" s="203" customFormat="1" ht="15" customHeight="1" x14ac:dyDescent="0.2">
      <c r="B56" s="495"/>
      <c r="C56" s="204"/>
    </row>
    <row r="57" spans="2:3" s="203" customFormat="1" ht="15" customHeight="1" x14ac:dyDescent="0.2">
      <c r="B57" s="495"/>
      <c r="C57" s="204"/>
    </row>
    <row r="58" spans="2:3" s="203" customFormat="1" ht="15" customHeight="1" x14ac:dyDescent="0.2">
      <c r="B58" s="495"/>
      <c r="C58" s="204"/>
    </row>
    <row r="59" spans="2:3" s="203" customFormat="1" ht="15" customHeight="1" x14ac:dyDescent="0.2">
      <c r="B59" s="495"/>
      <c r="C59" s="204"/>
    </row>
    <row r="60" spans="2:3" s="203" customFormat="1" ht="15" customHeight="1" x14ac:dyDescent="0.2">
      <c r="B60" s="495"/>
      <c r="C60" s="204"/>
    </row>
    <row r="61" spans="2:3" s="203" customFormat="1" ht="15" customHeight="1" x14ac:dyDescent="0.2">
      <c r="B61" s="495"/>
      <c r="C61" s="204"/>
    </row>
    <row r="62" spans="2:3" s="203" customFormat="1" ht="15" customHeight="1" x14ac:dyDescent="0.2">
      <c r="B62" s="495"/>
      <c r="C62" s="204"/>
    </row>
    <row r="63" spans="2:3" s="203" customFormat="1" ht="15" customHeight="1" x14ac:dyDescent="0.2">
      <c r="B63" s="495"/>
      <c r="C63" s="204"/>
    </row>
    <row r="64" spans="2:3" s="203" customFormat="1" ht="15" customHeight="1" x14ac:dyDescent="0.2">
      <c r="B64" s="495"/>
      <c r="C64" s="204"/>
    </row>
    <row r="65" spans="2:3" s="203" customFormat="1" ht="15" customHeight="1" x14ac:dyDescent="0.2">
      <c r="B65" s="495"/>
      <c r="C65" s="204"/>
    </row>
    <row r="66" spans="2:3" s="203" customFormat="1" ht="15" customHeight="1" x14ac:dyDescent="0.2">
      <c r="B66" s="495"/>
      <c r="C66" s="204"/>
    </row>
    <row r="67" spans="2:3" s="203" customFormat="1" ht="15" customHeight="1" x14ac:dyDescent="0.2">
      <c r="B67" s="495"/>
      <c r="C67" s="204"/>
    </row>
    <row r="68" spans="2:3" s="203" customFormat="1" ht="15" customHeight="1" x14ac:dyDescent="0.2">
      <c r="B68" s="495"/>
      <c r="C68" s="204"/>
    </row>
    <row r="69" spans="2:3" s="203" customFormat="1" ht="15" customHeight="1" x14ac:dyDescent="0.2">
      <c r="B69" s="495"/>
      <c r="C69" s="204"/>
    </row>
    <row r="70" spans="2:3" s="203" customFormat="1" ht="15" customHeight="1" x14ac:dyDescent="0.2">
      <c r="B70" s="495"/>
      <c r="C70" s="204"/>
    </row>
    <row r="71" spans="2:3" s="203" customFormat="1" ht="15" customHeight="1" x14ac:dyDescent="0.2">
      <c r="B71" s="495"/>
      <c r="C71" s="204"/>
    </row>
    <row r="72" spans="2:3" s="203" customFormat="1" ht="15" customHeight="1" x14ac:dyDescent="0.2">
      <c r="B72" s="495"/>
      <c r="C72" s="204"/>
    </row>
    <row r="73" spans="2:3" s="203" customFormat="1" ht="15" customHeight="1" x14ac:dyDescent="0.2">
      <c r="B73" s="495"/>
      <c r="C73" s="204"/>
    </row>
    <row r="74" spans="2:3" s="203" customFormat="1" ht="15" customHeight="1" x14ac:dyDescent="0.2">
      <c r="B74" s="495"/>
      <c r="C74" s="204"/>
    </row>
    <row r="75" spans="2:3" s="203" customFormat="1" ht="15" customHeight="1" x14ac:dyDescent="0.2">
      <c r="B75" s="495"/>
      <c r="C75" s="204"/>
    </row>
    <row r="76" spans="2:3" s="203" customFormat="1" ht="15" customHeight="1" x14ac:dyDescent="0.2">
      <c r="B76" s="495"/>
      <c r="C76" s="204"/>
    </row>
    <row r="77" spans="2:3" s="203" customFormat="1" ht="15" customHeight="1" x14ac:dyDescent="0.2">
      <c r="B77" s="495"/>
      <c r="C77" s="204"/>
    </row>
    <row r="78" spans="2:3" s="203" customFormat="1" ht="15" customHeight="1" x14ac:dyDescent="0.2">
      <c r="B78" s="495"/>
      <c r="C78" s="204"/>
    </row>
    <row r="79" spans="2:3" s="203" customFormat="1" ht="15" customHeight="1" x14ac:dyDescent="0.2">
      <c r="B79" s="495"/>
      <c r="C79" s="204"/>
    </row>
    <row r="80" spans="2:3" s="203" customFormat="1" ht="15" customHeight="1" x14ac:dyDescent="0.2">
      <c r="B80" s="495"/>
      <c r="C80" s="204"/>
    </row>
    <row r="81" spans="2:3" s="203" customFormat="1" ht="15" customHeight="1" x14ac:dyDescent="0.2">
      <c r="B81" s="495"/>
      <c r="C81" s="204"/>
    </row>
    <row r="82" spans="2:3" s="203" customFormat="1" ht="15" customHeight="1" x14ac:dyDescent="0.2">
      <c r="B82" s="495"/>
      <c r="C82" s="204"/>
    </row>
    <row r="83" spans="2:3" s="203" customFormat="1" ht="15" customHeight="1" x14ac:dyDescent="0.2">
      <c r="B83" s="495"/>
      <c r="C83" s="204"/>
    </row>
    <row r="84" spans="2:3" s="203" customFormat="1" ht="15" customHeight="1" x14ac:dyDescent="0.2">
      <c r="B84" s="495"/>
      <c r="C84" s="204"/>
    </row>
    <row r="85" spans="2:3" s="203" customFormat="1" ht="15" customHeight="1" x14ac:dyDescent="0.2">
      <c r="B85" s="495"/>
      <c r="C85" s="204"/>
    </row>
    <row r="86" spans="2:3" s="203" customFormat="1" ht="15" customHeight="1" x14ac:dyDescent="0.2">
      <c r="B86" s="495"/>
      <c r="C86" s="204"/>
    </row>
    <row r="87" spans="2:3" s="203" customFormat="1" ht="15" customHeight="1" x14ac:dyDescent="0.2">
      <c r="B87" s="495"/>
      <c r="C87" s="204"/>
    </row>
    <row r="88" spans="2:3" s="203" customFormat="1" ht="15" customHeight="1" x14ac:dyDescent="0.2">
      <c r="B88" s="495"/>
      <c r="C88" s="204"/>
    </row>
    <row r="89" spans="2:3" s="203" customFormat="1" ht="15" customHeight="1" x14ac:dyDescent="0.2">
      <c r="B89" s="495"/>
      <c r="C89" s="204"/>
    </row>
    <row r="90" spans="2:3" s="203" customFormat="1" ht="15" customHeight="1" x14ac:dyDescent="0.2">
      <c r="B90" s="495"/>
      <c r="C90" s="204"/>
    </row>
    <row r="91" spans="2:3" s="203" customFormat="1" ht="15" customHeight="1" x14ac:dyDescent="0.2">
      <c r="B91" s="495"/>
      <c r="C91" s="204"/>
    </row>
    <row r="92" spans="2:3" s="203" customFormat="1" ht="15" customHeight="1" x14ac:dyDescent="0.2">
      <c r="B92" s="495"/>
      <c r="C92" s="204"/>
    </row>
    <row r="93" spans="2:3" s="203" customFormat="1" ht="15" customHeight="1" x14ac:dyDescent="0.2">
      <c r="B93" s="495"/>
      <c r="C93" s="204"/>
    </row>
    <row r="94" spans="2:3" s="203" customFormat="1" ht="15" customHeight="1" x14ac:dyDescent="0.2">
      <c r="B94" s="495"/>
      <c r="C94" s="204"/>
    </row>
  </sheetData>
  <mergeCells count="19">
    <mergeCell ref="C10:K13"/>
    <mergeCell ref="B2:E2"/>
    <mergeCell ref="A7:K7"/>
    <mergeCell ref="A5:K5"/>
    <mergeCell ref="A8:K8"/>
    <mergeCell ref="A37:K37"/>
    <mergeCell ref="D18:K18"/>
    <mergeCell ref="D17:K17"/>
    <mergeCell ref="D16:K16"/>
    <mergeCell ref="D15:K15"/>
    <mergeCell ref="A23:L23"/>
    <mergeCell ref="F35:K35"/>
    <mergeCell ref="D21:L21"/>
    <mergeCell ref="C27:K28"/>
    <mergeCell ref="D20:K20"/>
    <mergeCell ref="D19:K19"/>
    <mergeCell ref="F33:K33"/>
    <mergeCell ref="F32:K32"/>
    <mergeCell ref="F30:K30"/>
  </mergeCells>
  <phoneticPr fontId="4" type="noConversion"/>
  <printOptions horizontalCentered="1"/>
  <pageMargins left="0.27559055118110237" right="0.23622047244094491" top="0.59055118110236227" bottom="0.59055118110236227" header="0.51181102362204722" footer="0.51181102362204722"/>
  <pageSetup paperSize="9" scale="95" pageOrder="overThenDown" orientation="portrait" horizontalDpi="360" verticalDpi="36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92D050"/>
  </sheetPr>
  <dimension ref="A1:K50"/>
  <sheetViews>
    <sheetView view="pageBreakPreview" zoomScale="115" zoomScaleNormal="115" zoomScaleSheetLayoutView="115" workbookViewId="0">
      <selection activeCell="F22" sqref="F22"/>
    </sheetView>
  </sheetViews>
  <sheetFormatPr defaultColWidth="9.140625" defaultRowHeight="18" customHeight="1" x14ac:dyDescent="0.2"/>
  <cols>
    <col min="1" max="1" width="20.7109375" style="212" customWidth="1"/>
    <col min="2" max="2" width="1.7109375" style="212" customWidth="1"/>
    <col min="3" max="3" width="26.7109375" style="212" customWidth="1"/>
    <col min="4" max="4" width="20.7109375" style="212" customWidth="1"/>
    <col min="5" max="5" width="1.7109375" style="212" customWidth="1"/>
    <col min="6" max="6" width="26.7109375" style="212" customWidth="1"/>
    <col min="7" max="7" width="39.7109375" style="345" customWidth="1"/>
    <col min="8" max="11" width="9.140625" style="345"/>
    <col min="12" max="16384" width="9.140625" style="212"/>
  </cols>
  <sheetData>
    <row r="1" spans="1:6" ht="13.5" customHeight="1" x14ac:dyDescent="0.2">
      <c r="A1" s="94"/>
      <c r="B1" s="95"/>
      <c r="C1" s="96"/>
      <c r="D1" s="97" t="s">
        <v>308</v>
      </c>
      <c r="E1" s="95" t="s">
        <v>227</v>
      </c>
      <c r="F1" s="96" t="str">
        <f>D!E18</f>
        <v>Mamuju</v>
      </c>
    </row>
    <row r="2" spans="1:6" ht="13.5" customHeight="1" x14ac:dyDescent="0.2">
      <c r="A2" s="98"/>
      <c r="B2" s="99"/>
      <c r="C2" s="100"/>
      <c r="D2" s="101" t="s">
        <v>309</v>
      </c>
      <c r="E2" s="99"/>
      <c r="F2" s="100"/>
    </row>
    <row r="3" spans="1:6" ht="22.5" customHeight="1" x14ac:dyDescent="0.2">
      <c r="A3" s="98"/>
      <c r="B3" s="99"/>
      <c r="C3" s="100"/>
      <c r="D3" s="101" t="s">
        <v>310</v>
      </c>
      <c r="E3" s="99" t="s">
        <v>227</v>
      </c>
      <c r="F3" s="100">
        <f>D!E19</f>
        <v>0</v>
      </c>
    </row>
    <row r="4" spans="1:6" ht="13.5" customHeight="1" x14ac:dyDescent="0.2">
      <c r="A4" s="98"/>
      <c r="B4" s="99"/>
      <c r="C4" s="100"/>
      <c r="D4" s="101" t="s">
        <v>311</v>
      </c>
      <c r="E4" s="99" t="s">
        <v>227</v>
      </c>
      <c r="F4" s="213">
        <f>D!E21</f>
        <v>0</v>
      </c>
    </row>
    <row r="5" spans="1:6" ht="13.5" customHeight="1" x14ac:dyDescent="0.2">
      <c r="A5" s="98"/>
      <c r="B5" s="99"/>
      <c r="C5" s="100"/>
      <c r="D5" s="102"/>
      <c r="E5" s="103"/>
      <c r="F5" s="104"/>
    </row>
    <row r="6" spans="1:6" ht="13.5" customHeight="1" x14ac:dyDescent="0.2">
      <c r="A6" s="98"/>
      <c r="B6" s="99"/>
      <c r="C6" s="410"/>
      <c r="D6" s="806" t="str">
        <f>VLOOKUP(D!L2,'Data SPD'!A3:AJ5,29)</f>
        <v>Kepala Badan Pusat Statistik</v>
      </c>
      <c r="E6" s="807"/>
      <c r="F6" s="808"/>
    </row>
    <row r="7" spans="1:6" ht="13.5" customHeight="1" x14ac:dyDescent="0.2">
      <c r="A7" s="98"/>
      <c r="B7" s="99"/>
      <c r="C7" s="410"/>
      <c r="D7" s="806" t="str">
        <f>VLOOKUP(D!L2,'Data SPD'!A3:AJ5,30)</f>
        <v>Provinsi Sulawesi Barat</v>
      </c>
      <c r="E7" s="807"/>
      <c r="F7" s="808"/>
    </row>
    <row r="8" spans="1:6" ht="13.5" customHeight="1" x14ac:dyDescent="0.2">
      <c r="A8" s="98"/>
      <c r="B8" s="99"/>
      <c r="C8" s="410"/>
      <c r="D8" s="806"/>
      <c r="E8" s="807"/>
      <c r="F8" s="808"/>
    </row>
    <row r="9" spans="1:6" ht="13.5" customHeight="1" x14ac:dyDescent="0.2">
      <c r="A9" s="98"/>
      <c r="B9" s="99"/>
      <c r="C9" s="100"/>
      <c r="D9" s="105"/>
      <c r="E9" s="106"/>
      <c r="F9" s="107" t="s">
        <v>312</v>
      </c>
    </row>
    <row r="10" spans="1:6" ht="13.5" customHeight="1" x14ac:dyDescent="0.2">
      <c r="A10" s="98"/>
      <c r="B10" s="99"/>
      <c r="C10" s="100"/>
      <c r="D10" s="105"/>
      <c r="E10" s="106"/>
      <c r="F10" s="107"/>
    </row>
    <row r="11" spans="1:6" ht="17.25" customHeight="1" x14ac:dyDescent="0.2">
      <c r="A11" s="98"/>
      <c r="B11" s="99"/>
      <c r="C11" s="100"/>
      <c r="D11" s="105"/>
      <c r="E11" s="106"/>
      <c r="F11" s="107"/>
    </row>
    <row r="12" spans="1:6" ht="13.5" customHeight="1" x14ac:dyDescent="0.2">
      <c r="A12" s="98"/>
      <c r="B12" s="99"/>
      <c r="C12" s="100"/>
      <c r="D12" s="767" t="str">
        <f>VLOOKUP(D!L2,'Data SPD'!A3:AJ5,27)</f>
        <v>Agus Gede Hendrayana Hermawan, S.E., M.Si.</v>
      </c>
      <c r="E12" s="768"/>
      <c r="F12" s="769"/>
    </row>
    <row r="13" spans="1:6" ht="17.25" customHeight="1" x14ac:dyDescent="0.2">
      <c r="A13" s="108"/>
      <c r="B13" s="109"/>
      <c r="C13" s="110"/>
      <c r="D13" s="809" t="str">
        <f>"NIP. "&amp;VLOOKUP(D!L2,'Data SPD'!A3:AJ5,28)</f>
        <v>NIP. 19780612 199912 1 001</v>
      </c>
      <c r="E13" s="810"/>
      <c r="F13" s="811"/>
    </row>
    <row r="14" spans="1:6" ht="25.5" customHeight="1" x14ac:dyDescent="0.2">
      <c r="A14" s="97" t="s">
        <v>313</v>
      </c>
      <c r="B14" s="95" t="s">
        <v>227</v>
      </c>
      <c r="C14" s="96">
        <f>F3</f>
        <v>0</v>
      </c>
      <c r="D14" s="97" t="s">
        <v>314</v>
      </c>
      <c r="E14" s="95" t="s">
        <v>227</v>
      </c>
      <c r="F14" s="111">
        <f>D!E19</f>
        <v>0</v>
      </c>
    </row>
    <row r="15" spans="1:6" ht="13.5" customHeight="1" x14ac:dyDescent="0.2">
      <c r="A15" s="101" t="s">
        <v>315</v>
      </c>
      <c r="B15" s="99" t="s">
        <v>227</v>
      </c>
      <c r="C15" s="213">
        <f>D!E21</f>
        <v>0</v>
      </c>
      <c r="D15" s="101" t="s">
        <v>316</v>
      </c>
      <c r="E15" s="99" t="s">
        <v>227</v>
      </c>
      <c r="F15" s="47" t="str">
        <f>F1</f>
        <v>Mamuju</v>
      </c>
    </row>
    <row r="16" spans="1:6" ht="13.5" customHeight="1" x14ac:dyDescent="0.2">
      <c r="A16" s="101"/>
      <c r="B16" s="99"/>
      <c r="C16" s="112"/>
      <c r="D16" s="101" t="s">
        <v>289</v>
      </c>
      <c r="E16" s="99" t="s">
        <v>227</v>
      </c>
      <c r="F16" s="213">
        <f>D!E22</f>
        <v>0</v>
      </c>
    </row>
    <row r="17" spans="1:11" ht="13.5" customHeight="1" x14ac:dyDescent="0.2">
      <c r="A17" s="505"/>
      <c r="B17" s="506"/>
      <c r="C17" s="507"/>
      <c r="D17" s="102"/>
      <c r="E17" s="103"/>
      <c r="F17" s="104"/>
    </row>
    <row r="18" spans="1:11" ht="13.5" customHeight="1" x14ac:dyDescent="0.2">
      <c r="A18" s="794"/>
      <c r="B18" s="795"/>
      <c r="C18" s="796"/>
      <c r="D18" s="791"/>
      <c r="E18" s="792"/>
      <c r="F18" s="793"/>
      <c r="G18" s="347"/>
    </row>
    <row r="19" spans="1:11" ht="13.5" customHeight="1" x14ac:dyDescent="0.2">
      <c r="A19" s="794"/>
      <c r="B19" s="795"/>
      <c r="C19" s="796"/>
      <c r="D19" s="791"/>
      <c r="E19" s="792"/>
      <c r="F19" s="793"/>
      <c r="G19" s="347"/>
    </row>
    <row r="20" spans="1:11" ht="12" customHeight="1" x14ac:dyDescent="0.2">
      <c r="A20" s="328"/>
      <c r="B20" s="409"/>
      <c r="C20" s="329"/>
      <c r="D20" s="340"/>
      <c r="E20" s="409"/>
      <c r="F20" s="329"/>
      <c r="G20" s="344"/>
    </row>
    <row r="21" spans="1:11" ht="13.5" customHeight="1" x14ac:dyDescent="0.2">
      <c r="A21" s="330"/>
      <c r="B21" s="331"/>
      <c r="C21" s="332"/>
      <c r="D21" s="341"/>
      <c r="E21" s="334"/>
      <c r="F21" s="335"/>
      <c r="G21" s="346"/>
    </row>
    <row r="22" spans="1:11" ht="13.5" customHeight="1" x14ac:dyDescent="0.2">
      <c r="A22" s="330" t="s">
        <v>317</v>
      </c>
      <c r="B22" s="331"/>
      <c r="C22" s="332"/>
      <c r="D22" s="333" t="s">
        <v>317</v>
      </c>
      <c r="E22" s="334"/>
      <c r="F22" s="335"/>
      <c r="G22" s="346"/>
    </row>
    <row r="23" spans="1:11" s="285" customFormat="1" ht="13.5" customHeight="1" x14ac:dyDescent="0.2">
      <c r="A23" s="797" t="s">
        <v>526</v>
      </c>
      <c r="B23" s="798"/>
      <c r="C23" s="799"/>
      <c r="D23" s="797" t="str">
        <f>A23</f>
        <v/>
      </c>
      <c r="E23" s="798"/>
      <c r="F23" s="799"/>
      <c r="G23" s="345"/>
      <c r="H23" s="345"/>
      <c r="I23" s="345"/>
      <c r="J23" s="345"/>
      <c r="K23" s="345"/>
    </row>
    <row r="24" spans="1:11" s="285" customFormat="1" ht="13.5" customHeight="1" x14ac:dyDescent="0.2">
      <c r="A24" s="800" t="s">
        <v>526</v>
      </c>
      <c r="B24" s="801"/>
      <c r="C24" s="802"/>
      <c r="D24" s="803" t="str">
        <f>A24</f>
        <v/>
      </c>
      <c r="E24" s="804"/>
      <c r="F24" s="805"/>
      <c r="G24" s="345"/>
      <c r="H24" s="345"/>
      <c r="I24" s="345"/>
      <c r="J24" s="345"/>
      <c r="K24" s="345"/>
    </row>
    <row r="25" spans="1:11" ht="12.75" customHeight="1" x14ac:dyDescent="0.2">
      <c r="A25" s="97" t="s">
        <v>318</v>
      </c>
      <c r="B25" s="95" t="s">
        <v>227</v>
      </c>
      <c r="C25" s="111" t="str">
        <f>IF(G28=0,"",VLOOKUP(G28,#REF!,2))</f>
        <v/>
      </c>
      <c r="D25" s="97" t="s">
        <v>314</v>
      </c>
      <c r="E25" s="95" t="s">
        <v>227</v>
      </c>
      <c r="F25" s="111" t="str">
        <f>C25</f>
        <v/>
      </c>
    </row>
    <row r="26" spans="1:11" ht="12.75" customHeight="1" x14ac:dyDescent="0.2">
      <c r="A26" s="101" t="s">
        <v>319</v>
      </c>
      <c r="B26" s="99" t="s">
        <v>227</v>
      </c>
      <c r="C26" s="47" t="str">
        <f>IF(G28=0,"",F16)</f>
        <v/>
      </c>
      <c r="D26" s="101" t="s">
        <v>289</v>
      </c>
      <c r="E26" s="99" t="s">
        <v>227</v>
      </c>
      <c r="F26" s="47" t="s">
        <v>526</v>
      </c>
    </row>
    <row r="27" spans="1:11" ht="12.75" customHeight="1" x14ac:dyDescent="0.2">
      <c r="A27" s="101"/>
      <c r="B27" s="99"/>
      <c r="C27" s="100"/>
      <c r="D27" s="101" t="s">
        <v>316</v>
      </c>
      <c r="E27" s="99" t="s">
        <v>227</v>
      </c>
      <c r="F27" s="100" t="s">
        <v>526</v>
      </c>
    </row>
    <row r="28" spans="1:11" ht="12.75" customHeight="1" x14ac:dyDescent="0.2">
      <c r="A28" s="791"/>
      <c r="B28" s="792"/>
      <c r="C28" s="793"/>
      <c r="D28" s="791"/>
      <c r="E28" s="792"/>
      <c r="F28" s="793"/>
      <c r="G28" s="347"/>
    </row>
    <row r="29" spans="1:11" ht="12.75" customHeight="1" x14ac:dyDescent="0.2">
      <c r="A29" s="791"/>
      <c r="B29" s="792"/>
      <c r="C29" s="793"/>
      <c r="D29" s="791"/>
      <c r="E29" s="792"/>
      <c r="F29" s="793"/>
      <c r="G29" s="344"/>
    </row>
    <row r="30" spans="1:11" ht="15" customHeight="1" x14ac:dyDescent="0.2">
      <c r="A30" s="504"/>
      <c r="B30" s="506"/>
      <c r="C30" s="507"/>
      <c r="D30" s="505"/>
      <c r="E30" s="506"/>
      <c r="F30" s="507"/>
      <c r="G30" s="344"/>
    </row>
    <row r="31" spans="1:11" ht="15" customHeight="1" x14ac:dyDescent="0.2">
      <c r="A31" s="98"/>
      <c r="B31" s="99"/>
      <c r="C31" s="100"/>
      <c r="D31" s="98"/>
      <c r="E31" s="99"/>
      <c r="F31" s="100"/>
    </row>
    <row r="32" spans="1:11" ht="15" customHeight="1" x14ac:dyDescent="0.2">
      <c r="A32" s="98"/>
      <c r="B32" s="99"/>
      <c r="C32" s="100"/>
      <c r="D32" s="98"/>
      <c r="E32" s="99"/>
      <c r="F32" s="100"/>
    </row>
    <row r="33" spans="1:6" ht="15" customHeight="1" x14ac:dyDescent="0.2">
      <c r="A33" s="767"/>
      <c r="B33" s="768"/>
      <c r="C33" s="769"/>
      <c r="D33" s="767"/>
      <c r="E33" s="768"/>
      <c r="F33" s="769"/>
    </row>
    <row r="34" spans="1:6" ht="12.75" x14ac:dyDescent="0.2">
      <c r="A34" s="779"/>
      <c r="B34" s="780"/>
      <c r="C34" s="781"/>
      <c r="D34" s="779"/>
      <c r="E34" s="780"/>
      <c r="F34" s="781"/>
    </row>
    <row r="35" spans="1:6" ht="15" customHeight="1" x14ac:dyDescent="0.2">
      <c r="A35" s="113" t="s">
        <v>320</v>
      </c>
      <c r="B35" s="114" t="s">
        <v>227</v>
      </c>
      <c r="C35" s="115" t="str">
        <f>$F$1</f>
        <v>Mamuju</v>
      </c>
      <c r="D35" s="782" t="s">
        <v>321</v>
      </c>
      <c r="E35" s="783"/>
      <c r="F35" s="784"/>
    </row>
    <row r="36" spans="1:6" ht="15" customHeight="1" x14ac:dyDescent="0.2">
      <c r="A36" s="116" t="s">
        <v>322</v>
      </c>
      <c r="B36" s="117"/>
      <c r="C36" s="118"/>
      <c r="D36" s="785"/>
      <c r="E36" s="786"/>
      <c r="F36" s="787"/>
    </row>
    <row r="37" spans="1:6" ht="15" customHeight="1" x14ac:dyDescent="0.2">
      <c r="A37" s="119" t="s">
        <v>315</v>
      </c>
      <c r="B37" s="117" t="s">
        <v>227</v>
      </c>
      <c r="C37" s="213">
        <f>D!E22</f>
        <v>0</v>
      </c>
      <c r="D37" s="785"/>
      <c r="E37" s="786"/>
      <c r="F37" s="787"/>
    </row>
    <row r="38" spans="1:6" ht="13.5" customHeight="1" x14ac:dyDescent="0.2">
      <c r="A38" s="98" t="s">
        <v>323</v>
      </c>
      <c r="B38" s="99"/>
      <c r="C38" s="100"/>
      <c r="D38" s="788"/>
      <c r="E38" s="789"/>
      <c r="F38" s="790"/>
    </row>
    <row r="39" spans="1:6" ht="15" customHeight="1" x14ac:dyDescent="0.2">
      <c r="A39" s="791" t="str">
        <f>D39</f>
        <v>Pejabat Pembuat Komitmen</v>
      </c>
      <c r="B39" s="792"/>
      <c r="C39" s="793"/>
      <c r="D39" s="791" t="s">
        <v>233</v>
      </c>
      <c r="E39" s="792"/>
      <c r="F39" s="793"/>
    </row>
    <row r="40" spans="1:6" ht="15" customHeight="1" x14ac:dyDescent="0.2">
      <c r="A40" s="505" t="s">
        <v>287</v>
      </c>
      <c r="B40" s="506"/>
      <c r="C40" s="507"/>
      <c r="D40" s="505"/>
      <c r="E40" s="506"/>
      <c r="F40" s="507"/>
    </row>
    <row r="41" spans="1:6" ht="15" customHeight="1" x14ac:dyDescent="0.2">
      <c r="A41" s="505"/>
      <c r="B41" s="506"/>
      <c r="C41" s="507"/>
      <c r="D41" s="505"/>
      <c r="E41" s="506"/>
      <c r="F41" s="507"/>
    </row>
    <row r="42" spans="1:6" ht="15" customHeight="1" x14ac:dyDescent="0.2">
      <c r="A42" s="505"/>
      <c r="B42" s="506"/>
      <c r="C42" s="507"/>
      <c r="D42" s="505"/>
      <c r="E42" s="506"/>
      <c r="F42" s="507"/>
    </row>
    <row r="43" spans="1:6" ht="15" hidden="1" customHeight="1" x14ac:dyDescent="0.2">
      <c r="A43" s="98"/>
      <c r="B43" s="99"/>
      <c r="C43" s="120" t="s">
        <v>312</v>
      </c>
      <c r="D43" s="98"/>
      <c r="E43" s="99"/>
      <c r="F43" s="214"/>
    </row>
    <row r="44" spans="1:6" ht="12.75" x14ac:dyDescent="0.2">
      <c r="A44" s="767" t="str">
        <f>D!F42</f>
        <v>Prayitno, S.ST.</v>
      </c>
      <c r="B44" s="768"/>
      <c r="C44" s="769"/>
      <c r="D44" s="770" t="str">
        <f>D!F42</f>
        <v>Prayitno, S.ST.</v>
      </c>
      <c r="E44" s="771"/>
      <c r="F44" s="772"/>
    </row>
    <row r="45" spans="1:6" ht="12.75" x14ac:dyDescent="0.2">
      <c r="A45" s="773" t="str">
        <f>D!F43</f>
        <v>NIP. 19681210 199112 1 001</v>
      </c>
      <c r="B45" s="774"/>
      <c r="C45" s="775"/>
      <c r="D45" s="776" t="str">
        <f>D!F43</f>
        <v>NIP. 19681210 199112 1 001</v>
      </c>
      <c r="E45" s="777"/>
      <c r="F45" s="778"/>
    </row>
    <row r="46" spans="1:6" ht="21" customHeight="1" x14ac:dyDescent="0.2">
      <c r="A46" s="97" t="s">
        <v>324</v>
      </c>
      <c r="B46" s="411"/>
      <c r="C46" s="411"/>
      <c r="D46" s="412"/>
      <c r="E46" s="411"/>
      <c r="F46" s="413"/>
    </row>
    <row r="47" spans="1:6" ht="13.5" customHeight="1" x14ac:dyDescent="0.2">
      <c r="A47" s="97" t="s">
        <v>325</v>
      </c>
      <c r="B47" s="249"/>
      <c r="C47" s="249"/>
      <c r="D47" s="249"/>
      <c r="E47" s="249"/>
      <c r="F47" s="250"/>
    </row>
    <row r="48" spans="1:6" ht="13.5" customHeight="1" x14ac:dyDescent="0.2">
      <c r="A48" s="124" t="s">
        <v>326</v>
      </c>
      <c r="B48" s="99"/>
      <c r="C48" s="99"/>
      <c r="D48" s="99"/>
      <c r="E48" s="99"/>
      <c r="F48" s="100"/>
    </row>
    <row r="49" spans="1:6" ht="12.75" x14ac:dyDescent="0.2">
      <c r="A49" s="102" t="s">
        <v>327</v>
      </c>
      <c r="B49" s="103"/>
      <c r="C49" s="103"/>
      <c r="D49" s="103"/>
      <c r="E49" s="103"/>
      <c r="F49" s="104"/>
    </row>
    <row r="50" spans="1:6" ht="12.75" x14ac:dyDescent="0.2">
      <c r="A50" s="416" t="s">
        <v>328</v>
      </c>
      <c r="B50" s="417"/>
      <c r="C50" s="417"/>
      <c r="D50" s="417"/>
      <c r="E50" s="417"/>
      <c r="F50" s="418"/>
    </row>
  </sheetData>
  <mergeCells count="29">
    <mergeCell ref="D6:F6"/>
    <mergeCell ref="D7:F7"/>
    <mergeCell ref="D8:F8"/>
    <mergeCell ref="D12:F12"/>
    <mergeCell ref="D13:F13"/>
    <mergeCell ref="A18:C18"/>
    <mergeCell ref="D18:F18"/>
    <mergeCell ref="A19:C19"/>
    <mergeCell ref="D19:F19"/>
    <mergeCell ref="A23:C23"/>
    <mergeCell ref="D23:F23"/>
    <mergeCell ref="A24:C24"/>
    <mergeCell ref="D24:F24"/>
    <mergeCell ref="A28:C28"/>
    <mergeCell ref="D28:F28"/>
    <mergeCell ref="A29:C29"/>
    <mergeCell ref="D29:F29"/>
    <mergeCell ref="A33:C33"/>
    <mergeCell ref="D33:F33"/>
    <mergeCell ref="A44:C44"/>
    <mergeCell ref="D44:F44"/>
    <mergeCell ref="A45:C45"/>
    <mergeCell ref="D45:F45"/>
    <mergeCell ref="A34:C34"/>
    <mergeCell ref="D34:F34"/>
    <mergeCell ref="D35:F37"/>
    <mergeCell ref="D38:F38"/>
    <mergeCell ref="A39:C39"/>
    <mergeCell ref="D39:F39"/>
  </mergeCells>
  <printOptions horizontalCentered="1"/>
  <pageMargins left="0.39370078740157483" right="0.39370078740157483" top="0.59055118110236227" bottom="0.59055118110236227" header="0.51181102362204722" footer="0.51181102362204722"/>
  <pageSetup scale="89" orientation="portrait" horizontalDpi="360" verticalDpi="36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2:L49"/>
  <sheetViews>
    <sheetView view="pageBreakPreview" zoomScale="90" zoomScaleNormal="100" zoomScaleSheetLayoutView="90" workbookViewId="0">
      <selection activeCell="G11" sqref="G11"/>
    </sheetView>
  </sheetViews>
  <sheetFormatPr defaultColWidth="9.140625" defaultRowHeight="12.75" x14ac:dyDescent="0.2"/>
  <cols>
    <col min="1" max="1" width="3.85546875" style="1" customWidth="1"/>
    <col min="2" max="2" width="17.7109375" style="1" customWidth="1"/>
    <col min="3" max="3" width="2.5703125" style="1" customWidth="1"/>
    <col min="4" max="4" width="4.140625" style="1" customWidth="1"/>
    <col min="5" max="5" width="2.5703125" style="1" customWidth="1"/>
    <col min="6" max="6" width="17.85546875" style="1" customWidth="1"/>
    <col min="7" max="7" width="18.42578125" style="1" customWidth="1"/>
    <col min="8" max="8" width="41.28515625" style="1" customWidth="1"/>
    <col min="9" max="9" width="9.140625" style="1"/>
    <col min="10" max="10" width="15" style="1" bestFit="1" customWidth="1"/>
    <col min="11" max="11" width="17.42578125" style="1" customWidth="1"/>
    <col min="12" max="12" width="14.42578125" style="1" customWidth="1"/>
    <col min="13" max="16384" width="9.140625" style="1"/>
  </cols>
  <sheetData>
    <row r="2" spans="1:12" ht="15" x14ac:dyDescent="0.2">
      <c r="A2" s="812" t="s">
        <v>329</v>
      </c>
      <c r="B2" s="812"/>
      <c r="C2" s="812"/>
      <c r="D2" s="812"/>
      <c r="E2" s="812"/>
      <c r="F2" s="812"/>
      <c r="G2" s="812"/>
      <c r="H2" s="812"/>
    </row>
    <row r="3" spans="1:12" x14ac:dyDescent="0.2">
      <c r="C3" s="17"/>
      <c r="D3" s="17"/>
      <c r="E3" s="17"/>
      <c r="F3" s="10"/>
      <c r="G3" s="10"/>
      <c r="H3" s="10"/>
    </row>
    <row r="4" spans="1:12" x14ac:dyDescent="0.2">
      <c r="A4" s="1" t="s">
        <v>330</v>
      </c>
      <c r="C4" s="18" t="s">
        <v>227</v>
      </c>
      <c r="D4" s="218" t="str">
        <f>D!I5</f>
        <v>/SPD/2021</v>
      </c>
      <c r="E4" s="218"/>
      <c r="G4" s="11"/>
      <c r="H4" s="11"/>
    </row>
    <row r="5" spans="1:12" x14ac:dyDescent="0.2">
      <c r="A5" s="1" t="s">
        <v>274</v>
      </c>
      <c r="C5" s="1" t="s">
        <v>227</v>
      </c>
      <c r="D5" s="821">
        <f>D!I37</f>
        <v>0</v>
      </c>
      <c r="E5" s="821"/>
      <c r="F5" s="821"/>
    </row>
    <row r="7" spans="1:12" ht="24.75" customHeight="1" x14ac:dyDescent="0.2">
      <c r="A7" s="656" t="s">
        <v>40</v>
      </c>
      <c r="B7" s="656" t="s">
        <v>331</v>
      </c>
      <c r="C7" s="656"/>
      <c r="D7" s="656"/>
      <c r="E7" s="656"/>
      <c r="F7" s="656"/>
      <c r="G7" s="813" t="s">
        <v>332</v>
      </c>
      <c r="H7" s="813" t="s">
        <v>333</v>
      </c>
    </row>
    <row r="8" spans="1:12" ht="24.75" customHeight="1" x14ac:dyDescent="0.2">
      <c r="A8" s="656"/>
      <c r="B8" s="656"/>
      <c r="C8" s="656"/>
      <c r="D8" s="656"/>
      <c r="E8" s="656"/>
      <c r="F8" s="656"/>
      <c r="G8" s="814"/>
      <c r="H8" s="814"/>
    </row>
    <row r="9" spans="1:12" s="2" customFormat="1" ht="12.75" customHeight="1" x14ac:dyDescent="0.2">
      <c r="A9" s="3">
        <v>-1</v>
      </c>
      <c r="B9" s="815">
        <v>-2</v>
      </c>
      <c r="C9" s="816"/>
      <c r="D9" s="816"/>
      <c r="E9" s="816"/>
      <c r="F9" s="817"/>
      <c r="G9" s="508">
        <v>-3</v>
      </c>
      <c r="H9" s="3">
        <v>-4</v>
      </c>
    </row>
    <row r="10" spans="1:12" s="2" customFormat="1" ht="8.25" customHeight="1" x14ac:dyDescent="0.2">
      <c r="A10" s="12"/>
      <c r="B10" s="4"/>
      <c r="C10" s="4"/>
      <c r="D10" s="4"/>
      <c r="E10" s="4"/>
      <c r="F10" s="4"/>
      <c r="G10" s="12"/>
      <c r="H10" s="12"/>
    </row>
    <row r="11" spans="1:12" ht="28.5" customHeight="1" x14ac:dyDescent="0.2">
      <c r="A11" s="34">
        <v>1</v>
      </c>
      <c r="B11" s="292" t="s">
        <v>190</v>
      </c>
      <c r="C11" s="542"/>
      <c r="D11" s="36"/>
      <c r="E11" s="36"/>
      <c r="F11" s="36"/>
      <c r="G11" s="255">
        <f>VLOOKUP(D!$L$2,'Data SPD'!$A$3:$AJ$5,31)</f>
        <v>0</v>
      </c>
      <c r="H11" s="545"/>
    </row>
    <row r="12" spans="1:12" s="221" customFormat="1" ht="26.25" customHeight="1" x14ac:dyDescent="0.2">
      <c r="A12" s="297">
        <v>2</v>
      </c>
      <c r="B12" s="292" t="s">
        <v>335</v>
      </c>
      <c r="C12" s="635">
        <f>VLOOKUP(D!L2,'Data SPD'!A3:AJ$5,32)</f>
        <v>0</v>
      </c>
      <c r="D12" s="397" t="s">
        <v>336</v>
      </c>
      <c r="E12" s="397" t="s">
        <v>337</v>
      </c>
      <c r="F12" s="522">
        <f>VLOOKUP(D!$L$2,'Data SPD'!$A$3:$AJ$5,33)</f>
        <v>0</v>
      </c>
      <c r="G12" s="324">
        <f>C12*F12</f>
        <v>0</v>
      </c>
      <c r="H12" s="544" t="s">
        <v>338</v>
      </c>
      <c r="J12" s="288"/>
    </row>
    <row r="13" spans="1:12" ht="24" customHeight="1" x14ac:dyDescent="0.2">
      <c r="A13" s="297">
        <v>3</v>
      </c>
      <c r="B13" s="292" t="s">
        <v>339</v>
      </c>
      <c r="C13" s="635">
        <f>VLOOKUP(D!L2,'Data SPD'!A3:AJ$5,34)</f>
        <v>0</v>
      </c>
      <c r="D13" s="397" t="s">
        <v>336</v>
      </c>
      <c r="E13" s="397" t="s">
        <v>337</v>
      </c>
      <c r="F13" s="522">
        <f>VLOOKUP(D!$L$2,'Data SPD'!$A$3:$AJ$5,35)</f>
        <v>0</v>
      </c>
      <c r="G13" s="324">
        <f>C13*F13</f>
        <v>0</v>
      </c>
      <c r="H13" s="543"/>
      <c r="J13" s="252"/>
      <c r="K13" s="220"/>
    </row>
    <row r="14" spans="1:12" ht="15.75" hidden="1" customHeight="1" x14ac:dyDescent="0.2">
      <c r="A14" s="297">
        <v>4</v>
      </c>
      <c r="B14" s="258" t="s">
        <v>192</v>
      </c>
      <c r="C14" s="36">
        <v>3</v>
      </c>
      <c r="D14" s="36" t="s">
        <v>336</v>
      </c>
      <c r="E14" s="36" t="s">
        <v>337</v>
      </c>
      <c r="F14" s="87">
        <v>130000</v>
      </c>
      <c r="G14" s="255"/>
      <c r="H14" s="536"/>
      <c r="J14" s="252"/>
      <c r="K14" s="220"/>
    </row>
    <row r="15" spans="1:12" ht="6.75" customHeight="1" x14ac:dyDescent="0.2">
      <c r="A15" s="34"/>
      <c r="B15" s="292"/>
      <c r="C15" s="295"/>
      <c r="D15" s="295"/>
      <c r="E15" s="295"/>
      <c r="F15" s="323"/>
      <c r="G15" s="324"/>
      <c r="H15" s="536"/>
      <c r="J15" s="252"/>
    </row>
    <row r="16" spans="1:12" s="301" customFormat="1" ht="15.75" customHeight="1" x14ac:dyDescent="0.2">
      <c r="A16" s="302"/>
      <c r="B16" s="336"/>
      <c r="C16" s="337"/>
      <c r="D16" s="337"/>
      <c r="E16" s="337"/>
      <c r="F16" s="338"/>
      <c r="G16" s="339"/>
      <c r="H16" s="536"/>
      <c r="J16" s="326"/>
      <c r="L16" s="327"/>
    </row>
    <row r="17" spans="1:12" ht="15.95" customHeight="1" x14ac:dyDescent="0.2">
      <c r="A17" s="34"/>
      <c r="B17" s="125"/>
      <c r="C17" s="295"/>
      <c r="D17" s="295"/>
      <c r="E17" s="295"/>
      <c r="F17" s="295"/>
      <c r="G17" s="325"/>
      <c r="H17" s="536"/>
      <c r="J17" s="220"/>
    </row>
    <row r="18" spans="1:12" ht="14.25" customHeight="1" x14ac:dyDescent="0.2">
      <c r="A18" s="21"/>
      <c r="B18" s="22" t="s">
        <v>332</v>
      </c>
      <c r="C18" s="5"/>
      <c r="D18" s="5"/>
      <c r="E18" s="5"/>
      <c r="F18" s="5"/>
      <c r="G18" s="242">
        <f>SUM(G11:G16)</f>
        <v>0</v>
      </c>
      <c r="H18" s="536"/>
      <c r="J18" s="256"/>
    </row>
    <row r="19" spans="1:12" ht="7.5" customHeight="1" x14ac:dyDescent="0.2">
      <c r="A19" s="23"/>
      <c r="B19" s="6"/>
      <c r="C19" s="7"/>
      <c r="D19" s="7"/>
      <c r="E19" s="7"/>
      <c r="F19" s="8"/>
      <c r="G19" s="13"/>
      <c r="H19" s="14"/>
    </row>
    <row r="20" spans="1:12" ht="24" customHeight="1" x14ac:dyDescent="0.2">
      <c r="A20" s="818" t="e">
        <f ca="1">"Terbilang :"&amp;PROPER([1]!terbilang(G18))&amp;" Rupiah"</f>
        <v>#NAME?</v>
      </c>
      <c r="B20" s="819"/>
      <c r="C20" s="819"/>
      <c r="D20" s="819"/>
      <c r="E20" s="819"/>
      <c r="F20" s="819"/>
      <c r="G20" s="819"/>
      <c r="H20" s="820"/>
      <c r="J20" s="220"/>
      <c r="L20" s="220"/>
    </row>
    <row r="21" spans="1:12" x14ac:dyDescent="0.2">
      <c r="J21" s="349"/>
    </row>
    <row r="22" spans="1:12" x14ac:dyDescent="0.2">
      <c r="H22" s="634" t="str">
        <f>"Mamuju, "&amp;VLOOKUP(D!L2,'Data SPD'!A3:AJ$5,36)</f>
        <v xml:space="preserve">Mamuju, </v>
      </c>
      <c r="I22" s="348"/>
      <c r="J22" s="348"/>
    </row>
    <row r="23" spans="1:12" x14ac:dyDescent="0.2">
      <c r="G23" s="220"/>
    </row>
    <row r="24" spans="1:12" x14ac:dyDescent="0.2">
      <c r="A24" s="824" t="s">
        <v>340</v>
      </c>
      <c r="B24" s="824"/>
      <c r="C24" s="824"/>
      <c r="D24" s="824"/>
      <c r="E24" s="15"/>
      <c r="F24" s="15"/>
      <c r="G24" s="220"/>
      <c r="H24" s="521" t="s">
        <v>341</v>
      </c>
      <c r="J24" s="350"/>
    </row>
    <row r="25" spans="1:12" x14ac:dyDescent="0.2">
      <c r="A25" s="825">
        <f>G18</f>
        <v>0</v>
      </c>
      <c r="B25" s="825"/>
      <c r="C25" s="825"/>
      <c r="D25" s="825"/>
      <c r="E25" s="15"/>
      <c r="F25" s="15"/>
      <c r="G25" s="220"/>
      <c r="H25" s="39">
        <f>G18</f>
        <v>0</v>
      </c>
      <c r="J25" s="252"/>
    </row>
    <row r="26" spans="1:12" x14ac:dyDescent="0.2">
      <c r="A26" s="15"/>
      <c r="B26" s="15"/>
      <c r="C26" s="15"/>
      <c r="D26" s="15"/>
      <c r="E26" s="15"/>
      <c r="F26" s="15"/>
      <c r="H26" s="515"/>
      <c r="J26" s="252"/>
      <c r="L26" s="254"/>
    </row>
    <row r="27" spans="1:12" x14ac:dyDescent="0.2">
      <c r="A27" s="824" t="s">
        <v>342</v>
      </c>
      <c r="B27" s="824"/>
      <c r="C27" s="824"/>
      <c r="D27" s="824"/>
      <c r="E27" s="15"/>
      <c r="F27" s="15"/>
      <c r="H27" s="515" t="s">
        <v>343</v>
      </c>
      <c r="J27" s="252"/>
    </row>
    <row r="28" spans="1:12" x14ac:dyDescent="0.2">
      <c r="A28" s="15"/>
      <c r="B28" s="515"/>
      <c r="C28" s="15"/>
      <c r="D28" s="15"/>
      <c r="E28" s="15"/>
      <c r="F28" s="15"/>
      <c r="H28" s="515"/>
      <c r="J28" s="252"/>
    </row>
    <row r="29" spans="1:12" x14ac:dyDescent="0.2">
      <c r="B29" s="515"/>
      <c r="F29" s="15"/>
      <c r="H29" s="515"/>
      <c r="J29" s="252"/>
    </row>
    <row r="30" spans="1:12" x14ac:dyDescent="0.2">
      <c r="B30" s="515"/>
      <c r="F30" s="15"/>
      <c r="H30" s="515"/>
      <c r="J30" s="252"/>
    </row>
    <row r="31" spans="1:12" x14ac:dyDescent="0.2">
      <c r="A31" s="823" t="s">
        <v>128</v>
      </c>
      <c r="B31" s="823"/>
      <c r="C31" s="823"/>
      <c r="D31" s="823"/>
      <c r="H31" s="516" t="e">
        <f>D!D11</f>
        <v>#N/A</v>
      </c>
      <c r="J31" s="256"/>
    </row>
    <row r="32" spans="1:12" x14ac:dyDescent="0.2">
      <c r="A32" s="822" t="s">
        <v>344</v>
      </c>
      <c r="B32" s="822"/>
      <c r="C32" s="822"/>
      <c r="D32" s="822"/>
      <c r="E32" s="15"/>
      <c r="F32" s="15"/>
      <c r="H32" s="509" t="e">
        <f>"NIP.  "&amp;D!I11</f>
        <v>#N/A</v>
      </c>
    </row>
    <row r="33" spans="1:8" x14ac:dyDescent="0.2">
      <c r="A33" s="40"/>
      <c r="B33" s="7"/>
      <c r="C33" s="40"/>
      <c r="D33" s="40"/>
      <c r="E33" s="40"/>
      <c r="F33" s="40"/>
      <c r="G33" s="7"/>
      <c r="H33" s="7"/>
    </row>
    <row r="35" spans="1:8" ht="15" x14ac:dyDescent="0.2">
      <c r="A35" s="812" t="s">
        <v>345</v>
      </c>
      <c r="B35" s="812"/>
      <c r="C35" s="812"/>
      <c r="D35" s="812"/>
      <c r="E35" s="812"/>
      <c r="F35" s="812"/>
      <c r="G35" s="812"/>
      <c r="H35" s="812"/>
    </row>
    <row r="37" spans="1:8" ht="17.25" customHeight="1" x14ac:dyDescent="0.2">
      <c r="B37" s="1" t="s">
        <v>346</v>
      </c>
      <c r="E37" s="1" t="s">
        <v>227</v>
      </c>
      <c r="F37" s="523">
        <f>F38</f>
        <v>0</v>
      </c>
    </row>
    <row r="38" spans="1:8" ht="17.25" customHeight="1" x14ac:dyDescent="0.2">
      <c r="B38" s="1" t="s">
        <v>347</v>
      </c>
      <c r="E38" s="1" t="s">
        <v>227</v>
      </c>
      <c r="F38" s="523">
        <f>G18</f>
        <v>0</v>
      </c>
    </row>
    <row r="39" spans="1:8" ht="17.25" customHeight="1" x14ac:dyDescent="0.2">
      <c r="B39" s="1" t="s">
        <v>348</v>
      </c>
      <c r="E39" s="1" t="s">
        <v>227</v>
      </c>
      <c r="F39" s="523">
        <f>F38-F37</f>
        <v>0</v>
      </c>
      <c r="H39" s="15"/>
    </row>
    <row r="40" spans="1:8" x14ac:dyDescent="0.2">
      <c r="H40" s="509"/>
    </row>
    <row r="41" spans="1:8" x14ac:dyDescent="0.2">
      <c r="H41" s="515" t="str">
        <f>D!F39</f>
        <v>Pejabat Pembuat Komitmen</v>
      </c>
    </row>
    <row r="42" spans="1:8" x14ac:dyDescent="0.2">
      <c r="H42" s="509"/>
    </row>
    <row r="43" spans="1:8" x14ac:dyDescent="0.2">
      <c r="H43" s="515"/>
    </row>
    <row r="44" spans="1:8" x14ac:dyDescent="0.2">
      <c r="H44" s="515"/>
    </row>
    <row r="45" spans="1:8" x14ac:dyDescent="0.2">
      <c r="H45" s="515"/>
    </row>
    <row r="46" spans="1:8" x14ac:dyDescent="0.2">
      <c r="H46" s="516" t="str">
        <f>D!F42</f>
        <v>Prayitno, S.ST.</v>
      </c>
    </row>
    <row r="47" spans="1:8" x14ac:dyDescent="0.2">
      <c r="H47" s="515" t="str">
        <f>D!F43</f>
        <v>NIP. 19681210 199112 1 001</v>
      </c>
    </row>
    <row r="48" spans="1:8" x14ac:dyDescent="0.2">
      <c r="H48" s="516"/>
    </row>
    <row r="49" spans="8:8" x14ac:dyDescent="0.2">
      <c r="H49" s="517"/>
    </row>
  </sheetData>
  <mergeCells count="14">
    <mergeCell ref="A2:H2"/>
    <mergeCell ref="A35:H35"/>
    <mergeCell ref="A7:A8"/>
    <mergeCell ref="B7:F8"/>
    <mergeCell ref="G7:G8"/>
    <mergeCell ref="B9:F9"/>
    <mergeCell ref="H7:H8"/>
    <mergeCell ref="A20:H20"/>
    <mergeCell ref="D5:F5"/>
    <mergeCell ref="A32:D32"/>
    <mergeCell ref="A31:D31"/>
    <mergeCell ref="A27:D27"/>
    <mergeCell ref="A25:D25"/>
    <mergeCell ref="A24:D24"/>
  </mergeCells>
  <phoneticPr fontId="0" type="noConversion"/>
  <printOptions horizontalCentered="1"/>
  <pageMargins left="0.27559055118110237" right="0.23622047244094491" top="0.59055118110236227" bottom="0.59055118110236227" header="0.51181102362204722" footer="0.51181102362204722"/>
  <pageSetup paperSize="9" scale="91" pageOrder="overThenDown" orientation="portrait" horizontalDpi="360" verticalDpi="36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</sheetPr>
  <dimension ref="A1:T55"/>
  <sheetViews>
    <sheetView view="pageBreakPreview" zoomScale="90" zoomScaleNormal="100" zoomScaleSheetLayoutView="90" workbookViewId="0">
      <selection activeCell="O36" sqref="O36"/>
    </sheetView>
  </sheetViews>
  <sheetFormatPr defaultColWidth="9.140625" defaultRowHeight="12.75" x14ac:dyDescent="0.2"/>
  <cols>
    <col min="1" max="1" width="9.140625" style="53"/>
    <col min="2" max="2" width="1.7109375" style="53" customWidth="1"/>
    <col min="3" max="3" width="5.7109375" style="53" customWidth="1"/>
    <col min="4" max="4" width="1.7109375" style="53" customWidth="1"/>
    <col min="5" max="5" width="2.42578125" style="53" customWidth="1"/>
    <col min="6" max="6" width="9.85546875" style="53" customWidth="1"/>
    <col min="7" max="7" width="13" style="53" customWidth="1"/>
    <col min="8" max="8" width="9.140625" style="53"/>
    <col min="9" max="9" width="4.42578125" style="53" customWidth="1"/>
    <col min="10" max="10" width="1.85546875" style="53" customWidth="1"/>
    <col min="11" max="11" width="9.5703125" style="53" customWidth="1"/>
    <col min="12" max="12" width="20.140625" style="53" customWidth="1"/>
    <col min="13" max="13" width="9.28515625" style="53" customWidth="1"/>
    <col min="14" max="14" width="9.140625" style="53"/>
    <col min="15" max="15" width="15.5703125" style="243" customWidth="1"/>
    <col min="16" max="16" width="1.7109375" style="53" customWidth="1"/>
    <col min="17" max="17" width="9.140625" style="53"/>
    <col min="18" max="18" width="22.28515625" style="232" customWidth="1"/>
    <col min="19" max="19" width="27.85546875" style="53" customWidth="1"/>
    <col min="20" max="20" width="23.140625" style="53" customWidth="1"/>
    <col min="21" max="16384" width="9.140625" style="53"/>
  </cols>
  <sheetData>
    <row r="1" spans="1:18" ht="14.25" customHeight="1" x14ac:dyDescent="0.2">
      <c r="A1" s="48"/>
      <c r="B1" s="49"/>
      <c r="C1" s="49"/>
      <c r="D1" s="49"/>
      <c r="E1" s="49"/>
      <c r="F1" s="49"/>
      <c r="G1" s="49"/>
      <c r="H1" s="49" t="s">
        <v>349</v>
      </c>
      <c r="I1" s="50"/>
      <c r="J1" s="49" t="s">
        <v>227</v>
      </c>
      <c r="K1" s="51">
        <v>2021</v>
      </c>
      <c r="L1" s="51"/>
      <c r="M1" s="52"/>
    </row>
    <row r="2" spans="1:18" x14ac:dyDescent="0.2">
      <c r="A2" s="54"/>
      <c r="B2" s="55"/>
      <c r="C2" s="55"/>
      <c r="D2" s="55"/>
      <c r="E2" s="55"/>
      <c r="F2" s="55"/>
      <c r="G2" s="55"/>
      <c r="H2" s="55" t="s">
        <v>350</v>
      </c>
      <c r="I2" s="56"/>
      <c r="J2" s="55" t="s">
        <v>227</v>
      </c>
      <c r="K2" s="55"/>
      <c r="L2" s="57"/>
      <c r="M2" s="58"/>
    </row>
    <row r="3" spans="1:18" x14ac:dyDescent="0.2">
      <c r="A3" s="54"/>
      <c r="B3" s="55"/>
      <c r="C3" s="55"/>
      <c r="D3" s="55"/>
      <c r="E3" s="55"/>
      <c r="F3" s="55"/>
      <c r="G3" s="55"/>
      <c r="H3" s="55" t="s">
        <v>351</v>
      </c>
      <c r="I3" s="56"/>
      <c r="J3" s="55" t="s">
        <v>227</v>
      </c>
      <c r="K3" s="828" t="str">
        <f>D!E33&amp;"."&amp;D!E32&amp;"."&amp;D!E31</f>
        <v>0.0.0</v>
      </c>
      <c r="L3" s="829"/>
      <c r="M3" s="830"/>
    </row>
    <row r="4" spans="1:18" x14ac:dyDescent="0.2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8"/>
      <c r="Q4" s="59"/>
    </row>
    <row r="5" spans="1:18" ht="15" x14ac:dyDescent="0.2">
      <c r="A5" s="831" t="s">
        <v>352</v>
      </c>
      <c r="B5" s="831"/>
      <c r="C5" s="831"/>
      <c r="D5" s="831"/>
      <c r="E5" s="831"/>
      <c r="F5" s="831"/>
      <c r="G5" s="831"/>
      <c r="H5" s="831"/>
      <c r="I5" s="831"/>
      <c r="J5" s="831"/>
      <c r="K5" s="831"/>
      <c r="L5" s="832"/>
      <c r="M5" s="833"/>
      <c r="Q5" s="60"/>
    </row>
    <row r="6" spans="1:18" x14ac:dyDescent="0.2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8"/>
      <c r="Q6" s="60"/>
    </row>
    <row r="7" spans="1:18" x14ac:dyDescent="0.2">
      <c r="A7" s="54" t="s">
        <v>353</v>
      </c>
      <c r="B7" s="55"/>
      <c r="C7" s="55"/>
      <c r="D7" s="55" t="s">
        <v>227</v>
      </c>
      <c r="E7" s="55" t="s">
        <v>354</v>
      </c>
      <c r="F7" s="55"/>
      <c r="G7" s="55"/>
      <c r="H7" s="55"/>
      <c r="I7" s="55"/>
      <c r="J7" s="55"/>
      <c r="K7" s="55"/>
      <c r="L7" s="55"/>
      <c r="M7" s="58"/>
      <c r="Q7" s="59"/>
    </row>
    <row r="8" spans="1:18" x14ac:dyDescent="0.2">
      <c r="A8" s="54"/>
      <c r="B8" s="55"/>
      <c r="C8" s="55"/>
      <c r="D8" s="55"/>
      <c r="E8" s="55" t="s">
        <v>355</v>
      </c>
      <c r="F8" s="55"/>
      <c r="G8" s="55"/>
      <c r="H8" s="55"/>
      <c r="I8" s="55"/>
      <c r="J8" s="55"/>
      <c r="K8" s="55"/>
      <c r="L8" s="55"/>
      <c r="M8" s="58"/>
    </row>
    <row r="9" spans="1:18" x14ac:dyDescent="0.2">
      <c r="A9" s="54" t="s">
        <v>356</v>
      </c>
      <c r="B9" s="55"/>
      <c r="C9" s="55"/>
      <c r="D9" s="55" t="s">
        <v>227</v>
      </c>
      <c r="E9" s="834">
        <f>Lamp!G18</f>
        <v>0</v>
      </c>
      <c r="F9" s="834"/>
      <c r="G9" s="834"/>
      <c r="H9" s="55"/>
      <c r="I9" s="55"/>
      <c r="J9" s="55"/>
      <c r="K9" s="55"/>
      <c r="L9" s="55"/>
      <c r="M9" s="58"/>
    </row>
    <row r="10" spans="1:18" x14ac:dyDescent="0.2">
      <c r="A10" s="54" t="s">
        <v>357</v>
      </c>
      <c r="B10" s="55"/>
      <c r="C10" s="55"/>
      <c r="D10" s="55" t="s">
        <v>227</v>
      </c>
      <c r="E10" s="835" t="e">
        <f ca="1">PROPER([1]!terbilang(E9))&amp;" Rupiah"</f>
        <v>#NAME?</v>
      </c>
      <c r="F10" s="835"/>
      <c r="G10" s="835"/>
      <c r="H10" s="835"/>
      <c r="I10" s="835"/>
      <c r="J10" s="835"/>
      <c r="K10" s="835"/>
      <c r="L10" s="836"/>
      <c r="M10" s="837"/>
      <c r="R10" s="233"/>
    </row>
    <row r="11" spans="1:18" ht="12.75" customHeight="1" x14ac:dyDescent="0.2">
      <c r="A11" s="54"/>
      <c r="B11" s="55"/>
      <c r="C11" s="55"/>
      <c r="D11" s="55"/>
      <c r="E11" s="835"/>
      <c r="F11" s="835"/>
      <c r="G11" s="835"/>
      <c r="H11" s="835"/>
      <c r="I11" s="835"/>
      <c r="J11" s="835"/>
      <c r="K11" s="835"/>
      <c r="L11" s="836"/>
      <c r="M11" s="837"/>
    </row>
    <row r="12" spans="1:18" ht="13.5" customHeight="1" x14ac:dyDescent="0.2">
      <c r="A12" s="54"/>
      <c r="B12" s="55"/>
      <c r="C12" s="55"/>
      <c r="D12" s="55"/>
      <c r="E12" s="511"/>
      <c r="F12" s="511"/>
      <c r="G12" s="511"/>
      <c r="H12" s="511"/>
      <c r="I12" s="511"/>
      <c r="J12" s="511"/>
      <c r="K12" s="511"/>
      <c r="L12" s="511"/>
      <c r="M12" s="512"/>
    </row>
    <row r="13" spans="1:18" ht="12.75" customHeight="1" x14ac:dyDescent="0.2">
      <c r="A13" s="54" t="s">
        <v>358</v>
      </c>
      <c r="B13" s="55"/>
      <c r="C13" s="55"/>
      <c r="D13" s="55" t="s">
        <v>227</v>
      </c>
      <c r="E13" s="838" t="str">
        <f>"Biaya Perjalanan " &amp;D!D15 &amp;" selama "&amp;D!E20 &amp;" mulai tanggal "&amp;D!E21 &amp;" s.d. "&amp;D!E22 &amp;" di "&amp;D!E19</f>
        <v>Biaya Perjalanan 0 selama 0 mulai tanggal 0 s.d. 0 di 0</v>
      </c>
      <c r="F13" s="838"/>
      <c r="G13" s="838"/>
      <c r="H13" s="838"/>
      <c r="I13" s="838"/>
      <c r="J13" s="838"/>
      <c r="K13" s="838"/>
      <c r="L13" s="838"/>
      <c r="M13" s="512"/>
    </row>
    <row r="14" spans="1:18" ht="28.5" customHeight="1" x14ac:dyDescent="0.2">
      <c r="A14" s="54"/>
      <c r="B14" s="55"/>
      <c r="C14" s="55"/>
      <c r="D14" s="55"/>
      <c r="E14" s="838"/>
      <c r="F14" s="838"/>
      <c r="G14" s="838"/>
      <c r="H14" s="838"/>
      <c r="I14" s="838"/>
      <c r="J14" s="838"/>
      <c r="K14" s="838"/>
      <c r="L14" s="838"/>
      <c r="M14" s="512"/>
      <c r="Q14" s="511"/>
    </row>
    <row r="15" spans="1:18" x14ac:dyDescent="0.2">
      <c r="A15" s="54"/>
      <c r="B15" s="55"/>
      <c r="C15" s="55"/>
      <c r="D15" s="55"/>
      <c r="E15" s="839"/>
      <c r="F15" s="839"/>
      <c r="G15" s="839"/>
      <c r="H15" s="839"/>
      <c r="I15" s="839"/>
      <c r="J15" s="839"/>
      <c r="K15" s="839"/>
      <c r="L15" s="839"/>
      <c r="M15" s="62"/>
      <c r="Q15" s="511"/>
    </row>
    <row r="16" spans="1:18" ht="14.25" customHeight="1" x14ac:dyDescent="0.2">
      <c r="A16" s="54"/>
      <c r="B16" s="55"/>
      <c r="C16" s="55"/>
      <c r="D16" s="55"/>
      <c r="E16" s="513"/>
      <c r="F16" s="513"/>
      <c r="G16" s="513"/>
      <c r="H16" s="513"/>
      <c r="I16" s="513"/>
      <c r="J16" s="513"/>
      <c r="K16" s="513"/>
      <c r="L16" s="513"/>
      <c r="M16" s="62"/>
      <c r="Q16" s="511"/>
    </row>
    <row r="17" spans="1:17" ht="14.25" customHeight="1" x14ac:dyDescent="0.2">
      <c r="A17" s="54"/>
      <c r="B17" s="55"/>
      <c r="C17" s="55"/>
      <c r="D17" s="55"/>
      <c r="E17" s="513"/>
      <c r="F17" s="513"/>
      <c r="G17" s="513"/>
      <c r="H17" s="513"/>
      <c r="I17" s="513"/>
      <c r="J17" s="513"/>
      <c r="K17" s="513"/>
      <c r="L17" s="513"/>
      <c r="M17" s="62"/>
      <c r="Q17" s="511"/>
    </row>
    <row r="18" spans="1:17" ht="11.25" customHeight="1" x14ac:dyDescent="0.2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8"/>
    </row>
    <row r="19" spans="1:17" ht="11.25" customHeight="1" x14ac:dyDescent="0.2">
      <c r="A19" s="54"/>
      <c r="B19" s="55"/>
      <c r="C19" s="55"/>
      <c r="D19" s="55"/>
      <c r="E19" s="55"/>
      <c r="F19" s="55"/>
      <c r="G19" s="55"/>
      <c r="H19" s="55"/>
      <c r="J19" s="55"/>
      <c r="K19" s="286" t="str">
        <f>Lamp!H22</f>
        <v xml:space="preserve">Mamuju, </v>
      </c>
      <c r="L19" s="55"/>
      <c r="M19" s="58"/>
    </row>
    <row r="20" spans="1:17" ht="11.25" customHeight="1" x14ac:dyDescent="0.2">
      <c r="A20" s="63"/>
      <c r="B20" s="55"/>
      <c r="C20" s="55"/>
      <c r="D20" s="55"/>
      <c r="E20" s="55"/>
      <c r="F20" s="55"/>
      <c r="G20" s="55"/>
      <c r="H20" s="55"/>
      <c r="J20" s="55"/>
      <c r="K20" s="55" t="s">
        <v>359</v>
      </c>
      <c r="L20" s="55"/>
      <c r="M20" s="58"/>
    </row>
    <row r="21" spans="1:17" ht="11.25" customHeight="1" x14ac:dyDescent="0.2">
      <c r="A21" s="63"/>
      <c r="B21" s="55"/>
      <c r="C21" s="55"/>
      <c r="D21" s="55"/>
      <c r="E21" s="55"/>
      <c r="F21" s="55"/>
      <c r="G21" s="55"/>
      <c r="H21" s="55"/>
      <c r="J21" s="55"/>
      <c r="K21" s="55"/>
      <c r="L21" s="55"/>
      <c r="M21" s="58"/>
    </row>
    <row r="22" spans="1:17" ht="11.25" customHeight="1" x14ac:dyDescent="0.2">
      <c r="A22" s="54"/>
      <c r="B22" s="55"/>
      <c r="C22" s="55"/>
      <c r="D22" s="55"/>
      <c r="E22" s="55"/>
      <c r="F22" s="55"/>
      <c r="G22" s="55" t="s">
        <v>287</v>
      </c>
      <c r="H22" s="55"/>
      <c r="J22" s="55"/>
      <c r="K22" s="64"/>
      <c r="L22" s="55"/>
      <c r="M22" s="58"/>
    </row>
    <row r="23" spans="1:17" ht="11.25" customHeight="1" x14ac:dyDescent="0.2">
      <c r="A23" s="65"/>
      <c r="B23" s="64"/>
      <c r="C23" s="66"/>
      <c r="D23" s="66"/>
      <c r="E23" s="66"/>
      <c r="F23" s="55"/>
      <c r="G23" s="55"/>
      <c r="H23" s="55"/>
      <c r="J23" s="55"/>
      <c r="K23" s="55"/>
      <c r="L23" s="55"/>
      <c r="M23" s="58"/>
      <c r="O23" s="243" t="s">
        <v>360</v>
      </c>
    </row>
    <row r="24" spans="1:17" ht="11.25" customHeight="1" x14ac:dyDescent="0.2">
      <c r="A24" s="65"/>
      <c r="B24" s="64"/>
      <c r="C24" s="67"/>
      <c r="D24" s="67"/>
      <c r="E24" s="67"/>
      <c r="F24" s="55"/>
      <c r="G24" s="55"/>
      <c r="H24" s="55"/>
      <c r="J24" s="55"/>
      <c r="K24" s="55"/>
      <c r="L24" s="55"/>
      <c r="M24" s="58"/>
    </row>
    <row r="25" spans="1:17" ht="11.25" customHeight="1" x14ac:dyDescent="0.2">
      <c r="A25" s="65"/>
      <c r="B25" s="64"/>
      <c r="C25" s="67"/>
      <c r="D25" s="67"/>
      <c r="E25" s="67"/>
      <c r="F25" s="55"/>
      <c r="G25" s="55"/>
      <c r="I25" s="840" t="e">
        <f>Lamp!H31</f>
        <v>#N/A</v>
      </c>
      <c r="J25" s="840"/>
      <c r="K25" s="840"/>
      <c r="L25" s="840"/>
      <c r="M25" s="841"/>
    </row>
    <row r="26" spans="1:17" ht="11.25" customHeight="1" x14ac:dyDescent="0.2">
      <c r="A26" s="65"/>
      <c r="B26" s="64"/>
      <c r="C26" s="67"/>
      <c r="D26" s="67"/>
      <c r="E26" s="67"/>
      <c r="F26" s="55"/>
      <c r="G26" s="55"/>
      <c r="H26" s="55"/>
      <c r="I26" s="842" t="e">
        <f>Lamp!H32</f>
        <v>#N/A</v>
      </c>
      <c r="J26" s="842"/>
      <c r="K26" s="842"/>
      <c r="L26" s="842"/>
      <c r="M26" s="843"/>
    </row>
    <row r="27" spans="1:17" ht="11.25" customHeight="1" x14ac:dyDescent="0.2">
      <c r="A27" s="215"/>
      <c r="B27" s="216"/>
      <c r="C27" s="217"/>
      <c r="D27" s="217"/>
      <c r="E27" s="217"/>
      <c r="F27" s="75"/>
      <c r="G27" s="75"/>
      <c r="H27" s="75"/>
      <c r="I27" s="75"/>
      <c r="J27" s="75"/>
      <c r="K27" s="75"/>
      <c r="L27" s="75"/>
      <c r="M27" s="76"/>
      <c r="N27" s="511"/>
      <c r="O27" s="244"/>
    </row>
    <row r="28" spans="1:17" ht="11.25" customHeight="1" x14ac:dyDescent="0.2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8"/>
    </row>
    <row r="29" spans="1:17" ht="13.5" customHeight="1" x14ac:dyDescent="0.2">
      <c r="A29" s="827" t="s">
        <v>361</v>
      </c>
      <c r="B29" s="827"/>
      <c r="C29" s="827"/>
      <c r="D29" s="827"/>
      <c r="E29" s="827"/>
      <c r="F29" s="68"/>
      <c r="G29" s="69"/>
      <c r="I29" s="69" t="s">
        <v>362</v>
      </c>
      <c r="J29" s="69"/>
      <c r="K29" s="69"/>
      <c r="L29" s="69"/>
      <c r="M29" s="70"/>
    </row>
    <row r="30" spans="1:17" ht="11.25" customHeight="1" x14ac:dyDescent="0.2">
      <c r="A30" s="510" t="s">
        <v>363</v>
      </c>
      <c r="B30" s="68"/>
      <c r="C30" s="68"/>
      <c r="D30" s="68"/>
      <c r="E30" s="68"/>
      <c r="F30" s="68"/>
      <c r="G30" s="71" t="s">
        <v>364</v>
      </c>
      <c r="I30" s="55" t="s">
        <v>365</v>
      </c>
      <c r="J30" s="55"/>
      <c r="K30" s="55"/>
      <c r="L30" s="55"/>
      <c r="M30" s="58"/>
    </row>
    <row r="31" spans="1:17" ht="15" customHeight="1" x14ac:dyDescent="0.2">
      <c r="A31" s="510"/>
      <c r="B31" s="68"/>
      <c r="C31" s="68"/>
      <c r="D31" s="68"/>
      <c r="E31" s="68"/>
      <c r="F31" s="68"/>
      <c r="G31" s="71"/>
      <c r="I31" s="55"/>
      <c r="J31" s="55"/>
      <c r="K31" s="55"/>
      <c r="L31" s="55"/>
      <c r="M31" s="58"/>
    </row>
    <row r="32" spans="1:17" x14ac:dyDescent="0.2">
      <c r="A32" s="510"/>
      <c r="B32" s="68"/>
      <c r="C32" s="68"/>
      <c r="D32" s="68"/>
      <c r="E32" s="68"/>
      <c r="F32" s="68"/>
      <c r="G32" s="71"/>
      <c r="I32" s="55"/>
      <c r="J32" s="55"/>
      <c r="K32" s="55"/>
      <c r="L32" s="55"/>
      <c r="M32" s="58"/>
    </row>
    <row r="33" spans="1:20" ht="11.25" customHeight="1" x14ac:dyDescent="0.2">
      <c r="A33" s="510"/>
      <c r="B33" s="68"/>
      <c r="C33" s="68"/>
      <c r="D33" s="68"/>
      <c r="E33" s="68"/>
      <c r="F33" s="68"/>
      <c r="G33" s="71"/>
      <c r="I33" s="55"/>
      <c r="J33" s="55"/>
      <c r="K33" s="55"/>
      <c r="L33" s="55"/>
      <c r="M33" s="58"/>
      <c r="O33" s="244"/>
      <c r="P33" s="56"/>
      <c r="Q33" s="56"/>
      <c r="R33" s="441"/>
      <c r="S33" s="56"/>
      <c r="T33" s="56"/>
    </row>
    <row r="34" spans="1:20" ht="11.25" customHeight="1" x14ac:dyDescent="0.2">
      <c r="A34" s="123" t="str">
        <f>D!F42</f>
        <v>Prayitno, S.ST.</v>
      </c>
      <c r="B34" s="72"/>
      <c r="C34" s="72"/>
      <c r="D34" s="72"/>
      <c r="E34" s="72"/>
      <c r="F34" s="72"/>
      <c r="G34" s="73"/>
      <c r="I34" s="85" t="str">
        <f>Lamp!A31</f>
        <v>Reski, S.Si.</v>
      </c>
      <c r="J34" s="64"/>
      <c r="K34" s="64"/>
      <c r="L34" s="64"/>
      <c r="M34" s="58"/>
      <c r="O34" s="244"/>
      <c r="P34" s="56"/>
      <c r="Q34" s="56"/>
      <c r="R34" s="441"/>
      <c r="S34" s="56"/>
      <c r="T34" s="56"/>
    </row>
    <row r="35" spans="1:20" ht="11.25" customHeight="1" x14ac:dyDescent="0.2">
      <c r="A35" s="510" t="str">
        <f>D!F43</f>
        <v>NIP. 19681210 199112 1 001</v>
      </c>
      <c r="B35" s="55"/>
      <c r="C35" s="55"/>
      <c r="D35" s="55"/>
      <c r="E35" s="55"/>
      <c r="F35" s="55"/>
      <c r="G35" s="71"/>
      <c r="I35" s="55" t="str">
        <f>Lamp!A32</f>
        <v>NIP. 19880725 201101 2 014</v>
      </c>
      <c r="J35" s="55"/>
      <c r="K35" s="55"/>
      <c r="L35" s="55"/>
      <c r="M35" s="58"/>
      <c r="O35" s="244"/>
      <c r="P35" s="56"/>
      <c r="Q35" s="56"/>
      <c r="R35" s="441"/>
      <c r="S35" s="56"/>
      <c r="T35" s="56"/>
    </row>
    <row r="36" spans="1:20" ht="11.25" customHeight="1" x14ac:dyDescent="0.2">
      <c r="A36" s="74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6"/>
      <c r="O36" s="244"/>
      <c r="P36" s="56"/>
      <c r="Q36" s="56"/>
      <c r="R36" s="441"/>
      <c r="S36" s="56"/>
      <c r="T36" s="56"/>
    </row>
    <row r="37" spans="1:20" ht="11.25" customHeight="1" x14ac:dyDescent="0.2">
      <c r="A37" s="77"/>
      <c r="B37" s="55"/>
      <c r="C37" s="55"/>
      <c r="D37" s="55"/>
      <c r="E37" s="55"/>
      <c r="F37" s="55"/>
      <c r="G37" s="55"/>
      <c r="H37" s="55"/>
      <c r="I37" s="55"/>
      <c r="J37" s="56"/>
      <c r="K37" s="56"/>
      <c r="L37" s="56"/>
      <c r="M37" s="78"/>
      <c r="O37" s="442"/>
      <c r="P37" s="56"/>
      <c r="Q37" s="56"/>
      <c r="R37" s="441"/>
      <c r="S37" s="56"/>
      <c r="T37" s="56"/>
    </row>
    <row r="38" spans="1:20" ht="12.75" customHeight="1" x14ac:dyDescent="0.2">
      <c r="A38" s="79" t="s">
        <v>366</v>
      </c>
      <c r="B38" s="55"/>
      <c r="C38" s="55"/>
      <c r="D38" s="55"/>
      <c r="E38" s="55"/>
      <c r="F38" s="55"/>
      <c r="G38" s="55"/>
      <c r="H38" s="55"/>
      <c r="I38" s="55"/>
      <c r="J38" s="56"/>
      <c r="K38" s="56"/>
      <c r="L38" s="56"/>
      <c r="M38" s="78"/>
      <c r="O38" s="826"/>
      <c r="P38" s="56"/>
      <c r="Q38" s="56"/>
      <c r="R38" s="441"/>
      <c r="S38" s="56"/>
      <c r="T38" s="56"/>
    </row>
    <row r="39" spans="1:20" ht="12.75" customHeight="1" x14ac:dyDescent="0.2">
      <c r="A39" s="79" t="s">
        <v>367</v>
      </c>
      <c r="B39" s="55"/>
      <c r="C39" s="55"/>
      <c r="D39" s="55"/>
      <c r="E39" s="55"/>
      <c r="F39" s="55"/>
      <c r="G39" s="55"/>
      <c r="H39" s="55"/>
      <c r="I39" s="55"/>
      <c r="J39" s="56"/>
      <c r="K39" s="56"/>
      <c r="L39" s="56"/>
      <c r="M39" s="78"/>
      <c r="O39" s="826"/>
      <c r="P39" s="56"/>
      <c r="Q39" s="56"/>
      <c r="R39" s="441"/>
      <c r="S39" s="56"/>
      <c r="T39" s="56"/>
    </row>
    <row r="40" spans="1:20" ht="11.25" customHeight="1" x14ac:dyDescent="0.2">
      <c r="A40" s="79"/>
      <c r="B40" s="55"/>
      <c r="C40" s="55"/>
      <c r="D40" s="55"/>
      <c r="E40" s="55"/>
      <c r="F40" s="55"/>
      <c r="G40" s="55"/>
      <c r="H40" s="55"/>
      <c r="I40" s="55"/>
      <c r="J40" s="56"/>
      <c r="K40" s="56"/>
      <c r="L40" s="56"/>
      <c r="M40" s="78"/>
      <c r="O40" s="244"/>
      <c r="P40" s="56"/>
      <c r="Q40" s="56"/>
      <c r="R40" s="441"/>
      <c r="S40" s="56"/>
      <c r="T40" s="56"/>
    </row>
    <row r="41" spans="1:20" ht="11.25" customHeight="1" x14ac:dyDescent="0.2">
      <c r="A41" s="79"/>
      <c r="B41" s="55"/>
      <c r="C41" s="55"/>
      <c r="D41" s="55"/>
      <c r="E41" s="55"/>
      <c r="F41" s="55"/>
      <c r="G41" s="55"/>
      <c r="H41" s="55"/>
      <c r="I41" s="55"/>
      <c r="J41" s="56"/>
      <c r="K41" s="56"/>
      <c r="L41" s="56"/>
      <c r="M41" s="78"/>
      <c r="O41" s="244"/>
      <c r="P41" s="56"/>
      <c r="Q41" s="56"/>
      <c r="R41" s="441"/>
      <c r="S41" s="56"/>
      <c r="T41" s="56"/>
    </row>
    <row r="42" spans="1:20" ht="20.25" customHeight="1" x14ac:dyDescent="0.2">
      <c r="A42" s="79"/>
      <c r="B42" s="55"/>
      <c r="C42" s="55"/>
      <c r="D42" s="55"/>
      <c r="E42" s="55"/>
      <c r="F42" s="55"/>
      <c r="G42" s="55"/>
      <c r="H42" s="55"/>
      <c r="I42" s="55"/>
      <c r="J42" s="56"/>
      <c r="K42" s="56"/>
      <c r="L42" s="56"/>
      <c r="M42" s="78"/>
      <c r="O42" s="244"/>
      <c r="P42" s="56"/>
      <c r="Q42" s="56"/>
      <c r="R42" s="441"/>
      <c r="S42" s="56"/>
      <c r="T42" s="56"/>
    </row>
    <row r="43" spans="1:20" ht="11.25" customHeight="1" x14ac:dyDescent="0.2">
      <c r="A43" s="306" t="e">
        <f>VLOOKUP(D!L2,'Data SPD'!A3:AJ5,22)</f>
        <v>#N/A</v>
      </c>
      <c r="B43" s="307"/>
      <c r="C43" s="307"/>
      <c r="D43" s="307"/>
      <c r="E43" s="307"/>
      <c r="F43" s="307"/>
      <c r="G43" s="55"/>
      <c r="H43" s="55"/>
      <c r="I43" s="55"/>
      <c r="J43" s="56"/>
      <c r="K43" s="56"/>
      <c r="L43" s="56"/>
      <c r="M43" s="78"/>
      <c r="O43" s="244"/>
      <c r="P43" s="56"/>
      <c r="Q43" s="56"/>
      <c r="R43" s="441"/>
      <c r="S43" s="56"/>
      <c r="T43" s="56"/>
    </row>
    <row r="44" spans="1:20" ht="11.25" customHeight="1" x14ac:dyDescent="0.2">
      <c r="A44" s="79" t="e">
        <f>"NIP. "&amp;VLOOKUP(D!L2,'Data SPD'!A3:AJ5,23)</f>
        <v>#N/A</v>
      </c>
      <c r="B44" s="55"/>
      <c r="C44" s="55"/>
      <c r="D44" s="55"/>
      <c r="E44" s="55"/>
      <c r="F44" s="55"/>
      <c r="G44" s="55"/>
      <c r="H44" s="55"/>
      <c r="I44" s="55"/>
      <c r="J44" s="56"/>
      <c r="K44" s="56"/>
      <c r="L44" s="56"/>
      <c r="M44" s="78"/>
      <c r="O44" s="244"/>
      <c r="P44" s="56"/>
      <c r="Q44" s="56"/>
      <c r="R44" s="441"/>
      <c r="S44" s="56"/>
      <c r="T44" s="56"/>
    </row>
    <row r="45" spans="1:20" ht="11.25" customHeight="1" x14ac:dyDescent="0.2">
      <c r="A45" s="80"/>
      <c r="B45" s="75"/>
      <c r="C45" s="75"/>
      <c r="D45" s="75"/>
      <c r="E45" s="75"/>
      <c r="F45" s="75"/>
      <c r="G45" s="75"/>
      <c r="H45" s="75"/>
      <c r="I45" s="75"/>
      <c r="J45" s="81"/>
      <c r="K45" s="81"/>
      <c r="L45" s="81"/>
      <c r="M45" s="82"/>
      <c r="O45" s="244"/>
      <c r="P45" s="56"/>
      <c r="Q45" s="56"/>
      <c r="R45" s="441"/>
      <c r="S45" s="56"/>
      <c r="T45" s="56"/>
    </row>
    <row r="46" spans="1:20" ht="11.25" customHeight="1" x14ac:dyDescent="0.2">
      <c r="O46" s="244"/>
      <c r="P46" s="56"/>
      <c r="Q46" s="56"/>
      <c r="R46" s="441"/>
      <c r="S46" s="56"/>
      <c r="T46" s="56"/>
    </row>
    <row r="47" spans="1:20" ht="11.25" customHeight="1" x14ac:dyDescent="0.2">
      <c r="A47" s="86"/>
      <c r="D47" s="56"/>
      <c r="E47" s="56"/>
      <c r="F47" s="56"/>
      <c r="G47" s="56"/>
      <c r="H47" s="56"/>
    </row>
    <row r="48" spans="1:20" ht="11.25" customHeight="1" x14ac:dyDescent="0.2">
      <c r="D48" s="56"/>
      <c r="E48" s="56"/>
      <c r="F48" s="223"/>
      <c r="G48" s="419"/>
      <c r="H48" s="56"/>
    </row>
    <row r="49" spans="4:8" ht="11.25" customHeight="1" x14ac:dyDescent="0.2">
      <c r="D49" s="56"/>
      <c r="E49" s="56"/>
      <c r="F49" s="420"/>
      <c r="G49" s="420"/>
      <c r="H49" s="56"/>
    </row>
    <row r="50" spans="4:8" x14ac:dyDescent="0.2">
      <c r="F50" s="84"/>
      <c r="G50" s="84"/>
    </row>
    <row r="51" spans="4:8" x14ac:dyDescent="0.2">
      <c r="F51" s="84"/>
      <c r="G51" s="84"/>
    </row>
    <row r="52" spans="4:8" x14ac:dyDescent="0.2">
      <c r="F52" s="212"/>
      <c r="G52" s="212"/>
    </row>
    <row r="53" spans="4:8" x14ac:dyDescent="0.2">
      <c r="F53" s="84"/>
      <c r="G53" s="84"/>
    </row>
    <row r="54" spans="4:8" x14ac:dyDescent="0.2">
      <c r="F54" s="84"/>
      <c r="G54" s="84"/>
    </row>
    <row r="55" spans="4:8" ht="3.75" customHeight="1" x14ac:dyDescent="0.2"/>
  </sheetData>
  <mergeCells count="9">
    <mergeCell ref="O38:O39"/>
    <mergeCell ref="A29:E29"/>
    <mergeCell ref="K3:M3"/>
    <mergeCell ref="A5:M5"/>
    <mergeCell ref="E9:G9"/>
    <mergeCell ref="E10:M11"/>
    <mergeCell ref="E13:L15"/>
    <mergeCell ref="I25:M25"/>
    <mergeCell ref="I26:M26"/>
  </mergeCells>
  <phoneticPr fontId="2" type="noConversion"/>
  <printOptions horizontalCentered="1"/>
  <pageMargins left="0.27559055118110237" right="0.23622047244094491" top="0.59055118110236227" bottom="0.59055118110236227" header="0.51181102362204722" footer="0.51181102362204722"/>
  <pageSetup paperSize="9" scale="95" firstPageNumber="0" pageOrder="overThenDown" orientation="portrait" horizontalDpi="360" verticalDpi="36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2:R68"/>
  <sheetViews>
    <sheetView view="pageBreakPreview" zoomScale="90" zoomScaleNormal="100" zoomScaleSheetLayoutView="90" workbookViewId="0">
      <selection activeCell="H41" sqref="H41"/>
    </sheetView>
  </sheetViews>
  <sheetFormatPr defaultColWidth="9.140625" defaultRowHeight="12.75" x14ac:dyDescent="0.2"/>
  <cols>
    <col min="1" max="1" width="0.5703125" style="1" customWidth="1"/>
    <col min="2" max="2" width="4.42578125" style="1" customWidth="1"/>
    <col min="3" max="3" width="9.42578125" style="1" customWidth="1"/>
    <col min="4" max="4" width="1.7109375" style="1" customWidth="1"/>
    <col min="5" max="5" width="10.28515625" style="1" customWidth="1"/>
    <col min="6" max="6" width="2.5703125" style="1" customWidth="1"/>
    <col min="7" max="7" width="40" style="1" customWidth="1"/>
    <col min="8" max="8" width="26.28515625" style="1" customWidth="1"/>
    <col min="9" max="9" width="3.5703125" style="1" customWidth="1"/>
    <col min="10" max="10" width="4" style="252" customWidth="1"/>
    <col min="11" max="11" width="17.5703125" style="1" customWidth="1"/>
    <col min="12" max="12" width="9.140625" style="1"/>
    <col min="13" max="13" width="10.42578125" style="1" bestFit="1" customWidth="1"/>
    <col min="14" max="14" width="3.42578125" style="1" customWidth="1"/>
    <col min="15" max="15" width="12.85546875" style="1" bestFit="1" customWidth="1"/>
    <col min="16" max="16" width="9.140625" style="1"/>
    <col min="17" max="17" width="15" style="1" bestFit="1" customWidth="1"/>
    <col min="18" max="16384" width="9.140625" style="1"/>
  </cols>
  <sheetData>
    <row r="2" spans="1:11" ht="20.25" x14ac:dyDescent="0.3">
      <c r="D2" s="224" t="s">
        <v>225</v>
      </c>
      <c r="E2" s="221"/>
      <c r="K2" s="41"/>
    </row>
    <row r="3" spans="1:11" ht="20.25" x14ac:dyDescent="0.3">
      <c r="D3" s="224" t="s">
        <v>295</v>
      </c>
      <c r="E3" s="221"/>
      <c r="K3" s="41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</row>
    <row r="7" spans="1:11" ht="15" x14ac:dyDescent="0.2">
      <c r="A7" s="812" t="s">
        <v>368</v>
      </c>
      <c r="B7" s="812"/>
      <c r="C7" s="812"/>
      <c r="D7" s="812"/>
      <c r="E7" s="812"/>
      <c r="F7" s="812"/>
      <c r="G7" s="812"/>
      <c r="H7" s="812"/>
      <c r="I7" s="812"/>
    </row>
    <row r="8" spans="1:11" x14ac:dyDescent="0.2">
      <c r="D8" s="17"/>
      <c r="E8" s="17"/>
      <c r="F8" s="17"/>
      <c r="G8" s="10"/>
      <c r="H8" s="10"/>
      <c r="I8" s="10"/>
    </row>
    <row r="9" spans="1:11" x14ac:dyDescent="0.2">
      <c r="A9" s="1" t="s">
        <v>369</v>
      </c>
      <c r="D9" s="17"/>
      <c r="E9" s="17"/>
      <c r="F9" s="17"/>
      <c r="G9" s="10"/>
      <c r="H9" s="10"/>
      <c r="I9" s="10"/>
    </row>
    <row r="10" spans="1:11" ht="8.25" customHeight="1" x14ac:dyDescent="0.2">
      <c r="D10" s="17"/>
      <c r="E10" s="17"/>
      <c r="F10" s="17"/>
      <c r="G10" s="10"/>
      <c r="H10" s="10"/>
      <c r="I10" s="10"/>
    </row>
    <row r="11" spans="1:11" ht="16.5" customHeight="1" x14ac:dyDescent="0.2">
      <c r="A11" s="1" t="s">
        <v>278</v>
      </c>
      <c r="D11" s="17" t="s">
        <v>227</v>
      </c>
      <c r="E11" s="17" t="e">
        <f>'Surat Tugas'!C25</f>
        <v>#N/A</v>
      </c>
      <c r="F11" s="17"/>
      <c r="G11" s="10"/>
      <c r="H11" s="10"/>
      <c r="I11" s="10"/>
    </row>
    <row r="12" spans="1:11" ht="16.5" customHeight="1" x14ac:dyDescent="0.2">
      <c r="A12" s="1" t="s">
        <v>173</v>
      </c>
      <c r="D12" s="17" t="s">
        <v>227</v>
      </c>
      <c r="E12" s="864" t="e">
        <f>D!I11</f>
        <v>#N/A</v>
      </c>
      <c r="F12" s="864"/>
      <c r="G12" s="864"/>
      <c r="H12" s="10"/>
      <c r="I12" s="10"/>
    </row>
    <row r="13" spans="1:11" ht="27" customHeight="1" x14ac:dyDescent="0.2">
      <c r="A13" s="1" t="s">
        <v>43</v>
      </c>
      <c r="D13" s="17" t="s">
        <v>227</v>
      </c>
      <c r="E13" s="857" t="e">
        <f>D!E13</f>
        <v>#N/A</v>
      </c>
      <c r="F13" s="857"/>
      <c r="G13" s="857"/>
      <c r="H13" s="857"/>
      <c r="I13" s="857"/>
    </row>
    <row r="14" spans="1:11" ht="6" customHeight="1" x14ac:dyDescent="0.2">
      <c r="D14" s="17"/>
      <c r="E14" s="17"/>
      <c r="F14" s="17"/>
      <c r="G14" s="10"/>
      <c r="H14" s="10"/>
      <c r="I14" s="10"/>
    </row>
    <row r="15" spans="1:11" ht="28.5" customHeight="1" x14ac:dyDescent="0.2">
      <c r="A15" s="848" t="str">
        <f>"berdasarkan Surat Perjalanan Dinas (SPD) Nomor " &amp;D!I5 &amp;Lamp!E4&amp;" Tanggal "&amp;Lamp!D5&amp;", dengan ini kami menyatakan dengan sesungguhnya bahwa:"</f>
        <v>berdasarkan Surat Perjalanan Dinas (SPD) Nomor /SPD/2021 Tanggal 0, dengan ini kami menyatakan dengan sesungguhnya bahwa:</v>
      </c>
      <c r="B15" s="848"/>
      <c r="C15" s="848"/>
      <c r="D15" s="848"/>
      <c r="E15" s="848"/>
      <c r="F15" s="848"/>
      <c r="G15" s="848"/>
      <c r="H15" s="848"/>
      <c r="I15" s="848"/>
    </row>
    <row r="16" spans="1:11" x14ac:dyDescent="0.2">
      <c r="D16" s="17"/>
      <c r="E16" s="17"/>
      <c r="F16" s="17"/>
      <c r="G16" s="10"/>
      <c r="H16" s="10"/>
      <c r="I16" s="10"/>
    </row>
    <row r="17" spans="1:18" ht="29.25" customHeight="1" x14ac:dyDescent="0.2">
      <c r="A17" s="9" t="s">
        <v>232</v>
      </c>
      <c r="B17" s="849" t="s">
        <v>466</v>
      </c>
      <c r="C17" s="847"/>
      <c r="D17" s="847"/>
      <c r="E17" s="847"/>
      <c r="F17" s="847"/>
      <c r="G17" s="847"/>
      <c r="H17" s="847"/>
      <c r="I17" s="847"/>
    </row>
    <row r="18" spans="1:18" x14ac:dyDescent="0.2">
      <c r="K18" s="391"/>
      <c r="L18" s="392"/>
      <c r="M18" s="392"/>
      <c r="N18" s="392"/>
      <c r="O18" s="392"/>
      <c r="P18" s="392"/>
      <c r="Q18" s="392"/>
      <c r="R18" s="2"/>
    </row>
    <row r="19" spans="1:18" ht="12" customHeight="1" x14ac:dyDescent="0.2">
      <c r="B19" s="656" t="s">
        <v>40</v>
      </c>
      <c r="C19" s="850" t="s">
        <v>370</v>
      </c>
      <c r="D19" s="851"/>
      <c r="E19" s="851"/>
      <c r="F19" s="851"/>
      <c r="G19" s="852"/>
      <c r="H19" s="813" t="s">
        <v>30</v>
      </c>
      <c r="I19" s="856"/>
      <c r="K19" s="392"/>
      <c r="L19" s="392"/>
      <c r="M19" s="392"/>
      <c r="N19" s="392"/>
      <c r="O19" s="392"/>
      <c r="P19" s="392"/>
      <c r="Q19" s="392"/>
      <c r="R19" s="2"/>
    </row>
    <row r="20" spans="1:18" ht="24.75" customHeight="1" x14ac:dyDescent="0.2">
      <c r="B20" s="656"/>
      <c r="C20" s="853"/>
      <c r="D20" s="854"/>
      <c r="E20" s="854"/>
      <c r="F20" s="854"/>
      <c r="G20" s="855"/>
      <c r="H20" s="814"/>
      <c r="I20" s="856"/>
      <c r="K20" s="393"/>
      <c r="L20" s="394"/>
      <c r="M20" s="36"/>
      <c r="N20" s="36"/>
      <c r="O20" s="36"/>
      <c r="P20" s="36"/>
      <c r="Q20" s="5"/>
      <c r="R20" s="251"/>
    </row>
    <row r="21" spans="1:18" s="2" customFormat="1" ht="12.75" customHeight="1" x14ac:dyDescent="0.2">
      <c r="B21" s="3">
        <v>-1</v>
      </c>
      <c r="C21" s="815">
        <v>-2</v>
      </c>
      <c r="D21" s="865"/>
      <c r="E21" s="865"/>
      <c r="F21" s="865"/>
      <c r="G21" s="866"/>
      <c r="H21" s="508">
        <v>-3</v>
      </c>
      <c r="I21" s="42"/>
      <c r="J21" s="296"/>
      <c r="K21" s="393"/>
      <c r="L21" s="394"/>
      <c r="M21" s="36"/>
      <c r="N21" s="36"/>
      <c r="O21" s="36"/>
      <c r="P21" s="36"/>
      <c r="Q21" s="395"/>
      <c r="R21" s="251"/>
    </row>
    <row r="22" spans="1:18" s="2" customFormat="1" ht="17.25" customHeight="1" x14ac:dyDescent="0.2">
      <c r="B22" s="12"/>
      <c r="C22" s="4"/>
      <c r="D22" s="4"/>
      <c r="E22" s="4"/>
      <c r="F22" s="4"/>
      <c r="G22" s="4"/>
      <c r="H22" s="12"/>
      <c r="I22" s="42"/>
      <c r="J22" s="296"/>
      <c r="K22" s="393"/>
      <c r="L22" s="845"/>
      <c r="M22" s="845"/>
      <c r="N22" s="845"/>
      <c r="O22" s="845"/>
      <c r="P22" s="845"/>
      <c r="Q22" s="395"/>
      <c r="R22" s="301"/>
    </row>
    <row r="23" spans="1:18" s="251" customFormat="1" ht="20.25" customHeight="1" x14ac:dyDescent="0.2">
      <c r="B23" s="540">
        <v>1</v>
      </c>
      <c r="C23" s="858" t="str">
        <f>Lamp!B11</f>
        <v>Transport PP</v>
      </c>
      <c r="D23" s="859"/>
      <c r="E23" s="859"/>
      <c r="F23" s="859"/>
      <c r="G23" s="860"/>
      <c r="H23" s="546">
        <f>Lamp!G11</f>
        <v>0</v>
      </c>
      <c r="I23" s="639"/>
      <c r="J23" s="253"/>
      <c r="K23" s="393"/>
      <c r="L23" s="845"/>
      <c r="M23" s="845"/>
      <c r="N23" s="845"/>
      <c r="O23" s="845"/>
      <c r="P23" s="845"/>
      <c r="Q23" s="395"/>
      <c r="R23" s="301"/>
    </row>
    <row r="24" spans="1:18" s="251" customFormat="1" ht="20.25" customHeight="1" x14ac:dyDescent="0.2">
      <c r="B24" s="540"/>
      <c r="C24" s="870" t="str">
        <f>"dari "&amp;D!E18&amp;" ke " &amp;D!E19 &amp;" PP"</f>
        <v>dari Mamuju ke 0 PP</v>
      </c>
      <c r="D24" s="871"/>
      <c r="E24" s="871"/>
      <c r="F24" s="871"/>
      <c r="G24" s="872"/>
      <c r="H24" s="546"/>
      <c r="I24" s="639"/>
      <c r="J24" s="253"/>
      <c r="K24" s="396"/>
      <c r="L24" s="396"/>
      <c r="M24" s="396"/>
      <c r="N24" s="396"/>
      <c r="O24" s="396"/>
      <c r="P24" s="396"/>
      <c r="Q24" s="396"/>
      <c r="R24" s="298"/>
    </row>
    <row r="25" spans="1:18" s="301" customFormat="1" ht="7.5" customHeight="1" x14ac:dyDescent="0.2">
      <c r="B25" s="302">
        <v>2</v>
      </c>
      <c r="C25" s="524"/>
      <c r="D25" s="525"/>
      <c r="E25" s="525"/>
      <c r="F25" s="525"/>
      <c r="G25" s="526"/>
      <c r="H25" s="303"/>
      <c r="I25" s="304"/>
      <c r="J25" s="305"/>
      <c r="K25" s="397"/>
      <c r="L25" s="845"/>
      <c r="M25" s="845"/>
      <c r="N25" s="845"/>
      <c r="O25" s="845"/>
      <c r="P25" s="845"/>
      <c r="Q25" s="398"/>
      <c r="R25" s="298"/>
    </row>
    <row r="26" spans="1:18" s="298" customFormat="1" ht="20.25" customHeight="1" x14ac:dyDescent="0.2">
      <c r="A26" s="301"/>
      <c r="B26" s="302">
        <v>2</v>
      </c>
      <c r="C26" s="867" t="s">
        <v>335</v>
      </c>
      <c r="D26" s="868"/>
      <c r="E26" s="868"/>
      <c r="F26" s="868"/>
      <c r="G26" s="869"/>
      <c r="H26" s="533"/>
      <c r="I26" s="299"/>
      <c r="J26" s="300"/>
      <c r="K26" s="397">
        <f>Lamp!G12</f>
        <v>0</v>
      </c>
      <c r="L26" s="845"/>
      <c r="M26" s="845"/>
      <c r="N26" s="845"/>
      <c r="O26" s="845"/>
      <c r="P26" s="845"/>
      <c r="Q26" s="398"/>
      <c r="R26" s="251"/>
    </row>
    <row r="27" spans="1:18" s="298" customFormat="1" ht="20.25" customHeight="1" x14ac:dyDescent="0.2">
      <c r="A27" s="301"/>
      <c r="B27" s="302"/>
      <c r="C27" s="861" t="s">
        <v>338</v>
      </c>
      <c r="D27" s="862"/>
      <c r="E27" s="862"/>
      <c r="F27" s="862"/>
      <c r="G27" s="863"/>
      <c r="H27" s="533"/>
      <c r="I27" s="299"/>
      <c r="J27" s="300"/>
      <c r="K27" s="532"/>
      <c r="L27" s="5"/>
      <c r="M27" s="5"/>
      <c r="N27" s="5"/>
      <c r="O27" s="5"/>
      <c r="P27" s="5"/>
      <c r="Q27" s="5"/>
      <c r="R27" s="1"/>
    </row>
    <row r="28" spans="1:18" s="298" customFormat="1" ht="15.95" customHeight="1" x14ac:dyDescent="0.2">
      <c r="B28" s="537"/>
      <c r="C28" s="538"/>
      <c r="D28" s="539"/>
      <c r="E28" s="539"/>
      <c r="F28" s="539"/>
      <c r="G28" s="539"/>
      <c r="H28" s="533"/>
      <c r="I28" s="299"/>
      <c r="J28" s="300"/>
      <c r="K28" s="397"/>
      <c r="L28" s="845"/>
      <c r="M28" s="845"/>
      <c r="N28" s="845"/>
      <c r="O28" s="845"/>
      <c r="P28" s="845"/>
      <c r="Q28" s="398"/>
      <c r="R28" s="1"/>
    </row>
    <row r="29" spans="1:18" ht="15.95" customHeight="1" x14ac:dyDescent="0.2">
      <c r="B29" s="540"/>
      <c r="C29" s="541"/>
      <c r="D29" s="542"/>
      <c r="E29" s="542"/>
      <c r="F29" s="542"/>
      <c r="G29" s="542"/>
      <c r="H29" s="546"/>
      <c r="I29" s="226"/>
      <c r="K29" s="397"/>
      <c r="L29" s="845"/>
      <c r="M29" s="845"/>
      <c r="N29" s="845"/>
      <c r="O29" s="845"/>
      <c r="P29" s="845"/>
      <c r="Q29" s="398"/>
    </row>
    <row r="30" spans="1:18" ht="15.95" customHeight="1" x14ac:dyDescent="0.2">
      <c r="B30" s="34"/>
      <c r="C30" s="35"/>
      <c r="D30" s="36"/>
      <c r="E30" s="36"/>
      <c r="F30" s="36"/>
      <c r="G30" s="36"/>
      <c r="H30" s="225"/>
      <c r="I30" s="226"/>
      <c r="K30" s="399"/>
      <c r="L30" s="396"/>
      <c r="M30" s="396"/>
      <c r="N30" s="396"/>
      <c r="O30" s="396"/>
      <c r="P30" s="396"/>
      <c r="Q30" s="400"/>
    </row>
    <row r="31" spans="1:18" ht="15.95" customHeight="1" x14ac:dyDescent="0.2">
      <c r="B31" s="34"/>
      <c r="C31" s="35"/>
      <c r="D31" s="36"/>
      <c r="E31" s="36"/>
      <c r="F31" s="36"/>
      <c r="G31" s="36"/>
      <c r="H31" s="225"/>
      <c r="I31" s="226"/>
      <c r="K31" s="399"/>
      <c r="L31" s="845"/>
      <c r="M31" s="845"/>
      <c r="N31" s="845"/>
      <c r="O31" s="845"/>
      <c r="P31" s="845"/>
      <c r="Q31" s="401"/>
    </row>
    <row r="32" spans="1:18" ht="3.75" customHeight="1" x14ac:dyDescent="0.2">
      <c r="B32" s="514"/>
      <c r="C32" s="43"/>
      <c r="D32" s="44"/>
      <c r="E32" s="44"/>
      <c r="F32" s="44"/>
      <c r="G32" s="44"/>
      <c r="H32" s="227"/>
      <c r="I32" s="226"/>
    </row>
    <row r="33" spans="1:15" ht="15.95" customHeight="1" x14ac:dyDescent="0.2">
      <c r="B33" s="21"/>
      <c r="C33" s="22" t="s">
        <v>332</v>
      </c>
      <c r="D33" s="5"/>
      <c r="E33" s="5"/>
      <c r="F33" s="5"/>
      <c r="G33" s="5"/>
      <c r="H33" s="228">
        <f>SUM(H23:H29)</f>
        <v>0</v>
      </c>
      <c r="I33" s="226"/>
    </row>
    <row r="34" spans="1:15" ht="3.75" customHeight="1" x14ac:dyDescent="0.2">
      <c r="B34" s="23"/>
      <c r="C34" s="6"/>
      <c r="D34" s="7"/>
      <c r="E34" s="7"/>
      <c r="F34" s="7"/>
      <c r="G34" s="8"/>
      <c r="H34" s="13"/>
      <c r="I34" s="45"/>
    </row>
    <row r="36" spans="1:15" ht="42.75" customHeight="1" x14ac:dyDescent="0.2">
      <c r="A36" s="9" t="s">
        <v>235</v>
      </c>
      <c r="B36" s="846" t="s">
        <v>475</v>
      </c>
      <c r="C36" s="847"/>
      <c r="D36" s="847"/>
      <c r="E36" s="847"/>
      <c r="F36" s="847"/>
      <c r="G36" s="847"/>
      <c r="H36" s="847"/>
      <c r="I36" s="847"/>
    </row>
    <row r="38" spans="1:15" x14ac:dyDescent="0.2">
      <c r="C38" s="1" t="s">
        <v>371</v>
      </c>
    </row>
    <row r="39" spans="1:15" x14ac:dyDescent="0.2">
      <c r="K39" s="251"/>
      <c r="M39" s="252"/>
      <c r="N39" s="253"/>
      <c r="O39" s="252"/>
    </row>
    <row r="40" spans="1:15" x14ac:dyDescent="0.2">
      <c r="A40" s="15"/>
      <c r="B40" s="15"/>
      <c r="D40" s="15"/>
      <c r="E40" s="15"/>
      <c r="F40" s="15"/>
      <c r="G40" s="15"/>
      <c r="K40" s="251"/>
      <c r="M40" s="252"/>
      <c r="N40" s="253"/>
    </row>
    <row r="41" spans="1:15" x14ac:dyDescent="0.2">
      <c r="A41" s="15"/>
      <c r="B41" s="824" t="s">
        <v>372</v>
      </c>
      <c r="C41" s="824"/>
      <c r="D41" s="824"/>
      <c r="E41" s="824"/>
      <c r="F41" s="824"/>
      <c r="G41" s="15"/>
      <c r="H41" s="351" t="str">
        <f>Lamp!H22</f>
        <v xml:space="preserve">Mamuju, </v>
      </c>
      <c r="I41" s="229"/>
      <c r="K41" s="251"/>
      <c r="M41" s="252"/>
      <c r="N41" s="253"/>
    </row>
    <row r="42" spans="1:15" x14ac:dyDescent="0.2">
      <c r="A42" s="15"/>
      <c r="B42" s="824" t="str">
        <f>D!F39</f>
        <v>Pejabat Pembuat Komitmen</v>
      </c>
      <c r="C42" s="824"/>
      <c r="D42" s="824"/>
      <c r="E42" s="824"/>
      <c r="F42" s="824"/>
      <c r="G42" s="15"/>
      <c r="H42" s="15"/>
      <c r="I42" s="15"/>
      <c r="K42" s="251"/>
      <c r="M42" s="252"/>
      <c r="N42" s="253"/>
      <c r="O42" s="252"/>
    </row>
    <row r="43" spans="1:15" x14ac:dyDescent="0.2">
      <c r="A43" s="15"/>
      <c r="C43" s="515"/>
      <c r="D43" s="15"/>
      <c r="E43" s="15"/>
      <c r="F43" s="15"/>
      <c r="G43" s="15"/>
      <c r="H43" s="248" t="s">
        <v>373</v>
      </c>
      <c r="I43" s="15"/>
      <c r="M43" s="252"/>
      <c r="N43" s="252"/>
    </row>
    <row r="44" spans="1:15" x14ac:dyDescent="0.2">
      <c r="A44" s="15"/>
      <c r="C44" s="16"/>
      <c r="D44" s="15"/>
      <c r="E44" s="15"/>
      <c r="F44" s="15"/>
      <c r="G44" s="15"/>
      <c r="H44" s="15"/>
      <c r="I44" s="15"/>
    </row>
    <row r="45" spans="1:15" x14ac:dyDescent="0.2">
      <c r="A45" s="15"/>
      <c r="C45" s="16"/>
      <c r="D45" s="15"/>
      <c r="E45" s="15"/>
      <c r="F45" s="15"/>
      <c r="G45" s="15"/>
      <c r="H45" s="15"/>
      <c r="I45" s="15"/>
    </row>
    <row r="46" spans="1:15" x14ac:dyDescent="0.2">
      <c r="H46" s="15"/>
      <c r="I46" s="15"/>
      <c r="O46" s="252"/>
    </row>
    <row r="47" spans="1:15" x14ac:dyDescent="0.2">
      <c r="H47" s="15"/>
      <c r="I47" s="15"/>
    </row>
    <row r="48" spans="1:15" x14ac:dyDescent="0.2">
      <c r="B48" s="823" t="str">
        <f>D!F42</f>
        <v>Prayitno, S.ST.</v>
      </c>
      <c r="C48" s="823"/>
      <c r="D48" s="823"/>
      <c r="E48" s="823"/>
      <c r="F48" s="823"/>
      <c r="G48" s="535"/>
      <c r="H48" s="823" t="e">
        <f>E11</f>
        <v>#N/A</v>
      </c>
      <c r="I48" s="823"/>
    </row>
    <row r="49" spans="2:11" x14ac:dyDescent="0.2">
      <c r="B49" s="844" t="str">
        <f>D!F43</f>
        <v>NIP. 19681210 199112 1 001</v>
      </c>
      <c r="C49" s="844"/>
      <c r="D49" s="844"/>
      <c r="E49" s="844"/>
      <c r="F49" s="844"/>
      <c r="H49" s="287" t="e">
        <f>"NIP. "&amp;E12</f>
        <v>#N/A</v>
      </c>
      <c r="I49" s="15"/>
    </row>
    <row r="56" spans="2:11" x14ac:dyDescent="0.2">
      <c r="K56" s="256"/>
    </row>
    <row r="57" spans="2:11" x14ac:dyDescent="0.2">
      <c r="K57" s="256"/>
    </row>
    <row r="58" spans="2:11" x14ac:dyDescent="0.2">
      <c r="K58" s="256"/>
    </row>
    <row r="59" spans="2:11" x14ac:dyDescent="0.2">
      <c r="K59" s="256"/>
    </row>
    <row r="60" spans="2:11" x14ac:dyDescent="0.2">
      <c r="K60" s="256"/>
    </row>
    <row r="61" spans="2:11" x14ac:dyDescent="0.2">
      <c r="K61" s="256"/>
    </row>
    <row r="62" spans="2:11" x14ac:dyDescent="0.2">
      <c r="K62" s="256"/>
    </row>
    <row r="64" spans="2:11" x14ac:dyDescent="0.2">
      <c r="K64" s="256"/>
    </row>
    <row r="65" spans="11:11" x14ac:dyDescent="0.2">
      <c r="K65" s="256"/>
    </row>
    <row r="66" spans="11:11" x14ac:dyDescent="0.2">
      <c r="K66" s="256"/>
    </row>
    <row r="67" spans="11:11" x14ac:dyDescent="0.2">
      <c r="K67" s="256"/>
    </row>
    <row r="68" spans="11:11" x14ac:dyDescent="0.2">
      <c r="K68" s="256"/>
    </row>
  </sheetData>
  <mergeCells count="27">
    <mergeCell ref="C23:G23"/>
    <mergeCell ref="C27:G27"/>
    <mergeCell ref="L29:P29"/>
    <mergeCell ref="E12:G12"/>
    <mergeCell ref="C21:G21"/>
    <mergeCell ref="C26:G26"/>
    <mergeCell ref="L22:P22"/>
    <mergeCell ref="L23:P23"/>
    <mergeCell ref="L25:P25"/>
    <mergeCell ref="L26:P26"/>
    <mergeCell ref="L28:P28"/>
    <mergeCell ref="C24:G24"/>
    <mergeCell ref="A7:I7"/>
    <mergeCell ref="A15:I15"/>
    <mergeCell ref="B17:I17"/>
    <mergeCell ref="C19:G20"/>
    <mergeCell ref="B19:B20"/>
    <mergeCell ref="I19:I20"/>
    <mergeCell ref="H19:H20"/>
    <mergeCell ref="E13:I13"/>
    <mergeCell ref="B41:F41"/>
    <mergeCell ref="B42:F42"/>
    <mergeCell ref="B48:F48"/>
    <mergeCell ref="B49:F49"/>
    <mergeCell ref="L31:P31"/>
    <mergeCell ref="B36:I36"/>
    <mergeCell ref="H48:I48"/>
  </mergeCells>
  <phoneticPr fontId="0" type="noConversion"/>
  <printOptions horizontalCentered="1"/>
  <pageMargins left="0.27559055118110237" right="0.23622047244094491" top="0.59055118110236227" bottom="0.59055118110236227" header="0.51181102362204722" footer="0.51181102362204722"/>
  <pageSetup paperSize="9" scale="94" pageOrder="overThenDown" orientation="portrait" horizontalDpi="360" verticalDpi="36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J48"/>
  <sheetViews>
    <sheetView topLeftCell="A19" zoomScaleNormal="100" workbookViewId="0">
      <selection activeCell="F12" sqref="F12"/>
    </sheetView>
  </sheetViews>
  <sheetFormatPr defaultColWidth="9.140625" defaultRowHeight="12.75" x14ac:dyDescent="0.2"/>
  <cols>
    <col min="1" max="1" width="3" style="1" customWidth="1"/>
    <col min="2" max="2" width="17.7109375" style="1" customWidth="1"/>
    <col min="3" max="3" width="1.7109375" style="1" customWidth="1"/>
    <col min="4" max="4" width="4.140625" style="1" customWidth="1"/>
    <col min="5" max="5" width="2.5703125" style="1" customWidth="1"/>
    <col min="6" max="6" width="18.140625" style="1" customWidth="1"/>
    <col min="7" max="7" width="19" style="1" customWidth="1"/>
    <col min="8" max="8" width="33.85546875" style="1" customWidth="1"/>
    <col min="9" max="9" width="9.140625" style="1"/>
    <col min="10" max="10" width="14.42578125" style="1" bestFit="1" customWidth="1"/>
    <col min="11" max="11" width="9.140625" style="1"/>
    <col min="12" max="12" width="10.28515625" style="1" bestFit="1" customWidth="1"/>
    <col min="13" max="16384" width="9.140625" style="1"/>
  </cols>
  <sheetData>
    <row r="2" spans="1:8" ht="15" x14ac:dyDescent="0.2">
      <c r="A2" s="812" t="s">
        <v>329</v>
      </c>
      <c r="B2" s="812"/>
      <c r="C2" s="812"/>
      <c r="D2" s="812"/>
      <c r="E2" s="812"/>
      <c r="F2" s="812"/>
      <c r="G2" s="812"/>
      <c r="H2" s="812"/>
    </row>
    <row r="3" spans="1:8" x14ac:dyDescent="0.2">
      <c r="C3" s="17"/>
      <c r="D3" s="17"/>
      <c r="E3" s="17"/>
      <c r="F3" s="10"/>
      <c r="G3" s="10"/>
      <c r="H3" s="10"/>
    </row>
    <row r="4" spans="1:8" x14ac:dyDescent="0.2">
      <c r="A4" s="1" t="s">
        <v>374</v>
      </c>
      <c r="C4" s="18" t="s">
        <v>227</v>
      </c>
      <c r="D4" s="218" t="str">
        <f>""&amp;D!L2&amp;D!J5</f>
        <v>1</v>
      </c>
      <c r="E4" s="11"/>
      <c r="G4" s="11"/>
      <c r="H4" s="11"/>
    </row>
    <row r="5" spans="1:8" x14ac:dyDescent="0.2">
      <c r="A5" s="1" t="s">
        <v>274</v>
      </c>
      <c r="C5" s="1" t="s">
        <v>227</v>
      </c>
      <c r="D5" s="219">
        <f>D!I37</f>
        <v>0</v>
      </c>
      <c r="E5" s="29"/>
    </row>
    <row r="7" spans="1:8" ht="24.75" customHeight="1" x14ac:dyDescent="0.2">
      <c r="A7" s="656" t="s">
        <v>40</v>
      </c>
      <c r="B7" s="656" t="s">
        <v>331</v>
      </c>
      <c r="C7" s="656"/>
      <c r="D7" s="656"/>
      <c r="E7" s="656"/>
      <c r="F7" s="656"/>
      <c r="G7" s="813" t="s">
        <v>332</v>
      </c>
      <c r="H7" s="813" t="s">
        <v>333</v>
      </c>
    </row>
    <row r="8" spans="1:8" ht="24.75" customHeight="1" x14ac:dyDescent="0.2">
      <c r="A8" s="656"/>
      <c r="B8" s="656"/>
      <c r="C8" s="656"/>
      <c r="D8" s="656"/>
      <c r="E8" s="656"/>
      <c r="F8" s="656"/>
      <c r="G8" s="814"/>
      <c r="H8" s="814"/>
    </row>
    <row r="9" spans="1:8" s="2" customFormat="1" ht="12.75" customHeight="1" x14ac:dyDescent="0.2">
      <c r="A9" s="3">
        <v>-1</v>
      </c>
      <c r="B9" s="815">
        <v>-2</v>
      </c>
      <c r="C9" s="816"/>
      <c r="D9" s="816"/>
      <c r="E9" s="816"/>
      <c r="F9" s="817"/>
      <c r="G9" s="508">
        <v>-3</v>
      </c>
      <c r="H9" s="3">
        <v>-5</v>
      </c>
    </row>
    <row r="10" spans="1:8" s="2" customFormat="1" ht="8.25" customHeight="1" x14ac:dyDescent="0.2">
      <c r="A10" s="12"/>
      <c r="B10" s="4"/>
      <c r="C10" s="4"/>
      <c r="D10" s="4"/>
      <c r="E10" s="4"/>
      <c r="F10" s="4"/>
      <c r="G10" s="12"/>
      <c r="H10" s="12"/>
    </row>
    <row r="11" spans="1:8" ht="23.25" customHeight="1" x14ac:dyDescent="0.2">
      <c r="A11" s="30">
        <v>1</v>
      </c>
      <c r="B11" s="31" t="s">
        <v>375</v>
      </c>
      <c r="C11" s="32"/>
      <c r="D11" s="32"/>
      <c r="E11" s="32"/>
      <c r="F11" s="32"/>
      <c r="G11" s="33">
        <f>800000+1806400</f>
        <v>2606400</v>
      </c>
      <c r="H11" s="519" t="s">
        <v>334</v>
      </c>
    </row>
    <row r="12" spans="1:8" ht="15.75" customHeight="1" x14ac:dyDescent="0.2">
      <c r="A12" s="34">
        <v>2</v>
      </c>
      <c r="B12" s="125" t="s">
        <v>376</v>
      </c>
      <c r="C12" s="36" t="e">
        <f>VALUE(LEFT(VLOOKUP(D!$L$2,'Data SPD'!$A$3:$AI$4,12),1))-1</f>
        <v>#VALUE!</v>
      </c>
      <c r="D12" s="36" t="s">
        <v>336</v>
      </c>
      <c r="E12" s="36" t="s">
        <v>337</v>
      </c>
      <c r="F12" s="87">
        <f>VLOOKUP(D!$L$2,'Data SPD'!$A$3:$AI$4,24)</f>
        <v>0</v>
      </c>
      <c r="G12" s="37" t="e">
        <f>C12*F12</f>
        <v>#VALUE!</v>
      </c>
      <c r="H12" s="20"/>
    </row>
    <row r="13" spans="1:8" ht="15.75" customHeight="1" x14ac:dyDescent="0.2">
      <c r="A13" s="34">
        <v>3</v>
      </c>
      <c r="B13" s="35" t="s">
        <v>339</v>
      </c>
      <c r="C13" s="36" t="e">
        <f>VALUE(LEFT(VLOOKUP(D!$L$2,'Data SPD'!$A$3:$AI$4,12),1))</f>
        <v>#VALUE!</v>
      </c>
      <c r="D13" s="36" t="s">
        <v>336</v>
      </c>
      <c r="E13" s="36" t="s">
        <v>337</v>
      </c>
      <c r="F13" s="87">
        <f>VLOOKUP(D!$L$2,'Data SPD'!$A$3:$AI$4,24)</f>
        <v>0</v>
      </c>
      <c r="G13" s="37" t="e">
        <f>C13*F13</f>
        <v>#VALUE!</v>
      </c>
      <c r="H13" s="20"/>
    </row>
    <row r="14" spans="1:8" ht="15.95" customHeight="1" x14ac:dyDescent="0.2">
      <c r="A14" s="34"/>
      <c r="B14" s="35"/>
      <c r="C14" s="36"/>
      <c r="D14" s="36"/>
      <c r="E14" s="36"/>
      <c r="F14" s="36"/>
      <c r="G14" s="37"/>
      <c r="H14" s="20"/>
    </row>
    <row r="15" spans="1:8" ht="15.95" customHeight="1" x14ac:dyDescent="0.2">
      <c r="A15" s="34"/>
      <c r="B15" s="35"/>
      <c r="C15" s="36"/>
      <c r="D15" s="36"/>
      <c r="E15" s="36"/>
      <c r="F15" s="36"/>
      <c r="G15" s="37"/>
      <c r="H15" s="20"/>
    </row>
    <row r="16" spans="1:8" ht="15.95" customHeight="1" x14ac:dyDescent="0.2">
      <c r="A16" s="34"/>
      <c r="B16" s="35"/>
      <c r="C16" s="36"/>
      <c r="D16" s="36"/>
      <c r="E16" s="36"/>
      <c r="F16" s="36"/>
      <c r="G16" s="37"/>
      <c r="H16" s="20"/>
    </row>
    <row r="17" spans="1:10" ht="15.95" customHeight="1" x14ac:dyDescent="0.2">
      <c r="A17" s="21"/>
      <c r="B17" s="22" t="s">
        <v>332</v>
      </c>
      <c r="C17" s="5"/>
      <c r="D17" s="5"/>
      <c r="E17" s="5"/>
      <c r="F17" s="5"/>
      <c r="G17" s="38" t="e">
        <f>SUM(G11:G16)</f>
        <v>#VALUE!</v>
      </c>
      <c r="H17" s="19"/>
      <c r="J17" s="220"/>
    </row>
    <row r="18" spans="1:10" ht="7.5" customHeight="1" x14ac:dyDescent="0.2">
      <c r="A18" s="23"/>
      <c r="B18" s="6"/>
      <c r="C18" s="7"/>
      <c r="D18" s="7"/>
      <c r="E18" s="7"/>
      <c r="F18" s="8"/>
      <c r="G18" s="13"/>
      <c r="H18" s="14"/>
    </row>
    <row r="19" spans="1:10" ht="24" customHeight="1" x14ac:dyDescent="0.2">
      <c r="A19" s="818" t="e">
        <f ca="1">"   Terbilang  :  "&amp;PROPER(TRIM(dghrf(G17)))</f>
        <v>#NAME?</v>
      </c>
      <c r="B19" s="873"/>
      <c r="C19" s="873"/>
      <c r="D19" s="873"/>
      <c r="E19" s="873"/>
      <c r="F19" s="873"/>
      <c r="G19" s="873"/>
      <c r="H19" s="874"/>
    </row>
    <row r="21" spans="1:10" x14ac:dyDescent="0.2">
      <c r="H21" s="509" t="str">
        <f>"Mamuju, "&amp;D5</f>
        <v>Mamuju, 0</v>
      </c>
    </row>
    <row r="23" spans="1:10" x14ac:dyDescent="0.2">
      <c r="A23" s="15"/>
      <c r="B23" s="1" t="s">
        <v>340</v>
      </c>
      <c r="C23" s="15"/>
      <c r="D23" s="15"/>
      <c r="E23" s="15"/>
      <c r="F23" s="15"/>
      <c r="H23" s="1" t="s">
        <v>341</v>
      </c>
    </row>
    <row r="24" spans="1:10" x14ac:dyDescent="0.2">
      <c r="A24" s="15"/>
      <c r="B24" s="39" t="e">
        <f>G17</f>
        <v>#VALUE!</v>
      </c>
      <c r="C24" s="15"/>
      <c r="D24" s="15"/>
      <c r="E24" s="15"/>
      <c r="F24" s="15"/>
      <c r="H24" s="39" t="e">
        <f>G17</f>
        <v>#VALUE!</v>
      </c>
    </row>
    <row r="25" spans="1:10" x14ac:dyDescent="0.2">
      <c r="A25" s="15"/>
      <c r="B25" s="15"/>
      <c r="C25" s="15"/>
      <c r="D25" s="15"/>
      <c r="E25" s="15"/>
      <c r="F25" s="15"/>
      <c r="H25" s="515"/>
    </row>
    <row r="26" spans="1:10" x14ac:dyDescent="0.2">
      <c r="A26" s="15"/>
      <c r="B26" s="515" t="s">
        <v>342</v>
      </c>
      <c r="C26" s="15"/>
      <c r="D26" s="15"/>
      <c r="E26" s="15"/>
      <c r="F26" s="15"/>
      <c r="H26" s="515" t="s">
        <v>343</v>
      </c>
    </row>
    <row r="27" spans="1:10" x14ac:dyDescent="0.2">
      <c r="A27" s="15"/>
      <c r="B27" s="515"/>
      <c r="C27" s="15"/>
      <c r="D27" s="15"/>
      <c r="E27" s="15"/>
      <c r="F27" s="15" t="s">
        <v>377</v>
      </c>
      <c r="H27" s="515"/>
    </row>
    <row r="28" spans="1:10" x14ac:dyDescent="0.2">
      <c r="B28" s="515"/>
      <c r="H28" s="515"/>
    </row>
    <row r="29" spans="1:10" x14ac:dyDescent="0.2">
      <c r="B29" s="515"/>
      <c r="H29" s="515"/>
    </row>
    <row r="30" spans="1:10" x14ac:dyDescent="0.2">
      <c r="B30" s="516" t="str">
        <f>IF(D!E31=581149,"Herawati","Sukaryo, SE")</f>
        <v>Sukaryo, SE</v>
      </c>
      <c r="H30" s="516" t="e">
        <f>D!D11</f>
        <v>#N/A</v>
      </c>
    </row>
    <row r="31" spans="1:10" x14ac:dyDescent="0.2">
      <c r="A31" s="15"/>
      <c r="B31" s="515" t="str">
        <f>IF(D!E31=581149,"NIP. 340018175","NIP. 19820709 200502 1 003")</f>
        <v>NIP. 19820709 200502 1 003</v>
      </c>
      <c r="C31" s="15"/>
      <c r="D31" s="15"/>
      <c r="E31" s="15"/>
      <c r="F31" s="15"/>
      <c r="H31" s="509" t="e">
        <f>"NIP.  "&amp;'Surat Tugas'!#REF!</f>
        <v>#REF!</v>
      </c>
    </row>
    <row r="32" spans="1:10" x14ac:dyDescent="0.2">
      <c r="A32" s="40"/>
      <c r="B32" s="7"/>
      <c r="C32" s="40"/>
      <c r="D32" s="40"/>
      <c r="E32" s="40"/>
      <c r="F32" s="40"/>
      <c r="G32" s="7"/>
      <c r="H32" s="7"/>
    </row>
    <row r="34" spans="1:8" ht="15" x14ac:dyDescent="0.2">
      <c r="A34" s="812" t="s">
        <v>378</v>
      </c>
      <c r="B34" s="812"/>
      <c r="C34" s="812"/>
      <c r="D34" s="812"/>
      <c r="E34" s="812"/>
      <c r="F34" s="812"/>
      <c r="G34" s="812"/>
      <c r="H34" s="812"/>
    </row>
    <row r="36" spans="1:8" ht="17.25" customHeight="1" x14ac:dyDescent="0.2">
      <c r="B36" s="1" t="s">
        <v>346</v>
      </c>
      <c r="E36" s="1" t="s">
        <v>227</v>
      </c>
      <c r="F36" s="39" t="e">
        <f>F37</f>
        <v>#VALUE!</v>
      </c>
    </row>
    <row r="37" spans="1:8" ht="17.25" customHeight="1" x14ac:dyDescent="0.2">
      <c r="B37" s="1" t="s">
        <v>347</v>
      </c>
      <c r="E37" s="1" t="s">
        <v>227</v>
      </c>
      <c r="F37" s="39" t="e">
        <f>G17</f>
        <v>#VALUE!</v>
      </c>
    </row>
    <row r="38" spans="1:8" ht="17.25" customHeight="1" x14ac:dyDescent="0.2">
      <c r="B38" s="1" t="s">
        <v>348</v>
      </c>
      <c r="E38" s="1" t="s">
        <v>227</v>
      </c>
      <c r="F38" s="39" t="e">
        <f>F37-F36</f>
        <v>#VALUE!</v>
      </c>
      <c r="H38" s="15"/>
    </row>
    <row r="39" spans="1:8" x14ac:dyDescent="0.2">
      <c r="H39" s="15"/>
    </row>
    <row r="40" spans="1:8" x14ac:dyDescent="0.2">
      <c r="H40" s="515" t="s">
        <v>379</v>
      </c>
    </row>
    <row r="41" spans="1:8" x14ac:dyDescent="0.2">
      <c r="H41" s="515" t="e">
        <f>#REF!</f>
        <v>#REF!</v>
      </c>
    </row>
    <row r="42" spans="1:8" x14ac:dyDescent="0.2">
      <c r="H42" s="515" t="e">
        <f>#REF!</f>
        <v>#REF!</v>
      </c>
    </row>
    <row r="43" spans="1:8" ht="36.75" customHeight="1" x14ac:dyDescent="0.2">
      <c r="H43" s="515"/>
    </row>
    <row r="44" spans="1:8" x14ac:dyDescent="0.2">
      <c r="H44" s="515"/>
    </row>
    <row r="45" spans="1:8" x14ac:dyDescent="0.2">
      <c r="H45" s="516" t="e">
        <f>#REF!</f>
        <v>#REF!</v>
      </c>
    </row>
    <row r="46" spans="1:8" x14ac:dyDescent="0.2">
      <c r="H46" s="515" t="e">
        <f>#REF!</f>
        <v>#REF!</v>
      </c>
    </row>
    <row r="47" spans="1:8" x14ac:dyDescent="0.2">
      <c r="H47" s="516"/>
    </row>
    <row r="48" spans="1:8" x14ac:dyDescent="0.2">
      <c r="H48" s="517"/>
    </row>
  </sheetData>
  <mergeCells count="8">
    <mergeCell ref="A19:H19"/>
    <mergeCell ref="A34:H34"/>
    <mergeCell ref="A2:H2"/>
    <mergeCell ref="A7:A8"/>
    <mergeCell ref="B7:F8"/>
    <mergeCell ref="G7:G8"/>
    <mergeCell ref="H7:H8"/>
    <mergeCell ref="B9:F9"/>
  </mergeCells>
  <printOptions horizontalCentered="1"/>
  <pageMargins left="0.25" right="0.39370078740157483" top="0.69" bottom="0.56000000000000005" header="0.51181102362204722" footer="0.51181102362204722"/>
  <pageSetup orientation="portrait" horizontalDpi="4294967294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R57"/>
  <sheetViews>
    <sheetView topLeftCell="A22" workbookViewId="0">
      <selection activeCell="A15" sqref="A15:I15"/>
    </sheetView>
  </sheetViews>
  <sheetFormatPr defaultColWidth="9.140625" defaultRowHeight="12.75" x14ac:dyDescent="0.2"/>
  <cols>
    <col min="1" max="1" width="9.140625" style="53"/>
    <col min="2" max="2" width="1.7109375" style="53" customWidth="1"/>
    <col min="3" max="3" width="6.5703125" style="53" customWidth="1"/>
    <col min="4" max="4" width="1.7109375" style="53" customWidth="1"/>
    <col min="5" max="5" width="2.42578125" style="53" customWidth="1"/>
    <col min="6" max="6" width="9.85546875" style="53" customWidth="1"/>
    <col min="7" max="7" width="14.7109375" style="53" customWidth="1"/>
    <col min="8" max="8" width="9.140625" style="53"/>
    <col min="9" max="9" width="3.28515625" style="53" customWidth="1"/>
    <col min="10" max="10" width="1.85546875" style="53" customWidth="1"/>
    <col min="11" max="11" width="9.5703125" style="53" customWidth="1"/>
    <col min="12" max="12" width="16.42578125" style="53" customWidth="1"/>
    <col min="13" max="13" width="2.5703125" style="53" customWidth="1"/>
    <col min="14" max="14" width="9.140625" style="53"/>
    <col min="15" max="15" width="15.5703125" style="53" customWidth="1"/>
    <col min="16" max="16" width="1.7109375" style="53" customWidth="1"/>
    <col min="17" max="17" width="9.140625" style="53"/>
    <col min="18" max="18" width="22.28515625" style="53" customWidth="1"/>
    <col min="19" max="16384" width="9.140625" style="53"/>
  </cols>
  <sheetData>
    <row r="1" spans="1:18" ht="14.25" customHeight="1" x14ac:dyDescent="0.2">
      <c r="A1" s="48"/>
      <c r="B1" s="49"/>
      <c r="C1" s="49"/>
      <c r="D1" s="49"/>
      <c r="E1" s="49"/>
      <c r="F1" s="49"/>
      <c r="G1" s="49"/>
      <c r="H1" s="49" t="s">
        <v>349</v>
      </c>
      <c r="I1" s="50"/>
      <c r="J1" s="49" t="s">
        <v>227</v>
      </c>
      <c r="K1" s="51">
        <v>2011</v>
      </c>
      <c r="L1" s="51"/>
      <c r="M1" s="52"/>
    </row>
    <row r="2" spans="1:18" x14ac:dyDescent="0.2">
      <c r="A2" s="54"/>
      <c r="B2" s="55"/>
      <c r="C2" s="55"/>
      <c r="D2" s="55"/>
      <c r="E2" s="55"/>
      <c r="F2" s="55"/>
      <c r="G2" s="55"/>
      <c r="H2" s="55" t="s">
        <v>350</v>
      </c>
      <c r="I2" s="56"/>
      <c r="J2" s="55" t="s">
        <v>227</v>
      </c>
      <c r="K2" s="57"/>
      <c r="L2" s="57"/>
      <c r="M2" s="58"/>
    </row>
    <row r="3" spans="1:18" x14ac:dyDescent="0.2">
      <c r="A3" s="54"/>
      <c r="B3" s="55"/>
      <c r="C3" s="55"/>
      <c r="D3" s="55"/>
      <c r="E3" s="55"/>
      <c r="F3" s="55"/>
      <c r="G3" s="55"/>
      <c r="H3" s="55" t="s">
        <v>380</v>
      </c>
      <c r="I3" s="56"/>
      <c r="J3" s="55" t="s">
        <v>227</v>
      </c>
      <c r="K3" s="875">
        <f>D!E31</f>
        <v>0</v>
      </c>
      <c r="L3" s="876"/>
      <c r="M3" s="877"/>
    </row>
    <row r="4" spans="1:18" x14ac:dyDescent="0.2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8"/>
      <c r="Q4" s="59"/>
    </row>
    <row r="5" spans="1:18" ht="15" x14ac:dyDescent="0.2">
      <c r="A5" s="831" t="s">
        <v>352</v>
      </c>
      <c r="B5" s="831"/>
      <c r="C5" s="831"/>
      <c r="D5" s="831"/>
      <c r="E5" s="831"/>
      <c r="F5" s="831"/>
      <c r="G5" s="831"/>
      <c r="H5" s="831"/>
      <c r="I5" s="831"/>
      <c r="J5" s="831"/>
      <c r="K5" s="831"/>
      <c r="L5" s="832"/>
      <c r="M5" s="833"/>
      <c r="Q5" s="60"/>
    </row>
    <row r="6" spans="1:18" x14ac:dyDescent="0.2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8"/>
      <c r="Q6" s="60"/>
    </row>
    <row r="7" spans="1:18" x14ac:dyDescent="0.2">
      <c r="A7" s="54" t="s">
        <v>353</v>
      </c>
      <c r="B7" s="55"/>
      <c r="C7" s="55"/>
      <c r="D7" s="55" t="s">
        <v>227</v>
      </c>
      <c r="E7" s="55" t="s">
        <v>354</v>
      </c>
      <c r="F7" s="55"/>
      <c r="G7" s="55"/>
      <c r="H7" s="55"/>
      <c r="I7" s="55"/>
      <c r="J7" s="55"/>
      <c r="K7" s="55"/>
      <c r="L7" s="55"/>
      <c r="M7" s="58"/>
      <c r="Q7" s="59"/>
    </row>
    <row r="8" spans="1:18" x14ac:dyDescent="0.2">
      <c r="A8" s="54"/>
      <c r="B8" s="55"/>
      <c r="C8" s="55"/>
      <c r="D8" s="55"/>
      <c r="E8" s="55" t="s">
        <v>355</v>
      </c>
      <c r="F8" s="55"/>
      <c r="G8" s="55"/>
      <c r="H8" s="55"/>
      <c r="I8" s="55"/>
      <c r="J8" s="55"/>
      <c r="K8" s="55"/>
      <c r="L8" s="55"/>
      <c r="M8" s="58"/>
      <c r="O8" s="230"/>
    </row>
    <row r="9" spans="1:18" x14ac:dyDescent="0.2">
      <c r="A9" s="54" t="s">
        <v>356</v>
      </c>
      <c r="B9" s="55"/>
      <c r="C9" s="55"/>
      <c r="D9" s="55" t="s">
        <v>227</v>
      </c>
      <c r="E9" s="834" t="e">
        <f>+'Lamp (2)'!G17</f>
        <v>#VALUE!</v>
      </c>
      <c r="F9" s="834"/>
      <c r="G9" s="834"/>
      <c r="H9" s="55"/>
      <c r="I9" s="55"/>
      <c r="J9" s="55"/>
      <c r="K9" s="55"/>
      <c r="L9" s="55"/>
      <c r="M9" s="58"/>
    </row>
    <row r="10" spans="1:18" x14ac:dyDescent="0.2">
      <c r="A10" s="54" t="s">
        <v>357</v>
      </c>
      <c r="B10" s="55"/>
      <c r="C10" s="55"/>
      <c r="D10" s="55" t="s">
        <v>227</v>
      </c>
      <c r="E10" s="835" t="e">
        <f ca="1">"***  "&amp;PROPER(TRIM(dghrf(E9)))&amp;"  ***"</f>
        <v>#NAME?</v>
      </c>
      <c r="F10" s="835"/>
      <c r="G10" s="835"/>
      <c r="H10" s="835"/>
      <c r="I10" s="835"/>
      <c r="J10" s="835"/>
      <c r="K10" s="835"/>
      <c r="L10" s="836"/>
      <c r="M10" s="837"/>
      <c r="R10" s="61" t="e">
        <f>E9</f>
        <v>#VALUE!</v>
      </c>
    </row>
    <row r="11" spans="1:18" ht="12.75" customHeight="1" x14ac:dyDescent="0.2">
      <c r="A11" s="54"/>
      <c r="B11" s="55"/>
      <c r="C11" s="55"/>
      <c r="D11" s="55"/>
      <c r="E11" s="835"/>
      <c r="F11" s="835"/>
      <c r="G11" s="835"/>
      <c r="H11" s="835"/>
      <c r="I11" s="835"/>
      <c r="J11" s="835"/>
      <c r="K11" s="835"/>
      <c r="L11" s="836"/>
      <c r="M11" s="837"/>
    </row>
    <row r="12" spans="1:18" ht="13.5" customHeight="1" x14ac:dyDescent="0.2">
      <c r="A12" s="54"/>
      <c r="B12" s="55"/>
      <c r="C12" s="55"/>
      <c r="D12" s="55"/>
      <c r="E12" s="511"/>
      <c r="F12" s="511"/>
      <c r="G12" s="511"/>
      <c r="H12" s="511"/>
      <c r="I12" s="511"/>
      <c r="J12" s="511"/>
      <c r="K12" s="511"/>
      <c r="L12" s="511"/>
      <c r="M12" s="512"/>
    </row>
    <row r="13" spans="1:18" ht="12.75" customHeight="1" x14ac:dyDescent="0.2">
      <c r="A13" s="54" t="s">
        <v>358</v>
      </c>
      <c r="B13" s="55"/>
      <c r="C13" s="55"/>
      <c r="D13" s="55" t="s">
        <v>227</v>
      </c>
      <c r="E13" s="838" t="e">
        <f>"Biaya Perjalanan "&amp;'Surat Tugas'!C27&amp;" selama "&amp;'Surat Tugas'!#REF!</f>
        <v>#REF!</v>
      </c>
      <c r="F13" s="838"/>
      <c r="G13" s="838"/>
      <c r="H13" s="838"/>
      <c r="I13" s="838"/>
      <c r="J13" s="838"/>
      <c r="K13" s="838"/>
      <c r="L13" s="838"/>
      <c r="M13" s="512"/>
    </row>
    <row r="14" spans="1:18" ht="13.5" customHeight="1" x14ac:dyDescent="0.2">
      <c r="A14" s="54"/>
      <c r="B14" s="55"/>
      <c r="C14" s="55"/>
      <c r="D14" s="55"/>
      <c r="E14" s="838"/>
      <c r="F14" s="838"/>
      <c r="G14" s="838"/>
      <c r="H14" s="838"/>
      <c r="I14" s="838"/>
      <c r="J14" s="838"/>
      <c r="K14" s="838"/>
      <c r="L14" s="838"/>
      <c r="M14" s="512"/>
      <c r="Q14" s="511"/>
    </row>
    <row r="15" spans="1:18" ht="14.25" customHeight="1" x14ac:dyDescent="0.2">
      <c r="A15" s="54"/>
      <c r="B15" s="55"/>
      <c r="C15" s="55"/>
      <c r="D15" s="55"/>
      <c r="E15" s="839"/>
      <c r="F15" s="839"/>
      <c r="G15" s="839"/>
      <c r="H15" s="839"/>
      <c r="I15" s="839"/>
      <c r="J15" s="839"/>
      <c r="K15" s="839"/>
      <c r="L15" s="839"/>
      <c r="M15" s="62"/>
      <c r="Q15" s="511"/>
    </row>
    <row r="16" spans="1:18" ht="14.25" customHeight="1" x14ac:dyDescent="0.2">
      <c r="A16" s="54"/>
      <c r="B16" s="55"/>
      <c r="C16" s="55"/>
      <c r="D16" s="55"/>
      <c r="E16" s="121" t="s">
        <v>181</v>
      </c>
      <c r="F16" s="513"/>
      <c r="H16" s="513" t="e">
        <f>":  "&amp;D!#REF!</f>
        <v>#REF!</v>
      </c>
      <c r="I16" s="513"/>
      <c r="J16" s="513"/>
      <c r="K16" s="513"/>
      <c r="L16" s="513"/>
      <c r="M16" s="62"/>
      <c r="Q16" s="511"/>
    </row>
    <row r="17" spans="1:17" ht="14.25" customHeight="1" x14ac:dyDescent="0.2">
      <c r="A17" s="54"/>
      <c r="B17" s="55"/>
      <c r="C17" s="55"/>
      <c r="D17" s="55"/>
      <c r="E17" s="513" t="s">
        <v>381</v>
      </c>
      <c r="F17" s="513"/>
      <c r="G17" s="513"/>
      <c r="H17" s="513" t="e">
        <f>":  "&amp;D!#REF!</f>
        <v>#REF!</v>
      </c>
      <c r="I17" s="513"/>
      <c r="J17" s="513"/>
      <c r="K17" s="513"/>
      <c r="L17" s="513"/>
      <c r="M17" s="62"/>
      <c r="Q17" s="511"/>
    </row>
    <row r="18" spans="1:17" ht="14.25" customHeight="1" x14ac:dyDescent="0.2">
      <c r="A18" s="54"/>
      <c r="B18" s="55"/>
      <c r="C18" s="55"/>
      <c r="D18" s="55"/>
      <c r="E18" s="513"/>
      <c r="F18" s="513"/>
      <c r="G18" s="513"/>
      <c r="H18" s="513"/>
      <c r="I18" s="513"/>
      <c r="J18" s="513"/>
      <c r="K18" s="513"/>
      <c r="L18" s="513"/>
      <c r="M18" s="62"/>
      <c r="Q18" s="511"/>
    </row>
    <row r="19" spans="1:17" ht="14.25" customHeight="1" x14ac:dyDescent="0.2">
      <c r="A19" s="54"/>
      <c r="B19" s="55"/>
      <c r="C19" s="55"/>
      <c r="D19" s="55"/>
      <c r="E19" s="513"/>
      <c r="F19" s="513"/>
      <c r="G19" s="513"/>
      <c r="H19" s="513"/>
      <c r="I19" s="513"/>
      <c r="J19" s="513"/>
      <c r="K19" s="513"/>
      <c r="L19" s="513"/>
      <c r="M19" s="62"/>
      <c r="Q19" s="511"/>
    </row>
    <row r="20" spans="1:17" ht="11.25" customHeight="1" x14ac:dyDescent="0.2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8"/>
    </row>
    <row r="21" spans="1:17" ht="11.25" customHeight="1" x14ac:dyDescent="0.2">
      <c r="A21" s="54"/>
      <c r="B21" s="55"/>
      <c r="C21" s="55"/>
      <c r="D21" s="55"/>
      <c r="E21" s="55"/>
      <c r="F21" s="55"/>
      <c r="G21" s="55"/>
      <c r="H21" s="55"/>
      <c r="J21" s="55"/>
      <c r="K21" s="55" t="str">
        <f>D!I36&amp;", "&amp;D!I37</f>
        <v>Mamuju, 0</v>
      </c>
      <c r="L21" s="55"/>
      <c r="M21" s="58"/>
    </row>
    <row r="22" spans="1:17" ht="11.25" customHeight="1" x14ac:dyDescent="0.2">
      <c r="A22" s="63"/>
      <c r="B22" s="55"/>
      <c r="C22" s="55"/>
      <c r="D22" s="55"/>
      <c r="E22" s="55"/>
      <c r="F22" s="55"/>
      <c r="G22" s="55"/>
      <c r="H22" s="55"/>
      <c r="J22" s="55"/>
      <c r="K22" s="55" t="s">
        <v>359</v>
      </c>
      <c r="L22" s="55"/>
      <c r="M22" s="58"/>
    </row>
    <row r="23" spans="1:17" ht="11.25" customHeight="1" x14ac:dyDescent="0.2">
      <c r="A23" s="63"/>
      <c r="B23" s="55"/>
      <c r="C23" s="55"/>
      <c r="D23" s="55"/>
      <c r="E23" s="55"/>
      <c r="F23" s="55"/>
      <c r="G23" s="55"/>
      <c r="H23" s="55"/>
      <c r="J23" s="55"/>
      <c r="K23" s="55"/>
      <c r="L23" s="55"/>
      <c r="M23" s="58"/>
    </row>
    <row r="24" spans="1:17" ht="11.25" customHeight="1" x14ac:dyDescent="0.2">
      <c r="A24" s="54"/>
      <c r="B24" s="55"/>
      <c r="C24" s="55"/>
      <c r="D24" s="55"/>
      <c r="E24" s="55"/>
      <c r="F24" s="55"/>
      <c r="G24" s="55"/>
      <c r="H24" s="55"/>
      <c r="J24" s="55"/>
      <c r="K24" s="64"/>
      <c r="L24" s="55"/>
      <c r="M24" s="58"/>
    </row>
    <row r="25" spans="1:17" ht="11.25" customHeight="1" x14ac:dyDescent="0.2">
      <c r="A25" s="65"/>
      <c r="B25" s="64"/>
      <c r="C25" s="66"/>
      <c r="D25" s="66"/>
      <c r="E25" s="66"/>
      <c r="F25" s="55"/>
      <c r="G25" s="55"/>
      <c r="H25" s="55"/>
      <c r="J25" s="55"/>
      <c r="K25" s="55"/>
      <c r="L25" s="55"/>
      <c r="M25" s="58"/>
      <c r="O25" s="53" t="s">
        <v>360</v>
      </c>
    </row>
    <row r="26" spans="1:17" ht="11.25" customHeight="1" x14ac:dyDescent="0.2">
      <c r="A26" s="65"/>
      <c r="B26" s="64"/>
      <c r="C26" s="67"/>
      <c r="D26" s="67"/>
      <c r="E26" s="67"/>
      <c r="F26" s="55"/>
      <c r="G26" s="55"/>
      <c r="H26" s="55"/>
      <c r="J26" s="55"/>
      <c r="K26" s="55"/>
      <c r="L26" s="55"/>
      <c r="M26" s="58"/>
    </row>
    <row r="27" spans="1:17" ht="11.25" customHeight="1" x14ac:dyDescent="0.2">
      <c r="A27" s="65"/>
      <c r="B27" s="64"/>
      <c r="C27" s="67"/>
      <c r="D27" s="67"/>
      <c r="E27" s="67"/>
      <c r="F27" s="55"/>
      <c r="G27" s="55"/>
      <c r="H27" s="55"/>
      <c r="J27" s="64"/>
      <c r="K27" s="85" t="e">
        <f>Lamp!H31</f>
        <v>#N/A</v>
      </c>
      <c r="L27" s="64"/>
      <c r="M27" s="518"/>
    </row>
    <row r="28" spans="1:17" ht="11.25" customHeight="1" x14ac:dyDescent="0.2">
      <c r="A28" s="65"/>
      <c r="B28" s="64"/>
      <c r="C28" s="67"/>
      <c r="D28" s="67"/>
      <c r="E28" s="67"/>
      <c r="F28" s="55"/>
      <c r="G28" s="55"/>
      <c r="H28" s="55"/>
      <c r="J28" s="64"/>
      <c r="K28" s="55" t="e">
        <f>Lamp!H32</f>
        <v>#N/A</v>
      </c>
      <c r="L28" s="64"/>
      <c r="M28" s="518"/>
    </row>
    <row r="29" spans="1:17" ht="11.25" customHeight="1" x14ac:dyDescent="0.2">
      <c r="A29" s="215"/>
      <c r="B29" s="216"/>
      <c r="C29" s="217"/>
      <c r="D29" s="217"/>
      <c r="E29" s="217"/>
      <c r="F29" s="75"/>
      <c r="G29" s="75"/>
      <c r="H29" s="75"/>
      <c r="I29" s="75"/>
      <c r="J29" s="75"/>
      <c r="K29" s="75"/>
      <c r="L29" s="75"/>
      <c r="M29" s="76"/>
      <c r="N29" s="511"/>
      <c r="O29" s="56"/>
    </row>
    <row r="30" spans="1:17" ht="11.25" customHeight="1" x14ac:dyDescent="0.2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8"/>
    </row>
    <row r="31" spans="1:17" ht="13.5" customHeight="1" x14ac:dyDescent="0.2">
      <c r="A31" s="827" t="s">
        <v>361</v>
      </c>
      <c r="B31" s="827"/>
      <c r="C31" s="827"/>
      <c r="D31" s="827"/>
      <c r="E31" s="827"/>
      <c r="F31" s="68"/>
      <c r="G31" s="69"/>
      <c r="I31" s="69" t="s">
        <v>362</v>
      </c>
      <c r="J31" s="69"/>
      <c r="K31" s="69"/>
      <c r="L31" s="69"/>
      <c r="M31" s="70"/>
    </row>
    <row r="32" spans="1:17" ht="11.25" customHeight="1" x14ac:dyDescent="0.2">
      <c r="A32" s="510" t="s">
        <v>363</v>
      </c>
      <c r="B32" s="68"/>
      <c r="C32" s="68"/>
      <c r="D32" s="68"/>
      <c r="E32" s="68"/>
      <c r="F32" s="68"/>
      <c r="G32" s="71" t="s">
        <v>364</v>
      </c>
      <c r="I32" s="55" t="s">
        <v>382</v>
      </c>
      <c r="J32" s="55"/>
      <c r="K32" s="55"/>
      <c r="L32" s="55"/>
      <c r="M32" s="58"/>
    </row>
    <row r="33" spans="1:13" ht="15" customHeight="1" x14ac:dyDescent="0.2">
      <c r="A33" s="510"/>
      <c r="B33" s="68"/>
      <c r="C33" s="68"/>
      <c r="D33" s="68"/>
      <c r="E33" s="68"/>
      <c r="F33" s="68"/>
      <c r="G33" s="71"/>
      <c r="I33" s="55"/>
      <c r="J33" s="55"/>
      <c r="K33" s="55"/>
      <c r="L33" s="55"/>
      <c r="M33" s="58"/>
    </row>
    <row r="34" spans="1:13" x14ac:dyDescent="0.2">
      <c r="A34" s="510"/>
      <c r="B34" s="68"/>
      <c r="C34" s="68"/>
      <c r="D34" s="68"/>
      <c r="E34" s="68"/>
      <c r="F34" s="68"/>
      <c r="G34" s="71"/>
      <c r="I34" s="55"/>
      <c r="J34" s="55"/>
      <c r="K34" s="55"/>
      <c r="L34" s="55"/>
      <c r="M34" s="58"/>
    </row>
    <row r="35" spans="1:13" ht="11.25" customHeight="1" x14ac:dyDescent="0.2">
      <c r="A35" s="510"/>
      <c r="B35" s="68"/>
      <c r="C35" s="68"/>
      <c r="D35" s="68"/>
      <c r="E35" s="68"/>
      <c r="F35" s="68"/>
      <c r="G35" s="71"/>
      <c r="I35" s="55"/>
      <c r="J35" s="55"/>
      <c r="K35" s="55"/>
      <c r="L35" s="55"/>
      <c r="M35" s="58"/>
    </row>
    <row r="36" spans="1:13" ht="11.25" customHeight="1" x14ac:dyDescent="0.2">
      <c r="A36" s="123" t="str">
        <f>Riil!B48</f>
        <v>Prayitno, S.ST.</v>
      </c>
      <c r="B36" s="72"/>
      <c r="C36" s="72"/>
      <c r="D36" s="72"/>
      <c r="E36" s="72"/>
      <c r="F36" s="72"/>
      <c r="G36" s="73"/>
      <c r="I36" s="85" t="str">
        <f>Lamp!A31</f>
        <v>Reski, S.Si.</v>
      </c>
      <c r="J36" s="64"/>
      <c r="K36" s="64"/>
      <c r="L36" s="64"/>
      <c r="M36" s="58"/>
    </row>
    <row r="37" spans="1:13" ht="11.25" customHeight="1" x14ac:dyDescent="0.2">
      <c r="A37" s="510" t="str">
        <f>Riil!B49</f>
        <v>NIP. 19681210 199112 1 001</v>
      </c>
      <c r="B37" s="55"/>
      <c r="C37" s="55"/>
      <c r="D37" s="55"/>
      <c r="E37" s="55"/>
      <c r="F37" s="55"/>
      <c r="G37" s="71"/>
      <c r="I37" s="55" t="str">
        <f>Lamp!A32</f>
        <v>NIP. 19880725 201101 2 014</v>
      </c>
      <c r="J37" s="55"/>
      <c r="K37" s="55"/>
      <c r="L37" s="55"/>
      <c r="M37" s="58"/>
    </row>
    <row r="38" spans="1:13" ht="11.25" customHeight="1" x14ac:dyDescent="0.2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6"/>
    </row>
    <row r="39" spans="1:13" ht="11.25" customHeight="1" x14ac:dyDescent="0.2">
      <c r="A39" s="77"/>
      <c r="B39" s="55"/>
      <c r="C39" s="55"/>
      <c r="D39" s="55"/>
      <c r="E39" s="55"/>
      <c r="F39" s="55"/>
      <c r="G39" s="55"/>
      <c r="H39" s="55"/>
      <c r="I39" s="55"/>
      <c r="J39" s="56"/>
      <c r="K39" s="56"/>
      <c r="L39" s="56"/>
      <c r="M39" s="78"/>
    </row>
    <row r="40" spans="1:13" ht="11.25" customHeight="1" x14ac:dyDescent="0.2">
      <c r="A40" s="79" t="s">
        <v>366</v>
      </c>
      <c r="B40" s="55"/>
      <c r="C40" s="55"/>
      <c r="D40" s="55"/>
      <c r="E40" s="55"/>
      <c r="F40" s="55"/>
      <c r="G40" s="55"/>
      <c r="H40" s="55"/>
      <c r="I40" s="55"/>
      <c r="J40" s="56"/>
      <c r="K40" s="56"/>
      <c r="L40" s="56"/>
      <c r="M40" s="78"/>
    </row>
    <row r="41" spans="1:13" ht="11.25" customHeight="1" x14ac:dyDescent="0.2">
      <c r="A41" s="79" t="s">
        <v>367</v>
      </c>
      <c r="B41" s="55"/>
      <c r="C41" s="55"/>
      <c r="D41" s="55"/>
      <c r="E41" s="55"/>
      <c r="F41" s="55"/>
      <c r="G41" s="55"/>
      <c r="H41" s="55"/>
      <c r="I41" s="55"/>
      <c r="J41" s="56"/>
      <c r="K41" s="56"/>
      <c r="L41" s="56"/>
      <c r="M41" s="78"/>
    </row>
    <row r="42" spans="1:13" ht="11.25" customHeight="1" x14ac:dyDescent="0.2">
      <c r="A42" s="79"/>
      <c r="B42" s="55"/>
      <c r="C42" s="55"/>
      <c r="D42" s="55"/>
      <c r="E42" s="55"/>
      <c r="F42" s="55"/>
      <c r="G42" s="55"/>
      <c r="H42" s="55"/>
      <c r="I42" s="55"/>
      <c r="J42" s="56"/>
      <c r="K42" s="56"/>
      <c r="L42" s="56"/>
      <c r="M42" s="78"/>
    </row>
    <row r="43" spans="1:13" ht="11.25" customHeight="1" x14ac:dyDescent="0.2">
      <c r="A43" s="79"/>
      <c r="B43" s="55"/>
      <c r="C43" s="55"/>
      <c r="D43" s="55"/>
      <c r="E43" s="55"/>
      <c r="F43" s="55"/>
      <c r="G43" s="55"/>
      <c r="H43" s="55"/>
      <c r="I43" s="55"/>
      <c r="J43" s="56"/>
      <c r="K43" s="56"/>
      <c r="L43" s="56"/>
      <c r="M43" s="78"/>
    </row>
    <row r="44" spans="1:13" ht="20.25" customHeight="1" x14ac:dyDescent="0.2">
      <c r="A44" s="79"/>
      <c r="B44" s="55"/>
      <c r="C44" s="55"/>
      <c r="D44" s="55"/>
      <c r="E44" s="55"/>
      <c r="F44" s="55"/>
      <c r="G44" s="55"/>
      <c r="H44" s="55"/>
      <c r="I44" s="55"/>
      <c r="J44" s="56"/>
      <c r="K44" s="56"/>
      <c r="L44" s="56"/>
      <c r="M44" s="78"/>
    </row>
    <row r="45" spans="1:13" ht="11.25" customHeight="1" x14ac:dyDescent="0.2">
      <c r="A45" s="83" t="str">
        <f>VLOOKUP(A49,$E$50:$G$56,2)</f>
        <v>Muh. La'bi, S.Si</v>
      </c>
      <c r="B45" s="55"/>
      <c r="C45" s="55"/>
      <c r="D45" s="55"/>
      <c r="E45" s="55"/>
      <c r="F45" s="55"/>
      <c r="G45" s="55"/>
      <c r="H45" s="55"/>
      <c r="I45" s="55"/>
      <c r="J45" s="56"/>
      <c r="K45" s="56"/>
      <c r="L45" s="56"/>
      <c r="M45" s="78"/>
    </row>
    <row r="46" spans="1:13" ht="11.25" customHeight="1" x14ac:dyDescent="0.2">
      <c r="A46" s="79" t="str">
        <f>VLOOKUP(A49,$E$50:$G$56,3)</f>
        <v>NIP. 19651231 198901 1 001</v>
      </c>
      <c r="B46" s="55"/>
      <c r="C46" s="55"/>
      <c r="D46" s="55"/>
      <c r="E46" s="55"/>
      <c r="F46" s="55"/>
      <c r="G46" s="55"/>
      <c r="H46" s="55"/>
      <c r="I46" s="55"/>
      <c r="J46" s="56"/>
      <c r="K46" s="56"/>
      <c r="L46" s="56"/>
      <c r="M46" s="78"/>
    </row>
    <row r="47" spans="1:13" ht="11.25" customHeight="1" x14ac:dyDescent="0.2">
      <c r="A47" s="80"/>
      <c r="B47" s="75"/>
      <c r="C47" s="75"/>
      <c r="D47" s="75"/>
      <c r="E47" s="75"/>
      <c r="F47" s="75"/>
      <c r="G47" s="75"/>
      <c r="H47" s="75"/>
      <c r="I47" s="75"/>
      <c r="J47" s="81"/>
      <c r="K47" s="81"/>
      <c r="L47" s="81"/>
      <c r="M47" s="82"/>
    </row>
    <row r="48" spans="1:13" ht="11.25" customHeight="1" x14ac:dyDescent="0.2"/>
    <row r="49" spans="1:7" ht="11.25" customHeight="1" x14ac:dyDescent="0.2">
      <c r="A49" s="86">
        <v>3</v>
      </c>
    </row>
    <row r="50" spans="1:7" ht="11.25" customHeight="1" x14ac:dyDescent="0.2">
      <c r="E50" s="53">
        <v>0</v>
      </c>
      <c r="F50" s="84" t="s">
        <v>383</v>
      </c>
      <c r="G50" s="84" t="s">
        <v>384</v>
      </c>
    </row>
    <row r="51" spans="1:7" ht="11.25" customHeight="1" x14ac:dyDescent="0.2">
      <c r="E51" s="53">
        <v>1</v>
      </c>
      <c r="F51" s="84" t="s">
        <v>385</v>
      </c>
      <c r="G51" s="84" t="s">
        <v>386</v>
      </c>
    </row>
    <row r="52" spans="1:7" x14ac:dyDescent="0.2">
      <c r="E52" s="53">
        <v>2</v>
      </c>
      <c r="F52" s="84" t="s">
        <v>387</v>
      </c>
      <c r="G52" s="84" t="s">
        <v>388</v>
      </c>
    </row>
    <row r="53" spans="1:7" x14ac:dyDescent="0.2">
      <c r="E53" s="53">
        <v>3</v>
      </c>
      <c r="F53" s="84" t="s">
        <v>389</v>
      </c>
      <c r="G53" s="84" t="s">
        <v>390</v>
      </c>
    </row>
    <row r="54" spans="1:7" x14ac:dyDescent="0.2">
      <c r="E54" s="53">
        <v>4</v>
      </c>
      <c r="F54" s="84" t="s">
        <v>391</v>
      </c>
      <c r="G54" s="84" t="s">
        <v>392</v>
      </c>
    </row>
    <row r="55" spans="1:7" x14ac:dyDescent="0.2">
      <c r="E55" s="53">
        <v>5</v>
      </c>
      <c r="F55" s="84" t="s">
        <v>393</v>
      </c>
      <c r="G55" s="84" t="s">
        <v>394</v>
      </c>
    </row>
    <row r="56" spans="1:7" x14ac:dyDescent="0.2">
      <c r="E56" s="53">
        <v>6</v>
      </c>
      <c r="F56" s="84" t="s">
        <v>234</v>
      </c>
      <c r="G56" s="84" t="s">
        <v>395</v>
      </c>
    </row>
    <row r="57" spans="1:7" ht="3.75" customHeight="1" x14ac:dyDescent="0.2"/>
  </sheetData>
  <mergeCells count="6">
    <mergeCell ref="A31:E31"/>
    <mergeCell ref="K3:M3"/>
    <mergeCell ref="A5:M5"/>
    <mergeCell ref="E9:G9"/>
    <mergeCell ref="E10:M11"/>
    <mergeCell ref="E13:L15"/>
  </mergeCells>
  <pageMargins left="0.94513888888888897" right="0.65" top="0.70833333333333337" bottom="0.98402777777777783" header="0.51180555555555562" footer="0.51180555555555562"/>
  <pageSetup firstPageNumber="0" orientation="portrait" horizontalDpi="4294967294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K46"/>
  <sheetViews>
    <sheetView topLeftCell="A7" workbookViewId="0">
      <selection activeCell="A15" sqref="A15:I15"/>
    </sheetView>
  </sheetViews>
  <sheetFormatPr defaultColWidth="9.140625" defaultRowHeight="12.75" x14ac:dyDescent="0.2"/>
  <cols>
    <col min="1" max="1" width="3.42578125" style="1" customWidth="1"/>
    <col min="2" max="2" width="4.42578125" style="1" customWidth="1"/>
    <col min="3" max="3" width="15.140625" style="1" customWidth="1"/>
    <col min="4" max="4" width="1.7109375" style="1" customWidth="1"/>
    <col min="5" max="5" width="4.140625" style="1" customWidth="1"/>
    <col min="6" max="6" width="2.5703125" style="1" customWidth="1"/>
    <col min="7" max="7" width="21.7109375" style="1" customWidth="1"/>
    <col min="8" max="8" width="23.5703125" style="1" customWidth="1"/>
    <col min="9" max="9" width="16.85546875" style="1" customWidth="1"/>
    <col min="10" max="12" width="9.140625" style="1"/>
    <col min="13" max="13" width="10.28515625" style="1" bestFit="1" customWidth="1"/>
    <col min="14" max="16384" width="9.140625" style="1"/>
  </cols>
  <sheetData>
    <row r="2" spans="1:11" ht="20.25" x14ac:dyDescent="0.3">
      <c r="D2" s="224" t="s">
        <v>225</v>
      </c>
      <c r="E2" s="221"/>
      <c r="K2" s="41"/>
    </row>
    <row r="3" spans="1:11" ht="20.25" x14ac:dyDescent="0.3">
      <c r="D3" s="224" t="s">
        <v>396</v>
      </c>
      <c r="E3" s="221"/>
      <c r="K3" s="41"/>
    </row>
    <row r="4" spans="1:11" x14ac:dyDescent="0.2">
      <c r="A4" s="7"/>
      <c r="B4" s="7"/>
      <c r="C4" s="7"/>
      <c r="D4" s="7"/>
      <c r="E4" s="7"/>
      <c r="F4" s="7"/>
      <c r="G4" s="7"/>
      <c r="H4" s="7"/>
      <c r="I4" s="7"/>
    </row>
    <row r="7" spans="1:11" ht="15" x14ac:dyDescent="0.2">
      <c r="A7" s="812" t="s">
        <v>368</v>
      </c>
      <c r="B7" s="812"/>
      <c r="C7" s="812"/>
      <c r="D7" s="812"/>
      <c r="E7" s="812"/>
      <c r="F7" s="812"/>
      <c r="G7" s="812"/>
      <c r="H7" s="812"/>
      <c r="I7" s="812"/>
    </row>
    <row r="8" spans="1:11" x14ac:dyDescent="0.2">
      <c r="D8" s="17"/>
      <c r="E8" s="17"/>
      <c r="F8" s="17"/>
      <c r="G8" s="10"/>
      <c r="H8" s="10"/>
      <c r="I8" s="10"/>
    </row>
    <row r="9" spans="1:11" x14ac:dyDescent="0.2">
      <c r="C9" s="1" t="s">
        <v>369</v>
      </c>
      <c r="D9" s="17"/>
      <c r="E9" s="17"/>
      <c r="F9" s="17"/>
      <c r="G9" s="10"/>
      <c r="H9" s="10"/>
      <c r="I9" s="10"/>
    </row>
    <row r="10" spans="1:11" ht="8.25" customHeight="1" x14ac:dyDescent="0.2">
      <c r="D10" s="17"/>
      <c r="E10" s="17"/>
      <c r="F10" s="17"/>
      <c r="G10" s="10"/>
      <c r="H10" s="10"/>
      <c r="I10" s="10"/>
    </row>
    <row r="11" spans="1:11" ht="16.5" customHeight="1" x14ac:dyDescent="0.2">
      <c r="A11" s="1" t="s">
        <v>278</v>
      </c>
      <c r="D11" s="17" t="s">
        <v>227</v>
      </c>
      <c r="E11" s="17" t="e">
        <f>'Surat Tugas'!C25</f>
        <v>#N/A</v>
      </c>
      <c r="F11" s="17"/>
      <c r="G11" s="10"/>
      <c r="H11" s="10"/>
      <c r="I11" s="10"/>
    </row>
    <row r="12" spans="1:11" ht="16.5" customHeight="1" x14ac:dyDescent="0.2">
      <c r="A12" s="1" t="s">
        <v>173</v>
      </c>
      <c r="D12" s="17" t="s">
        <v>227</v>
      </c>
      <c r="E12" s="878" t="e">
        <f>'Surat Tugas'!#REF!</f>
        <v>#REF!</v>
      </c>
      <c r="F12" s="878"/>
      <c r="G12" s="878"/>
      <c r="H12" s="10"/>
      <c r="I12" s="10"/>
    </row>
    <row r="13" spans="1:11" ht="16.5" customHeight="1" x14ac:dyDescent="0.2">
      <c r="A13" s="1" t="s">
        <v>43</v>
      </c>
      <c r="D13" s="17" t="s">
        <v>227</v>
      </c>
      <c r="E13" s="17" t="e">
        <f>'Surat Tugas'!#REF!</f>
        <v>#REF!</v>
      </c>
      <c r="F13" s="17"/>
      <c r="G13" s="10"/>
      <c r="H13" s="10"/>
      <c r="I13" s="10"/>
    </row>
    <row r="14" spans="1:11" ht="6" customHeight="1" x14ac:dyDescent="0.2">
      <c r="D14" s="17"/>
      <c r="E14" s="17"/>
      <c r="F14" s="17"/>
      <c r="G14" s="10"/>
      <c r="H14" s="10"/>
      <c r="I14" s="10"/>
    </row>
    <row r="15" spans="1:11" ht="28.5" customHeight="1" x14ac:dyDescent="0.2">
      <c r="A15" s="847" t="str">
        <f>"berdasarkan Surat Perintah Perjalanan Dinas (SPPD) tanggal "&amp;Lamp!D5&amp;" Nomor "&amp;Lamp!D4&amp;", dengan ini kami menyatakan dengan sesungguhnya bahwa:"</f>
        <v>berdasarkan Surat Perintah Perjalanan Dinas (SPPD) tanggal 0 Nomor /SPD/2021, dengan ini kami menyatakan dengan sesungguhnya bahwa:</v>
      </c>
      <c r="B15" s="847"/>
      <c r="C15" s="847"/>
      <c r="D15" s="847"/>
      <c r="E15" s="847"/>
      <c r="F15" s="847"/>
      <c r="G15" s="847"/>
      <c r="H15" s="847"/>
      <c r="I15" s="847"/>
    </row>
    <row r="16" spans="1:11" x14ac:dyDescent="0.2">
      <c r="D16" s="17"/>
      <c r="E16" s="17"/>
      <c r="F16" s="17"/>
      <c r="G16" s="10"/>
      <c r="H16" s="10"/>
      <c r="I16" s="10"/>
    </row>
    <row r="17" spans="1:9" ht="29.25" customHeight="1" x14ac:dyDescent="0.2">
      <c r="A17" s="9" t="s">
        <v>232</v>
      </c>
      <c r="B17" s="847" t="s">
        <v>397</v>
      </c>
      <c r="C17" s="847"/>
      <c r="D17" s="847"/>
      <c r="E17" s="847"/>
      <c r="F17" s="847"/>
      <c r="G17" s="847"/>
      <c r="H17" s="847"/>
      <c r="I17" s="847"/>
    </row>
    <row r="19" spans="1:9" ht="12" customHeight="1" x14ac:dyDescent="0.2">
      <c r="B19" s="656" t="s">
        <v>40</v>
      </c>
      <c r="C19" s="850" t="s">
        <v>370</v>
      </c>
      <c r="D19" s="851"/>
      <c r="E19" s="851"/>
      <c r="F19" s="851"/>
      <c r="G19" s="852"/>
      <c r="H19" s="813" t="s">
        <v>30</v>
      </c>
      <c r="I19" s="856"/>
    </row>
    <row r="20" spans="1:9" ht="24.75" customHeight="1" x14ac:dyDescent="0.2">
      <c r="B20" s="656"/>
      <c r="C20" s="853"/>
      <c r="D20" s="854"/>
      <c r="E20" s="854"/>
      <c r="F20" s="854"/>
      <c r="G20" s="855"/>
      <c r="H20" s="814"/>
      <c r="I20" s="856"/>
    </row>
    <row r="21" spans="1:9" s="2" customFormat="1" ht="12.75" customHeight="1" x14ac:dyDescent="0.2">
      <c r="B21" s="3">
        <v>-1</v>
      </c>
      <c r="C21" s="815">
        <v>-2</v>
      </c>
      <c r="D21" s="865"/>
      <c r="E21" s="865"/>
      <c r="F21" s="865"/>
      <c r="G21" s="866"/>
      <c r="H21" s="508">
        <v>-3</v>
      </c>
      <c r="I21" s="42"/>
    </row>
    <row r="22" spans="1:9" s="2" customFormat="1" ht="8.25" customHeight="1" x14ac:dyDescent="0.2">
      <c r="B22" s="12"/>
      <c r="C22" s="4"/>
      <c r="D22" s="4"/>
      <c r="E22" s="4"/>
      <c r="F22" s="4"/>
      <c r="G22" s="4"/>
      <c r="H22" s="12"/>
      <c r="I22" s="42"/>
    </row>
    <row r="23" spans="1:9" ht="15.95" customHeight="1" x14ac:dyDescent="0.2">
      <c r="B23" s="34">
        <v>1</v>
      </c>
      <c r="C23" s="125" t="s">
        <v>398</v>
      </c>
      <c r="D23" s="36"/>
      <c r="E23" s="36"/>
      <c r="F23" s="36"/>
      <c r="G23" s="36"/>
      <c r="H23" s="225">
        <v>200000</v>
      </c>
      <c r="I23" s="226"/>
    </row>
    <row r="24" spans="1:9" ht="15.95" customHeight="1" x14ac:dyDescent="0.2">
      <c r="B24" s="34"/>
      <c r="C24" s="125" t="s">
        <v>399</v>
      </c>
      <c r="D24" s="36"/>
      <c r="E24" s="36"/>
      <c r="F24" s="36"/>
      <c r="G24" s="36"/>
      <c r="H24" s="225">
        <v>200000</v>
      </c>
      <c r="I24" s="226"/>
    </row>
    <row r="25" spans="1:9" ht="15.95" customHeight="1" x14ac:dyDescent="0.2">
      <c r="B25" s="34"/>
      <c r="C25" s="125" t="s">
        <v>400</v>
      </c>
      <c r="D25" s="36"/>
      <c r="E25" s="36"/>
      <c r="F25" s="36"/>
      <c r="G25" s="36"/>
      <c r="H25" s="225">
        <v>200000</v>
      </c>
      <c r="I25" s="226"/>
    </row>
    <row r="26" spans="1:9" ht="15.95" customHeight="1" x14ac:dyDescent="0.2">
      <c r="B26" s="34"/>
      <c r="C26" s="125" t="s">
        <v>401</v>
      </c>
      <c r="D26" s="36"/>
      <c r="E26" s="36"/>
      <c r="F26" s="36"/>
      <c r="G26" s="36"/>
      <c r="H26" s="225">
        <v>200000</v>
      </c>
      <c r="I26" s="226"/>
    </row>
    <row r="27" spans="1:9" ht="15.95" customHeight="1" x14ac:dyDescent="0.2">
      <c r="B27" s="34"/>
      <c r="C27" s="125"/>
      <c r="D27" s="36"/>
      <c r="E27" s="36"/>
      <c r="F27" s="36"/>
      <c r="G27" s="36"/>
      <c r="H27" s="225"/>
      <c r="I27" s="226"/>
    </row>
    <row r="28" spans="1:9" ht="15.95" customHeight="1" x14ac:dyDescent="0.2">
      <c r="B28" s="34"/>
      <c r="C28" s="35"/>
      <c r="D28" s="36"/>
      <c r="E28" s="36"/>
      <c r="F28" s="36"/>
      <c r="G28" s="36"/>
      <c r="H28" s="225"/>
      <c r="I28" s="226"/>
    </row>
    <row r="29" spans="1:9" ht="15.95" customHeight="1" x14ac:dyDescent="0.2">
      <c r="B29" s="34"/>
      <c r="C29" s="35"/>
      <c r="D29" s="36"/>
      <c r="E29" s="36"/>
      <c r="F29" s="36"/>
      <c r="G29" s="36"/>
      <c r="H29" s="225"/>
      <c r="I29" s="226"/>
    </row>
    <row r="30" spans="1:9" ht="3.75" customHeight="1" x14ac:dyDescent="0.2">
      <c r="B30" s="514"/>
      <c r="C30" s="43"/>
      <c r="D30" s="44"/>
      <c r="E30" s="44"/>
      <c r="F30" s="44"/>
      <c r="G30" s="44"/>
      <c r="H30" s="227"/>
      <c r="I30" s="226"/>
    </row>
    <row r="31" spans="1:9" ht="15.95" customHeight="1" x14ac:dyDescent="0.2">
      <c r="B31" s="21"/>
      <c r="C31" s="22" t="s">
        <v>332</v>
      </c>
      <c r="D31" s="5"/>
      <c r="E31" s="5"/>
      <c r="F31" s="5"/>
      <c r="G31" s="5"/>
      <c r="H31" s="228">
        <f>SUM(H23:H30)</f>
        <v>800000</v>
      </c>
      <c r="I31" s="226"/>
    </row>
    <row r="32" spans="1:9" ht="3.75" customHeight="1" x14ac:dyDescent="0.2">
      <c r="B32" s="23"/>
      <c r="C32" s="6"/>
      <c r="D32" s="7"/>
      <c r="E32" s="7"/>
      <c r="F32" s="7"/>
      <c r="G32" s="8"/>
      <c r="H32" s="13"/>
      <c r="I32" s="45"/>
    </row>
    <row r="34" spans="1:9" ht="42.75" customHeight="1" x14ac:dyDescent="0.2">
      <c r="A34" s="9" t="s">
        <v>235</v>
      </c>
      <c r="B34" s="847" t="s">
        <v>402</v>
      </c>
      <c r="C34" s="847"/>
      <c r="D34" s="847"/>
      <c r="E34" s="847"/>
      <c r="F34" s="847"/>
      <c r="G34" s="847"/>
      <c r="H34" s="847"/>
      <c r="I34" s="847"/>
    </row>
    <row r="36" spans="1:9" x14ac:dyDescent="0.2">
      <c r="C36" s="1" t="s">
        <v>371</v>
      </c>
    </row>
    <row r="38" spans="1:9" x14ac:dyDescent="0.2">
      <c r="A38" s="15"/>
      <c r="B38" s="15"/>
      <c r="D38" s="15"/>
      <c r="E38" s="15"/>
      <c r="F38" s="15"/>
      <c r="G38" s="15"/>
    </row>
    <row r="39" spans="1:9" x14ac:dyDescent="0.2">
      <c r="A39" s="15"/>
      <c r="C39" s="515" t="s">
        <v>372</v>
      </c>
      <c r="D39" s="15"/>
      <c r="E39" s="15"/>
      <c r="F39" s="15"/>
      <c r="G39" s="15"/>
      <c r="H39" s="15" t="str">
        <f>"Mamuju, "&amp;D!E22</f>
        <v>Mamuju, 0</v>
      </c>
      <c r="I39" s="229"/>
    </row>
    <row r="40" spans="1:9" x14ac:dyDescent="0.2">
      <c r="A40" s="15"/>
      <c r="C40" s="515" t="e">
        <f>#REF!</f>
        <v>#REF!</v>
      </c>
      <c r="D40" s="15"/>
      <c r="E40" s="15"/>
      <c r="F40" s="15"/>
      <c r="G40" s="15"/>
      <c r="H40" s="15"/>
      <c r="I40" s="15"/>
    </row>
    <row r="41" spans="1:9" x14ac:dyDescent="0.2">
      <c r="A41" s="15"/>
      <c r="C41" s="515" t="e">
        <f>#REF!</f>
        <v>#REF!</v>
      </c>
      <c r="D41" s="15"/>
      <c r="E41" s="15"/>
      <c r="F41" s="15"/>
      <c r="G41" s="15"/>
      <c r="H41" s="15" t="s">
        <v>403</v>
      </c>
      <c r="I41" s="15"/>
    </row>
    <row r="42" spans="1:9" x14ac:dyDescent="0.2">
      <c r="A42" s="15"/>
      <c r="C42" s="16"/>
      <c r="D42" s="15"/>
      <c r="E42" s="15"/>
      <c r="F42" s="15"/>
      <c r="G42" s="15"/>
      <c r="H42" s="15"/>
      <c r="I42" s="15"/>
    </row>
    <row r="43" spans="1:9" x14ac:dyDescent="0.2">
      <c r="H43" s="15"/>
      <c r="I43" s="15"/>
    </row>
    <row r="44" spans="1:9" x14ac:dyDescent="0.2">
      <c r="H44" s="15"/>
      <c r="I44" s="15"/>
    </row>
    <row r="45" spans="1:9" x14ac:dyDescent="0.2">
      <c r="C45" s="516" t="e">
        <f>#REF!</f>
        <v>#REF!</v>
      </c>
      <c r="H45" s="16" t="e">
        <f>E11</f>
        <v>#N/A</v>
      </c>
      <c r="I45" s="15"/>
    </row>
    <row r="46" spans="1:9" x14ac:dyDescent="0.2">
      <c r="C46" s="517" t="e">
        <f>#REF!</f>
        <v>#REF!</v>
      </c>
      <c r="H46" s="46" t="e">
        <f>"NIP. "&amp;E12</f>
        <v>#REF!</v>
      </c>
      <c r="I46" s="15"/>
    </row>
  </sheetData>
  <mergeCells count="10">
    <mergeCell ref="C21:G21"/>
    <mergeCell ref="B34:I34"/>
    <mergeCell ref="A7:I7"/>
    <mergeCell ref="E12:G12"/>
    <mergeCell ref="A15:I15"/>
    <mergeCell ref="B17:I17"/>
    <mergeCell ref="B19:B20"/>
    <mergeCell ref="C19:G20"/>
    <mergeCell ref="H19:H20"/>
    <mergeCell ref="I19:I20"/>
  </mergeCells>
  <printOptions horizontalCentered="1"/>
  <pageMargins left="0.62992125984251968" right="0.39370078740157483" top="0.47244094488188981" bottom="0.55118110236220474" header="0.35433070866141736" footer="0.51181102362204722"/>
  <pageSetup orientation="portrait" blackAndWhite="1" horizontalDpi="4294967293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N89"/>
  <sheetViews>
    <sheetView workbookViewId="0">
      <selection activeCell="A15" sqref="A15:I15"/>
    </sheetView>
  </sheetViews>
  <sheetFormatPr defaultColWidth="9.140625" defaultRowHeight="15" customHeight="1" x14ac:dyDescent="0.2"/>
  <cols>
    <col min="1" max="1" width="7.7109375" style="26" customWidth="1"/>
    <col min="2" max="2" width="2.85546875" style="26" customWidth="1"/>
    <col min="3" max="3" width="2.140625" style="28" customWidth="1"/>
    <col min="4" max="4" width="11" style="26" customWidth="1"/>
    <col min="5" max="5" width="16.28515625" style="26" customWidth="1"/>
    <col min="6" max="6" width="7.7109375" style="26" customWidth="1"/>
    <col min="7" max="7" width="11.5703125" style="26" customWidth="1"/>
    <col min="8" max="9" width="7.7109375" style="26" customWidth="1"/>
    <col min="10" max="10" width="1.7109375" style="26" customWidth="1"/>
    <col min="11" max="11" width="7.7109375" style="26" customWidth="1"/>
    <col min="12" max="12" width="8.7109375" style="26" customWidth="1"/>
    <col min="13" max="13" width="0.85546875" style="26" customWidth="1"/>
    <col min="14" max="16384" width="9.140625" style="26"/>
  </cols>
  <sheetData>
    <row r="1" spans="1:13" ht="21" customHeight="1" x14ac:dyDescent="0.2">
      <c r="A1" s="708" t="s">
        <v>276</v>
      </c>
      <c r="B1" s="708"/>
      <c r="C1" s="708"/>
      <c r="D1" s="708"/>
      <c r="E1" s="708"/>
      <c r="F1" s="708"/>
      <c r="G1" s="708"/>
      <c r="H1" s="708"/>
      <c r="I1" s="708"/>
      <c r="J1" s="708"/>
      <c r="K1" s="708"/>
      <c r="L1" s="708"/>
      <c r="M1" s="708"/>
    </row>
    <row r="2" spans="1:13" s="27" customFormat="1" ht="12" customHeight="1" x14ac:dyDescent="0.2">
      <c r="A2" s="709" t="s">
        <v>404</v>
      </c>
      <c r="B2" s="709"/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</row>
    <row r="3" spans="1:13" ht="12.75" customHeight="1" x14ac:dyDescent="0.2">
      <c r="A3" s="496"/>
      <c r="B3" s="496"/>
      <c r="C3" s="496"/>
      <c r="D3" s="496"/>
      <c r="E3" s="496"/>
      <c r="F3" s="496"/>
      <c r="G3" s="496"/>
      <c r="H3" s="496"/>
      <c r="I3" s="496"/>
      <c r="J3" s="496"/>
      <c r="K3" s="496"/>
      <c r="L3" s="496"/>
      <c r="M3" s="496"/>
    </row>
    <row r="4" spans="1:13" ht="3.75" customHeight="1" x14ac:dyDescent="0.2"/>
    <row r="5" spans="1:13" s="203" customFormat="1" ht="15" customHeight="1" x14ac:dyDescent="0.2">
      <c r="A5" s="203" t="s">
        <v>277</v>
      </c>
      <c r="C5" s="204"/>
    </row>
    <row r="6" spans="1:13" s="203" customFormat="1" ht="11.25" customHeight="1" x14ac:dyDescent="0.2">
      <c r="C6" s="204"/>
    </row>
    <row r="7" spans="1:13" s="203" customFormat="1" ht="18" customHeight="1" x14ac:dyDescent="0.2">
      <c r="A7" s="205" t="s">
        <v>278</v>
      </c>
      <c r="B7" s="203" t="s">
        <v>227</v>
      </c>
      <c r="C7" s="234" t="e">
        <f>+#REF!</f>
        <v>#REF!</v>
      </c>
    </row>
    <row r="8" spans="1:13" s="203" customFormat="1" ht="18" customHeight="1" x14ac:dyDescent="0.2">
      <c r="A8" s="205" t="s">
        <v>42</v>
      </c>
      <c r="B8" s="203" t="s">
        <v>227</v>
      </c>
      <c r="C8" s="879" t="e">
        <f>+#REF!</f>
        <v>#REF!</v>
      </c>
      <c r="D8" s="880"/>
      <c r="E8" s="880"/>
    </row>
    <row r="9" spans="1:13" s="203" customFormat="1" ht="18" customHeight="1" x14ac:dyDescent="0.2">
      <c r="A9" s="205" t="s">
        <v>43</v>
      </c>
      <c r="B9" s="203" t="s">
        <v>227</v>
      </c>
      <c r="C9" s="234" t="e">
        <f>+#REF!</f>
        <v>#REF!</v>
      </c>
    </row>
    <row r="10" spans="1:13" s="203" customFormat="1" ht="18" customHeight="1" x14ac:dyDescent="0.2">
      <c r="A10" s="203" t="s">
        <v>279</v>
      </c>
      <c r="B10" s="205" t="s">
        <v>227</v>
      </c>
      <c r="C10" s="204" t="s">
        <v>201</v>
      </c>
    </row>
    <row r="11" spans="1:13" s="203" customFormat="1" ht="19.5" customHeight="1" x14ac:dyDescent="0.2">
      <c r="A11" s="206" t="s">
        <v>280</v>
      </c>
      <c r="B11" s="207" t="s">
        <v>227</v>
      </c>
      <c r="C11" s="208" t="s">
        <v>232</v>
      </c>
      <c r="D11" s="707" t="s">
        <v>281</v>
      </c>
      <c r="E11" s="707"/>
      <c r="F11" s="707"/>
      <c r="G11" s="707"/>
      <c r="H11" s="707"/>
      <c r="I11" s="707"/>
      <c r="J11" s="707"/>
      <c r="K11" s="707"/>
      <c r="L11" s="707"/>
      <c r="M11" s="205"/>
    </row>
    <row r="12" spans="1:13" s="203" customFormat="1" ht="21" customHeight="1" x14ac:dyDescent="0.2">
      <c r="A12" s="206"/>
      <c r="B12" s="207"/>
      <c r="C12" s="208" t="s">
        <v>235</v>
      </c>
      <c r="D12" s="707" t="s">
        <v>282</v>
      </c>
      <c r="E12" s="707"/>
      <c r="F12" s="707"/>
      <c r="G12" s="707"/>
      <c r="H12" s="707"/>
      <c r="I12" s="707"/>
      <c r="J12" s="707"/>
      <c r="K12" s="707"/>
      <c r="L12" s="707"/>
      <c r="M12" s="205"/>
    </row>
    <row r="13" spans="1:13" s="203" customFormat="1" ht="27.75" customHeight="1" x14ac:dyDescent="0.2">
      <c r="A13" s="206"/>
      <c r="B13" s="207"/>
      <c r="C13" s="208" t="s">
        <v>260</v>
      </c>
      <c r="D13" s="707" t="s">
        <v>283</v>
      </c>
      <c r="E13" s="707"/>
      <c r="F13" s="707"/>
      <c r="G13" s="707"/>
      <c r="H13" s="707"/>
      <c r="I13" s="707"/>
      <c r="J13" s="707"/>
      <c r="K13" s="707"/>
      <c r="L13" s="707"/>
      <c r="M13" s="205"/>
    </row>
    <row r="14" spans="1:13" s="203" customFormat="1" ht="28.5" customHeight="1" x14ac:dyDescent="0.2">
      <c r="A14" s="206"/>
      <c r="B14" s="207"/>
      <c r="C14" s="208" t="s">
        <v>284</v>
      </c>
      <c r="D14" s="707" t="s">
        <v>285</v>
      </c>
      <c r="E14" s="707"/>
      <c r="F14" s="707"/>
      <c r="G14" s="707"/>
      <c r="H14" s="707"/>
      <c r="I14" s="707"/>
      <c r="J14" s="707"/>
      <c r="K14" s="707"/>
      <c r="L14" s="707"/>
      <c r="M14" s="205"/>
    </row>
    <row r="15" spans="1:13" s="203" customFormat="1" ht="5.25" customHeight="1" x14ac:dyDescent="0.2">
      <c r="A15" s="206"/>
      <c r="B15" s="207"/>
      <c r="C15" s="208"/>
      <c r="D15" s="707"/>
      <c r="E15" s="707"/>
      <c r="F15" s="707"/>
      <c r="G15" s="707"/>
      <c r="H15" s="707"/>
      <c r="I15" s="707"/>
      <c r="J15" s="707"/>
      <c r="K15" s="707"/>
      <c r="L15" s="707"/>
      <c r="M15" s="205"/>
    </row>
    <row r="16" spans="1:13" s="203" customFormat="1" ht="15" customHeight="1" x14ac:dyDescent="0.2">
      <c r="C16" s="204"/>
      <c r="D16" s="205"/>
    </row>
    <row r="17" spans="1:14" s="203" customFormat="1" ht="15" customHeight="1" x14ac:dyDescent="0.2">
      <c r="A17" s="203" t="s">
        <v>175</v>
      </c>
      <c r="B17" s="203" t="s">
        <v>227</v>
      </c>
      <c r="C17" s="716" t="s">
        <v>405</v>
      </c>
      <c r="D17" s="716"/>
      <c r="E17" s="716"/>
      <c r="F17" s="716"/>
      <c r="G17" s="716"/>
      <c r="H17" s="716"/>
      <c r="I17" s="716"/>
      <c r="J17" s="716"/>
      <c r="K17" s="716"/>
      <c r="L17" s="716"/>
    </row>
    <row r="18" spans="1:14" s="203" customFormat="1" ht="15" customHeight="1" x14ac:dyDescent="0.2">
      <c r="C18" s="716"/>
      <c r="D18" s="716"/>
      <c r="E18" s="716"/>
      <c r="F18" s="716"/>
      <c r="G18" s="716"/>
      <c r="H18" s="716"/>
      <c r="I18" s="716"/>
      <c r="J18" s="716"/>
      <c r="K18" s="716"/>
      <c r="L18" s="716"/>
    </row>
    <row r="19" spans="1:14" s="203" customFormat="1" ht="15" customHeight="1" x14ac:dyDescent="0.2">
      <c r="A19" s="203" t="s">
        <v>286</v>
      </c>
      <c r="B19" s="205" t="s">
        <v>227</v>
      </c>
      <c r="C19" s="205" t="s">
        <v>406</v>
      </c>
      <c r="D19" s="205"/>
      <c r="E19" s="205"/>
      <c r="F19" s="205"/>
      <c r="G19" s="205"/>
      <c r="H19" s="205"/>
      <c r="I19" s="205"/>
    </row>
    <row r="20" spans="1:14" s="203" customFormat="1" ht="15" customHeight="1" x14ac:dyDescent="0.2">
      <c r="B20" s="205"/>
      <c r="C20" s="204" t="s">
        <v>287</v>
      </c>
    </row>
    <row r="21" spans="1:14" s="203" customFormat="1" ht="15" customHeight="1" x14ac:dyDescent="0.2">
      <c r="A21" s="707" t="s">
        <v>288</v>
      </c>
      <c r="B21" s="707"/>
      <c r="C21" s="707"/>
      <c r="D21" s="707"/>
      <c r="E21" s="707"/>
      <c r="F21" s="707"/>
      <c r="G21" s="707"/>
      <c r="H21" s="707"/>
      <c r="I21" s="707"/>
      <c r="J21" s="707"/>
      <c r="K21" s="707"/>
      <c r="L21" s="707"/>
    </row>
    <row r="22" spans="1:14" s="203" customFormat="1" ht="15" customHeight="1" x14ac:dyDescent="0.2">
      <c r="A22" s="707"/>
      <c r="B22" s="707"/>
      <c r="C22" s="707"/>
      <c r="D22" s="707"/>
      <c r="E22" s="707"/>
      <c r="F22" s="707"/>
      <c r="G22" s="707"/>
      <c r="H22" s="707"/>
      <c r="I22" s="707"/>
      <c r="J22" s="707"/>
      <c r="K22" s="707"/>
      <c r="L22" s="707"/>
      <c r="N22" s="209"/>
    </row>
    <row r="23" spans="1:14" s="203" customFormat="1" ht="15" customHeight="1" x14ac:dyDescent="0.2">
      <c r="C23" s="204"/>
    </row>
    <row r="24" spans="1:14" s="203" customFormat="1" ht="15" customHeight="1" x14ac:dyDescent="0.2">
      <c r="C24" s="204"/>
    </row>
    <row r="25" spans="1:14" s="203" customFormat="1" ht="15" customHeight="1" x14ac:dyDescent="0.2">
      <c r="C25" s="204"/>
      <c r="H25" s="203" t="s">
        <v>273</v>
      </c>
      <c r="J25" s="203" t="s">
        <v>227</v>
      </c>
      <c r="K25" s="203" t="str">
        <f>D!I36</f>
        <v>Mamuju</v>
      </c>
    </row>
    <row r="26" spans="1:14" s="203" customFormat="1" ht="15" customHeight="1" x14ac:dyDescent="0.2">
      <c r="C26" s="204"/>
      <c r="H26" s="210" t="s">
        <v>289</v>
      </c>
      <c r="I26" s="210"/>
      <c r="J26" s="210" t="s">
        <v>227</v>
      </c>
      <c r="K26" s="717">
        <v>40677</v>
      </c>
      <c r="L26" s="717"/>
      <c r="M26" s="211"/>
    </row>
    <row r="27" spans="1:14" s="203" customFormat="1" ht="9" customHeight="1" x14ac:dyDescent="0.2">
      <c r="C27" s="204"/>
    </row>
    <row r="28" spans="1:14" s="203" customFormat="1" ht="15" customHeight="1" x14ac:dyDescent="0.2">
      <c r="C28" s="204"/>
      <c r="H28" s="712" t="str">
        <f>D!F39</f>
        <v>Pejabat Pembuat Komitmen</v>
      </c>
      <c r="I28" s="712"/>
      <c r="J28" s="712"/>
      <c r="K28" s="712"/>
      <c r="L28" s="712"/>
      <c r="M28" s="712"/>
    </row>
    <row r="29" spans="1:14" s="203" customFormat="1" ht="13.5" customHeight="1" x14ac:dyDescent="0.2">
      <c r="C29" s="204"/>
      <c r="H29" s="712" t="e">
        <f>D!#REF!</f>
        <v>#REF!</v>
      </c>
      <c r="I29" s="712"/>
      <c r="J29" s="712"/>
      <c r="K29" s="712"/>
      <c r="L29" s="712"/>
      <c r="M29" s="712"/>
    </row>
    <row r="30" spans="1:14" s="203" customFormat="1" ht="45.75" customHeight="1" x14ac:dyDescent="0.2">
      <c r="C30" s="204"/>
    </row>
    <row r="31" spans="1:14" s="203" customFormat="1" ht="15" customHeight="1" x14ac:dyDescent="0.2">
      <c r="C31" s="204"/>
      <c r="H31" s="714" t="str">
        <f>D!F42</f>
        <v>Prayitno, S.ST.</v>
      </c>
      <c r="I31" s="714"/>
      <c r="J31" s="714"/>
      <c r="K31" s="714"/>
      <c r="L31" s="714"/>
      <c r="M31" s="714"/>
    </row>
    <row r="32" spans="1:14" s="203" customFormat="1" ht="15" customHeight="1" x14ac:dyDescent="0.2">
      <c r="C32" s="204"/>
      <c r="H32" s="715" t="str">
        <f>D!F43</f>
        <v>NIP. 19681210 199112 1 001</v>
      </c>
      <c r="I32" s="715"/>
      <c r="J32" s="715"/>
      <c r="K32" s="715"/>
      <c r="L32" s="715"/>
      <c r="M32" s="715"/>
    </row>
    <row r="33" spans="3:3" s="203" customFormat="1" ht="15" customHeight="1" x14ac:dyDescent="0.2">
      <c r="C33" s="204"/>
    </row>
    <row r="34" spans="3:3" s="203" customFormat="1" ht="15" customHeight="1" x14ac:dyDescent="0.2">
      <c r="C34" s="204"/>
    </row>
    <row r="35" spans="3:3" s="203" customFormat="1" ht="15" customHeight="1" x14ac:dyDescent="0.2">
      <c r="C35" s="204"/>
    </row>
    <row r="36" spans="3:3" s="203" customFormat="1" ht="15" customHeight="1" x14ac:dyDescent="0.2">
      <c r="C36" s="204"/>
    </row>
    <row r="37" spans="3:3" s="203" customFormat="1" ht="15" customHeight="1" x14ac:dyDescent="0.2">
      <c r="C37" s="204"/>
    </row>
    <row r="38" spans="3:3" s="203" customFormat="1" ht="15" customHeight="1" x14ac:dyDescent="0.2">
      <c r="C38" s="204"/>
    </row>
    <row r="39" spans="3:3" s="203" customFormat="1" ht="15" customHeight="1" x14ac:dyDescent="0.2">
      <c r="C39" s="204"/>
    </row>
    <row r="40" spans="3:3" s="203" customFormat="1" ht="15" customHeight="1" x14ac:dyDescent="0.2">
      <c r="C40" s="204"/>
    </row>
    <row r="41" spans="3:3" s="203" customFormat="1" ht="15" customHeight="1" x14ac:dyDescent="0.2">
      <c r="C41" s="204"/>
    </row>
    <row r="42" spans="3:3" s="203" customFormat="1" ht="15" customHeight="1" x14ac:dyDescent="0.2">
      <c r="C42" s="204"/>
    </row>
    <row r="43" spans="3:3" s="203" customFormat="1" ht="15" customHeight="1" x14ac:dyDescent="0.2">
      <c r="C43" s="204"/>
    </row>
    <row r="44" spans="3:3" s="203" customFormat="1" ht="15" customHeight="1" x14ac:dyDescent="0.2">
      <c r="C44" s="204"/>
    </row>
    <row r="45" spans="3:3" s="203" customFormat="1" ht="15" customHeight="1" x14ac:dyDescent="0.2">
      <c r="C45" s="204"/>
    </row>
    <row r="46" spans="3:3" s="203" customFormat="1" ht="15" customHeight="1" x14ac:dyDescent="0.2">
      <c r="C46" s="204"/>
    </row>
    <row r="47" spans="3:3" s="203" customFormat="1" ht="15" customHeight="1" x14ac:dyDescent="0.2">
      <c r="C47" s="204"/>
    </row>
    <row r="48" spans="3:3" s="203" customFormat="1" ht="15" customHeight="1" x14ac:dyDescent="0.2">
      <c r="C48" s="204"/>
    </row>
    <row r="49" spans="3:3" s="203" customFormat="1" ht="15" customHeight="1" x14ac:dyDescent="0.2">
      <c r="C49" s="204"/>
    </row>
    <row r="50" spans="3:3" s="203" customFormat="1" ht="15" customHeight="1" x14ac:dyDescent="0.2">
      <c r="C50" s="204"/>
    </row>
    <row r="51" spans="3:3" s="203" customFormat="1" ht="15" customHeight="1" x14ac:dyDescent="0.2">
      <c r="C51" s="204"/>
    </row>
    <row r="52" spans="3:3" s="203" customFormat="1" ht="15" customHeight="1" x14ac:dyDescent="0.2">
      <c r="C52" s="204"/>
    </row>
    <row r="53" spans="3:3" s="203" customFormat="1" ht="15" customHeight="1" x14ac:dyDescent="0.2">
      <c r="C53" s="204"/>
    </row>
    <row r="54" spans="3:3" s="203" customFormat="1" ht="15" customHeight="1" x14ac:dyDescent="0.2">
      <c r="C54" s="204"/>
    </row>
    <row r="55" spans="3:3" s="203" customFormat="1" ht="15" customHeight="1" x14ac:dyDescent="0.2">
      <c r="C55" s="204"/>
    </row>
    <row r="56" spans="3:3" s="203" customFormat="1" ht="15" customHeight="1" x14ac:dyDescent="0.2">
      <c r="C56" s="204"/>
    </row>
    <row r="57" spans="3:3" s="203" customFormat="1" ht="15" customHeight="1" x14ac:dyDescent="0.2">
      <c r="C57" s="204"/>
    </row>
    <row r="58" spans="3:3" s="203" customFormat="1" ht="15" customHeight="1" x14ac:dyDescent="0.2">
      <c r="C58" s="204"/>
    </row>
    <row r="59" spans="3:3" s="203" customFormat="1" ht="15" customHeight="1" x14ac:dyDescent="0.2">
      <c r="C59" s="204"/>
    </row>
    <row r="60" spans="3:3" s="203" customFormat="1" ht="15" customHeight="1" x14ac:dyDescent="0.2">
      <c r="C60" s="204"/>
    </row>
    <row r="61" spans="3:3" s="203" customFormat="1" ht="15" customHeight="1" x14ac:dyDescent="0.2">
      <c r="C61" s="204"/>
    </row>
    <row r="62" spans="3:3" s="203" customFormat="1" ht="15" customHeight="1" x14ac:dyDescent="0.2">
      <c r="C62" s="204"/>
    </row>
    <row r="63" spans="3:3" s="203" customFormat="1" ht="15" customHeight="1" x14ac:dyDescent="0.2">
      <c r="C63" s="204"/>
    </row>
    <row r="64" spans="3:3" s="203" customFormat="1" ht="15" customHeight="1" x14ac:dyDescent="0.2">
      <c r="C64" s="204"/>
    </row>
    <row r="65" spans="3:3" s="203" customFormat="1" ht="15" customHeight="1" x14ac:dyDescent="0.2">
      <c r="C65" s="204"/>
    </row>
    <row r="66" spans="3:3" s="203" customFormat="1" ht="15" customHeight="1" x14ac:dyDescent="0.2">
      <c r="C66" s="204"/>
    </row>
    <row r="67" spans="3:3" s="203" customFormat="1" ht="15" customHeight="1" x14ac:dyDescent="0.2">
      <c r="C67" s="204"/>
    </row>
    <row r="68" spans="3:3" s="203" customFormat="1" ht="15" customHeight="1" x14ac:dyDescent="0.2">
      <c r="C68" s="204"/>
    </row>
    <row r="69" spans="3:3" s="203" customFormat="1" ht="15" customHeight="1" x14ac:dyDescent="0.2">
      <c r="C69" s="204"/>
    </row>
    <row r="70" spans="3:3" s="203" customFormat="1" ht="15" customHeight="1" x14ac:dyDescent="0.2">
      <c r="C70" s="204"/>
    </row>
    <row r="71" spans="3:3" s="203" customFormat="1" ht="15" customHeight="1" x14ac:dyDescent="0.2">
      <c r="C71" s="204"/>
    </row>
    <row r="72" spans="3:3" s="203" customFormat="1" ht="15" customHeight="1" x14ac:dyDescent="0.2">
      <c r="C72" s="204"/>
    </row>
    <row r="73" spans="3:3" s="203" customFormat="1" ht="15" customHeight="1" x14ac:dyDescent="0.2">
      <c r="C73" s="204"/>
    </row>
    <row r="74" spans="3:3" s="203" customFormat="1" ht="15" customHeight="1" x14ac:dyDescent="0.2">
      <c r="C74" s="204"/>
    </row>
    <row r="75" spans="3:3" s="203" customFormat="1" ht="15" customHeight="1" x14ac:dyDescent="0.2">
      <c r="C75" s="204"/>
    </row>
    <row r="76" spans="3:3" s="203" customFormat="1" ht="15" customHeight="1" x14ac:dyDescent="0.2">
      <c r="C76" s="204"/>
    </row>
    <row r="77" spans="3:3" s="203" customFormat="1" ht="15" customHeight="1" x14ac:dyDescent="0.2">
      <c r="C77" s="204"/>
    </row>
    <row r="78" spans="3:3" s="203" customFormat="1" ht="15" customHeight="1" x14ac:dyDescent="0.2">
      <c r="C78" s="204"/>
    </row>
    <row r="79" spans="3:3" s="203" customFormat="1" ht="15" customHeight="1" x14ac:dyDescent="0.2">
      <c r="C79" s="204"/>
    </row>
    <row r="80" spans="3:3" s="203" customFormat="1" ht="15" customHeight="1" x14ac:dyDescent="0.2">
      <c r="C80" s="204"/>
    </row>
    <row r="81" spans="3:3" s="203" customFormat="1" ht="15" customHeight="1" x14ac:dyDescent="0.2">
      <c r="C81" s="204"/>
    </row>
    <row r="82" spans="3:3" s="203" customFormat="1" ht="15" customHeight="1" x14ac:dyDescent="0.2">
      <c r="C82" s="204"/>
    </row>
    <row r="83" spans="3:3" s="203" customFormat="1" ht="15" customHeight="1" x14ac:dyDescent="0.2">
      <c r="C83" s="204"/>
    </row>
    <row r="84" spans="3:3" s="203" customFormat="1" ht="15" customHeight="1" x14ac:dyDescent="0.2">
      <c r="C84" s="204"/>
    </row>
    <row r="85" spans="3:3" s="203" customFormat="1" ht="15" customHeight="1" x14ac:dyDescent="0.2">
      <c r="C85" s="204"/>
    </row>
    <row r="86" spans="3:3" s="203" customFormat="1" ht="15" customHeight="1" x14ac:dyDescent="0.2">
      <c r="C86" s="204"/>
    </row>
    <row r="87" spans="3:3" s="203" customFormat="1" ht="15" customHeight="1" x14ac:dyDescent="0.2">
      <c r="C87" s="204"/>
    </row>
    <row r="88" spans="3:3" s="203" customFormat="1" ht="15" customHeight="1" x14ac:dyDescent="0.2">
      <c r="C88" s="204"/>
    </row>
    <row r="89" spans="3:3" s="203" customFormat="1" ht="15" customHeight="1" x14ac:dyDescent="0.2">
      <c r="C89" s="204"/>
    </row>
  </sheetData>
  <mergeCells count="15">
    <mergeCell ref="H29:M29"/>
    <mergeCell ref="H31:M31"/>
    <mergeCell ref="H32:M32"/>
    <mergeCell ref="D14:L14"/>
    <mergeCell ref="D15:L15"/>
    <mergeCell ref="C17:L18"/>
    <mergeCell ref="A21:L22"/>
    <mergeCell ref="K26:L26"/>
    <mergeCell ref="H28:M28"/>
    <mergeCell ref="D13:L13"/>
    <mergeCell ref="A1:M1"/>
    <mergeCell ref="A2:M2"/>
    <mergeCell ref="C8:E8"/>
    <mergeCell ref="D11:L11"/>
    <mergeCell ref="D12:L12"/>
  </mergeCells>
  <printOptions horizontalCentered="1"/>
  <pageMargins left="0.6" right="0.5" top="0.56999999999999995" bottom="0.38" header="0.51181102362204722" footer="0.26"/>
  <pageSetup orientation="portrait" horizontalDpi="4294967294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N89"/>
  <sheetViews>
    <sheetView workbookViewId="0">
      <selection activeCell="A15" sqref="A15:I15"/>
    </sheetView>
  </sheetViews>
  <sheetFormatPr defaultColWidth="9.140625" defaultRowHeight="15" customHeight="1" x14ac:dyDescent="0.2"/>
  <cols>
    <col min="1" max="1" width="7.7109375" style="26" customWidth="1"/>
    <col min="2" max="2" width="2.85546875" style="26" customWidth="1"/>
    <col min="3" max="3" width="2.140625" style="28" customWidth="1"/>
    <col min="4" max="4" width="11" style="26" customWidth="1"/>
    <col min="5" max="5" width="16.28515625" style="26" customWidth="1"/>
    <col min="6" max="6" width="7.7109375" style="26" customWidth="1"/>
    <col min="7" max="7" width="11.5703125" style="26" customWidth="1"/>
    <col min="8" max="9" width="7.7109375" style="26" customWidth="1"/>
    <col min="10" max="10" width="1.7109375" style="26" customWidth="1"/>
    <col min="11" max="11" width="7.7109375" style="26" customWidth="1"/>
    <col min="12" max="12" width="8.7109375" style="26" customWidth="1"/>
    <col min="13" max="13" width="0.85546875" style="26" customWidth="1"/>
    <col min="14" max="16384" width="9.140625" style="26"/>
  </cols>
  <sheetData>
    <row r="1" spans="1:13" ht="21" customHeight="1" x14ac:dyDescent="0.2">
      <c r="A1" s="708" t="s">
        <v>276</v>
      </c>
      <c r="B1" s="708"/>
      <c r="C1" s="708"/>
      <c r="D1" s="708"/>
      <c r="E1" s="708"/>
      <c r="F1" s="708"/>
      <c r="G1" s="708"/>
      <c r="H1" s="708"/>
      <c r="I1" s="708"/>
      <c r="J1" s="708"/>
      <c r="K1" s="708"/>
      <c r="L1" s="708"/>
      <c r="M1" s="708"/>
    </row>
    <row r="2" spans="1:13" s="27" customFormat="1" ht="12" customHeight="1" x14ac:dyDescent="0.2">
      <c r="A2" s="709" t="s">
        <v>407</v>
      </c>
      <c r="B2" s="709"/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</row>
    <row r="3" spans="1:13" ht="12.75" customHeight="1" x14ac:dyDescent="0.2">
      <c r="A3" s="496"/>
      <c r="B3" s="496"/>
      <c r="C3" s="496"/>
      <c r="D3" s="496"/>
      <c r="E3" s="496"/>
      <c r="F3" s="496"/>
      <c r="G3" s="496"/>
      <c r="H3" s="496"/>
      <c r="I3" s="496"/>
      <c r="J3" s="496"/>
      <c r="K3" s="496"/>
      <c r="L3" s="496"/>
      <c r="M3" s="496"/>
    </row>
    <row r="4" spans="1:13" ht="3.75" customHeight="1" x14ac:dyDescent="0.2"/>
    <row r="5" spans="1:13" s="203" customFormat="1" ht="15" customHeight="1" x14ac:dyDescent="0.2">
      <c r="A5" s="203" t="s">
        <v>277</v>
      </c>
      <c r="C5" s="204"/>
    </row>
    <row r="6" spans="1:13" s="203" customFormat="1" ht="11.25" customHeight="1" x14ac:dyDescent="0.2">
      <c r="C6" s="204"/>
    </row>
    <row r="7" spans="1:13" s="203" customFormat="1" ht="18" customHeight="1" x14ac:dyDescent="0.2">
      <c r="A7" s="205" t="s">
        <v>278</v>
      </c>
      <c r="B7" s="203" t="s">
        <v>227</v>
      </c>
      <c r="C7" s="234" t="e">
        <f>+#REF!</f>
        <v>#REF!</v>
      </c>
    </row>
    <row r="8" spans="1:13" s="203" customFormat="1" ht="18" customHeight="1" x14ac:dyDescent="0.2">
      <c r="A8" s="205" t="s">
        <v>42</v>
      </c>
      <c r="B8" s="203" t="s">
        <v>227</v>
      </c>
      <c r="C8" s="879" t="e">
        <f>+#REF!</f>
        <v>#REF!</v>
      </c>
      <c r="D8" s="880"/>
      <c r="E8" s="880"/>
    </row>
    <row r="9" spans="1:13" s="203" customFormat="1" ht="18" customHeight="1" x14ac:dyDescent="0.2">
      <c r="A9" s="205" t="s">
        <v>43</v>
      </c>
      <c r="B9" s="203" t="s">
        <v>227</v>
      </c>
      <c r="C9" s="234" t="e">
        <f>+#REF!</f>
        <v>#REF!</v>
      </c>
    </row>
    <row r="10" spans="1:13" s="203" customFormat="1" ht="18" customHeight="1" x14ac:dyDescent="0.2">
      <c r="A10" s="203" t="s">
        <v>279</v>
      </c>
      <c r="B10" s="205" t="s">
        <v>227</v>
      </c>
      <c r="C10" s="204" t="s">
        <v>201</v>
      </c>
    </row>
    <row r="11" spans="1:13" s="203" customFormat="1" ht="19.5" customHeight="1" x14ac:dyDescent="0.2">
      <c r="A11" s="206" t="s">
        <v>280</v>
      </c>
      <c r="B11" s="207" t="s">
        <v>227</v>
      </c>
      <c r="C11" s="208" t="s">
        <v>232</v>
      </c>
      <c r="D11" s="707" t="s">
        <v>281</v>
      </c>
      <c r="E11" s="707"/>
      <c r="F11" s="707"/>
      <c r="G11" s="707"/>
      <c r="H11" s="707"/>
      <c r="I11" s="707"/>
      <c r="J11" s="707"/>
      <c r="K11" s="707"/>
      <c r="L11" s="707"/>
      <c r="M11" s="205"/>
    </row>
    <row r="12" spans="1:13" s="203" customFormat="1" ht="21" customHeight="1" x14ac:dyDescent="0.2">
      <c r="A12" s="206"/>
      <c r="B12" s="207"/>
      <c r="C12" s="208" t="s">
        <v>235</v>
      </c>
      <c r="D12" s="707" t="s">
        <v>282</v>
      </c>
      <c r="E12" s="707"/>
      <c r="F12" s="707"/>
      <c r="G12" s="707"/>
      <c r="H12" s="707"/>
      <c r="I12" s="707"/>
      <c r="J12" s="707"/>
      <c r="K12" s="707"/>
      <c r="L12" s="707"/>
      <c r="M12" s="205"/>
    </row>
    <row r="13" spans="1:13" s="203" customFormat="1" ht="27.75" customHeight="1" x14ac:dyDescent="0.2">
      <c r="A13" s="206"/>
      <c r="B13" s="207"/>
      <c r="C13" s="208" t="s">
        <v>260</v>
      </c>
      <c r="D13" s="707" t="s">
        <v>283</v>
      </c>
      <c r="E13" s="707"/>
      <c r="F13" s="707"/>
      <c r="G13" s="707"/>
      <c r="H13" s="707"/>
      <c r="I13" s="707"/>
      <c r="J13" s="707"/>
      <c r="K13" s="707"/>
      <c r="L13" s="707"/>
      <c r="M13" s="205"/>
    </row>
    <row r="14" spans="1:13" s="203" customFormat="1" ht="28.5" customHeight="1" x14ac:dyDescent="0.2">
      <c r="A14" s="206"/>
      <c r="B14" s="207"/>
      <c r="C14" s="208" t="s">
        <v>284</v>
      </c>
      <c r="D14" s="707" t="s">
        <v>285</v>
      </c>
      <c r="E14" s="707"/>
      <c r="F14" s="707"/>
      <c r="G14" s="707"/>
      <c r="H14" s="707"/>
      <c r="I14" s="707"/>
      <c r="J14" s="707"/>
      <c r="K14" s="707"/>
      <c r="L14" s="707"/>
      <c r="M14" s="205"/>
    </row>
    <row r="15" spans="1:13" s="203" customFormat="1" ht="5.25" customHeight="1" x14ac:dyDescent="0.2">
      <c r="A15" s="206"/>
      <c r="B15" s="207"/>
      <c r="C15" s="208"/>
      <c r="D15" s="707"/>
      <c r="E15" s="707"/>
      <c r="F15" s="707"/>
      <c r="G15" s="707"/>
      <c r="H15" s="707"/>
      <c r="I15" s="707"/>
      <c r="J15" s="707"/>
      <c r="K15" s="707"/>
      <c r="L15" s="707"/>
      <c r="M15" s="205"/>
    </row>
    <row r="16" spans="1:13" s="203" customFormat="1" ht="15" customHeight="1" x14ac:dyDescent="0.2">
      <c r="C16" s="204"/>
      <c r="D16" s="205"/>
    </row>
    <row r="17" spans="1:14" s="203" customFormat="1" ht="15" customHeight="1" x14ac:dyDescent="0.2">
      <c r="A17" s="203" t="s">
        <v>175</v>
      </c>
      <c r="B17" s="203" t="s">
        <v>227</v>
      </c>
      <c r="C17" s="716" t="s">
        <v>405</v>
      </c>
      <c r="D17" s="716"/>
      <c r="E17" s="716"/>
      <c r="F17" s="716"/>
      <c r="G17" s="716"/>
      <c r="H17" s="716"/>
      <c r="I17" s="716"/>
      <c r="J17" s="716"/>
      <c r="K17" s="716"/>
      <c r="L17" s="716"/>
    </row>
    <row r="18" spans="1:14" s="203" customFormat="1" ht="15" customHeight="1" x14ac:dyDescent="0.2">
      <c r="C18" s="716"/>
      <c r="D18" s="716"/>
      <c r="E18" s="716"/>
      <c r="F18" s="716"/>
      <c r="G18" s="716"/>
      <c r="H18" s="716"/>
      <c r="I18" s="716"/>
      <c r="J18" s="716"/>
      <c r="K18" s="716"/>
      <c r="L18" s="716"/>
    </row>
    <row r="19" spans="1:14" s="203" customFormat="1" ht="15" customHeight="1" x14ac:dyDescent="0.2">
      <c r="A19" s="203" t="s">
        <v>286</v>
      </c>
      <c r="B19" s="205" t="s">
        <v>227</v>
      </c>
      <c r="C19" s="205" t="s">
        <v>406</v>
      </c>
      <c r="D19" s="205"/>
      <c r="E19" s="205"/>
      <c r="F19" s="205"/>
      <c r="G19" s="205"/>
      <c r="H19" s="205"/>
      <c r="I19" s="205"/>
    </row>
    <row r="20" spans="1:14" s="203" customFormat="1" ht="15" customHeight="1" x14ac:dyDescent="0.2">
      <c r="B20" s="205"/>
      <c r="C20" s="204" t="s">
        <v>287</v>
      </c>
    </row>
    <row r="21" spans="1:14" s="203" customFormat="1" ht="15" customHeight="1" x14ac:dyDescent="0.2">
      <c r="A21" s="707" t="s">
        <v>288</v>
      </c>
      <c r="B21" s="707"/>
      <c r="C21" s="707"/>
      <c r="D21" s="707"/>
      <c r="E21" s="707"/>
      <c r="F21" s="707"/>
      <c r="G21" s="707"/>
      <c r="H21" s="707"/>
      <c r="I21" s="707"/>
      <c r="J21" s="707"/>
      <c r="K21" s="707"/>
      <c r="L21" s="707"/>
    </row>
    <row r="22" spans="1:14" s="203" customFormat="1" ht="15" customHeight="1" x14ac:dyDescent="0.2">
      <c r="A22" s="707"/>
      <c r="B22" s="707"/>
      <c r="C22" s="707"/>
      <c r="D22" s="707"/>
      <c r="E22" s="707"/>
      <c r="F22" s="707"/>
      <c r="G22" s="707"/>
      <c r="H22" s="707"/>
      <c r="I22" s="707"/>
      <c r="J22" s="707"/>
      <c r="K22" s="707"/>
      <c r="L22" s="707"/>
      <c r="N22" s="209"/>
    </row>
    <row r="23" spans="1:14" s="203" customFormat="1" ht="15" customHeight="1" x14ac:dyDescent="0.2">
      <c r="C23" s="204"/>
    </row>
    <row r="24" spans="1:14" s="203" customFormat="1" ht="15" customHeight="1" x14ac:dyDescent="0.2">
      <c r="C24" s="204"/>
    </row>
    <row r="25" spans="1:14" s="203" customFormat="1" ht="15" customHeight="1" x14ac:dyDescent="0.2">
      <c r="C25" s="204"/>
      <c r="H25" s="203" t="s">
        <v>273</v>
      </c>
      <c r="J25" s="203" t="s">
        <v>227</v>
      </c>
      <c r="K25" s="203" t="str">
        <f>D!I36</f>
        <v>Mamuju</v>
      </c>
    </row>
    <row r="26" spans="1:14" s="203" customFormat="1" ht="15" customHeight="1" x14ac:dyDescent="0.2">
      <c r="C26" s="204"/>
      <c r="H26" s="210" t="s">
        <v>289</v>
      </c>
      <c r="I26" s="210"/>
      <c r="J26" s="210" t="s">
        <v>227</v>
      </c>
      <c r="K26" s="717">
        <v>40677</v>
      </c>
      <c r="L26" s="717"/>
      <c r="M26" s="211"/>
    </row>
    <row r="27" spans="1:14" s="203" customFormat="1" ht="9" customHeight="1" x14ac:dyDescent="0.2">
      <c r="C27" s="204"/>
    </row>
    <row r="28" spans="1:14" s="203" customFormat="1" ht="15" customHeight="1" x14ac:dyDescent="0.2">
      <c r="C28" s="204"/>
      <c r="H28" s="712" t="str">
        <f>D!F39</f>
        <v>Pejabat Pembuat Komitmen</v>
      </c>
      <c r="I28" s="712"/>
      <c r="J28" s="712"/>
      <c r="K28" s="712"/>
      <c r="L28" s="712"/>
      <c r="M28" s="712"/>
    </row>
    <row r="29" spans="1:14" s="203" customFormat="1" ht="13.5" customHeight="1" x14ac:dyDescent="0.2">
      <c r="C29" s="204"/>
      <c r="H29" s="712" t="e">
        <f>D!#REF!</f>
        <v>#REF!</v>
      </c>
      <c r="I29" s="712"/>
      <c r="J29" s="712"/>
      <c r="K29" s="712"/>
      <c r="L29" s="712"/>
      <c r="M29" s="712"/>
    </row>
    <row r="30" spans="1:14" s="203" customFormat="1" ht="45.75" customHeight="1" x14ac:dyDescent="0.2">
      <c r="C30" s="204"/>
    </row>
    <row r="31" spans="1:14" s="203" customFormat="1" ht="15" customHeight="1" x14ac:dyDescent="0.2">
      <c r="C31" s="204"/>
      <c r="H31" s="714" t="str">
        <f>D!F42</f>
        <v>Prayitno, S.ST.</v>
      </c>
      <c r="I31" s="714"/>
      <c r="J31" s="714"/>
      <c r="K31" s="714"/>
      <c r="L31" s="714"/>
      <c r="M31" s="714"/>
    </row>
    <row r="32" spans="1:14" s="203" customFormat="1" ht="15" customHeight="1" x14ac:dyDescent="0.2">
      <c r="C32" s="204"/>
      <c r="H32" s="715" t="str">
        <f>D!F43</f>
        <v>NIP. 19681210 199112 1 001</v>
      </c>
      <c r="I32" s="715"/>
      <c r="J32" s="715"/>
      <c r="K32" s="715"/>
      <c r="L32" s="715"/>
      <c r="M32" s="715"/>
    </row>
    <row r="33" spans="3:3" s="203" customFormat="1" ht="15" customHeight="1" x14ac:dyDescent="0.2">
      <c r="C33" s="204"/>
    </row>
    <row r="34" spans="3:3" s="203" customFormat="1" ht="15" customHeight="1" x14ac:dyDescent="0.2">
      <c r="C34" s="204"/>
    </row>
    <row r="35" spans="3:3" s="203" customFormat="1" ht="15" customHeight="1" x14ac:dyDescent="0.2">
      <c r="C35" s="204"/>
    </row>
    <row r="36" spans="3:3" s="203" customFormat="1" ht="15" customHeight="1" x14ac:dyDescent="0.2">
      <c r="C36" s="204"/>
    </row>
    <row r="37" spans="3:3" s="203" customFormat="1" ht="15" customHeight="1" x14ac:dyDescent="0.2">
      <c r="C37" s="204"/>
    </row>
    <row r="38" spans="3:3" s="203" customFormat="1" ht="15" customHeight="1" x14ac:dyDescent="0.2">
      <c r="C38" s="204"/>
    </row>
    <row r="39" spans="3:3" s="203" customFormat="1" ht="15" customHeight="1" x14ac:dyDescent="0.2">
      <c r="C39" s="204"/>
    </row>
    <row r="40" spans="3:3" s="203" customFormat="1" ht="15" customHeight="1" x14ac:dyDescent="0.2">
      <c r="C40" s="204"/>
    </row>
    <row r="41" spans="3:3" s="203" customFormat="1" ht="15" customHeight="1" x14ac:dyDescent="0.2">
      <c r="C41" s="204"/>
    </row>
    <row r="42" spans="3:3" s="203" customFormat="1" ht="15" customHeight="1" x14ac:dyDescent="0.2">
      <c r="C42" s="204"/>
    </row>
    <row r="43" spans="3:3" s="203" customFormat="1" ht="15" customHeight="1" x14ac:dyDescent="0.2">
      <c r="C43" s="204"/>
    </row>
    <row r="44" spans="3:3" s="203" customFormat="1" ht="15" customHeight="1" x14ac:dyDescent="0.2">
      <c r="C44" s="204"/>
    </row>
    <row r="45" spans="3:3" s="203" customFormat="1" ht="15" customHeight="1" x14ac:dyDescent="0.2">
      <c r="C45" s="204"/>
    </row>
    <row r="46" spans="3:3" s="203" customFormat="1" ht="15" customHeight="1" x14ac:dyDescent="0.2">
      <c r="C46" s="204"/>
    </row>
    <row r="47" spans="3:3" s="203" customFormat="1" ht="15" customHeight="1" x14ac:dyDescent="0.2">
      <c r="C47" s="204"/>
    </row>
    <row r="48" spans="3:3" s="203" customFormat="1" ht="15" customHeight="1" x14ac:dyDescent="0.2">
      <c r="C48" s="204"/>
    </row>
    <row r="49" spans="3:3" s="203" customFormat="1" ht="15" customHeight="1" x14ac:dyDescent="0.2">
      <c r="C49" s="204"/>
    </row>
    <row r="50" spans="3:3" s="203" customFormat="1" ht="15" customHeight="1" x14ac:dyDescent="0.2">
      <c r="C50" s="204"/>
    </row>
    <row r="51" spans="3:3" s="203" customFormat="1" ht="15" customHeight="1" x14ac:dyDescent="0.2">
      <c r="C51" s="204"/>
    </row>
    <row r="52" spans="3:3" s="203" customFormat="1" ht="15" customHeight="1" x14ac:dyDescent="0.2">
      <c r="C52" s="204"/>
    </row>
    <row r="53" spans="3:3" s="203" customFormat="1" ht="15" customHeight="1" x14ac:dyDescent="0.2">
      <c r="C53" s="204"/>
    </row>
    <row r="54" spans="3:3" s="203" customFormat="1" ht="15" customHeight="1" x14ac:dyDescent="0.2">
      <c r="C54" s="204"/>
    </row>
    <row r="55" spans="3:3" s="203" customFormat="1" ht="15" customHeight="1" x14ac:dyDescent="0.2">
      <c r="C55" s="204"/>
    </row>
    <row r="56" spans="3:3" s="203" customFormat="1" ht="15" customHeight="1" x14ac:dyDescent="0.2">
      <c r="C56" s="204"/>
    </row>
    <row r="57" spans="3:3" s="203" customFormat="1" ht="15" customHeight="1" x14ac:dyDescent="0.2">
      <c r="C57" s="204"/>
    </row>
    <row r="58" spans="3:3" s="203" customFormat="1" ht="15" customHeight="1" x14ac:dyDescent="0.2">
      <c r="C58" s="204"/>
    </row>
    <row r="59" spans="3:3" s="203" customFormat="1" ht="15" customHeight="1" x14ac:dyDescent="0.2">
      <c r="C59" s="204"/>
    </row>
    <row r="60" spans="3:3" s="203" customFormat="1" ht="15" customHeight="1" x14ac:dyDescent="0.2">
      <c r="C60" s="204"/>
    </row>
    <row r="61" spans="3:3" s="203" customFormat="1" ht="15" customHeight="1" x14ac:dyDescent="0.2">
      <c r="C61" s="204"/>
    </row>
    <row r="62" spans="3:3" s="203" customFormat="1" ht="15" customHeight="1" x14ac:dyDescent="0.2">
      <c r="C62" s="204"/>
    </row>
    <row r="63" spans="3:3" s="203" customFormat="1" ht="15" customHeight="1" x14ac:dyDescent="0.2">
      <c r="C63" s="204"/>
    </row>
    <row r="64" spans="3:3" s="203" customFormat="1" ht="15" customHeight="1" x14ac:dyDescent="0.2">
      <c r="C64" s="204"/>
    </row>
    <row r="65" spans="3:3" s="203" customFormat="1" ht="15" customHeight="1" x14ac:dyDescent="0.2">
      <c r="C65" s="204"/>
    </row>
    <row r="66" spans="3:3" s="203" customFormat="1" ht="15" customHeight="1" x14ac:dyDescent="0.2">
      <c r="C66" s="204"/>
    </row>
    <row r="67" spans="3:3" s="203" customFormat="1" ht="15" customHeight="1" x14ac:dyDescent="0.2">
      <c r="C67" s="204"/>
    </row>
    <row r="68" spans="3:3" s="203" customFormat="1" ht="15" customHeight="1" x14ac:dyDescent="0.2">
      <c r="C68" s="204"/>
    </row>
    <row r="69" spans="3:3" s="203" customFormat="1" ht="15" customHeight="1" x14ac:dyDescent="0.2">
      <c r="C69" s="204"/>
    </row>
    <row r="70" spans="3:3" s="203" customFormat="1" ht="15" customHeight="1" x14ac:dyDescent="0.2">
      <c r="C70" s="204"/>
    </row>
    <row r="71" spans="3:3" s="203" customFormat="1" ht="15" customHeight="1" x14ac:dyDescent="0.2">
      <c r="C71" s="204"/>
    </row>
    <row r="72" spans="3:3" s="203" customFormat="1" ht="15" customHeight="1" x14ac:dyDescent="0.2">
      <c r="C72" s="204"/>
    </row>
    <row r="73" spans="3:3" s="203" customFormat="1" ht="15" customHeight="1" x14ac:dyDescent="0.2">
      <c r="C73" s="204"/>
    </row>
    <row r="74" spans="3:3" s="203" customFormat="1" ht="15" customHeight="1" x14ac:dyDescent="0.2">
      <c r="C74" s="204"/>
    </row>
    <row r="75" spans="3:3" s="203" customFormat="1" ht="15" customHeight="1" x14ac:dyDescent="0.2">
      <c r="C75" s="204"/>
    </row>
    <row r="76" spans="3:3" s="203" customFormat="1" ht="15" customHeight="1" x14ac:dyDescent="0.2">
      <c r="C76" s="204"/>
    </row>
    <row r="77" spans="3:3" s="203" customFormat="1" ht="15" customHeight="1" x14ac:dyDescent="0.2">
      <c r="C77" s="204"/>
    </row>
    <row r="78" spans="3:3" s="203" customFormat="1" ht="15" customHeight="1" x14ac:dyDescent="0.2">
      <c r="C78" s="204"/>
    </row>
    <row r="79" spans="3:3" s="203" customFormat="1" ht="15" customHeight="1" x14ac:dyDescent="0.2">
      <c r="C79" s="204"/>
    </row>
    <row r="80" spans="3:3" s="203" customFormat="1" ht="15" customHeight="1" x14ac:dyDescent="0.2">
      <c r="C80" s="204"/>
    </row>
    <row r="81" spans="3:3" s="203" customFormat="1" ht="15" customHeight="1" x14ac:dyDescent="0.2">
      <c r="C81" s="204"/>
    </row>
    <row r="82" spans="3:3" s="203" customFormat="1" ht="15" customHeight="1" x14ac:dyDescent="0.2">
      <c r="C82" s="204"/>
    </row>
    <row r="83" spans="3:3" s="203" customFormat="1" ht="15" customHeight="1" x14ac:dyDescent="0.2">
      <c r="C83" s="204"/>
    </row>
    <row r="84" spans="3:3" s="203" customFormat="1" ht="15" customHeight="1" x14ac:dyDescent="0.2">
      <c r="C84" s="204"/>
    </row>
    <row r="85" spans="3:3" s="203" customFormat="1" ht="15" customHeight="1" x14ac:dyDescent="0.2">
      <c r="C85" s="204"/>
    </row>
    <row r="86" spans="3:3" s="203" customFormat="1" ht="15" customHeight="1" x14ac:dyDescent="0.2">
      <c r="C86" s="204"/>
    </row>
    <row r="87" spans="3:3" s="203" customFormat="1" ht="15" customHeight="1" x14ac:dyDescent="0.2">
      <c r="C87" s="204"/>
    </row>
    <row r="88" spans="3:3" s="203" customFormat="1" ht="15" customHeight="1" x14ac:dyDescent="0.2">
      <c r="C88" s="204"/>
    </row>
    <row r="89" spans="3:3" s="203" customFormat="1" ht="15" customHeight="1" x14ac:dyDescent="0.2">
      <c r="C89" s="204"/>
    </row>
  </sheetData>
  <mergeCells count="15">
    <mergeCell ref="H29:M29"/>
    <mergeCell ref="H31:M31"/>
    <mergeCell ref="H32:M32"/>
    <mergeCell ref="D14:L14"/>
    <mergeCell ref="D15:L15"/>
    <mergeCell ref="C17:L18"/>
    <mergeCell ref="A21:L22"/>
    <mergeCell ref="K26:L26"/>
    <mergeCell ref="H28:M28"/>
    <mergeCell ref="D13:L13"/>
    <mergeCell ref="A1:M1"/>
    <mergeCell ref="A2:M2"/>
    <mergeCell ref="C8:E8"/>
    <mergeCell ref="D11:L11"/>
    <mergeCell ref="D12:L12"/>
  </mergeCells>
  <printOptions horizontalCentered="1"/>
  <pageMargins left="0.6" right="0.5" top="0.56999999999999995" bottom="0.38" header="0.51181102362204722" footer="0.26"/>
  <pageSetup orientation="portrait" horizontalDpi="4294967294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M26"/>
  <sheetViews>
    <sheetView workbookViewId="0">
      <selection activeCell="C15" sqref="C15"/>
    </sheetView>
  </sheetViews>
  <sheetFormatPr defaultRowHeight="12.75" x14ac:dyDescent="0.2"/>
  <cols>
    <col min="1" max="1" width="4.140625" customWidth="1"/>
    <col min="2" max="2" width="23.140625" customWidth="1"/>
    <col min="3" max="3" width="58.5703125" customWidth="1"/>
    <col min="4" max="4" width="9.5703125" customWidth="1"/>
    <col min="5" max="5" width="14.7109375" customWidth="1"/>
    <col min="6" max="6" width="5.85546875" customWidth="1"/>
    <col min="7" max="7" width="8.42578125" customWidth="1"/>
    <col min="8" max="8" width="10.5703125" customWidth="1"/>
    <col min="9" max="9" width="6.140625" customWidth="1"/>
    <col min="10" max="10" width="11.42578125" customWidth="1"/>
    <col min="11" max="11" width="14" bestFit="1" customWidth="1"/>
    <col min="13" max="13" width="11.28515625" bestFit="1" customWidth="1"/>
  </cols>
  <sheetData>
    <row r="1" spans="1:11" s="283" customFormat="1" ht="15.75" customHeight="1" x14ac:dyDescent="0.25">
      <c r="A1" s="282" t="s">
        <v>408</v>
      </c>
    </row>
    <row r="2" spans="1:11" ht="15.75" customHeight="1" x14ac:dyDescent="0.2">
      <c r="A2" s="260" t="s">
        <v>409</v>
      </c>
    </row>
    <row r="3" spans="1:11" ht="5.25" customHeight="1" x14ac:dyDescent="0.2">
      <c r="A3" s="260"/>
    </row>
    <row r="4" spans="1:11" s="259" customFormat="1" ht="36" customHeight="1" x14ac:dyDescent="0.2">
      <c r="A4" s="257" t="s">
        <v>40</v>
      </c>
      <c r="B4" s="257" t="s">
        <v>41</v>
      </c>
      <c r="C4" s="257" t="s">
        <v>410</v>
      </c>
      <c r="D4" s="257" t="s">
        <v>411</v>
      </c>
      <c r="E4" s="257" t="s">
        <v>412</v>
      </c>
      <c r="F4" s="257" t="s">
        <v>413</v>
      </c>
      <c r="G4" s="257" t="s">
        <v>414</v>
      </c>
      <c r="H4" s="257" t="s">
        <v>415</v>
      </c>
      <c r="I4" s="257" t="s">
        <v>416</v>
      </c>
    </row>
    <row r="5" spans="1:11" ht="15" customHeight="1" x14ac:dyDescent="0.2">
      <c r="A5" s="262" t="s">
        <v>417</v>
      </c>
      <c r="B5" s="262" t="s">
        <v>418</v>
      </c>
      <c r="C5" s="262" t="s">
        <v>419</v>
      </c>
      <c r="D5" s="262" t="s">
        <v>420</v>
      </c>
      <c r="E5" s="262" t="s">
        <v>421</v>
      </c>
      <c r="F5" s="262" t="s">
        <v>422</v>
      </c>
      <c r="G5" s="262" t="s">
        <v>423</v>
      </c>
      <c r="H5" s="262" t="s">
        <v>424</v>
      </c>
      <c r="I5" s="262" t="s">
        <v>425</v>
      </c>
    </row>
    <row r="6" spans="1:11" ht="5.25" customHeight="1" x14ac:dyDescent="0.2">
      <c r="A6" s="261"/>
      <c r="B6" s="261"/>
      <c r="C6" s="261"/>
      <c r="D6" s="261"/>
      <c r="E6" s="261"/>
      <c r="F6" s="261"/>
      <c r="G6" s="261"/>
      <c r="H6" s="261"/>
      <c r="I6" s="261"/>
    </row>
    <row r="7" spans="1:11" s="1" customFormat="1" ht="20.25" customHeight="1" x14ac:dyDescent="0.2">
      <c r="A7" s="263">
        <v>1</v>
      </c>
      <c r="B7" s="264" t="s">
        <v>426</v>
      </c>
      <c r="C7" s="264" t="s">
        <v>427</v>
      </c>
      <c r="D7" s="264" t="s">
        <v>26</v>
      </c>
      <c r="E7" s="264" t="s">
        <v>428</v>
      </c>
      <c r="F7" s="263" t="s">
        <v>429</v>
      </c>
      <c r="G7" s="263"/>
      <c r="H7" s="263"/>
      <c r="I7" s="263" t="s">
        <v>429</v>
      </c>
      <c r="J7" s="251" t="s">
        <v>430</v>
      </c>
    </row>
    <row r="8" spans="1:11" s="1" customFormat="1" ht="20.25" customHeight="1" x14ac:dyDescent="0.2">
      <c r="A8" s="263">
        <v>2</v>
      </c>
      <c r="B8" s="264" t="s">
        <v>426</v>
      </c>
      <c r="C8" s="264" t="s">
        <v>431</v>
      </c>
      <c r="D8" s="264" t="s">
        <v>29</v>
      </c>
      <c r="E8" s="264" t="s">
        <v>432</v>
      </c>
      <c r="F8" s="263" t="s">
        <v>429</v>
      </c>
      <c r="G8" s="263"/>
      <c r="H8" s="263"/>
      <c r="I8" s="263"/>
      <c r="J8" s="251" t="s">
        <v>430</v>
      </c>
    </row>
    <row r="9" spans="1:11" s="1" customFormat="1" ht="20.25" customHeight="1" x14ac:dyDescent="0.2">
      <c r="A9" s="263">
        <v>3</v>
      </c>
      <c r="B9" s="264" t="s">
        <v>426</v>
      </c>
      <c r="C9" s="264" t="s">
        <v>433</v>
      </c>
      <c r="D9" s="264" t="s">
        <v>24</v>
      </c>
      <c r="E9" s="264" t="s">
        <v>434</v>
      </c>
      <c r="F9" s="263" t="s">
        <v>429</v>
      </c>
      <c r="G9" s="263"/>
      <c r="H9" s="265"/>
      <c r="I9" s="265"/>
    </row>
    <row r="10" spans="1:11" s="1" customFormat="1" ht="20.25" customHeight="1" thickBot="1" x14ac:dyDescent="0.25">
      <c r="A10" s="271">
        <v>4</v>
      </c>
      <c r="B10" s="272" t="s">
        <v>426</v>
      </c>
      <c r="C10" s="272" t="s">
        <v>435</v>
      </c>
      <c r="D10" s="272" t="s">
        <v>27</v>
      </c>
      <c r="E10" s="272" t="s">
        <v>436</v>
      </c>
      <c r="F10" s="271" t="s">
        <v>429</v>
      </c>
      <c r="G10" s="271"/>
      <c r="H10" s="273"/>
      <c r="I10" s="273"/>
      <c r="J10" s="1" t="s">
        <v>437</v>
      </c>
    </row>
    <row r="11" spans="1:11" s="1" customFormat="1" ht="20.25" customHeight="1" x14ac:dyDescent="0.2">
      <c r="A11" s="274">
        <v>5</v>
      </c>
      <c r="B11" s="275" t="s">
        <v>391</v>
      </c>
      <c r="C11" s="275" t="s">
        <v>438</v>
      </c>
      <c r="D11" s="275" t="s">
        <v>29</v>
      </c>
      <c r="E11" s="275" t="s">
        <v>432</v>
      </c>
      <c r="F11" s="274" t="s">
        <v>429</v>
      </c>
      <c r="G11" s="274"/>
      <c r="H11" s="274"/>
      <c r="I11" s="274"/>
      <c r="J11" s="251" t="s">
        <v>430</v>
      </c>
      <c r="K11" s="251" t="s">
        <v>439</v>
      </c>
    </row>
    <row r="12" spans="1:11" s="1" customFormat="1" ht="20.25" customHeight="1" thickBot="1" x14ac:dyDescent="0.25">
      <c r="A12" s="267">
        <v>6</v>
      </c>
      <c r="B12" s="268" t="s">
        <v>391</v>
      </c>
      <c r="C12" s="268" t="s">
        <v>433</v>
      </c>
      <c r="D12" s="268" t="s">
        <v>24</v>
      </c>
      <c r="E12" s="268" t="s">
        <v>434</v>
      </c>
      <c r="F12" s="267" t="s">
        <v>429</v>
      </c>
      <c r="G12" s="267"/>
      <c r="H12" s="277"/>
      <c r="I12" s="277"/>
    </row>
    <row r="13" spans="1:11" s="1" customFormat="1" ht="20.25" customHeight="1" thickBot="1" x14ac:dyDescent="0.25">
      <c r="A13" s="278">
        <v>7</v>
      </c>
      <c r="B13" s="279" t="s">
        <v>385</v>
      </c>
      <c r="C13" s="279" t="s">
        <v>438</v>
      </c>
      <c r="D13" s="279" t="s">
        <v>24</v>
      </c>
      <c r="E13" s="279" t="s">
        <v>440</v>
      </c>
      <c r="F13" s="278" t="s">
        <v>429</v>
      </c>
      <c r="G13" s="278"/>
      <c r="H13" s="278"/>
      <c r="I13" s="278"/>
      <c r="J13" s="251" t="s">
        <v>430</v>
      </c>
    </row>
    <row r="14" spans="1:11" s="1" customFormat="1" ht="20.25" customHeight="1" x14ac:dyDescent="0.2">
      <c r="A14" s="269">
        <v>8</v>
      </c>
      <c r="B14" s="270" t="s">
        <v>441</v>
      </c>
      <c r="C14" s="270" t="s">
        <v>442</v>
      </c>
      <c r="D14" s="270" t="s">
        <v>26</v>
      </c>
      <c r="E14" s="270" t="s">
        <v>443</v>
      </c>
      <c r="F14" s="269" t="s">
        <v>429</v>
      </c>
      <c r="G14" s="269"/>
      <c r="H14" s="276"/>
      <c r="I14" s="276"/>
    </row>
    <row r="15" spans="1:11" s="1" customFormat="1" ht="20.25" customHeight="1" x14ac:dyDescent="0.2">
      <c r="A15" s="263">
        <v>9</v>
      </c>
      <c r="B15" s="264" t="s">
        <v>441</v>
      </c>
      <c r="C15" s="264" t="s">
        <v>438</v>
      </c>
      <c r="D15" s="264" t="s">
        <v>29</v>
      </c>
      <c r="E15" s="266" t="s">
        <v>444</v>
      </c>
      <c r="F15" s="263" t="s">
        <v>429</v>
      </c>
      <c r="G15" s="263" t="s">
        <v>429</v>
      </c>
      <c r="H15" s="263"/>
      <c r="I15" s="263"/>
      <c r="J15" s="1" t="s">
        <v>445</v>
      </c>
      <c r="K15" s="252">
        <v>16419000</v>
      </c>
    </row>
    <row r="16" spans="1:11" s="1" customFormat="1" ht="20.25" customHeight="1" thickBot="1" x14ac:dyDescent="0.25">
      <c r="A16" s="271">
        <v>10</v>
      </c>
      <c r="B16" s="272" t="s">
        <v>441</v>
      </c>
      <c r="C16" s="272" t="s">
        <v>438</v>
      </c>
      <c r="D16" s="272" t="s">
        <v>24</v>
      </c>
      <c r="E16" s="272" t="s">
        <v>446</v>
      </c>
      <c r="F16" s="271" t="s">
        <v>429</v>
      </c>
      <c r="G16" s="271" t="s">
        <v>429</v>
      </c>
      <c r="H16" s="271"/>
      <c r="I16" s="271" t="s">
        <v>429</v>
      </c>
      <c r="J16" s="1" t="s">
        <v>445</v>
      </c>
      <c r="K16" s="252">
        <v>20360000</v>
      </c>
    </row>
    <row r="17" spans="1:13" s="1" customFormat="1" ht="20.25" customHeight="1" x14ac:dyDescent="0.2">
      <c r="A17" s="269">
        <v>11</v>
      </c>
      <c r="B17" s="270" t="s">
        <v>447</v>
      </c>
      <c r="C17" s="270" t="s">
        <v>435</v>
      </c>
      <c r="D17" s="270" t="s">
        <v>27</v>
      </c>
      <c r="E17" s="270" t="s">
        <v>436</v>
      </c>
      <c r="F17" s="269" t="s">
        <v>429</v>
      </c>
      <c r="G17" s="269"/>
      <c r="H17" s="276"/>
      <c r="I17" s="276"/>
      <c r="J17" s="1" t="s">
        <v>437</v>
      </c>
      <c r="K17" s="252">
        <v>3930000</v>
      </c>
    </row>
    <row r="18" spans="1:13" s="1" customFormat="1" ht="20.25" customHeight="1" thickBot="1" x14ac:dyDescent="0.25">
      <c r="A18" s="271">
        <v>12</v>
      </c>
      <c r="B18" s="272" t="s">
        <v>447</v>
      </c>
      <c r="C18" s="272" t="s">
        <v>438</v>
      </c>
      <c r="D18" s="272" t="s">
        <v>27</v>
      </c>
      <c r="E18" s="272" t="s">
        <v>448</v>
      </c>
      <c r="F18" s="271" t="s">
        <v>429</v>
      </c>
      <c r="G18" s="271"/>
      <c r="H18" s="271"/>
      <c r="I18" s="271"/>
      <c r="K18" s="252">
        <v>800000</v>
      </c>
      <c r="M18" s="256">
        <f>K23+K22+K17</f>
        <v>10765000</v>
      </c>
    </row>
    <row r="19" spans="1:13" s="1" customFormat="1" ht="20.25" customHeight="1" x14ac:dyDescent="0.2">
      <c r="A19" s="269">
        <v>13</v>
      </c>
      <c r="B19" s="270" t="s">
        <v>234</v>
      </c>
      <c r="C19" s="270" t="s">
        <v>438</v>
      </c>
      <c r="D19" s="270" t="s">
        <v>29</v>
      </c>
      <c r="E19" s="270" t="s">
        <v>432</v>
      </c>
      <c r="F19" s="269" t="s">
        <v>429</v>
      </c>
      <c r="G19" s="269"/>
      <c r="H19" s="269"/>
      <c r="I19" s="269"/>
      <c r="J19" s="251" t="s">
        <v>430</v>
      </c>
      <c r="K19" s="252"/>
      <c r="M19" s="256">
        <f>K15+K16+K19+K20+K21+K18</f>
        <v>62039000</v>
      </c>
    </row>
    <row r="20" spans="1:13" s="1" customFormat="1" ht="20.25" customHeight="1" thickBot="1" x14ac:dyDescent="0.25">
      <c r="A20" s="271">
        <v>14</v>
      </c>
      <c r="B20" s="284" t="s">
        <v>234</v>
      </c>
      <c r="C20" s="272" t="s">
        <v>435</v>
      </c>
      <c r="D20" s="272" t="s">
        <v>29</v>
      </c>
      <c r="E20" s="280" t="s">
        <v>449</v>
      </c>
      <c r="F20" s="271" t="s">
        <v>429</v>
      </c>
      <c r="G20" s="271"/>
      <c r="H20" s="273"/>
      <c r="I20" s="273"/>
      <c r="K20" s="252">
        <v>17360000</v>
      </c>
    </row>
    <row r="21" spans="1:13" s="1" customFormat="1" ht="20.25" customHeight="1" x14ac:dyDescent="0.2">
      <c r="A21" s="269">
        <v>15</v>
      </c>
      <c r="B21" s="270" t="s">
        <v>387</v>
      </c>
      <c r="C21" s="270" t="s">
        <v>435</v>
      </c>
      <c r="D21" s="270" t="s">
        <v>27</v>
      </c>
      <c r="E21" s="270" t="s">
        <v>450</v>
      </c>
      <c r="F21" s="269" t="s">
        <v>429</v>
      </c>
      <c r="G21" s="269"/>
      <c r="H21" s="276"/>
      <c r="I21" s="276"/>
      <c r="J21" s="1" t="s">
        <v>437</v>
      </c>
      <c r="K21" s="252">
        <v>7100000</v>
      </c>
    </row>
    <row r="22" spans="1:13" s="1" customFormat="1" ht="20.25" customHeight="1" thickBot="1" x14ac:dyDescent="0.25">
      <c r="A22" s="271">
        <v>16</v>
      </c>
      <c r="B22" s="272" t="s">
        <v>387</v>
      </c>
      <c r="C22" s="272" t="s">
        <v>438</v>
      </c>
      <c r="D22" s="272" t="s">
        <v>26</v>
      </c>
      <c r="E22" s="272" t="s">
        <v>451</v>
      </c>
      <c r="F22" s="271" t="s">
        <v>429</v>
      </c>
      <c r="G22" s="271"/>
      <c r="H22" s="271"/>
      <c r="I22" s="271"/>
      <c r="K22" s="252">
        <v>6610000</v>
      </c>
    </row>
    <row r="23" spans="1:13" s="1" customFormat="1" ht="20.25" customHeight="1" thickBot="1" x14ac:dyDescent="0.25">
      <c r="A23" s="278">
        <v>17</v>
      </c>
      <c r="B23" s="279" t="s">
        <v>452</v>
      </c>
      <c r="C23" s="279" t="s">
        <v>453</v>
      </c>
      <c r="D23" s="279" t="s">
        <v>24</v>
      </c>
      <c r="E23" s="279" t="s">
        <v>428</v>
      </c>
      <c r="F23" s="278" t="s">
        <v>429</v>
      </c>
      <c r="G23" s="278"/>
      <c r="H23" s="281"/>
      <c r="I23" s="281"/>
      <c r="J23" s="251" t="s">
        <v>454</v>
      </c>
      <c r="K23" s="252">
        <v>225000</v>
      </c>
    </row>
    <row r="24" spans="1:13" s="1" customFormat="1" ht="20.25" customHeight="1" thickBot="1" x14ac:dyDescent="0.25">
      <c r="A24" s="278">
        <v>18</v>
      </c>
      <c r="B24" s="279" t="s">
        <v>455</v>
      </c>
      <c r="C24" s="279" t="s">
        <v>453</v>
      </c>
      <c r="D24" s="279" t="s">
        <v>26</v>
      </c>
      <c r="E24" s="279" t="s">
        <v>428</v>
      </c>
      <c r="F24" s="278" t="s">
        <v>429</v>
      </c>
      <c r="G24" s="278"/>
      <c r="H24" s="281"/>
      <c r="I24" s="281"/>
      <c r="J24" s="251" t="s">
        <v>454</v>
      </c>
    </row>
    <row r="25" spans="1:13" s="1" customFormat="1" ht="20.25" customHeight="1" thickBot="1" x14ac:dyDescent="0.25">
      <c r="A25" s="278">
        <v>19</v>
      </c>
      <c r="B25" s="279" t="s">
        <v>456</v>
      </c>
      <c r="C25" s="279" t="s">
        <v>457</v>
      </c>
      <c r="D25" s="279" t="s">
        <v>26</v>
      </c>
      <c r="E25" s="279" t="s">
        <v>458</v>
      </c>
      <c r="F25" s="278" t="s">
        <v>429</v>
      </c>
      <c r="G25" s="278"/>
      <c r="H25" s="281"/>
      <c r="I25" s="281"/>
      <c r="J25" s="1" t="s">
        <v>437</v>
      </c>
    </row>
    <row r="26" spans="1:13" s="1" customFormat="1" ht="20.25" customHeight="1" thickBot="1" x14ac:dyDescent="0.25">
      <c r="A26" s="278">
        <v>20</v>
      </c>
      <c r="B26" s="279" t="s">
        <v>459</v>
      </c>
      <c r="C26" s="279" t="s">
        <v>460</v>
      </c>
      <c r="D26" s="279" t="s">
        <v>26</v>
      </c>
      <c r="E26" s="279" t="s">
        <v>461</v>
      </c>
      <c r="F26" s="278"/>
      <c r="G26" s="278"/>
      <c r="H26" s="281"/>
      <c r="I26" s="281"/>
      <c r="J26" s="1" t="s">
        <v>437</v>
      </c>
    </row>
  </sheetData>
  <pageMargins left="0.38" right="0.26" top="0.67" bottom="0.75" header="0.3" footer="0.3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15</vt:i4>
      </vt:variant>
    </vt:vector>
  </HeadingPairs>
  <TitlesOfParts>
    <vt:vector size="34" baseType="lpstr">
      <vt:lpstr>Pedoman</vt:lpstr>
      <vt:lpstr>Anggaran</vt:lpstr>
      <vt:lpstr>Data Pegawai</vt:lpstr>
      <vt:lpstr>Data SPD</vt:lpstr>
      <vt:lpstr>Ka BPS</vt:lpstr>
      <vt:lpstr>D (2)</vt:lpstr>
      <vt:lpstr>ST (4)</vt:lpstr>
      <vt:lpstr>D</vt:lpstr>
      <vt:lpstr>Surat Tugas</vt:lpstr>
      <vt:lpstr>Visum</vt:lpstr>
      <vt:lpstr>Lamp</vt:lpstr>
      <vt:lpstr>kw</vt:lpstr>
      <vt:lpstr>Riil</vt:lpstr>
      <vt:lpstr>Lamp (2)</vt:lpstr>
      <vt:lpstr>kw1 (2)</vt:lpstr>
      <vt:lpstr>Riil (2)</vt:lpstr>
      <vt:lpstr>ST (2)</vt:lpstr>
      <vt:lpstr>ST (3)</vt:lpstr>
      <vt:lpstr>Sheet4</vt:lpstr>
      <vt:lpstr>'Surat Tugas'!_GoBack</vt:lpstr>
      <vt:lpstr>Visum!OLE_LINK1</vt:lpstr>
      <vt:lpstr>D!Print_Area</vt:lpstr>
      <vt:lpstr>'D (2)'!Print_Area</vt:lpstr>
      <vt:lpstr>'Data Pegawai'!Print_Area</vt:lpstr>
      <vt:lpstr>kw!Print_Area</vt:lpstr>
      <vt:lpstr>'kw1 (2)'!Print_Area</vt:lpstr>
      <vt:lpstr>Lamp!Print_Area</vt:lpstr>
      <vt:lpstr>'Lamp (2)'!Print_Area</vt:lpstr>
      <vt:lpstr>Riil!Print_Area</vt:lpstr>
      <vt:lpstr>'ST (2)'!Print_Area</vt:lpstr>
      <vt:lpstr>'ST (3)'!Print_Area</vt:lpstr>
      <vt:lpstr>'ST (4)'!Print_Area</vt:lpstr>
      <vt:lpstr>'Surat Tugas'!Print_Area</vt:lpstr>
      <vt:lpstr>Visum!Print_Area</vt:lpstr>
    </vt:vector>
  </TitlesOfParts>
  <Manager/>
  <Company>BPS Sulbar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IPDS</dc:creator>
  <cp:keywords/>
  <dc:description/>
  <cp:lastModifiedBy>Jaringan dan Rujukan Statistik</cp:lastModifiedBy>
  <cp:revision/>
  <cp:lastPrinted>2021-06-28T07:54:51Z</cp:lastPrinted>
  <dcterms:created xsi:type="dcterms:W3CDTF">2006-05-17T16:20:46Z</dcterms:created>
  <dcterms:modified xsi:type="dcterms:W3CDTF">2021-07-27T05:13:54Z</dcterms:modified>
  <cp:category/>
  <cp:contentStatus/>
</cp:coreProperties>
</file>