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5" yWindow="570" windowWidth="11340" windowHeight="7575" tabRatio="652" firstSheet="12" activeTab="13"/>
  </bookViews>
  <sheets>
    <sheet name="Projects Info" sheetId="2" state="hidden" r:id="rId1"/>
    <sheet name="SOW-PO Tracker 2016" sheetId="18" r:id="rId2"/>
    <sheet name="Sheet1" sheetId="20" state="hidden" r:id="rId3"/>
    <sheet name="Invoice Tracker" sheetId="5" state="hidden" r:id="rId4"/>
    <sheet name="Sheet2" sheetId="17" state="hidden" r:id="rId5"/>
    <sheet name="ASOS Holiday Tracker" sheetId="16" state="hidden" r:id="rId6"/>
    <sheet name="ASOS_Rates_ext" sheetId="12" state="hidden" r:id="rId7"/>
    <sheet name="Misc data" sheetId="10" state="hidden" r:id="rId8"/>
    <sheet name="2014 Discount Invoices" sheetId="14" state="hidden" r:id="rId9"/>
    <sheet name="SOW Tracker" sheetId="11" state="hidden" r:id="rId10"/>
    <sheet name="Umesh Data" sheetId="9" state="hidden" r:id="rId11"/>
    <sheet name="Sheet3" sheetId="19" state="hidden" r:id="rId12"/>
    <sheet name="Forecast" sheetId="21" r:id="rId13"/>
    <sheet name="Sheet4" sheetId="22" r:id="rId14"/>
  </sheets>
  <definedNames>
    <definedName name="_xlnm._FilterDatabase" localSheetId="8" hidden="1">'2014 Discount Invoices'!$A$1:$G$17</definedName>
    <definedName name="_xlnm._FilterDatabase" localSheetId="3" hidden="1">'Invoice Tracker'!$A$2:$I$1490</definedName>
    <definedName name="_xlnm._FilterDatabase" localSheetId="0" hidden="1">'Projects Info'!$A$2:$I$7</definedName>
    <definedName name="_xlnm._FilterDatabase" localSheetId="1" hidden="1">'SOW-PO Tracker 2016'!$A$2:$M$6</definedName>
  </definedNames>
  <calcPr calcId="152511"/>
</workbook>
</file>

<file path=xl/calcChain.xml><?xml version="1.0" encoding="utf-8"?>
<calcChain xmlns="http://schemas.openxmlformats.org/spreadsheetml/2006/main">
  <c r="I9" i="21" l="1"/>
  <c r="I8" i="21"/>
  <c r="I7" i="21"/>
  <c r="I6" i="21"/>
  <c r="I5" i="21"/>
  <c r="I4" i="21"/>
  <c r="I3" i="21"/>
  <c r="I2" i="21"/>
  <c r="G1139" i="5" l="1"/>
  <c r="G1203" i="5" l="1"/>
  <c r="G1137" i="5"/>
  <c r="G1257" i="5"/>
  <c r="G1200" i="5"/>
  <c r="J2025" i="10" l="1"/>
  <c r="J2021" i="10"/>
  <c r="O2024" i="10"/>
  <c r="H2109" i="10" l="1"/>
  <c r="H2108" i="10"/>
  <c r="H2107" i="10"/>
  <c r="H2106" i="10"/>
  <c r="H2105" i="10"/>
  <c r="H2104" i="10"/>
  <c r="H2103" i="10"/>
  <c r="H2102" i="10"/>
  <c r="H2101" i="10"/>
  <c r="H2100" i="10"/>
  <c r="H2099" i="10"/>
  <c r="H2098" i="10"/>
  <c r="M2096" i="10"/>
  <c r="H2110" i="10" l="1"/>
  <c r="G2004" i="10"/>
  <c r="G2003" i="10"/>
  <c r="G2002" i="10"/>
  <c r="F2004" i="10"/>
  <c r="F2003" i="10"/>
  <c r="F2002" i="10"/>
  <c r="G2001" i="10"/>
  <c r="G2000" i="10"/>
  <c r="F2000" i="10"/>
  <c r="G2005" i="10" l="1"/>
  <c r="F2005" i="10"/>
  <c r="H2005" i="10" l="1"/>
  <c r="G1161" i="5"/>
  <c r="M1996" i="10" l="1"/>
  <c r="M1995" i="10"/>
  <c r="M1994" i="10"/>
  <c r="N1994" i="10" l="1"/>
  <c r="K1872" i="10" l="1"/>
  <c r="L1871" i="10" s="1"/>
  <c r="K1869" i="10" l="1"/>
  <c r="L1869" i="10" s="1"/>
  <c r="N1855" i="10" l="1"/>
  <c r="M1855" i="10"/>
  <c r="L1855" i="10"/>
  <c r="K1855" i="10"/>
  <c r="J1855" i="10"/>
  <c r="I1855" i="10"/>
  <c r="N1852" i="10"/>
  <c r="M1852" i="10"/>
  <c r="L1852" i="10"/>
  <c r="K1852" i="10"/>
  <c r="J1852" i="10"/>
  <c r="N1854" i="10"/>
  <c r="M1854" i="10"/>
  <c r="L1854" i="10"/>
  <c r="K1854" i="10"/>
  <c r="J1854" i="10"/>
  <c r="I1854" i="10"/>
  <c r="K1853" i="10"/>
  <c r="N1853" i="10"/>
  <c r="M1853" i="10"/>
  <c r="L1853" i="10"/>
  <c r="J1853" i="10"/>
  <c r="I1853" i="10"/>
  <c r="H1853" i="10"/>
  <c r="I1852" i="10"/>
  <c r="N1856" i="10"/>
  <c r="M1856" i="10"/>
  <c r="L1856" i="10"/>
  <c r="K1856" i="10"/>
  <c r="J1856" i="10"/>
  <c r="I1856" i="10"/>
  <c r="H1856" i="10"/>
  <c r="H1855" i="10"/>
  <c r="H1854" i="10"/>
  <c r="H1852" i="10"/>
  <c r="N1858" i="10"/>
  <c r="M1858" i="10"/>
  <c r="L1858" i="10"/>
  <c r="K1858" i="10"/>
  <c r="J1858" i="10"/>
  <c r="I1858" i="10"/>
  <c r="H1858" i="10"/>
  <c r="N1857" i="10"/>
  <c r="M1857" i="10"/>
  <c r="L1857" i="10"/>
  <c r="K1857" i="10"/>
  <c r="J1857" i="10"/>
  <c r="I1857" i="10"/>
  <c r="H1857" i="10"/>
  <c r="L1860" i="10" l="1"/>
  <c r="K1860" i="10"/>
  <c r="I1860" i="10"/>
  <c r="M1860" i="10"/>
  <c r="N1860" i="10"/>
  <c r="J1860" i="10"/>
  <c r="H1860" i="10"/>
  <c r="N1861" i="10" l="1"/>
  <c r="C1813" i="10" l="1"/>
  <c r="C1819" i="10"/>
  <c r="C1818" i="10"/>
  <c r="C1814" i="10"/>
  <c r="C1817" i="10" s="1"/>
  <c r="C1820" i="10" l="1"/>
  <c r="C1821" i="10" s="1"/>
  <c r="E1804" i="10"/>
  <c r="F1804" i="10" s="1"/>
  <c r="E1802" i="10" l="1"/>
  <c r="F1802" i="10" s="1"/>
  <c r="E1803" i="10"/>
  <c r="F1803" i="10" s="1"/>
  <c r="E1801" i="10"/>
  <c r="F1801" i="10" s="1"/>
  <c r="F1806" i="10" l="1"/>
  <c r="H1737" i="10" l="1"/>
  <c r="H1734" i="10" l="1"/>
  <c r="H1786" i="10" l="1"/>
  <c r="G1786" i="10"/>
  <c r="F1786" i="10"/>
  <c r="E1786" i="10"/>
  <c r="D1786" i="10"/>
  <c r="C1787" i="10"/>
  <c r="H1787" i="10" s="1"/>
  <c r="C1785" i="10"/>
  <c r="H1785" i="10" s="1"/>
  <c r="C1784" i="10"/>
  <c r="G1784" i="10" s="1"/>
  <c r="E1784" i="10" l="1"/>
  <c r="D1784" i="10"/>
  <c r="F1784" i="10"/>
  <c r="F1785" i="10"/>
  <c r="E1785" i="10"/>
  <c r="D1785" i="10"/>
  <c r="G1785" i="10"/>
  <c r="H1784" i="10"/>
  <c r="H1788" i="10" s="1"/>
  <c r="E1787" i="10"/>
  <c r="E1788" i="10" s="1"/>
  <c r="D1787" i="10"/>
  <c r="D1788" i="10" s="1"/>
  <c r="F1787" i="10"/>
  <c r="G1787" i="10"/>
  <c r="G1788" i="10" l="1"/>
  <c r="F1788" i="10"/>
  <c r="H1789" i="10" l="1"/>
  <c r="D1775" i="10"/>
  <c r="D1774" i="10"/>
  <c r="D1777" i="10" l="1"/>
  <c r="C1775" i="10"/>
  <c r="B1775" i="10"/>
  <c r="B1774" i="10"/>
  <c r="C1774" i="10"/>
  <c r="B1777" i="10" l="1"/>
  <c r="C1777" i="10"/>
  <c r="E1007" i="5" l="1"/>
  <c r="K1726" i="10" l="1"/>
  <c r="K1723" i="10"/>
  <c r="D1665" i="10" l="1"/>
  <c r="D1668" i="10"/>
  <c r="D1661" i="10"/>
  <c r="D1662" i="10"/>
  <c r="D1659" i="10"/>
  <c r="D1658" i="10"/>
  <c r="D1663" i="10" l="1"/>
  <c r="D1669" i="10"/>
  <c r="D1671" i="10" l="1"/>
  <c r="E1644" i="10"/>
  <c r="E1643" i="10"/>
  <c r="E1645" i="10" l="1"/>
  <c r="D1616" i="10"/>
  <c r="D1618" i="10"/>
  <c r="D1617" i="10"/>
  <c r="D1619" i="10" l="1"/>
  <c r="H1608" i="10"/>
  <c r="H1609" i="10"/>
  <c r="H1610" i="10"/>
  <c r="L1601" i="10" l="1"/>
  <c r="L1600" i="10"/>
  <c r="M1600" i="10" l="1"/>
  <c r="D1578" i="10"/>
  <c r="D1574" i="10"/>
  <c r="D1573" i="10"/>
  <c r="D1572" i="10"/>
  <c r="D1571" i="10"/>
  <c r="D1570" i="10"/>
  <c r="C1575" i="10"/>
  <c r="D1575" i="10" s="1"/>
  <c r="C1577" i="10" l="1"/>
  <c r="D1577" i="10" s="1"/>
  <c r="C1576" i="10"/>
  <c r="D1576" i="10" l="1"/>
  <c r="C1579" i="10"/>
  <c r="D1579" i="10" s="1"/>
  <c r="D1580" i="10" s="1"/>
  <c r="F1561" i="10"/>
  <c r="J1561" i="10"/>
  <c r="E1561" i="10"/>
  <c r="F1558" i="10"/>
  <c r="J1558" i="10"/>
  <c r="E1558" i="10"/>
  <c r="J1562" i="10"/>
  <c r="J1559" i="10"/>
  <c r="J1557" i="10"/>
  <c r="J1556" i="10"/>
  <c r="J1555" i="10"/>
  <c r="J1554" i="10"/>
  <c r="J1553" i="10"/>
  <c r="F1554" i="10"/>
  <c r="F1563" i="10"/>
  <c r="F1562" i="10"/>
  <c r="F1560" i="10"/>
  <c r="F1559" i="10"/>
  <c r="F1557" i="10"/>
  <c r="F1556" i="10"/>
  <c r="F1555" i="10"/>
  <c r="F1553" i="10"/>
  <c r="E1563" i="10"/>
  <c r="E1562" i="10"/>
  <c r="E1560" i="10"/>
  <c r="E1559" i="10"/>
  <c r="E1557" i="10"/>
  <c r="E1556" i="10"/>
  <c r="E1555" i="10"/>
  <c r="E1554" i="10"/>
  <c r="E1553" i="10"/>
  <c r="J1560" i="10"/>
  <c r="E1467" i="10"/>
  <c r="F1467" i="10"/>
  <c r="F1564" i="10" l="1"/>
  <c r="E1564" i="10"/>
  <c r="I1565" i="10" l="1"/>
  <c r="I1592" i="10" l="1"/>
  <c r="I1591" i="10"/>
  <c r="I1590" i="10"/>
  <c r="I1589" i="10"/>
  <c r="I1588" i="10"/>
  <c r="F1509" i="10" l="1"/>
  <c r="F864" i="10" l="1"/>
  <c r="B1480" i="10" l="1"/>
  <c r="B1479" i="10"/>
  <c r="B1478" i="10"/>
  <c r="E1474" i="10"/>
  <c r="E1473" i="10"/>
  <c r="E1472" i="10"/>
  <c r="E1471" i="10"/>
  <c r="E1470" i="10"/>
  <c r="E1469" i="10"/>
  <c r="E1468" i="10"/>
  <c r="E1466" i="10"/>
  <c r="E1465" i="10"/>
  <c r="F1474" i="10"/>
  <c r="J1473" i="10"/>
  <c r="J1471" i="10"/>
  <c r="J1470" i="10"/>
  <c r="J1465" i="10"/>
  <c r="F1473" i="10"/>
  <c r="F1471" i="10"/>
  <c r="F1470" i="10"/>
  <c r="F1472" i="10"/>
  <c r="F1469" i="10"/>
  <c r="F1468" i="10"/>
  <c r="F1466" i="10"/>
  <c r="F1465" i="10"/>
  <c r="J1472" i="10"/>
  <c r="J1469" i="10"/>
  <c r="J1468" i="10"/>
  <c r="C1480" i="10" l="1"/>
  <c r="E1475" i="10"/>
  <c r="F1475" i="10"/>
  <c r="I1476" i="10" s="1"/>
  <c r="F1458" i="10" l="1"/>
  <c r="F1457" i="10"/>
  <c r="F1455" i="10"/>
  <c r="F1454" i="10"/>
  <c r="J1458" i="10"/>
  <c r="J1457" i="10"/>
  <c r="J1456" i="10"/>
  <c r="J1455" i="10"/>
  <c r="J1454" i="10"/>
  <c r="J1453" i="10"/>
  <c r="J1452" i="10"/>
  <c r="J1450" i="10"/>
  <c r="J1449" i="10"/>
  <c r="F1456" i="10"/>
  <c r="F1453" i="10"/>
  <c r="F1452" i="10"/>
  <c r="F1451" i="10"/>
  <c r="F1450" i="10"/>
  <c r="F1449" i="10"/>
  <c r="E1458" i="10"/>
  <c r="E1457" i="10"/>
  <c r="E1456" i="10"/>
  <c r="E1455" i="10"/>
  <c r="E1454" i="10"/>
  <c r="E1453" i="10"/>
  <c r="E1452" i="10"/>
  <c r="E1450" i="10"/>
  <c r="E1449" i="10"/>
  <c r="I1427" i="10"/>
  <c r="E1459" i="10" l="1"/>
  <c r="F1460" i="10" s="1"/>
  <c r="F1459" i="10"/>
  <c r="I1460" i="10" l="1"/>
  <c r="D1427" i="10"/>
  <c r="D1426" i="10"/>
  <c r="D1428" i="10" l="1"/>
  <c r="K1385" i="10"/>
  <c r="C1386" i="10"/>
  <c r="D1386" i="10" s="1"/>
  <c r="C1385" i="10"/>
  <c r="D1385" i="10" s="1"/>
  <c r="E1413" i="10" l="1"/>
  <c r="F1413" i="10" s="1"/>
  <c r="E1412" i="10"/>
  <c r="F1412" i="10" s="1"/>
  <c r="E1411" i="10"/>
  <c r="F1411" i="10" s="1"/>
  <c r="E1410" i="10"/>
  <c r="F1410" i="10" s="1"/>
  <c r="E1409" i="10"/>
  <c r="F1409" i="10" s="1"/>
  <c r="E1405" i="10"/>
  <c r="F1405" i="10" s="1"/>
  <c r="E1404" i="10"/>
  <c r="F1404" i="10" s="1"/>
  <c r="E1403" i="10"/>
  <c r="F1403" i="10" s="1"/>
  <c r="E1402" i="10"/>
  <c r="F1402" i="10" s="1"/>
  <c r="E1401" i="10"/>
  <c r="F1401" i="10" s="1"/>
  <c r="D1414" i="10"/>
  <c r="D1406" i="10"/>
  <c r="F1414" i="10" l="1"/>
  <c r="C1419" i="10" s="1"/>
  <c r="F1406" i="10"/>
  <c r="C1417" i="10" s="1"/>
  <c r="C1418" i="10" s="1"/>
  <c r="C1420" i="10" l="1"/>
  <c r="I20" i="11" l="1"/>
  <c r="H20" i="11"/>
  <c r="G20" i="11"/>
  <c r="F20" i="11"/>
  <c r="E20" i="11"/>
  <c r="D20" i="11"/>
  <c r="I19" i="11"/>
  <c r="F19" i="11"/>
  <c r="H19" i="11"/>
  <c r="G19" i="11"/>
  <c r="E19" i="11"/>
  <c r="D19" i="11"/>
  <c r="H18" i="11"/>
  <c r="G18" i="11"/>
  <c r="F18" i="11"/>
  <c r="E18" i="11"/>
  <c r="D18" i="11"/>
  <c r="H17" i="11"/>
  <c r="F17" i="11"/>
  <c r="G17" i="11"/>
  <c r="D17" i="11"/>
  <c r="E17" i="11"/>
  <c r="H16" i="11"/>
  <c r="F16" i="11"/>
  <c r="G16" i="11"/>
  <c r="D16" i="11"/>
  <c r="E16" i="11"/>
  <c r="D21" i="11"/>
  <c r="G15" i="11"/>
  <c r="F15" i="11"/>
  <c r="E15" i="11"/>
  <c r="D15" i="11"/>
  <c r="F14" i="11"/>
  <c r="E14" i="11"/>
  <c r="D14" i="11"/>
  <c r="D13" i="11"/>
  <c r="M13" i="11" s="1"/>
  <c r="E12" i="11"/>
  <c r="D12" i="11"/>
  <c r="F12" i="11"/>
  <c r="D11" i="11"/>
  <c r="M11" i="11" s="1"/>
  <c r="D10" i="11"/>
  <c r="D9" i="11"/>
  <c r="D8" i="11"/>
  <c r="E4" i="11"/>
  <c r="D4" i="11"/>
  <c r="E7" i="11"/>
  <c r="D7" i="11"/>
  <c r="M7" i="11" s="1"/>
  <c r="F6" i="11"/>
  <c r="E6" i="11"/>
  <c r="D6" i="11"/>
  <c r="E5" i="11"/>
  <c r="D5" i="11"/>
  <c r="E3" i="11"/>
  <c r="D3" i="11"/>
  <c r="D2" i="11"/>
  <c r="M3" i="11" l="1"/>
  <c r="M4" i="11"/>
  <c r="M17" i="11"/>
  <c r="M18" i="11"/>
  <c r="M5" i="11"/>
  <c r="M14" i="11"/>
  <c r="M15" i="11"/>
  <c r="M19" i="11"/>
  <c r="M6" i="11"/>
  <c r="M12" i="11"/>
  <c r="M16" i="11"/>
  <c r="M20" i="11"/>
  <c r="C240" i="9"/>
  <c r="C239" i="9"/>
  <c r="C238" i="9"/>
  <c r="C237" i="9"/>
  <c r="C236" i="9"/>
  <c r="C235" i="9"/>
  <c r="C234" i="9"/>
  <c r="C233" i="9"/>
  <c r="C241" i="9" l="1"/>
  <c r="D241" i="9" s="1"/>
  <c r="L21" i="11"/>
  <c r="I21" i="11"/>
  <c r="F21" i="11"/>
  <c r="K21" i="11"/>
  <c r="J21" i="11"/>
  <c r="H21" i="11"/>
  <c r="G21" i="11"/>
  <c r="E21" i="11"/>
  <c r="E10" i="11"/>
  <c r="M10" i="11" s="1"/>
  <c r="H9" i="11"/>
  <c r="F9" i="11"/>
  <c r="G9" i="11"/>
  <c r="E9" i="11"/>
  <c r="K8" i="11"/>
  <c r="J8" i="11"/>
  <c r="H8" i="11"/>
  <c r="G8" i="11"/>
  <c r="L8" i="11"/>
  <c r="I8" i="11"/>
  <c r="F8" i="11"/>
  <c r="E8" i="11"/>
  <c r="F2" i="11"/>
  <c r="E2" i="11"/>
  <c r="M2" i="11" s="1"/>
  <c r="M8" i="11" l="1"/>
  <c r="M9" i="11"/>
  <c r="M21" i="11"/>
  <c r="M22" i="11" l="1"/>
  <c r="M23" i="11" s="1"/>
  <c r="D1369" i="10"/>
  <c r="D1370" i="10"/>
  <c r="D1376" i="10"/>
  <c r="D1375" i="10"/>
  <c r="D1374" i="10" l="1"/>
  <c r="D1373" i="10"/>
  <c r="D1372" i="10"/>
  <c r="D1371" i="10"/>
  <c r="C1380" i="10" l="1"/>
  <c r="C1382" i="10" s="1"/>
  <c r="B1380" i="10"/>
  <c r="D1377" i="10"/>
  <c r="B1381" i="10" l="1"/>
  <c r="B1382" i="10" s="1"/>
  <c r="D1382" i="10" s="1"/>
  <c r="D1384" i="10" s="1"/>
  <c r="D1380" i="10"/>
  <c r="J1280" i="10" l="1"/>
  <c r="J1279" i="10"/>
  <c r="J1278" i="10"/>
  <c r="J1277" i="10"/>
  <c r="J1276" i="10"/>
  <c r="J1275" i="10"/>
  <c r="J1281" i="10" l="1"/>
  <c r="D1220" i="10"/>
  <c r="E1220" i="10" s="1"/>
  <c r="D1219" i="10"/>
  <c r="E1219" i="10" s="1"/>
  <c r="D1218" i="10"/>
  <c r="E1218" i="10" s="1"/>
  <c r="D1217" i="10"/>
  <c r="D1216" i="10"/>
  <c r="D1215" i="10"/>
  <c r="E1215" i="10" s="1"/>
  <c r="D1214" i="10"/>
  <c r="E1214" i="10" s="1"/>
  <c r="D1221" i="10" l="1"/>
  <c r="E1221" i="10"/>
  <c r="F1191" i="10" l="1"/>
  <c r="C1159" i="10"/>
  <c r="F1189" i="10" l="1"/>
  <c r="F1192" i="10" s="1"/>
  <c r="D1157" i="10"/>
  <c r="C1181" i="10"/>
  <c r="C1164" i="10"/>
  <c r="D1164" i="10" s="1"/>
  <c r="E1164" i="10" s="1"/>
  <c r="C1163" i="10"/>
  <c r="D1163" i="10" s="1"/>
  <c r="C1162" i="10"/>
  <c r="D1162" i="10" s="1"/>
  <c r="E1162" i="10" s="1"/>
  <c r="C1161" i="10"/>
  <c r="D1161" i="10" s="1"/>
  <c r="C1160" i="10"/>
  <c r="D1160" i="10" s="1"/>
  <c r="D1159" i="10"/>
  <c r="E1159" i="10" s="1"/>
  <c r="C1158" i="10"/>
  <c r="D1158" i="10" s="1"/>
  <c r="O1174" i="10"/>
  <c r="N1174" i="10"/>
  <c r="D1174" i="10"/>
  <c r="O1173" i="10"/>
  <c r="N1173" i="10"/>
  <c r="O1170" i="10"/>
  <c r="D1173" i="10"/>
  <c r="E1172" i="10"/>
  <c r="D1172" i="10"/>
  <c r="E1171" i="10"/>
  <c r="O1171" i="10"/>
  <c r="N1171" i="10"/>
  <c r="Q1171" i="10" s="1"/>
  <c r="N1170" i="10"/>
  <c r="D1170" i="10"/>
  <c r="E1163" i="10" l="1"/>
  <c r="R1173" i="10"/>
  <c r="R1174" i="10"/>
  <c r="E1160" i="10"/>
  <c r="E1161" i="10"/>
  <c r="E1158" i="10"/>
  <c r="E1157" i="10"/>
  <c r="R1170" i="10"/>
  <c r="Q1170" i="10"/>
  <c r="R1171" i="10"/>
  <c r="E1175" i="10"/>
  <c r="N1175" i="10"/>
  <c r="N1176" i="10" s="1"/>
  <c r="N1177" i="10" s="1"/>
  <c r="Q1173" i="10"/>
  <c r="D1175" i="10"/>
  <c r="Q1174" i="10"/>
  <c r="R1172" i="10"/>
  <c r="R1176" i="10" l="1"/>
  <c r="D1178" i="10" s="1"/>
  <c r="E1178" i="10" s="1"/>
  <c r="Q1176" i="10"/>
  <c r="Q1177" i="10" s="1"/>
  <c r="R1177" i="10" l="1"/>
  <c r="R1178" i="10" s="1"/>
  <c r="D1177" i="10"/>
  <c r="E1177" i="10"/>
  <c r="E1179" i="10" s="1"/>
  <c r="E1024" i="10"/>
  <c r="E1025" i="10" s="1"/>
  <c r="E1026" i="10" s="1"/>
  <c r="E1027" i="10" s="1"/>
  <c r="C1029" i="10"/>
  <c r="C1033" i="10"/>
  <c r="E1049" i="10"/>
  <c r="I1049" i="10"/>
  <c r="I1050" i="10" s="1"/>
  <c r="B1051" i="10"/>
  <c r="B1052" i="10" s="1"/>
  <c r="E1054" i="10"/>
  <c r="E1055" i="10" s="1"/>
  <c r="O1057" i="10"/>
  <c r="O1059" i="10"/>
  <c r="O1061" i="10"/>
  <c r="J1055" i="10" l="1"/>
  <c r="O1055" i="10" s="1"/>
  <c r="J1049" i="10"/>
  <c r="E1050" i="10"/>
  <c r="J1050" i="10" s="1"/>
  <c r="O1051" i="10" s="1"/>
  <c r="O1063" i="10" l="1"/>
  <c r="O1067" i="10" s="1"/>
  <c r="B1008" i="10"/>
  <c r="C1007" i="10"/>
  <c r="C1006" i="10"/>
  <c r="C1005" i="10"/>
  <c r="C1004" i="10"/>
  <c r="C1009" i="10" l="1"/>
  <c r="C1011" i="10" s="1"/>
  <c r="J991" i="10"/>
  <c r="E991" i="10"/>
  <c r="D991" i="10"/>
  <c r="N990" i="10"/>
  <c r="N989" i="10"/>
  <c r="N991" i="10" l="1"/>
  <c r="D984" i="10"/>
  <c r="B942" i="10" l="1"/>
  <c r="I962" i="10" l="1"/>
  <c r="P961" i="10"/>
  <c r="O961" i="10"/>
  <c r="N961" i="10"/>
  <c r="J961" i="10"/>
  <c r="E961" i="10"/>
  <c r="P960" i="10"/>
  <c r="O960" i="10"/>
  <c r="N960" i="10"/>
  <c r="J960" i="10"/>
  <c r="E960" i="10"/>
  <c r="D960" i="10"/>
  <c r="D959" i="10"/>
  <c r="D962" i="10" l="1"/>
  <c r="E962" i="10"/>
  <c r="O962" i="10"/>
  <c r="P962" i="10"/>
  <c r="J962" i="10"/>
  <c r="N962" i="10"/>
  <c r="P963" i="10" l="1"/>
  <c r="J928" i="10"/>
  <c r="D898" i="10" l="1"/>
  <c r="C898" i="10" l="1"/>
  <c r="J891" i="10"/>
  <c r="J892" i="10" s="1"/>
  <c r="D888" i="10"/>
  <c r="D870" i="10"/>
  <c r="F863" i="10" s="1"/>
  <c r="D862" i="10"/>
  <c r="F862" i="10" s="1"/>
  <c r="C888" i="10"/>
  <c r="D879" i="10"/>
  <c r="C879" i="10"/>
  <c r="C910" i="10" l="1"/>
  <c r="D910" i="10"/>
  <c r="Q745" i="10" l="1"/>
  <c r="C748" i="10" s="1"/>
  <c r="D739" i="10"/>
  <c r="D744" i="10"/>
  <c r="D743" i="10"/>
  <c r="D742" i="10"/>
  <c r="D741" i="10"/>
  <c r="D740" i="10"/>
  <c r="D738" i="10"/>
  <c r="C746" i="10" l="1"/>
  <c r="D746" i="10" s="1"/>
  <c r="C747" i="10"/>
  <c r="Q733" i="10"/>
  <c r="C732" i="10"/>
  <c r="D732" i="10" s="1"/>
  <c r="C731" i="10"/>
  <c r="D731" i="10" s="1"/>
  <c r="C730" i="10"/>
  <c r="R730" i="10" s="1"/>
  <c r="C729" i="10"/>
  <c r="D729" i="10" s="1"/>
  <c r="C728" i="10"/>
  <c r="C733" i="10" l="1"/>
  <c r="D733" i="10" s="1"/>
  <c r="D730" i="10"/>
  <c r="R731" i="10"/>
  <c r="R728" i="10"/>
  <c r="R732" i="10"/>
  <c r="D728" i="10"/>
  <c r="R729" i="10"/>
  <c r="A671" i="10"/>
  <c r="A670" i="10"/>
  <c r="A669" i="10"/>
  <c r="A668" i="10"/>
  <c r="A667" i="10"/>
  <c r="A666" i="10"/>
  <c r="A665" i="10"/>
  <c r="A664" i="10"/>
  <c r="R733" i="10" l="1"/>
  <c r="U677" i="10"/>
  <c r="V663" i="10"/>
  <c r="V665" i="10" s="1"/>
  <c r="R667" i="10"/>
  <c r="T667" i="10" s="1"/>
  <c r="R666" i="10"/>
  <c r="T666" i="10" s="1"/>
  <c r="R665" i="10"/>
  <c r="U665" i="10" s="1"/>
  <c r="R664" i="10"/>
  <c r="T664" i="10" s="1"/>
  <c r="R663" i="10"/>
  <c r="R668" i="10" l="1"/>
  <c r="U666" i="10"/>
  <c r="U663" i="10"/>
  <c r="U667" i="10"/>
  <c r="U664" i="10"/>
  <c r="T665" i="10"/>
  <c r="T663" i="10"/>
  <c r="T668" i="10" l="1"/>
  <c r="T670" i="10" s="1"/>
  <c r="U668" i="10"/>
  <c r="U302" i="10" l="1"/>
  <c r="T302" i="10"/>
  <c r="R302" i="10"/>
  <c r="Q307" i="10"/>
  <c r="Q302" i="10" s="1"/>
  <c r="C543" i="10"/>
  <c r="C544" i="10" s="1"/>
  <c r="I633" i="10" l="1"/>
  <c r="I632" i="10"/>
  <c r="I631" i="10"/>
  <c r="I634" i="10" l="1"/>
  <c r="E72" i="10"/>
  <c r="E73" i="10"/>
  <c r="E74" i="10"/>
  <c r="E75" i="10"/>
  <c r="E87" i="10"/>
  <c r="E88" i="10"/>
  <c r="E103" i="10"/>
  <c r="E106" i="10"/>
  <c r="E107" i="10"/>
  <c r="E108" i="10"/>
  <c r="E109" i="10"/>
  <c r="E110" i="10"/>
  <c r="E111" i="10"/>
  <c r="E118" i="10"/>
  <c r="E119" i="10"/>
  <c r="E120" i="10"/>
  <c r="E121" i="10"/>
  <c r="E122" i="10"/>
  <c r="E123" i="10"/>
  <c r="E124" i="10"/>
  <c r="E125" i="10"/>
  <c r="E127" i="10"/>
  <c r="E128" i="10"/>
  <c r="E129" i="10"/>
  <c r="E130" i="10"/>
  <c r="E132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5" i="10"/>
  <c r="E216" i="10" s="1"/>
  <c r="E221" i="10"/>
  <c r="E222" i="10"/>
  <c r="E223" i="10"/>
  <c r="E230" i="10"/>
  <c r="E231" i="10"/>
  <c r="E237" i="10"/>
  <c r="E238" i="10"/>
  <c r="E239" i="10"/>
  <c r="E240" i="10"/>
  <c r="E241" i="10"/>
  <c r="E242" i="10"/>
  <c r="E433" i="10"/>
  <c r="E460" i="10"/>
  <c r="E461" i="10"/>
  <c r="E462" i="10"/>
  <c r="E463" i="10"/>
  <c r="E224" i="10" l="1"/>
  <c r="E232" i="10"/>
  <c r="E464" i="10"/>
  <c r="E210" i="10"/>
  <c r="E133" i="10"/>
  <c r="E76" i="10"/>
  <c r="E243" i="10"/>
  <c r="E113" i="10"/>
  <c r="S538" i="10"/>
  <c r="T538" i="10" s="1"/>
  <c r="S537" i="10"/>
  <c r="T537" i="10" s="1"/>
  <c r="E137" i="10" l="1"/>
  <c r="D272" i="10"/>
  <c r="I269" i="10"/>
  <c r="I268" i="10"/>
  <c r="I267" i="10"/>
  <c r="I266" i="10"/>
  <c r="I265" i="10"/>
  <c r="I264" i="10"/>
  <c r="I263" i="10"/>
  <c r="I262" i="10"/>
  <c r="I261" i="10"/>
  <c r="I260" i="10"/>
  <c r="I259" i="10"/>
  <c r="I258" i="10"/>
  <c r="I257" i="10"/>
  <c r="J464" i="10" l="1"/>
  <c r="D473" i="10"/>
  <c r="D472" i="10"/>
  <c r="D471" i="10"/>
  <c r="D474" i="10" l="1"/>
  <c r="C438" i="10"/>
  <c r="C437" i="10"/>
  <c r="C436" i="10"/>
  <c r="J399" i="10" l="1"/>
  <c r="J409" i="10" l="1"/>
  <c r="J408" i="10"/>
  <c r="J398" i="10"/>
  <c r="J401" i="10"/>
  <c r="J400" i="10"/>
  <c r="J397" i="10"/>
  <c r="J396" i="10"/>
  <c r="J389" i="10"/>
  <c r="J390" i="10"/>
  <c r="J388" i="10"/>
  <c r="J387" i="10"/>
  <c r="J386" i="10"/>
  <c r="J385" i="10"/>
  <c r="J384" i="10"/>
  <c r="J377" i="10"/>
  <c r="J376" i="10"/>
  <c r="J375" i="10"/>
  <c r="J374" i="10"/>
  <c r="J373" i="10"/>
  <c r="J372" i="10"/>
  <c r="J371" i="10"/>
  <c r="J410" i="10" l="1"/>
  <c r="J378" i="10"/>
  <c r="J402" i="10"/>
  <c r="J391" i="10"/>
  <c r="J365" i="10"/>
  <c r="J364" i="10"/>
  <c r="J363" i="10"/>
  <c r="J362" i="10"/>
  <c r="J361" i="10"/>
  <c r="J360" i="10"/>
  <c r="J354" i="10"/>
  <c r="J353" i="10"/>
  <c r="J352" i="10"/>
  <c r="J351" i="10"/>
  <c r="J350" i="10"/>
  <c r="J349" i="10"/>
  <c r="J355" i="10" l="1"/>
  <c r="J366" i="10"/>
  <c r="V324" i="10"/>
  <c r="V323" i="10"/>
  <c r="V322" i="10"/>
  <c r="V321" i="10"/>
  <c r="V320" i="10"/>
  <c r="R403" i="10" l="1"/>
  <c r="U403" i="10" s="1"/>
  <c r="V325" i="10"/>
  <c r="V326" i="10" s="1"/>
  <c r="W303" i="10" l="1"/>
  <c r="X303" i="10" s="1"/>
  <c r="W301" i="10" l="1"/>
  <c r="X301" i="10" s="1"/>
  <c r="W300" i="10" l="1"/>
  <c r="X300" i="10" s="1"/>
  <c r="W299" i="10"/>
  <c r="X299" i="10" s="1"/>
  <c r="W298" i="10"/>
  <c r="X298" i="10" s="1"/>
  <c r="W297" i="10"/>
  <c r="X297" i="10" s="1"/>
  <c r="W296" i="10"/>
  <c r="X296" i="10" s="1"/>
  <c r="W294" i="10" l="1"/>
  <c r="X294" i="10" s="1"/>
  <c r="W293" i="10"/>
  <c r="X293" i="10" s="1"/>
  <c r="W292" i="10"/>
  <c r="X292" i="10" s="1"/>
  <c r="W291" i="10" l="1"/>
  <c r="X291" i="10" s="1"/>
  <c r="W295" i="10"/>
  <c r="X295" i="10" s="1"/>
  <c r="A170" i="10" l="1"/>
  <c r="D169" i="10"/>
  <c r="D168" i="10"/>
  <c r="D167" i="10"/>
  <c r="D166" i="10"/>
  <c r="D165" i="10"/>
  <c r="D164" i="10"/>
  <c r="D163" i="10"/>
  <c r="D170" i="10" l="1"/>
  <c r="D173" i="10" s="1"/>
  <c r="U99" i="10" l="1"/>
  <c r="D85" i="10" l="1"/>
  <c r="A80" i="10"/>
  <c r="A82" i="10"/>
  <c r="D75" i="10"/>
  <c r="D74" i="10"/>
  <c r="D73" i="10"/>
  <c r="D72" i="10"/>
  <c r="A75" i="10"/>
  <c r="A74" i="10"/>
  <c r="A73" i="10"/>
  <c r="A72" i="10"/>
  <c r="D76" i="10" l="1"/>
  <c r="A76" i="10"/>
  <c r="R38" i="10" l="1"/>
  <c r="R33" i="10"/>
  <c r="R32" i="10"/>
  <c r="R31" i="10"/>
  <c r="J33" i="10"/>
  <c r="N33" i="10" s="1"/>
  <c r="J32" i="10"/>
  <c r="J31" i="10"/>
  <c r="R34" i="10" l="1"/>
  <c r="R35" i="10" s="1"/>
  <c r="J34" i="10"/>
  <c r="J35" i="10" s="1"/>
  <c r="R37" i="10" l="1"/>
  <c r="O37" i="10"/>
  <c r="O38" i="10" s="1"/>
  <c r="J21" i="10"/>
  <c r="N14" i="10"/>
  <c r="N13" i="10"/>
  <c r="N12" i="10"/>
  <c r="N10" i="10"/>
  <c r="N9" i="10"/>
  <c r="N8" i="10"/>
  <c r="I212" i="5"/>
  <c r="I211" i="5"/>
  <c r="I166" i="5"/>
  <c r="I120" i="5"/>
  <c r="I86" i="5"/>
  <c r="N15" i="10" l="1"/>
  <c r="N16" i="10" s="1"/>
  <c r="F191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4" i="9"/>
  <c r="F120" i="9"/>
  <c r="F119" i="9"/>
  <c r="F118" i="9"/>
  <c r="F117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8" i="9"/>
  <c r="G66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G42" i="9"/>
  <c r="Q41" i="9"/>
  <c r="G41" i="9"/>
  <c r="Q40" i="9"/>
  <c r="G40" i="9"/>
  <c r="Q39" i="9"/>
  <c r="Q38" i="9"/>
  <c r="Q37" i="9"/>
  <c r="Q36" i="9"/>
  <c r="Q35" i="9"/>
  <c r="G35" i="9"/>
  <c r="Q34" i="9"/>
  <c r="G34" i="9"/>
  <c r="Q33" i="9"/>
  <c r="G33" i="9"/>
  <c r="Q32" i="9"/>
  <c r="Q30" i="9"/>
  <c r="Q29" i="9"/>
  <c r="G68" i="9" l="1"/>
  <c r="G69" i="9" s="1"/>
  <c r="F113" i="9"/>
  <c r="F114" i="9" s="1"/>
  <c r="F115" i="9" s="1"/>
  <c r="F121" i="9"/>
  <c r="F160" i="9"/>
  <c r="F161" i="9" s="1"/>
  <c r="F162" i="9" s="1"/>
  <c r="F197" i="9"/>
  <c r="F198" i="9" s="1"/>
  <c r="F199" i="9" s="1"/>
  <c r="H68" i="9"/>
  <c r="H69" i="9" s="1"/>
  <c r="Q65" i="9"/>
  <c r="Q66" i="9" s="1"/>
  <c r="Q67" i="9" s="1"/>
</calcChain>
</file>

<file path=xl/comments1.xml><?xml version="1.0" encoding="utf-8"?>
<comments xmlns="http://schemas.openxmlformats.org/spreadsheetml/2006/main">
  <authors>
    <author>Author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3rd Rock Autoboats Team
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Customer Id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Customer Name
</t>
        </r>
      </text>
    </comment>
    <comment ref="B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Onsite Staff Aug</t>
        </r>
      </text>
    </comment>
    <comment ref="B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Work from India &amp; China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Offshore team of 2 resources</t>
        </r>
      </text>
    </comment>
    <comment ref="B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On/off mix with split of 40:60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FB with all scrum teams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FB with Yuga scrum team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Invoice:
MA313-0000088701-updated 1
</t>
        </r>
      </text>
    </comment>
    <comment ref="A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Split in 2 below invoices coz of 2 PO Nos
</t>
        </r>
      </text>
    </comment>
    <comment ref="A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Split in below 2 invoices coz of wrong payment done against PO 60110556
</t>
        </r>
      </text>
    </comment>
    <comment ref="A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invoice: 
MA313-0000088633</t>
        </r>
      </text>
    </comment>
    <comment ref="A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invoice:
MA313-0000088635,
MA313-0000089144_Updated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Old invoice:
MA313-0000088728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Done credit and re-issue for this invoice.
Result invoices are below listed, 91520 &amp; 91522
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Split in below 2 invoices based on 2 PO's available and shared with smair
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below 2 invoices to be shared with Samir. 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invoice shall have PO:60122895 mentioned on it.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Below 2 invoices are  generated after CRI.Got p
aid</t>
        </r>
      </text>
    </comment>
    <comment ref="A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Below invoice generated with 1395 GBP, to adjust excess billing done in July
</t>
        </r>
      </text>
    </comment>
    <comment ref="A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Billing Period: 09/01/2013 to 09/06/2013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Billing Period: 09/16/2013 to 09/27/2013</t>
        </r>
      </text>
    </comment>
    <comment ref="A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Billing period: December-2013</t>
        </r>
      </text>
    </comment>
    <comment ref="A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Below invoice with 4 day efforts was generated. Remaining days were billed against Covetique project
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considered in remittance : 262</t>
        </r>
      </text>
    </comment>
    <comment ref="G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considered in remittance : 926
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Cancelled and considered as part of DISCOUNT.
Below is respective CREDIT NOTE</t>
        </r>
      </text>
    </comment>
    <comment ref="G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Cancelled and considered as discount for 2014
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CANCELLED IN ESA.NO PAYMENT DONE FROM CLIENT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to share with Samir, as informed by Suhas
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Billing Period: October-2013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 &amp; I done based on separate PO's available.
BELOW 2 INVOICES ARE GENERATED
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Done CR &amp; I and below invoice is created
</t>
        </r>
      </text>
    </comment>
    <comment ref="A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Submitted online cancellation and get below credit note to negate with this invoice.
</t>
        </r>
      </text>
    </comment>
    <comment ref="C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Billing period shall be Dec-2013
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Done CR &amp; I for this invoice and generated below corrected invoice</t>
        </r>
      </text>
    </comment>
    <comment ref="A5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Done CR&amp;I and generated below invoice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Done CR&amp;I as confirmed by Ankush &amp; Suhas.
Below new invoice raised against new SOW.
</t>
        </r>
      </text>
    </comment>
    <comment ref="A6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shared as the SOW is mapped against discount.
</t>
        </r>
        <r>
          <rPr>
            <b/>
            <sz val="9"/>
            <color indexed="81"/>
            <rFont val="Tahoma"/>
            <family val="2"/>
          </rPr>
          <t>INVOICE CANCELLED and below is the credit note.</t>
        </r>
      </text>
    </comment>
    <comment ref="A6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raise discount invoice against this invoice.
Credit Note:         MA313-0000138152</t>
        </r>
      </text>
    </comment>
    <comment ref="A6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shared as the SOW is mapped against discount.
</t>
        </r>
        <r>
          <rPr>
            <b/>
            <sz val="9"/>
            <color indexed="81"/>
            <rFont val="Tahoma"/>
            <family val="2"/>
          </rPr>
          <t>INVOICE CANCELLED and below is the credit note.</t>
        </r>
      </text>
    </comment>
    <comment ref="A6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raise discount invoice against this invoice
Credit Note:
MA313-0000138156</t>
        </r>
      </text>
    </comment>
    <comment ref="A6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PROFORMA:</t>
        </r>
        <r>
          <rPr>
            <sz val="9"/>
            <color indexed="81"/>
            <rFont val="Tahoma"/>
            <family val="2"/>
          </rPr>
          <t xml:space="preserve">
DONE CA FOR 29TH AUG EFFORTS</t>
        </r>
      </text>
    </comment>
    <comment ref="A700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DONE CA FOR 29TH AUG EFFORTS</t>
        </r>
      </text>
    </comment>
    <comment ref="A7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DONE CA FOR 29TH AUG EFFORTS
</t>
        </r>
      </text>
    </comment>
    <comment ref="A7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do Cancellation and issue to get below 2 invoices:
1 for GBP 20816 against PO:60141183 for this project only.
1 for GBP 17000 against discount project.</t>
        </r>
      </text>
    </comment>
    <comment ref="A7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Credit Note for above invoice of Identity team for Aug'14
</t>
        </r>
      </text>
    </comment>
    <comment ref="A7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Invoice we have generated for CR004 of Identity team. GBP 20,816.</t>
        </r>
      </text>
    </comment>
    <comment ref="A7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Done CR&amp;I as we have billed 19 days only.</t>
        </r>
      </text>
    </comment>
    <comment ref="A7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raise discount invoice against this invoice
Credit Note: 
MA313-0000138153</t>
        </r>
      </text>
    </comment>
    <comment ref="A7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raise discount invoice against this invoice
Credit Note:
MA313-0000138154</t>
        </r>
      </text>
    </comment>
    <comment ref="A7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TO SHARE WITH CLIENT
Credit Note:
MA313-0000138157</t>
        </r>
      </text>
    </comment>
    <comment ref="A7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TO SHARE WITH CLIENT
Credit Note:
MA313-0000138158</t>
        </r>
      </text>
    </comment>
    <comment ref="A7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 Cancel this invoice of £ 16,070. [Credit Note generated MA313-0000143030]
2. Generate invoice for £ 14,725 against PO 60143619 for CR001
3. Generate invoice for £ 462 against savings in PO 60136718 for SOW CTSIN201404054
</t>
        </r>
      </text>
    </comment>
    <comment ref="A8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GENERATED CRETIT NOTE MA313-0000141501.</t>
        </r>
      </text>
    </comment>
    <comment ref="A8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MAPPED TO DISCOUNT SO NOT TO SHARE FOR PAYMENT.
GENERATED CRETIT NOTE MA313-0000141502.
</t>
        </r>
      </text>
    </comment>
    <comment ref="A8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MAPPED TO DISCOUNT SO NOT TO SHARE FOR PAYMENT.
Credit Note: 
MA313-0000145285</t>
        </r>
      </text>
    </comment>
    <comment ref="A8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MAPPED TO DISCOUNT SO NOT TO SHARE FOR PAYMENT.
Credit Note: 
MA313-0000145286</t>
        </r>
      </text>
    </comment>
    <comment ref="F8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Earlier this invoices was shared with PO:60153549, however it was not having sufficient funds to cover the invoices value coz of extra efforts epent so new PO:60157589 is issued and we have to get the invoice paid against this PO.
</t>
        </r>
      </text>
    </comment>
    <comment ref="A8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MAPPED TO DISCOUNT SO NOT TO SHARE FOR PAYMENT.
Credit Note: 
MA313-0000145287</t>
        </r>
      </text>
    </comment>
    <comment ref="A8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MAPPED TO DISCOUNT SO NOT TO SHARE FOR PAYMENT.
Credit Note: 
MA313-0000145288</t>
        </r>
      </text>
    </comment>
    <comment ref="A8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MAPPED TO DISCOUNT SO NOT TO SHARE FOR PAYMENT.
Credit Note:
MA313-0000148262
</t>
        </r>
      </text>
    </comment>
    <comment ref="A8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MAPPED TO DISCOUNT SO NOT TO SHARE FOR PAYMENT.
Credit Note:
MA313-0000148264</t>
        </r>
      </text>
    </comment>
    <comment ref="A8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MAPPED TO DISCOUNT SO NOT TO SHARE FOR PAYMENT.
Credit Note: 
MA313-0000146716</t>
        </r>
      </text>
    </comment>
    <comment ref="H10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June onwards, ASOS Manager shall be Pratap Choudhary</t>
        </r>
      </text>
    </comment>
    <comment ref="H10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June onwards, ASOS Manager shall be Pratap Choudhary</t>
        </r>
      </text>
    </comment>
    <comment ref="H10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June onwards, ASOS Manager shall be Pratap Choudhary</t>
        </r>
      </text>
    </comment>
    <comment ref="H10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June onwards, ASOS Manager shall be Pratap Choudhary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Bangalore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Below 2 invoices are  generated after CRI.Got p
aid</t>
        </r>
      </text>
    </comment>
    <comment ref="E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New end date is 23rd April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LWD for Sunny: 29th Mar'14/new date is 27th Mar'14
LWD for Latifa: 28th Feb'14. Joined back on 28th Mar'14</t>
        </r>
      </text>
    </comment>
    <comment ref="O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Service Charges: 53,341 
T&amp;E: 8600</t>
        </r>
      </text>
    </comment>
    <comment ref="B5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50% efforts for April &amp; May to be billed to Nuzhat.
To bill till 9th may only. 50% billing
12th may onwards 50:50 billing in search and identity </t>
        </r>
      </text>
    </comment>
    <comment ref="B5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50% efforts for March, April &amp; May to be billed to Rajeev Aikkara.
</t>
        </r>
      </text>
    </comment>
    <comment ref="J9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MS defined
</t>
        </r>
      </text>
    </comment>
    <comment ref="A14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to share with Samir, as informed by Suhas
</t>
        </r>
      </text>
    </comment>
    <comment ref="A14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Invoice we have generated for CR004 of Identity team. GBP 20,816.</t>
        </r>
      </text>
    </comment>
    <comment ref="B17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CTSIN201307001 or
CTSGB201307001 or
CTSCN201307001
</t>
        </r>
      </text>
    </comment>
    <comment ref="A17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Billing from 16th March 2015.</t>
        </r>
      </text>
    </comment>
    <comment ref="A17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Billing to be done from 18th May 2015
</t>
        </r>
      </text>
    </comment>
    <comment ref="A17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Billing to be done from 14th April 2015</t>
        </r>
      </text>
    </comment>
    <comment ref="M20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Offshore Delivery Manager: 0.1</t>
        </r>
      </text>
    </comment>
    <comment ref="F20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redraft with 4 4 5 billing cycle.</t>
        </r>
      </text>
    </comment>
    <comment ref="M20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Offshore DM: 0.1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raise discount invoice against this invoice.
Credit Note:         MA313-0000138152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raise discount invoice against this invoice
Credit Note:
MA313-0000138156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raise discount invoice against this invoice
Credit Note: 
MA313-0000138153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raise discount invoice against this invoice
Credit Note:
MA313-0000138154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TO SHARE WITH CLIENT
Credit Note:
MA313-0000138157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TO SHARE WITH CLIENT
Credit Note:
MA313-0000138158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GENERATED CRETIT NOTE MA313-0000141501.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MAPPED TO DISCOUNT SO NOT TO SHARE FOR PAYMENT.
GENERATED CRETIT NOTE MA313-0000141502.
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MAPPED TO DISCOUNT SO NOT TO SHARE FOR PAYMENT.
Credit Note: 
MA313-0000145285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MAPPED TO DISCOUNT SO NOT TO SHARE FOR PAYMENT.
Credit Note: 
MA313-0000145286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MAPPED TO DISCOUNT SO NOT TO SHARE FOR PAYMENT.
Credit Note: 
MA313-0000145287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MAPPED TO DISCOUNT SO NOT TO SHARE FOR PAYMENT.
Credit Note: 
MA313-0000145288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MAPPED TO DISCOUNT SO NOT TO SHARE FOR PAYMENT.
Credit Note:
MA313-0000148262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MAPPED TO DISCOUNT SO NOT TO SHARE FOR PAYMENT.
Credit Note:
MA313-0000148264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MAPPED TO DISCOUNT SO NOT TO SHARE FOR PAYMENT.
Credit Note: 
MA313-0000146716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Sol Arch: Vivek S
1 QA: Charishma D
1 Dev: Prashant P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D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 on 10th June
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DAY LEAVE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DAY LEAVE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DAY LEAVE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 on 9th
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50% efforts for April &amp; May to be billed to Nuzhat</t>
        </r>
      </text>
    </comment>
    <comment ref="A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50% efforts for March, April &amp; May to be billed to Rajeev Aikkara</t>
        </r>
      </text>
    </comment>
  </commentList>
</comments>
</file>

<file path=xl/sharedStrings.xml><?xml version="1.0" encoding="utf-8"?>
<sst xmlns="http://schemas.openxmlformats.org/spreadsheetml/2006/main" count="12943" uniqueCount="5121">
  <si>
    <t>Resource Name</t>
  </si>
  <si>
    <t>Description</t>
  </si>
  <si>
    <t>Yes</t>
  </si>
  <si>
    <t>Vishal Verma</t>
  </si>
  <si>
    <t>Ramesh P</t>
  </si>
  <si>
    <t>Yusuf Jamali</t>
  </si>
  <si>
    <t>Umesh Deshmukh</t>
  </si>
  <si>
    <t>Anika Saxena</t>
  </si>
  <si>
    <t>Akash Srivastava</t>
  </si>
  <si>
    <t>Sarbani Pal</t>
  </si>
  <si>
    <t>Start Date</t>
  </si>
  <si>
    <t>End Date</t>
  </si>
  <si>
    <t>Jane Xu</t>
  </si>
  <si>
    <t>Connie Ma</t>
  </si>
  <si>
    <t xml:space="preserve">ASOS China Staff Augmentation  </t>
  </si>
  <si>
    <t>Project Id</t>
  </si>
  <si>
    <t>Project#</t>
  </si>
  <si>
    <t>Type</t>
  </si>
  <si>
    <t>Remarks</t>
  </si>
  <si>
    <t>ASOS - Ramp Up</t>
  </si>
  <si>
    <t>AVM</t>
  </si>
  <si>
    <t>Active</t>
  </si>
  <si>
    <t>ASOS Transition</t>
  </si>
  <si>
    <t>Expired</t>
  </si>
  <si>
    <t>ASOS Staff Augmentation</t>
  </si>
  <si>
    <t>ASOS Delivery</t>
  </si>
  <si>
    <t>AD</t>
  </si>
  <si>
    <t>ASOS Test Automation</t>
  </si>
  <si>
    <t>ASOS Test Assessment</t>
  </si>
  <si>
    <t>ASOS Data Mapping</t>
  </si>
  <si>
    <t>ASOS Regression TestAutomation</t>
  </si>
  <si>
    <t>ASOS China Testing</t>
  </si>
  <si>
    <t>ASOS China Mule Implementation</t>
  </si>
  <si>
    <t>ASOS Consumer Solution Remodel</t>
  </si>
  <si>
    <t>Umesh D</t>
  </si>
  <si>
    <t>Joseph M</t>
  </si>
  <si>
    <t>Mode</t>
  </si>
  <si>
    <t>T&amp;M</t>
  </si>
  <si>
    <t>FP</t>
  </si>
  <si>
    <t>Sandy LI</t>
  </si>
  <si>
    <t>Invoice No</t>
  </si>
  <si>
    <t>Month</t>
  </si>
  <si>
    <t>Status</t>
  </si>
  <si>
    <t>Customer Contact</t>
  </si>
  <si>
    <t>Mantra</t>
  </si>
  <si>
    <t>Avatar</t>
  </si>
  <si>
    <t>Karma</t>
  </si>
  <si>
    <t>Om</t>
  </si>
  <si>
    <t>Arya</t>
  </si>
  <si>
    <t>PO #</t>
  </si>
  <si>
    <t>Regression Test Team</t>
  </si>
  <si>
    <t>China Testing project</t>
  </si>
  <si>
    <t>PM Name</t>
  </si>
  <si>
    <t>Sumeet Verma</t>
  </si>
  <si>
    <t>Prachi Jani</t>
  </si>
  <si>
    <t>Sarang Kala</t>
  </si>
  <si>
    <t>Ankita Acharya</t>
  </si>
  <si>
    <t>Meenal Jain</t>
  </si>
  <si>
    <t>Sandip Kurwale</t>
  </si>
  <si>
    <t>Nidhi Sahu</t>
  </si>
  <si>
    <t>Imran Maniyar</t>
  </si>
  <si>
    <t>Shivam Raju</t>
  </si>
  <si>
    <t>Girik Koul</t>
  </si>
  <si>
    <t>Vivek Somvanshi</t>
  </si>
  <si>
    <t>Ashish Chakrawar</t>
  </si>
  <si>
    <t>Ankush Gupta</t>
  </si>
  <si>
    <t>Vinod Dhage</t>
  </si>
  <si>
    <t>Gaurav Sagne</t>
  </si>
  <si>
    <t>Ramcharan Alakonda</t>
  </si>
  <si>
    <t>Ankit Jain</t>
  </si>
  <si>
    <t>Pratigya Mishra</t>
  </si>
  <si>
    <t>Arun Kumar</t>
  </si>
  <si>
    <t>Harshada Chavan</t>
  </si>
  <si>
    <t>Ravish Tiwari</t>
  </si>
  <si>
    <t>Anand Tarey</t>
  </si>
  <si>
    <t>Pallavi Oak</t>
  </si>
  <si>
    <t>Bharatesh Pai</t>
  </si>
  <si>
    <t>Salil Deshpande</t>
  </si>
  <si>
    <t>Vaibhav Bajpai</t>
  </si>
  <si>
    <t>Shantanu Daithankar</t>
  </si>
  <si>
    <t>Kunal Dhanuka</t>
  </si>
  <si>
    <t>Pankaj Nikam</t>
  </si>
  <si>
    <t>Bhushan Patil</t>
  </si>
  <si>
    <t>Kunal Bhatnagar</t>
  </si>
  <si>
    <t>Priyadarshini Patel</t>
  </si>
  <si>
    <t>Nirav Kanakhara</t>
  </si>
  <si>
    <t>Komal Bhatia</t>
  </si>
  <si>
    <t>Project</t>
  </si>
  <si>
    <t>Resources</t>
  </si>
  <si>
    <t>Billing details</t>
  </si>
  <si>
    <t>Rate/day</t>
  </si>
  <si>
    <t>Comments</t>
  </si>
  <si>
    <t>NA</t>
  </si>
  <si>
    <t>Fixed Bid</t>
  </si>
  <si>
    <t>5 weeks</t>
  </si>
  <si>
    <t>Karma Team</t>
  </si>
  <si>
    <t>4 weeks</t>
  </si>
  <si>
    <t>Small change Team (Avani, Arya &amp; Om)</t>
  </si>
  <si>
    <t>Delivery Solutions</t>
  </si>
  <si>
    <t>ASOS Staff Aug (Onsite)</t>
  </si>
  <si>
    <t>Akash</t>
  </si>
  <si>
    <t>1st June till 30th June</t>
  </si>
  <si>
    <t>5 weeks (SOW till 31st Oct)</t>
  </si>
  <si>
    <t>Manjula</t>
  </si>
  <si>
    <t>4 week billing</t>
  </si>
  <si>
    <t>Shamim</t>
  </si>
  <si>
    <t>Anurag</t>
  </si>
  <si>
    <t>Yusuf</t>
  </si>
  <si>
    <t>10th June till 30th June</t>
  </si>
  <si>
    <t>15 days Billing</t>
  </si>
  <si>
    <t>Anika</t>
  </si>
  <si>
    <t>17th June till 30th June</t>
  </si>
  <si>
    <t>10 days billing</t>
  </si>
  <si>
    <t>Nishant</t>
  </si>
  <si>
    <t>Adarsh</t>
  </si>
  <si>
    <t xml:space="preserve">ASOS Staff Aug </t>
  </si>
  <si>
    <t>Preeti</t>
  </si>
  <si>
    <t>Prabakaran</t>
  </si>
  <si>
    <t>Cathy Wang</t>
  </si>
  <si>
    <t>Judy Fang</t>
  </si>
  <si>
    <t>Ancora Du</t>
  </si>
  <si>
    <t>Regression Automation</t>
  </si>
  <si>
    <t>Bholanath Onsite Travel</t>
  </si>
  <si>
    <t xml:space="preserve">Shivam Onsite Travel </t>
  </si>
  <si>
    <t>ASOS Consumer Solutions</t>
  </si>
  <si>
    <t>Total Revenue for June (in GBP)</t>
  </si>
  <si>
    <t>Total Revenue for June (in USD)</t>
  </si>
  <si>
    <t>Total Revenue for Tech (in USD)</t>
  </si>
  <si>
    <t>Sr No</t>
  </si>
  <si>
    <t>ESA Project Id</t>
  </si>
  <si>
    <t>Start date</t>
  </si>
  <si>
    <t>End date</t>
  </si>
  <si>
    <t>Rate</t>
  </si>
  <si>
    <t>June'13 Forecast</t>
  </si>
  <si>
    <t>MA313-0000078846</t>
  </si>
  <si>
    <t>Services rendered for ASOS China Testing</t>
  </si>
  <si>
    <t>Ruaan Venter</t>
  </si>
  <si>
    <t>MA313-0000082250</t>
  </si>
  <si>
    <t>MA313-0000085283</t>
  </si>
  <si>
    <t>MA313-0000085284</t>
  </si>
  <si>
    <t>May'13</t>
  </si>
  <si>
    <t>Service charges for ASOS China Testing for May- 2013</t>
  </si>
  <si>
    <t>Service charges for Ecommerce Integration Testing for May- 2013</t>
  </si>
  <si>
    <t>MA313-0000077862</t>
  </si>
  <si>
    <t>MA313-0000080141</t>
  </si>
  <si>
    <t>Charges for Data Mapping project Phase - II</t>
  </si>
  <si>
    <t>Rob Grigg</t>
  </si>
  <si>
    <t>Charges for additional effort for completion of COM investigation spike</t>
  </si>
  <si>
    <t>MA313-0000076332-updated</t>
  </si>
  <si>
    <t>MA313-0000076333-updated</t>
  </si>
  <si>
    <t>MA313-0000076833</t>
  </si>
  <si>
    <t>MA313-0000076887-updated</t>
  </si>
  <si>
    <t>Feb'13</t>
  </si>
  <si>
    <t>Service Charges for Karma Team for February-2013</t>
  </si>
  <si>
    <t>Service Charges-Small Change Team for February-2013</t>
  </si>
  <si>
    <t>Service Charges for Offshore scrum teams for Feb 2013</t>
  </si>
  <si>
    <t>ASOS Onsite ALM Training expenses for Vivek Somvanshi</t>
  </si>
  <si>
    <t>MA313-0000078563</t>
  </si>
  <si>
    <t>MA313-0000078564</t>
  </si>
  <si>
    <t>MA313-0000078565</t>
  </si>
  <si>
    <t>Service Charges for Offshore Scrum Teams for Mar 2013</t>
  </si>
  <si>
    <t>Kate Boyle</t>
  </si>
  <si>
    <t>Service Charges for Karma Team for March-2013</t>
  </si>
  <si>
    <t>Service Charges for Small Changes Teams (Avani, Arya and Om) for March-2013</t>
  </si>
  <si>
    <t>MA313-0000080771-updated</t>
  </si>
  <si>
    <t>MA313-0000080772-updated</t>
  </si>
  <si>
    <t>MA313-0000080773-updated</t>
  </si>
  <si>
    <t>MA313-0000080774-updated</t>
  </si>
  <si>
    <t>MA313-0000081067-updated</t>
  </si>
  <si>
    <t>MA313-0000081068-updated</t>
  </si>
  <si>
    <t>Service Charges for Karma Team for April-2013</t>
  </si>
  <si>
    <t>Tracey Banks</t>
  </si>
  <si>
    <t>Service Charges for Small Changes Team (Om, Arya and Avani) for April-2013</t>
  </si>
  <si>
    <t>Service Charges for Avatar Team for April-2013</t>
  </si>
  <si>
    <t>Avatar Team</t>
  </si>
  <si>
    <t>Service Charges for Mantra Team for April-2013</t>
  </si>
  <si>
    <t>Ross Beaumont</t>
  </si>
  <si>
    <t>Mantra Team</t>
  </si>
  <si>
    <t>Charges for Onsite BA: Bharatesh Pai (8th Apr 2013 to 20th Apr 2013)</t>
  </si>
  <si>
    <t>Charges for Onsite BA: Salil Deshpande (8th Apr 2013 to 20th Apr 2013)</t>
  </si>
  <si>
    <t>MA313-0000084785</t>
  </si>
  <si>
    <t>MA313-0000084786</t>
  </si>
  <si>
    <t>MA313-0000084787</t>
  </si>
  <si>
    <t>MA313-0000084788</t>
  </si>
  <si>
    <t>MA313-0000084789</t>
  </si>
  <si>
    <t>Service Charges for Karma Team for May-2013(GBP 6620 X 4 Weeks)</t>
  </si>
  <si>
    <t>Service Charges for Small Change Teams for May-2013(Avani: GBP 6380X4 Weeks)
(Arya: GBP 5590X4 Weeks)(Om: GBP 5590X4 Weeks)(Program Governance: GBP 3577.5X4 Weeks)</t>
  </si>
  <si>
    <t>Service Charges for Mantra Team for May-2013(GBP 7239 X 4 weeks</t>
  </si>
  <si>
    <t>Service Charges for Avatar Team for May-2013(GBP 7239 X 4 weeks)</t>
  </si>
  <si>
    <t>Service Charges for Delivery Solutions Team for May-2013(GBP 5725X3 weeks)</t>
  </si>
  <si>
    <t>MA313-0000080142</t>
  </si>
  <si>
    <t>Charges for ASOS Regression Test Automation - Milestone 1</t>
  </si>
  <si>
    <t>Milestone I</t>
  </si>
  <si>
    <t>MA313-0000076503-updated</t>
  </si>
  <si>
    <t>MA313-0000076504-updated</t>
  </si>
  <si>
    <t>MA313-0000076505-updated</t>
  </si>
  <si>
    <t>MA313-0000076506</t>
  </si>
  <si>
    <t>MA313-0000076507</t>
  </si>
  <si>
    <t>MA313-0000076508-updated</t>
  </si>
  <si>
    <t>MA313-0000076509</t>
  </si>
  <si>
    <t>MA313-0000076510</t>
  </si>
  <si>
    <t>MA313-0000078833</t>
  </si>
  <si>
    <t>MA313-0000078837</t>
  </si>
  <si>
    <t>MA313-0000078838</t>
  </si>
  <si>
    <t>MA313-0000078839</t>
  </si>
  <si>
    <t>MA313-0000078840</t>
  </si>
  <si>
    <t>MA313-0000078841</t>
  </si>
  <si>
    <t>MA313-0000079622</t>
  </si>
  <si>
    <t>MA313-0000079625</t>
  </si>
  <si>
    <t>MA313-0000079627</t>
  </si>
  <si>
    <t>Service charges for Services rendered for Balaji Varada for the month of Feb-2013</t>
  </si>
  <si>
    <t>Antonello Caboni</t>
  </si>
  <si>
    <t>Service charges for Services rendered for Prabakaran for the month of Feb-2013</t>
  </si>
  <si>
    <t>Ross</t>
  </si>
  <si>
    <t>Service charges for Services rendered for Manjula for the month of Feb -2013</t>
  </si>
  <si>
    <t>Onsite efforts</t>
  </si>
  <si>
    <t>Rajeev Aikkara</t>
  </si>
  <si>
    <t>Service charges for Services rendered for Anurag Ankur for the month of Feb -2013</t>
  </si>
  <si>
    <t>Service charges for Services rendered for Akash Srivastava for the month of Feb-2013</t>
  </si>
  <si>
    <t>Service charges for Services rendered for Ramesh P for the month of Feb -2013</t>
  </si>
  <si>
    <t>Offshore efforts</t>
  </si>
  <si>
    <t>Service charges for Services rendered for Jagadis Mahadevan for the month of Feb-2013</t>
  </si>
  <si>
    <t>Service charges for Services rendered for S Srinivasan for the month of Feb -2013</t>
  </si>
  <si>
    <t>Service charges for Services rendered for Balaji Varada for the month of March 2013</t>
  </si>
  <si>
    <t>Service charges for Services rendered for B&amp;M QAs for the month of Mar-2013</t>
  </si>
  <si>
    <t>Service charges for Services rendered for Anurag Ankur for the month of Mar-2013</t>
  </si>
  <si>
    <t>Service charges for Services rendered for Akash Srivastava for the month of March 2013</t>
  </si>
  <si>
    <t>Service charges for Services rendered for Jagadis Mahadevan for the month of March 2013</t>
  </si>
  <si>
    <t>Service charges for Services rendered for S Srinivasan for the month of Mar-2013</t>
  </si>
  <si>
    <t>Service charges for Services rendered for Prabakaran for the month of Mar-2013</t>
  </si>
  <si>
    <t>PO#</t>
  </si>
  <si>
    <t>Service charges for Services rendered for Shamim for the month of Mar-2013</t>
  </si>
  <si>
    <t>Service charges for Services rendered for Manjula for the month of Mar-2013</t>
  </si>
  <si>
    <t>June Revenue (GBP)</t>
  </si>
  <si>
    <t>MA313-0000082327-updated</t>
  </si>
  <si>
    <t>MA313-0000082328-updated</t>
  </si>
  <si>
    <t>MA313-0000082329-updated</t>
  </si>
  <si>
    <t>MA313-0000082331-updated</t>
  </si>
  <si>
    <t>MA313-0000082332-updated</t>
  </si>
  <si>
    <t>MA313-0000082333-updated</t>
  </si>
  <si>
    <t>MA313-0000082898-updated</t>
  </si>
  <si>
    <t>Service charges for Services rendered for Shamim for the month of April-2013</t>
  </si>
  <si>
    <t>Service charges for Services rendered for Prabakaran for the month of April-2013</t>
  </si>
  <si>
    <t>Service charges for Services rendered for Manjula for the month of April-2013</t>
  </si>
  <si>
    <t>Service charges for Services rendered for Anurag Ankur for the month of April-2013</t>
  </si>
  <si>
    <t>Service charges for Services rendered for Akash Srivastava for the month of April-2013</t>
  </si>
  <si>
    <t>Service charges for Services rendered for S Srinivasan for the month of April-2013</t>
  </si>
  <si>
    <t>Service charges for Services rendered for B&amp;M QAs for the month of April-2013</t>
  </si>
  <si>
    <t>MA313-0000085897</t>
  </si>
  <si>
    <t>MA313-0000085898</t>
  </si>
  <si>
    <t>MA313-0000085899</t>
  </si>
  <si>
    <t>MA313-0000085900</t>
  </si>
  <si>
    <t>MA313-0000085901</t>
  </si>
  <si>
    <t>MA313-0000085902</t>
  </si>
  <si>
    <t>MA313-0000085903</t>
  </si>
  <si>
    <t>MA313-0000085904</t>
  </si>
  <si>
    <t>Service charges for Services rendered for Preeti for the month of May-2013</t>
  </si>
  <si>
    <t>Service charges for Services rendered for Shamim for the month of May-2013 (5 Weeks)</t>
  </si>
  <si>
    <t>Service charges for Services rendered for Prabakaran for the month of May-2013 (5 weeks)</t>
  </si>
  <si>
    <t>Service charges for Services rendered for Manjula for the month of May-2013 (5 Weeks)</t>
  </si>
  <si>
    <t>Service charges for Services rendered for Sarbani for the month of May-2013</t>
  </si>
  <si>
    <t>Service charges for Services rendered for B&amp;M QAs for the month of May-2013</t>
  </si>
  <si>
    <t>Service charges for Services rendered for Anurag for the month of May-2013 (4 Weeks)</t>
  </si>
  <si>
    <t>Service charges for Services rendered for Akash Srivastava for the month of May-2013 (4 Weeks)</t>
  </si>
  <si>
    <t>June'13</t>
  </si>
  <si>
    <t>Amount in GBP 
(with VAT)</t>
  </si>
  <si>
    <t>#</t>
  </si>
  <si>
    <t>Jai Ganesh</t>
  </si>
  <si>
    <t>Anurag Ankur</t>
  </si>
  <si>
    <t>Mantra team</t>
  </si>
  <si>
    <t>Avatar team</t>
  </si>
  <si>
    <t>BA</t>
  </si>
  <si>
    <t>Avani</t>
  </si>
  <si>
    <t>ASOS China Support</t>
  </si>
  <si>
    <t>60110556/ 
60114492</t>
  </si>
  <si>
    <t>Small changes team</t>
  </si>
  <si>
    <t>S Srinivasan</t>
  </si>
  <si>
    <t>B&amp;M QA Testing</t>
  </si>
  <si>
    <t>Service charges for Consumer Soln Remodelling - Feasibility Phase</t>
  </si>
  <si>
    <t>Solution Architect</t>
  </si>
  <si>
    <t>Paid</t>
  </si>
  <si>
    <t>Role</t>
  </si>
  <si>
    <t>Small Change</t>
  </si>
  <si>
    <t xml:space="preserve">API </t>
  </si>
  <si>
    <t> Surya</t>
  </si>
  <si>
    <t>Scrum Master</t>
  </si>
  <si>
    <t>Joseph Mariadas</t>
  </si>
  <si>
    <t>Virendra Rajput</t>
  </si>
  <si>
    <t>Pradip Pawar</t>
  </si>
  <si>
    <t>MS Developer</t>
  </si>
  <si>
    <t>Bholanath Choudhary</t>
  </si>
  <si>
    <t>Vinita Nandode</t>
  </si>
  <si>
    <t>Priyanka Bhandary</t>
  </si>
  <si>
    <t>Prashant Pachpole</t>
  </si>
  <si>
    <t>Murali Vuppala</t>
  </si>
  <si>
    <t>Nitin Malode</t>
  </si>
  <si>
    <t>Rohan Mayekar</t>
  </si>
  <si>
    <t>QA</t>
  </si>
  <si>
    <t>Prajnya Jambhulkar</t>
  </si>
  <si>
    <t>K Dhandapani</t>
  </si>
  <si>
    <t>Charishma Dsouza</t>
  </si>
  <si>
    <t>Kanchan Raktate </t>
  </si>
  <si>
    <t>QA Buffer</t>
  </si>
  <si>
    <t>MS DEV Buffer</t>
  </si>
  <si>
    <t>N/A</t>
  </si>
  <si>
    <t>DB Developer</t>
  </si>
  <si>
    <t>Service Charges for Small Change Teams for June-2013 (Avani: GBP 6380X4 Weeks)(Arya: GBP 5590X4 Weeks) (Om: GBP 5590X4 Weeks) (Program Governance: GBP 3577X4Weeks)</t>
  </si>
  <si>
    <t>Yogendra</t>
  </si>
  <si>
    <t>ASOS Staff Aug: Onsite Tech. Manager</t>
  </si>
  <si>
    <t>ASOS Staff Aug: B&amp;M-Offshore: 
SOW till 27th Sep)</t>
  </si>
  <si>
    <t>MA313-0000086989</t>
  </si>
  <si>
    <t>ASOS Onsite ALM Training Expenses for Bholanath (20th May 2013 till 14th June 2013)</t>
  </si>
  <si>
    <t>Service Charges for API Team (June 2013)</t>
  </si>
  <si>
    <t>Service Charges for Avatar Team for June-2013 (GBP 7239 X 5 weeks)</t>
  </si>
  <si>
    <t>Service Charges for Mantra Team for June-2013 (GBP 7239 X 5 weeks)</t>
  </si>
  <si>
    <t>MA313-0000087199</t>
  </si>
  <si>
    <t>MA313-0000087200</t>
  </si>
  <si>
    <t>MA313-0000086987</t>
  </si>
  <si>
    <t>Service Charges for Karma Team for June-2013 (GBP 6620 X 4 Weeks)</t>
  </si>
  <si>
    <t>MA313-0000086988</t>
  </si>
  <si>
    <t>Service Charges for Surya Team for June-2013 (GBP 5725 X 4 weeks)</t>
  </si>
  <si>
    <t>Charges for Onsite BA: Shivam Raju (13th May 2013 to 21st June 2013)</t>
  </si>
  <si>
    <t>Bob Strudwick</t>
  </si>
  <si>
    <t>Jennifer Chilton</t>
  </si>
  <si>
    <t>ALM Onsite:</t>
  </si>
  <si>
    <t>Regression TestAutomation</t>
  </si>
  <si>
    <t>MA313-0000087202-updated</t>
  </si>
  <si>
    <t>MA313-0000086799-updated</t>
  </si>
  <si>
    <t>MA313-0000087475</t>
  </si>
  <si>
    <t>Charges for ASOS Regression Test Automation - Milestone 4</t>
  </si>
  <si>
    <t>Consumer Soln Remodelling</t>
  </si>
  <si>
    <t>Yuga</t>
  </si>
  <si>
    <t>Keyur</t>
  </si>
  <si>
    <t>Pavani</t>
  </si>
  <si>
    <t>Jagan</t>
  </si>
  <si>
    <t>MA313-0000087201-updated</t>
  </si>
  <si>
    <t>MA313-0000087473-updated</t>
  </si>
  <si>
    <t>MA313-0000086736-updated</t>
  </si>
  <si>
    <t>ASOS China Mule Implementation: Build Completeion of All core</t>
  </si>
  <si>
    <t>Carl Zu</t>
  </si>
  <si>
    <t>Carol Li</t>
  </si>
  <si>
    <t>ASOS China Staff Aug resources</t>
  </si>
  <si>
    <t xml:space="preserve">China L1 Support </t>
  </si>
  <si>
    <t>Salil</t>
  </si>
  <si>
    <t>QA Engineer</t>
  </si>
  <si>
    <t>Nitin</t>
  </si>
  <si>
    <t>1st July till 31st July</t>
  </si>
  <si>
    <t>4 week billing (SOW till 31st Oct)</t>
  </si>
  <si>
    <t>Yogi</t>
  </si>
  <si>
    <t>ASOS Staff Aug (Offshore)</t>
  </si>
  <si>
    <t>ASOS Staff Aug (B&amp;M-Offshore: SOW till 27th Sep)</t>
  </si>
  <si>
    <t>8th July till 31st July</t>
  </si>
  <si>
    <t>18days billing</t>
  </si>
  <si>
    <t>Onsite Tech. Manager</t>
  </si>
  <si>
    <t>22nd July till 31st July</t>
  </si>
  <si>
    <t>8 days billing at Onsite</t>
  </si>
  <si>
    <t>8th July till 19st July</t>
  </si>
  <si>
    <t>10 days billing at Offshore</t>
  </si>
  <si>
    <t>ASOS China (SOW till 31st Aug)</t>
  </si>
  <si>
    <t>Vivian</t>
  </si>
  <si>
    <t>ASOS China Staff Aug</t>
  </si>
  <si>
    <t>Himanshu</t>
  </si>
  <si>
    <t>ALM</t>
  </si>
  <si>
    <t>Vinod</t>
  </si>
  <si>
    <t>Total Revenue for Feb (in GBP)</t>
  </si>
  <si>
    <t>Total Revenue for Feb (in USD)</t>
  </si>
  <si>
    <t xml:space="preserve">Delivery Solutions/Surya </t>
  </si>
  <si>
    <t>June'13 Actuals</t>
  </si>
  <si>
    <t>Jan Revenue (GBP)</t>
  </si>
  <si>
    <t>Ecommerce Integration Testing for Jun- 2013</t>
  </si>
  <si>
    <t>Vivian He</t>
  </si>
  <si>
    <t>ASOS China Testing for Jun- 2013</t>
  </si>
  <si>
    <t>Sandy Li</t>
  </si>
  <si>
    <t>24th June till 30th June</t>
  </si>
  <si>
    <t>5 day billing</t>
  </si>
  <si>
    <t>Cathy Tang</t>
  </si>
  <si>
    <t>Performance Testing for Jun- 2013</t>
  </si>
  <si>
    <t>Mule Integration Developers</t>
  </si>
  <si>
    <t>60111411/
60114491</t>
  </si>
  <si>
    <t>60114492/
60115350</t>
  </si>
  <si>
    <t>Security Testing</t>
  </si>
  <si>
    <t>Service charges for Services rendered for Preeti for the month of Jun-2013</t>
  </si>
  <si>
    <t>Service charges for Services rendered for Shamim for the month of Jun-2013</t>
  </si>
  <si>
    <t>Service charges for Services rendered for Prabakaran for the month of Jun-2013</t>
  </si>
  <si>
    <t>Service charges for Services rendered for Manjula for the month of Jun-2013</t>
  </si>
  <si>
    <t>Service charges for Services rendered for Sarbani for the month of Jun-2013</t>
  </si>
  <si>
    <t>Service charges for Services rendered for B&amp;M QAs for the month of Jun-2013</t>
  </si>
  <si>
    <t>Service charges for Services rendered for Anurag Ankur for the month of Jun-2013</t>
  </si>
  <si>
    <t>Service charges for Services rendered for Akash Srivastava for the month of Jun</t>
  </si>
  <si>
    <t>Service charges for Services rendered for Anika for the month of Jun-2013</t>
  </si>
  <si>
    <t>Service charges for Services rendered for Yogendra for the month of Jun-2013</t>
  </si>
  <si>
    <t>Service charges for Ecommerce Integration Testing for Jun- 2013
FANG,Judy 
DU,Ancora 
Xu,Jane Binfei</t>
  </si>
  <si>
    <t>Service charges for Security Testing for June-2013
Chennaiyan,Jaganath 
Lakshmi P,Pavani</t>
  </si>
  <si>
    <t>Service charges for Mule Integration Developers for Jun 2013
Tiwari,Himanshu 
Chaudhary,Nitin</t>
  </si>
  <si>
    <t>MA313-0000088702-updated 1</t>
  </si>
  <si>
    <t>MA313-0000088703-updated 1</t>
  </si>
  <si>
    <t>MA313-0000088705-updated 1</t>
  </si>
  <si>
    <t>MA313-0000088706-updated 1</t>
  </si>
  <si>
    <t>MA313-0000088707-updated 1</t>
  </si>
  <si>
    <t>MA313-0000088708-updated 1</t>
  </si>
  <si>
    <t>Service charges for Performance Testing for Jun- 2013,
Keyur Palsule</t>
  </si>
  <si>
    <t>Unbilled AM/CP</t>
  </si>
  <si>
    <t>Service charges for Performance Testing for Jun- 2013
Sandy Li,
Carl Zhu</t>
  </si>
  <si>
    <t>July'13 Forecast</t>
  </si>
  <si>
    <t>Team (excl. PM, BA &amp;DD)</t>
  </si>
  <si>
    <t>Offshore PM</t>
  </si>
  <si>
    <t>Onsite BA</t>
  </si>
  <si>
    <t>Delivery Director</t>
  </si>
  <si>
    <t>July Revenue (GBP)</t>
  </si>
  <si>
    <t>Aug'13 Forecast: T&amp;M</t>
  </si>
  <si>
    <t>5 week billing</t>
  </si>
  <si>
    <t>1st Aug till 31st Aug</t>
  </si>
  <si>
    <t>SOW coverage till 31st July only</t>
  </si>
  <si>
    <t>5 days billing</t>
  </si>
  <si>
    <t>1st Aug till 19th Aug</t>
  </si>
  <si>
    <t>12 days billing</t>
  </si>
  <si>
    <t>Sept'13 Forecast: T&amp;M</t>
  </si>
  <si>
    <t>1st Sept till 30th Sept</t>
  </si>
  <si>
    <t>5 week billing (SOW till 31st Oct)</t>
  </si>
  <si>
    <t>1st Sept till 10th Sept</t>
  </si>
  <si>
    <t>11th Sept till 30th Sept</t>
  </si>
  <si>
    <t>SOW coverage till 10th Sept only</t>
  </si>
  <si>
    <t>14 day billing</t>
  </si>
  <si>
    <t>1st Sept till 27th Sept</t>
  </si>
  <si>
    <t>SOW coverage till 27th Sept only</t>
  </si>
  <si>
    <t>SOW coverage till 31st Aug only</t>
  </si>
  <si>
    <t>SOW coverage till 19th Aug only</t>
  </si>
  <si>
    <t>Service charges for Services rendered for Yusuf for the month of  Jun-2013</t>
  </si>
  <si>
    <t xml:space="preserve">
MA313-0000089142_Updated</t>
  </si>
  <si>
    <t>Service charges for ASOS China Testing for Jun- 2013
Connie Ma
Cathy Tang
Vivian He</t>
  </si>
  <si>
    <t xml:space="preserve">
MA313-0000089146_Updated</t>
  </si>
  <si>
    <t>No PO available</t>
  </si>
  <si>
    <t>MA313-0000088709-updated</t>
  </si>
  <si>
    <t>MA313-0000088710-updated</t>
  </si>
  <si>
    <t>MA313-0000088711-updated</t>
  </si>
  <si>
    <t>MA313-0000088634-updated</t>
  </si>
  <si>
    <t>MA313-0000088726-updated</t>
  </si>
  <si>
    <t>MA313-0000088727-updated</t>
  </si>
  <si>
    <t>11 days Billing,taken leave for 4 days</t>
  </si>
  <si>
    <t>4 week billing,1 day leave</t>
  </si>
  <si>
    <t>MA313-0000089293-updated</t>
  </si>
  <si>
    <t xml:space="preserve">
MA313-0000089295-updated</t>
  </si>
  <si>
    <t>8th till 21 offshore billing</t>
  </si>
  <si>
    <t>22nd onwards onsite</t>
  </si>
  <si>
    <t>shian T</t>
  </si>
  <si>
    <t>Abhishek Doss</t>
  </si>
  <si>
    <t>B&amp;M QA Tester</t>
  </si>
  <si>
    <t>Shripad M</t>
  </si>
  <si>
    <t>1st july onwards</t>
  </si>
  <si>
    <t xml:space="preserve">8th july onwards onsite </t>
  </si>
  <si>
    <t>Yuga team</t>
  </si>
  <si>
    <t>milestone for yuga team</t>
  </si>
  <si>
    <t>Delivery Solutions/Surya Team</t>
  </si>
  <si>
    <t>Regression Automation:Milestone 4</t>
  </si>
  <si>
    <t>ASOS Consumer Solutions Remodelling</t>
  </si>
  <si>
    <t>4 week billing,3 day leave</t>
  </si>
  <si>
    <t>4 week billing,2 day leave</t>
  </si>
  <si>
    <t>MA313-0000089339-updated</t>
  </si>
  <si>
    <t>Mar'13</t>
  </si>
  <si>
    <t>Leaves</t>
  </si>
  <si>
    <t>preeti</t>
  </si>
  <si>
    <t>9th july</t>
  </si>
  <si>
    <t># of weeks 
(Avatar &amp; Mantra)</t>
  </si>
  <si>
    <t>Oct'12</t>
  </si>
  <si>
    <t>Nov'12</t>
  </si>
  <si>
    <t>Dec'12</t>
  </si>
  <si>
    <t>Jan'13</t>
  </si>
  <si>
    <t>Apr'13</t>
  </si>
  <si>
    <t>Jun'13</t>
  </si>
  <si>
    <t>Jul'13</t>
  </si>
  <si>
    <t>Aug'13</t>
  </si>
  <si>
    <t>Sep'13</t>
  </si>
  <si>
    <t>Oct'13</t>
  </si>
  <si>
    <t>Nov'13</t>
  </si>
  <si>
    <t>Dec'13</t>
  </si>
  <si>
    <t>Jan'14</t>
  </si>
  <si>
    <t>Feb'14</t>
  </si>
  <si>
    <t>Mar'14</t>
  </si>
  <si>
    <t># of weeks 
(Karma &amp; 
Small change)</t>
  </si>
  <si>
    <t>Small 
change</t>
  </si>
  <si>
    <t># of weeks 
(Surya)</t>
  </si>
  <si>
    <t>Surya</t>
  </si>
  <si>
    <t># of weeks 
(Yuga)</t>
  </si>
  <si>
    <t>ASOS China – Mule support</t>
  </si>
  <si>
    <t>60116758/
60107951</t>
  </si>
  <si>
    <t>SOW #</t>
  </si>
  <si>
    <t>Available hours</t>
  </si>
  <si>
    <t>Policy Hours</t>
  </si>
  <si>
    <t>Billed Hours</t>
  </si>
  <si>
    <t>Associate leave(s) applied in Timesheet, Replicon, EAM &amp; NON-EAM</t>
  </si>
  <si>
    <t xml:space="preserve">Actual billed hours as per invoice </t>
  </si>
  <si>
    <t>Weighted value considering allocation %, start/end date, location specific holiday(s)</t>
  </si>
  <si>
    <t>July'13</t>
  </si>
  <si>
    <t>MA313-0000090586</t>
  </si>
  <si>
    <t>Charges for Karma: Additional Testing resource for Karma project for 4 weeks (4th July till 31st July)</t>
  </si>
  <si>
    <t>MA313-0000090565</t>
  </si>
  <si>
    <t>Service Charges for Avatar Team for July-2013 
(GBP 7239 X 4 weeks)</t>
  </si>
  <si>
    <t>MA313-0000090567</t>
  </si>
  <si>
    <t>ASOS Onsite ALM Training Expenses for Vinod Dhage 
(24th June till 19th July)</t>
  </si>
  <si>
    <t>Service Charges for Yuga Team for July-2013 (GBP 6620 * 4 weeks)</t>
  </si>
  <si>
    <t>MA313-0000090568</t>
  </si>
  <si>
    <t>MA313-0000090562</t>
  </si>
  <si>
    <t>Service Charges for Karma Team for July-2013 (GBP 6620 * 4 weeks)</t>
  </si>
  <si>
    <t>MA313-0000090566</t>
  </si>
  <si>
    <t>MA313-0000090585</t>
  </si>
  <si>
    <t>Service Charges for Delivery Solns Analytical Team for July-2013 (GBP 1620 * 4 weeks)</t>
  </si>
  <si>
    <t>MA313-0000090563_Updated</t>
  </si>
  <si>
    <t>MA313-0000090735</t>
  </si>
  <si>
    <t>Yuga  Onsite</t>
  </si>
  <si>
    <t>Sandeep Malve</t>
  </si>
  <si>
    <t>Abhijeet Kharsan</t>
  </si>
  <si>
    <t>Parag Meshram</t>
  </si>
  <si>
    <t>Ishan Sharma</t>
  </si>
  <si>
    <t>Vikas Gajbhiye</t>
  </si>
  <si>
    <t>Akshay Gupta</t>
  </si>
  <si>
    <t>Abhith K</t>
  </si>
  <si>
    <t>Milind Joshi</t>
  </si>
  <si>
    <t>Tejsingh Palharya</t>
  </si>
  <si>
    <t>Satyajeet Kolhapure</t>
  </si>
  <si>
    <t>Service Charges for Mantra Team for July-2013 
(GBP 6409 * 4 weeks)</t>
  </si>
  <si>
    <t>Service Charges for Small Change Teams for Jul-2013,(Avani: GBP 6380X4 Weeks)(Arya: GBP 5590X4 Weeks)(Om: GBP5590X4 Weeks)(Program Governance: GBP 3577.5X4 Weeks)</t>
  </si>
  <si>
    <t>Service Charges for Surya Team for July 2013 
(GBP 5725 X 4 weeks)</t>
  </si>
  <si>
    <t>Vincent Eng</t>
  </si>
  <si>
    <t>MA313-0000090945-updated</t>
  </si>
  <si>
    <t>MA313-0000091354</t>
  </si>
  <si>
    <t>Service charges for Services rendered for Preeti for the month of Jul-2013 (4 weeks)</t>
  </si>
  <si>
    <t>MA313-0000091356</t>
  </si>
  <si>
    <t>Service charges for Services rendered for Shamim for month of Jul-13 (1st to 12th July)</t>
  </si>
  <si>
    <t>MA313-0000091357</t>
  </si>
  <si>
    <t>Service charges for Services rendered for Prabakaran for the month of Jul-2013 (4 weeks)</t>
  </si>
  <si>
    <t>MA313-0000091358</t>
  </si>
  <si>
    <t>Service charges for Services rendered for Manjula for the month of Jul-2013 (4 weeks)</t>
  </si>
  <si>
    <t>MA313-0000091362</t>
  </si>
  <si>
    <t>Service charges for Services rendered for Shian for the month of Jul-2013  (22nd to 31st July)</t>
  </si>
  <si>
    <t>Nuzhat Naweed</t>
  </si>
  <si>
    <t>MA313-0000091363</t>
  </si>
  <si>
    <t>Service charges for Services rendered for Anurag Ankur for the month of Jul-2013 (4 weeks)</t>
  </si>
  <si>
    <t>MA313-0000091366</t>
  </si>
  <si>
    <t>Service charges for Services rendered for Shripad for the month of Jul-2013 (4 weeks)</t>
  </si>
  <si>
    <t>Owain Wragg</t>
  </si>
  <si>
    <t>MA313-0000091367</t>
  </si>
  <si>
    <t>Service charges for Services rendered for Yogendra for the month of Jul-2013 (4 weeks)</t>
  </si>
  <si>
    <t>MA313-0000091368</t>
  </si>
  <si>
    <t>Service charges for Services rendered for Salil for the month of Jul-2013 (4 weeks)</t>
  </si>
  <si>
    <t>MA313-0000091370</t>
  </si>
  <si>
    <t>Service charges for Services rendered for S Srinivasan for the month of Jul-2013 (8th to 31st July)</t>
  </si>
  <si>
    <t>MA313-0000091355</t>
  </si>
  <si>
    <t>Service charges for Services rendered for Shamim for month of Jul-13 (15th to 31st July)</t>
  </si>
  <si>
    <t>MA313-0000091359</t>
  </si>
  <si>
    <t xml:space="preserve">Service charges for Services rendered for Sarbani for the month of Jul-2013 (4 weeks) </t>
  </si>
  <si>
    <t>MA313-0000091360</t>
  </si>
  <si>
    <t>Service charges for Services rendered for Jai Ganesh for Jul-2013
(8 days*539 GBP &amp; 10 days*177 GBP)</t>
  </si>
  <si>
    <t>MA313-0000091364</t>
  </si>
  <si>
    <t>Service charges for Services rendered for Akash Srivastava for the month of Jul-2013 (4 weeks)</t>
  </si>
  <si>
    <t>MA313-0000091365</t>
  </si>
  <si>
    <t>Service charges for Services rendered for Anika for the month of Jul-2013  (4 weeks)</t>
  </si>
  <si>
    <t>MA313-0000091369</t>
  </si>
  <si>
    <t>Service charges for Services rendered for Yusuf for the month of Jul-2013 (4 weeks)</t>
  </si>
  <si>
    <t>MA313-0000091361</t>
  </si>
  <si>
    <t>Services rendered for Service charges for Third Rock India Team for the month of Jul-2013</t>
  </si>
  <si>
    <t>MA313-0000091490</t>
  </si>
  <si>
    <t>MA313-0000091491</t>
  </si>
  <si>
    <t>MA313-0000091492</t>
  </si>
  <si>
    <t xml:space="preserve">MA313-0000091495 </t>
  </si>
  <si>
    <t>MA313-0000091496</t>
  </si>
  <si>
    <t>MA313-0000091497</t>
  </si>
  <si>
    <t>MA313-0000091498</t>
  </si>
  <si>
    <t>MA313-0000091499</t>
  </si>
  <si>
    <t xml:space="preserve">Service charges for ASOS China Testing for July- 2013
Ma,Connie 
LI,Carol 
TANG,Cathy 
HE,Vivian 
Song,Cindy </t>
  </si>
  <si>
    <t>Service charges for Performance Testing for July- 2013
Sandy Li,
Carl Zhu</t>
  </si>
  <si>
    <t>Service charges for Ecommerce Integration Testing for July- 2013
FANG,Judy 
DU,Ancora 
Xu,Jane Binfei</t>
  </si>
  <si>
    <t>Service charges for Services rendered for Jinsong Zhang for month 
of July-2013</t>
  </si>
  <si>
    <t>Paramjyot Jassal</t>
  </si>
  <si>
    <t>Service charges for Performance Testing for July- 2013
Keyur Palsule</t>
  </si>
  <si>
    <t>Service charges for Security Testing for July-2013
Chennaiyan,Jaganath 
Lakshmi P,Pavani
Rangadurai,Manoj</t>
  </si>
  <si>
    <t>Service charges for Mule Integration Developers for July- 2013
Tiwari,Himanshu 
Chaudhary,Nitin</t>
  </si>
  <si>
    <t>Service charges for Services rendered for Neo Xu for the month of July-2013</t>
  </si>
  <si>
    <t>MA313-0000091520</t>
  </si>
  <si>
    <t>Service charges for Services rendered by Additional Tester in Third Rock India Team for July 2013</t>
  </si>
  <si>
    <t>Service charges for Services rendered for Third Rock India Team for the month of Jul-2013</t>
  </si>
  <si>
    <t>Charges for ASOS Data Mapping project</t>
  </si>
  <si>
    <t>MA313-0000091191</t>
  </si>
  <si>
    <t>MA313-0000091192</t>
  </si>
  <si>
    <t>MA313-0000084039</t>
  </si>
  <si>
    <t>Service charges for China Mule Discovery project</t>
  </si>
  <si>
    <t>MA313-0000091522-updated</t>
  </si>
  <si>
    <t>MA313-0000092440</t>
  </si>
  <si>
    <t>Charges for Onsite BA: Shivam (22nd July till 2nd August)</t>
  </si>
  <si>
    <t>MA313-0000092922</t>
  </si>
  <si>
    <t>MA313-0000092924</t>
  </si>
  <si>
    <t>Service charges for Services rendered for Manjula for the month of June-2013 (15th June to 30th June)</t>
  </si>
  <si>
    <t>Service charges for Services rendered for Manjula for the month of June-2013(1st June to 14th June)</t>
  </si>
  <si>
    <t>?</t>
  </si>
  <si>
    <t>MA313-0000093722</t>
  </si>
  <si>
    <t>MA313-0000093723</t>
  </si>
  <si>
    <t>MA313-0000093724</t>
  </si>
  <si>
    <t>MA313-0000093725</t>
  </si>
  <si>
    <t>MA313-0000093726</t>
  </si>
  <si>
    <t>MA313-0000093727</t>
  </si>
  <si>
    <t>MA313-0000093728</t>
  </si>
  <si>
    <t>MA313-0000093729</t>
  </si>
  <si>
    <t>MA313-0000093721</t>
  </si>
  <si>
    <t>Service Charges for Karma Team for August-2013 (GBP 6620*5 weeks)</t>
  </si>
  <si>
    <t>Service Charges for Mantra Team for August-2013 (GBP 25165)</t>
  </si>
  <si>
    <t>Service Charges for Avatar Team for August-2013 (GBP 7239*5 weeks)</t>
  </si>
  <si>
    <t>Service Charges for Surya Team for August-2013 (GBP 7345 * 5 weeks)</t>
  </si>
  <si>
    <t>Karma Soln Architect PROD Release Support (12th August-25th August)</t>
  </si>
  <si>
    <t>Service Charges for Delivery Solutions Analytical Team for August-2013 (GBP 1620 * 5 weeks)</t>
  </si>
  <si>
    <t>Service Charges for Yuga Team for August-2013 (GBP 38,130)</t>
  </si>
  <si>
    <t>Karma Tester PROD Release Support (12th August - 23rd August)</t>
  </si>
  <si>
    <t>MA313-0000093867</t>
  </si>
  <si>
    <t>Service Charges for Yuga Team for August-2013 (GBP 6620 * 5 weeks)</t>
  </si>
  <si>
    <t>Service Charges for API extended team for August-2013 (GBP 5030)</t>
  </si>
  <si>
    <t>NetSuite Pre-Implementation Discovery Phase at ASOS-Covetique</t>
  </si>
  <si>
    <t xml:space="preserve">Marie Hamblin </t>
  </si>
  <si>
    <t>MA313-0000093922</t>
  </si>
  <si>
    <t>ASOS China Mule Implementation: Integration Testing Completion</t>
  </si>
  <si>
    <t>MA313-0000084038</t>
  </si>
  <si>
    <t>Charges for Test Regression</t>
  </si>
  <si>
    <t>MA313-0000094480</t>
  </si>
  <si>
    <t>MA313-0000094512</t>
  </si>
  <si>
    <t>MA313-0000094479</t>
  </si>
  <si>
    <t>MA313-0000094481</t>
  </si>
  <si>
    <t>Service charges for Services rendered for ASOS China Testing for Aug- 2013
Connie, Ma
Carol, Li
Cathy, Tang
Vivian, He
Jane, Xu
Cindy, Song</t>
  </si>
  <si>
    <t>Service charges for Performance Testing Team for 3 extended days in Aug-2013(26, 27 &amp; 28th August)</t>
  </si>
  <si>
    <t>Service charges for Services rendered for Performance Testing for Aug- 2013
Sandy Li,
Carl Zhu</t>
  </si>
  <si>
    <t>MA313-0000093868-updated</t>
  </si>
  <si>
    <t>MA313-0000093869-updated</t>
  </si>
  <si>
    <t>MA313-0000094712</t>
  </si>
  <si>
    <t>MA313-0000094713</t>
  </si>
  <si>
    <t>MA313-0000094714</t>
  </si>
  <si>
    <t>MA313-0000094715</t>
  </si>
  <si>
    <t>MA313-0000094716</t>
  </si>
  <si>
    <t>MA313-0000094717</t>
  </si>
  <si>
    <t>MA313-0000094718</t>
  </si>
  <si>
    <t>MA313-0000094719</t>
  </si>
  <si>
    <t>MA313-0000094720</t>
  </si>
  <si>
    <t>MA313-0000094721</t>
  </si>
  <si>
    <t>MA313-0000094722</t>
  </si>
  <si>
    <t>MA313-0000094723</t>
  </si>
  <si>
    <t>MA313-0000094724</t>
  </si>
  <si>
    <t>MA313-0000094725</t>
  </si>
  <si>
    <t>MA313-0000094726</t>
  </si>
  <si>
    <t>MA313-0000094727</t>
  </si>
  <si>
    <t>Service charges for Additional Tester in Third Rock India Team for Aug-2013</t>
  </si>
  <si>
    <t>MA313-0000094710</t>
  </si>
  <si>
    <t>MA313-0000094711</t>
  </si>
  <si>
    <t>Service charges for Services rendered for Preeti for the month of Aug-2013  (5 weeks)</t>
  </si>
  <si>
    <t>Service charges for Services rendered for Shamim for month of Aug-2013 (5 weeks)</t>
  </si>
  <si>
    <t>Service charges for Services rendered for Prabakaran for the month of Aug-2013 (5 weeks)</t>
  </si>
  <si>
    <t>Service charges for Services rendered for Manjula for month of Aug-2013
(5 weeks)</t>
  </si>
  <si>
    <t>Service charges for Services rendered for Sarbani for the month of Aug-2013
(5 weeks)</t>
  </si>
  <si>
    <t>Service charges for Services rendered for Jai Ganesh for Aug-2013 (5 weeks)</t>
  </si>
  <si>
    <t>Service charges for Third Rock India Team for the month of Aug-2013 (5 weeks)</t>
  </si>
  <si>
    <t>Service charges for services rendered by Harshada and Abhith for the month
 of Aug-2013 (19th till 30th August)</t>
  </si>
  <si>
    <t>Service charges for Services rendered for Shian for the month of Aug-2013 
(5 weeks)</t>
  </si>
  <si>
    <t>Service charges for Services rendered for Anurag Ankur for the month of Aug-2013 (5 weeks)</t>
  </si>
  <si>
    <t>Service charges for Services rendered for Akash Srivastava for the month of 
Aug-2013 (5 weeks)</t>
  </si>
  <si>
    <t>Service charges for Services rendered for Anika for the month of Aug-2013 
(5 weeks)</t>
  </si>
  <si>
    <t>Service charges for Services rendered for Shripad for the month of Aug-2013 
(5 weeks)</t>
  </si>
  <si>
    <t>Service charges for Services rendered for Yogendra for the month of Aug-2013
(5 weeks)</t>
  </si>
  <si>
    <t>Service charges for Services rendered for Yusuf for the month of Aug-2013 
(5 weeks)</t>
  </si>
  <si>
    <t>Service charges for Services rendered for Salil for the month of Aug-2013
(11 onsite days*488 GBP + 8 offshore days*166 GBP)</t>
  </si>
  <si>
    <t>Service charges for Services rendered for S Srinivasan for month of Aug-2013 (15 onsite days*471 GBP + 7 offshore days*156 GBP)</t>
  </si>
  <si>
    <t>MA313-0000094779</t>
  </si>
  <si>
    <t>Software license cost for Security Testing team.
IBM Appscan tool: 2310 GBP
HP Fortify tool: 2970 GBP</t>
  </si>
  <si>
    <t>MA313-0000095167</t>
  </si>
  <si>
    <t>Service charges for Services rendered for Jinsong Zhang
for month of Aug-2013</t>
  </si>
  <si>
    <t>MA313-0000095168</t>
  </si>
  <si>
    <t>Service charges for Performance Testing for Aug- 2013
Keyur Palsule</t>
  </si>
  <si>
    <t>MA313-0000095169</t>
  </si>
  <si>
    <t>Service charges for Performance Testing Team for 3 extended days in Aug-2013
(26, 27 &amp; 28th August)</t>
  </si>
  <si>
    <t>MA313-0000095170</t>
  </si>
  <si>
    <t>Service charges for Services rendered for Hybris Support Team for the month 
of Aug-2013
Shwetha Chavan
RVS, Lakshmi</t>
  </si>
  <si>
    <t>MA313-0000095171</t>
  </si>
  <si>
    <t>Service charges for Security Testing Team for 3 extended days in Aug-2013
(26, 27 &amp; 28th August)</t>
  </si>
  <si>
    <t>MA313-0000095172</t>
  </si>
  <si>
    <t>Service charges for Security Testing for Aug-2013
Pavani
Manoj</t>
  </si>
  <si>
    <t>MA313-0000095173</t>
  </si>
  <si>
    <t>Service charges for Services rendered for Mule Integration Developers for Aug- 2013
Himanshu
Nitin</t>
  </si>
  <si>
    <t>MA313-0000095174</t>
  </si>
  <si>
    <t>Service charges for Services rendered for Neo Xu for the month of Aug-2013</t>
  </si>
  <si>
    <t>MA313-0000095266</t>
  </si>
  <si>
    <t>Software license cost for Performance Testing team.Neo Load tool: 2617 GBP</t>
  </si>
  <si>
    <t>MA313-0000095273</t>
  </si>
  <si>
    <t>Invoice for difference amount for Sandy Li (15 days * 19 GBP)</t>
  </si>
  <si>
    <t>MA313-0000095380</t>
  </si>
  <si>
    <t>Service charges for Onsite QA Engineer: Nishant Gupta (22nd July till 31st August)</t>
  </si>
  <si>
    <t>Service charges for Services rendered for Anurag Ankur for the month of Jan -2013</t>
  </si>
  <si>
    <t>Service charges for Services rendered for Akash Srivastava for the month of Jan-2013</t>
  </si>
  <si>
    <t>Onsite resources</t>
  </si>
  <si>
    <t>All 8 Scrum Teams</t>
  </si>
  <si>
    <t>China Mule Dev</t>
  </si>
  <si>
    <t>Remodelling ASOS</t>
  </si>
  <si>
    <t>ASOS China project</t>
  </si>
  <si>
    <t>Service charges for Services rendered for Anurag Ankur for the month of Jul-2013 (1st july till 4th july)</t>
  </si>
  <si>
    <t>Service charges for Services rendered for Anurag Ankur for the month of Jul-2013  (5th july till 26th july)</t>
  </si>
  <si>
    <t>MA313-0000095889</t>
  </si>
  <si>
    <t>MA313-0000095879</t>
  </si>
  <si>
    <t>Uploaded in ARC?</t>
  </si>
  <si>
    <t>CTSGB201309019</t>
  </si>
  <si>
    <t>Sept'13</t>
  </si>
  <si>
    <t>MA313-0000097292</t>
  </si>
  <si>
    <t>Service Charges for Delivery Solutions Analytical Team - Solution Architect for September-2013 (GBP 895 X 4 week)</t>
  </si>
  <si>
    <t>MA313-0000097291</t>
  </si>
  <si>
    <t>Service Charges for Surya2 Team for September-2013 (GBP 4,895 X 1 week)</t>
  </si>
  <si>
    <t>MA313-0000097304</t>
  </si>
  <si>
    <t>Service Charges for Karma Team for September-2013 (GBP 6620 * 4 weeks)</t>
  </si>
  <si>
    <t>MA313-0000097305</t>
  </si>
  <si>
    <t>Service Charges for Mantra Team for September-2013 (GBP 5649 * 4 weeks)</t>
  </si>
  <si>
    <t>MA313-0000097306</t>
  </si>
  <si>
    <t>MA313-0000097307</t>
  </si>
  <si>
    <t>Service Charges for Avatar Team for September-2013 (GBP 7239 * 4 weeks)</t>
  </si>
  <si>
    <t>MA313-0000097316</t>
  </si>
  <si>
    <t>Deployment of flows in Production and Warranty Support</t>
  </si>
  <si>
    <t>MA313-0000097308</t>
  </si>
  <si>
    <t>Service Charges for Surya Team for September-2013 (GBP 7345 * 4 weeks)</t>
  </si>
  <si>
    <t>MA313-0000097309</t>
  </si>
  <si>
    <t>Service Charges for Delivery Solutions Analytical Team for September-2013 (GBP 1620 * 4 weeks)</t>
  </si>
  <si>
    <t>MA313-0000097310</t>
  </si>
  <si>
    <t>Service Charges for Yuga Team for September-2013 (GBP 6620 * 4 weeks)</t>
  </si>
  <si>
    <t>MA313-0000097311</t>
  </si>
  <si>
    <t>ASOS Onsite ALM Training Expenses for Pradip Pawar (2nd Sept till 27th Sept)</t>
  </si>
  <si>
    <t>MA313-0000097312</t>
  </si>
  <si>
    <t>Service Charges for API extended team for September-2013 (GBP 2515 * 4 weeks)</t>
  </si>
  <si>
    <t>Service Charges for Small Change Teams for September-2013 (Avani: GBP 6380 X 4
weeks)(Arya: GBP 5590 X 4 weeks)(Om: GBP5590 X 4 weeks)(Program Governance: GBP 3577.5 X 4 weeks)</t>
  </si>
  <si>
    <t>Service Charges for Small Change Teams for August-2013 (Avani: GBP 6380 X 5 Weeks)(Arya: GBP 5590 X 5 Weeks)(Om: GBP5590 X 5 Weeks)(Program Governance: GBP 3577.5 X 5 Weeks)</t>
  </si>
  <si>
    <t>Dominic Nash</t>
  </si>
  <si>
    <t>MA313-0000097856</t>
  </si>
  <si>
    <t>Service charges for Services rendered for Preeti for the month of Sept-2013</t>
  </si>
  <si>
    <t>MA313-0000097858</t>
  </si>
  <si>
    <t>Service charges for Services rendered for Prabakaran for the month of Sept-2013</t>
  </si>
  <si>
    <t>Service charges for Services rendered for Manjula for the month of Sept-2013</t>
  </si>
  <si>
    <t>MA313-0000097859</t>
  </si>
  <si>
    <t>MA313-0000097860</t>
  </si>
  <si>
    <t>MA313-0000097862</t>
  </si>
  <si>
    <t>Service charges for Services rendered for Jai Ganesh for Sept-2013</t>
  </si>
  <si>
    <t>MA313-0000097865</t>
  </si>
  <si>
    <t>Service charges for Services rendered for Shian for the month of Sept-2013</t>
  </si>
  <si>
    <t>MA313-0000097867</t>
  </si>
  <si>
    <t>Service charges for Services rendered for Anurag Ankur for the month of Sep-2013</t>
  </si>
  <si>
    <t>MA313-0000097866</t>
  </si>
  <si>
    <t>MA313-0000097868</t>
  </si>
  <si>
    <t>Service charges for Services rendered for Akash Srivastava for the month of Sep</t>
  </si>
  <si>
    <t>MA313-0000097870</t>
  </si>
  <si>
    <t>Service charges for Services rendered for Shripad for the month of Sept-2013</t>
  </si>
  <si>
    <t>MA313-0000097871</t>
  </si>
  <si>
    <t>Service charges for Services rendered for Yogendra for the month of Sept-2013</t>
  </si>
  <si>
    <t>MA313-0000097872</t>
  </si>
  <si>
    <t>Service charges for Services rendered for Salil for the month of Sept-2013</t>
  </si>
  <si>
    <t>MA313-0000097874</t>
  </si>
  <si>
    <t>Service charges for Services rendered for Yusuf for the month of Sept-2013</t>
  </si>
  <si>
    <t>MA313-0000097875</t>
  </si>
  <si>
    <t>Service charges for Services rendered for S Srinivasan for the month of Sep-2013</t>
  </si>
  <si>
    <t>MA313-0000097857</t>
  </si>
  <si>
    <t>Service charges for Services rendered for Shamim for month of Sept-2013</t>
  </si>
  <si>
    <t>MA313-0000097861</t>
  </si>
  <si>
    <t>Service charges for Services rendered for Sarbani for the month of Sept-2013</t>
  </si>
  <si>
    <t>MA313-0000097864</t>
  </si>
  <si>
    <t>Charges for services rendered by Harshada and Abhith for the month of Sept-2013</t>
  </si>
  <si>
    <t>MA313-0000097869</t>
  </si>
  <si>
    <t>Service charges for Services rendered for Anika for the month of Sept-2013</t>
  </si>
  <si>
    <t>MA313-0000097873</t>
  </si>
  <si>
    <t>Service charges for Services rendered for Yogesh for the month of Sept-2013</t>
  </si>
  <si>
    <t>MA313-0000097876</t>
  </si>
  <si>
    <t>Service charges for Additional Tester in Third Rock India Team for Sept-2013</t>
  </si>
  <si>
    <t>MA313-0000097863</t>
  </si>
  <si>
    <t>Service charges for Third Rock India Team for the month of Sept-2013</t>
  </si>
  <si>
    <t>MA313-0000097889</t>
  </si>
  <si>
    <t>Service charges for services rendered by Connie Ma for Sept- 2013 (1st to 6th Sept)</t>
  </si>
  <si>
    <t>Service charges for services rendered by Carol Li for Sept- 2013</t>
  </si>
  <si>
    <t>MA313-0000097890</t>
  </si>
  <si>
    <t>Service charges for Hybris Support Team for the month of Sept-2013</t>
  </si>
  <si>
    <t>MA313-0000097902</t>
  </si>
  <si>
    <t>Service charges for Services rendered for Jinsong Zhang for month of Sept-2013</t>
  </si>
  <si>
    <t>MA313-0000097904</t>
  </si>
  <si>
    <t>Service charges for Services rendered for Neo Xu for the month of Sept-2013</t>
  </si>
  <si>
    <t>MA313-0000097959</t>
  </si>
  <si>
    <t>Service charges for Ecommerce Integration Testing for the month of Sept-2013</t>
  </si>
  <si>
    <t>MA313-0000097960</t>
  </si>
  <si>
    <t>Service charges for ASOS China Support for the month of Sept-2013</t>
  </si>
  <si>
    <t>MA313-0000097903</t>
  </si>
  <si>
    <t>Service charges for Onsite QA Engineer: Nishant Gupta (1st Sept till 6th Sept)</t>
  </si>
  <si>
    <t>MA313-0000098732</t>
  </si>
  <si>
    <t>MA313-0000099240</t>
  </si>
  <si>
    <t>MA313-0000099241</t>
  </si>
  <si>
    <t>Service charges for Meenal for the month of Sept-2013 (From 24th till 27th Sept)</t>
  </si>
  <si>
    <t>Service charges for Anika for the month of Sept-2013 (From 2nd till 23rd Sept)</t>
  </si>
  <si>
    <t>Service charges for Anika for the month of Sept-2013 (From 24th till 27th sept)</t>
  </si>
  <si>
    <t>MA313-0000099253</t>
  </si>
  <si>
    <t>MA313-0000099255</t>
  </si>
  <si>
    <t>Service Charges for Surya Team at Onsite for International NDD Production Release</t>
  </si>
  <si>
    <t>MA313-0000100522</t>
  </si>
  <si>
    <t>Service charges for services rendered by Carol Li for Oct- 2013</t>
  </si>
  <si>
    <t>Discount ASOS</t>
  </si>
  <si>
    <t>ASOS</t>
  </si>
  <si>
    <t>ASOS Covetique Implementation</t>
  </si>
  <si>
    <t>Covetique</t>
  </si>
  <si>
    <t>MA313-0000100551</t>
  </si>
  <si>
    <t>MA313-0000100549</t>
  </si>
  <si>
    <t>Service charges for Services rendered for Manjula for the month of June-2013 (1st June to 14th June)</t>
  </si>
  <si>
    <t>MA313-0000100590</t>
  </si>
  <si>
    <t>MA313-0000100591</t>
  </si>
  <si>
    <t>MA313-0000100592</t>
  </si>
  <si>
    <t>MA313-0000100593</t>
  </si>
  <si>
    <t>MA313-0000100594</t>
  </si>
  <si>
    <t>MA313-0000100595</t>
  </si>
  <si>
    <t>MA313-0000100596</t>
  </si>
  <si>
    <t>MA313-0000100597</t>
  </si>
  <si>
    <t>Service Charges for Small Change Teams for October-2013 (Avani: GBP 6380 X 4 
weeks)(Arya: GBP 5590 X 4 weeks)(Om: GBP5590 X 4 weeks)(Program Governance: GBP 3577.5 X 4 weeks)</t>
  </si>
  <si>
    <t>Service Charges for Mantra Team for October-2013 (GBP 5649 * 4 weeks)</t>
  </si>
  <si>
    <t>Service Charges for Avatar Team for October-2013 (GBP 7239 * 4 weeks)</t>
  </si>
  <si>
    <t>Service Charges for Surya Team for October-2013 (GBP 7345 * 4 weeks)</t>
  </si>
  <si>
    <t>Service Charges for Delivery Solutions Analytical Team for October-2013 (GBP 
1620 * 4 weeks)</t>
  </si>
  <si>
    <t>Service Charges for Yuga Team for October-2013 (GBP 6620 * 4 weeks)</t>
  </si>
  <si>
    <t>Service Charges for Surya2 Team for October-2013 (GBP 4,895 X 4 weeks)</t>
  </si>
  <si>
    <t>Service Charges for Delivery Solutions Analytical Team - Solution Architect for 
October-2013 (GBP 895 X 4 weeks)</t>
  </si>
  <si>
    <t>MA313-0000100741</t>
  </si>
  <si>
    <t>Service Charges for Karma Team for October-2013 (GBP 6620 * 4 weeks)</t>
  </si>
  <si>
    <t>MA313-0000100742</t>
  </si>
  <si>
    <t>Service Charges for API extended team for October-2013 (GBP 2515 * 4 weeks)</t>
  </si>
  <si>
    <t>MA313-0000100772</t>
  </si>
  <si>
    <t>MA313-0000100773</t>
  </si>
  <si>
    <t>MA313-0000100774</t>
  </si>
  <si>
    <t>Service charges for Ecommerce Integration Testing for the month of Oct-2013</t>
  </si>
  <si>
    <t>Service charges for ASOS China Support for the month of Oct-2013</t>
  </si>
  <si>
    <t>Service charges for China Mule Support for the month of Oct-2013</t>
  </si>
  <si>
    <t>MA313-0000100845</t>
  </si>
  <si>
    <t>MA313-0000100846</t>
  </si>
  <si>
    <t>MA313-0000100847</t>
  </si>
  <si>
    <t>MA313-0000100848</t>
  </si>
  <si>
    <t>MA313-0000100849</t>
  </si>
  <si>
    <t>MA313-0000100850</t>
  </si>
  <si>
    <t>MA313-0000100851</t>
  </si>
  <si>
    <t>MA313-0000100852</t>
  </si>
  <si>
    <t>MA313-0000100853</t>
  </si>
  <si>
    <t>MA313-0000100854</t>
  </si>
  <si>
    <t>MA313-0000100855</t>
  </si>
  <si>
    <t>MA313-0000100856</t>
  </si>
  <si>
    <t>MA313-0000100857</t>
  </si>
  <si>
    <t>MA313-0000100858</t>
  </si>
  <si>
    <t>MA313-0000100859</t>
  </si>
  <si>
    <t>MA313-0000100860</t>
  </si>
  <si>
    <t>MA313-0000100861</t>
  </si>
  <si>
    <t>MA313-0000100862</t>
  </si>
  <si>
    <t>MA313-0000100863</t>
  </si>
  <si>
    <t>MA313-0000100864</t>
  </si>
  <si>
    <t>Service charges for Services rendered for Preeti for the month of Oct-2013</t>
  </si>
  <si>
    <t>Service charges for Services rendered for Shamim for month of Oct-2013</t>
  </si>
  <si>
    <t>Service charges for Services rendered for Prabakaran for the month of Oct-2013</t>
  </si>
  <si>
    <t>Service charges for Services rendered for Amar Bidkar for the month of Oct-2013</t>
  </si>
  <si>
    <t>Marie Hamblin</t>
  </si>
  <si>
    <t>Pushpak</t>
  </si>
  <si>
    <t>Analytical Team</t>
  </si>
  <si>
    <t>Identity</t>
  </si>
  <si>
    <t>Service charges for Services rendered for Manjula for the month of Oct-2013</t>
  </si>
  <si>
    <t>Service charges for Services rendered for Sarbani for the month of Oct-2013</t>
  </si>
  <si>
    <t>Service charges for Services rendered for Jai Ganesh for the month of Oct-2013</t>
  </si>
  <si>
    <t>Service charges for Third Rock India Team for the month of Oct-2013</t>
  </si>
  <si>
    <t>Service charges for Services rendered for Shian for the month of Oct-2013</t>
  </si>
  <si>
    <t>Charges for services rendered by Harshada for the month of Oct-2013</t>
  </si>
  <si>
    <t>Charges for services rendered by Abhith for the month of Oct-2013</t>
  </si>
  <si>
    <t>Service charges for Services rendered for Anurag Ankur for the month of Oct-2013</t>
  </si>
  <si>
    <t>Service charges for Services rendered for Akash Srivastava for the month of Oct-2013</t>
  </si>
  <si>
    <t>Service charges for Services rendered for Anika for the month of Oct-2013</t>
  </si>
  <si>
    <t>Service charges for Services rendered for Shripad for the month of Oct-2013</t>
  </si>
  <si>
    <t>Service charges for Services rendered for Yogendra for the month of Oct-2013</t>
  </si>
  <si>
    <t>Service charges for Services rendered for Salil for the month of Oct-2013</t>
  </si>
  <si>
    <t>Service charges for Services rendered for Yogesh for the month of Oct-2013</t>
  </si>
  <si>
    <t>Service charges for Services rendered for Yusuf for the month of Oct-2013</t>
  </si>
  <si>
    <t>MA313-0000100894</t>
  </si>
  <si>
    <t>Service charges for Services rendered for Meenal for the month of Oct-2013</t>
  </si>
  <si>
    <t>Service charges for Amar Bidkar for the month of Oct-2013 (16th till 21st Oct)</t>
  </si>
  <si>
    <t>Service charges for Services rendered for Jinsong Zhang for month of Oct-2013</t>
  </si>
  <si>
    <t>Service charges for Hybris Support Team for the month of Oct-2013</t>
  </si>
  <si>
    <t>Service charges for NetSuite ERP Implementation for month of October-2013</t>
  </si>
  <si>
    <t>MA313-0000101120</t>
  </si>
  <si>
    <t>MA313-0000101114</t>
  </si>
  <si>
    <t>MA313-0000101115</t>
  </si>
  <si>
    <t>MA313-0000102684</t>
  </si>
  <si>
    <t>Submitted</t>
  </si>
  <si>
    <t>ITIS @ASOS</t>
  </si>
  <si>
    <t>MA313-0000103733</t>
  </si>
  <si>
    <t>Service Charges for Karma Team for November-2013 (GBP 6620 * 5 weeks)</t>
  </si>
  <si>
    <t>MA313-0000103734</t>
  </si>
  <si>
    <t>MA313-0000103735</t>
  </si>
  <si>
    <t>MA313-0000103736</t>
  </si>
  <si>
    <t>MA313-0000103737</t>
  </si>
  <si>
    <t>MA313-0000103738</t>
  </si>
  <si>
    <t>MA313-0000103739</t>
  </si>
  <si>
    <t>MA313-0000103740</t>
  </si>
  <si>
    <t>MA313-0000103741</t>
  </si>
  <si>
    <t>Service Charges for Mantra Team for November-2013 (GBP 5649 * 5 weeks)</t>
  </si>
  <si>
    <t>Service Charges for Avatar Team for November-2013 (GBP 7239 * 5 weeks)</t>
  </si>
  <si>
    <t>Service Charges for Surya Team for November-2013 (GBP 7345 * 5 weeks)</t>
  </si>
  <si>
    <t>Service Charges for Delivery Solutions Analytical Team for November-2013 (GBP 1620 * 5 weeks)</t>
  </si>
  <si>
    <t>Service Charges for Yuga Team for November-2013 (GBP 6620 * 5 weeks)</t>
  </si>
  <si>
    <t>Service Charges for API extended team for November-2013 (GBP 2515 * 5 weeks)</t>
  </si>
  <si>
    <t>MA313-0000103742</t>
  </si>
  <si>
    <t>Service Charges for Surya2 Team for November-2013 (GBP 4,895 X 5 weeks)</t>
  </si>
  <si>
    <t>Service Charges for Delivery Solutions Analytical Team - Solution Architect for November-2013 
(GBP 895 X 5 weeks)</t>
  </si>
  <si>
    <t>MA313-0000103831</t>
  </si>
  <si>
    <t>Service Charges for Identity Management Nov 2013</t>
  </si>
  <si>
    <t>Andrew Megawan</t>
  </si>
  <si>
    <t>MA313-0000104030</t>
  </si>
  <si>
    <t>Service Charges for Preeti and Shripad during onsite visit in November 2013</t>
  </si>
  <si>
    <t>Service Charges for Karma Extension for October 2013 (GBP 3080 * 2 weeks)</t>
  </si>
  <si>
    <t>MA313-0000104031</t>
  </si>
  <si>
    <t>MA313-0000104032</t>
  </si>
  <si>
    <t>Service Charges for Karma Extension for November 2013 (GBP 3080 * 5 weeks)</t>
  </si>
  <si>
    <t>Colin Grossman</t>
  </si>
  <si>
    <t>MA313-0000104195</t>
  </si>
  <si>
    <t>Service charges for services rendered by Carol Li for Nov- 2013</t>
  </si>
  <si>
    <t>Service charges for Services rendered for Balaji Y for the month of Nov-2013</t>
  </si>
  <si>
    <t>MA313-0000104197</t>
  </si>
  <si>
    <t>MA313-0000104196</t>
  </si>
  <si>
    <t>Service charges for Services rendered for Jinsong Zhang for month of Nov-2013</t>
  </si>
  <si>
    <t>CTSIN201401003</t>
  </si>
  <si>
    <t>%</t>
  </si>
  <si>
    <t>OF</t>
  </si>
  <si>
    <t>ASSOCIATE-131</t>
  </si>
  <si>
    <t>ASSOCIATE-479</t>
  </si>
  <si>
    <t>CONTRACTOR 1</t>
  </si>
  <si>
    <t>ON</t>
  </si>
  <si>
    <t>SPM</t>
  </si>
  <si>
    <t>PROG ANALYST</t>
  </si>
  <si>
    <t>ASSOCIATE-166</t>
  </si>
  <si>
    <t>PROGRAMMER1</t>
  </si>
  <si>
    <t>PM</t>
  </si>
  <si>
    <t>PROGRAMMER</t>
  </si>
  <si>
    <t>ASSOCIATE</t>
  </si>
  <si>
    <t>APP SUPP ENGG</t>
  </si>
  <si>
    <t>CONTRACTOR 2</t>
  </si>
  <si>
    <t>CONTRACTOR 3</t>
  </si>
  <si>
    <t>SR ASSOCIATE</t>
  </si>
  <si>
    <t>DB SUPP ENGG</t>
  </si>
  <si>
    <t>MANAGER</t>
  </si>
  <si>
    <t>ASSOCIATE-575</t>
  </si>
  <si>
    <t>Shore</t>
  </si>
  <si>
    <t>CTSIN201312040</t>
  </si>
  <si>
    <t>MA313-0000104450</t>
  </si>
  <si>
    <t>MA313-0000104451</t>
  </si>
  <si>
    <t>MA313-0000104452</t>
  </si>
  <si>
    <t>MA313-0000104453</t>
  </si>
  <si>
    <t>Service charges for Ecommerce Integration Testing for the month of Nov-2013</t>
  </si>
  <si>
    <t>Service charges for ASOS China Support for the month of Nov-2013</t>
  </si>
  <si>
    <t>Service charges for China Mule Support for the month of Nov-2013</t>
  </si>
  <si>
    <t>Service charges for TMALL Development Team for the month of Nov-2013</t>
  </si>
  <si>
    <t>MA313-0000104504</t>
  </si>
  <si>
    <t>Service charges for Services rendered for Preeti for the month of Nov-2013</t>
  </si>
  <si>
    <t>MA313-0000104505</t>
  </si>
  <si>
    <t>Service charges for Performance Testing team for the month of Nov-2013</t>
  </si>
  <si>
    <t>Binnai Mistry</t>
  </si>
  <si>
    <t>Service charges for Services rendered for Shamim for month of Nov-2013</t>
  </si>
  <si>
    <t>MA313-0000104506</t>
  </si>
  <si>
    <t>MA313-0000104507</t>
  </si>
  <si>
    <t>Service charges for Services rendered for Prabakaran for the month of Nov-2013</t>
  </si>
  <si>
    <t>MA313-0000104508</t>
  </si>
  <si>
    <t>Service charges for Services rendered for Anshuman P for the month of Nov-2013</t>
  </si>
  <si>
    <t>Helen Evans</t>
  </si>
  <si>
    <t>MA313-0000104509</t>
  </si>
  <si>
    <t>Service charges for Services rendered for Manjula for the month of Nov-2013</t>
  </si>
  <si>
    <t>MA313-0000104510</t>
  </si>
  <si>
    <t>MA313-0000104511</t>
  </si>
  <si>
    <t>Service charges for Services rendered for Sarbani for the month of Nov-2013(28th Oct till 20th Nov)</t>
  </si>
  <si>
    <t>Service charges for Services rendered for Sarbani for the month of Nov-2013(21st Nov till 29th Nov)</t>
  </si>
  <si>
    <t>MA313-0000104512</t>
  </si>
  <si>
    <t>Service charges for Services rendered for Jai Ganesh for Nov-2013</t>
  </si>
  <si>
    <t>MA313-0000104513</t>
  </si>
  <si>
    <t>Service charges for Third Rock India Team for the month of Nov-2013</t>
  </si>
  <si>
    <t>MA313-0000104514</t>
  </si>
  <si>
    <t>Charges for services rendered by Harshada and Abhith for the month of Nov-2013</t>
  </si>
  <si>
    <t>MA313-0000104515</t>
  </si>
  <si>
    <t>Service charges for Services rendered for Shian for the month of Nov-2013</t>
  </si>
  <si>
    <t>MA313-0000104516</t>
  </si>
  <si>
    <t>Service charges for Services rendered for Anurag Ankur for the month of Nov-2013</t>
  </si>
  <si>
    <t>MA313-0000104517</t>
  </si>
  <si>
    <t>Service charges for Services rendered for Akash Srivastava for the month of Nov</t>
  </si>
  <si>
    <t>MA313-0000104518</t>
  </si>
  <si>
    <t>Service charges for Services rendered for Anika for the month of Nov-2013</t>
  </si>
  <si>
    <t>MA313-0000104519</t>
  </si>
  <si>
    <t>Service charges for ITIS Support Team for the month of Nov-2013</t>
  </si>
  <si>
    <t>MA313-0000104520</t>
  </si>
  <si>
    <t>Service charges for Services rendered for Shripad for the month of Nov-2013</t>
  </si>
  <si>
    <t>MA313-0000104521</t>
  </si>
  <si>
    <t>Service charges for Services rendered for Yogendra for the month of Nov-2013</t>
  </si>
  <si>
    <t>MA313-0000104522</t>
  </si>
  <si>
    <t>Service charges for Services rendered for Salil for the month of Nov-2013</t>
  </si>
  <si>
    <t>MA313-0000104523</t>
  </si>
  <si>
    <t>MA313-0000104524</t>
  </si>
  <si>
    <t>MA313-0000104525</t>
  </si>
  <si>
    <t>Service charges for Services rendered for Yogesh for the month of Nov-2013</t>
  </si>
  <si>
    <t>Service charges for Services rendered for Yusuf for the month of Nov-2013</t>
  </si>
  <si>
    <t>Service charges for Services rendered for Sanchit A for the month of Nov-2013</t>
  </si>
  <si>
    <t>Mike Christie</t>
  </si>
  <si>
    <t>CTSIN201402004</t>
  </si>
  <si>
    <t>MA313-0000105203</t>
  </si>
  <si>
    <t>MA313-0000105665</t>
  </si>
  <si>
    <t>MA313-0000105666</t>
  </si>
  <si>
    <t>Service charges for Services rendered for Akash S for the month of Nov'13 (28th Oct till 30th Oct)</t>
  </si>
  <si>
    <t>Service charges for Services rendered for Akash S for the month of Nov'13 (4th Nov till 29th Nov)</t>
  </si>
  <si>
    <t>CTSIN201401008</t>
  </si>
  <si>
    <t>CTSIN201401009</t>
  </si>
  <si>
    <t>MA313-0000106497</t>
  </si>
  <si>
    <t>Devices for API team (APPLE IPHONE 5 16GB: 502 GBP, IPad 4: 444 GBP = Total 946 GBP)</t>
  </si>
  <si>
    <t>17th June till 17th Oct</t>
  </si>
  <si>
    <t>Amount in GBP 
(W/O VAT)</t>
  </si>
  <si>
    <t>Difference=</t>
  </si>
  <si>
    <t>Billed days</t>
  </si>
  <si>
    <t>Correct days that shall eb billed</t>
  </si>
  <si>
    <t>On</t>
  </si>
  <si>
    <t>On/Off</t>
  </si>
  <si>
    <t>Off</t>
  </si>
  <si>
    <t>15 days: on
7 days: off</t>
  </si>
  <si>
    <t>Correct amount in GBP 
(W/O VAT)</t>
  </si>
  <si>
    <t>MA313-0000106591</t>
  </si>
  <si>
    <t>App Support</t>
  </si>
  <si>
    <t>DB Support</t>
  </si>
  <si>
    <t>25th Nov till 28th Feb</t>
  </si>
  <si>
    <t>Loading</t>
  </si>
  <si>
    <t>Total</t>
  </si>
  <si>
    <t>Dec'13 days</t>
  </si>
  <si>
    <t>Jan'14 days</t>
  </si>
  <si>
    <t>Feb'14 days</t>
  </si>
  <si>
    <t>Nirvana</t>
  </si>
  <si>
    <t>Yuga 1</t>
  </si>
  <si>
    <t>Yuga 2</t>
  </si>
  <si>
    <t xml:space="preserve">Aagam .COM </t>
  </si>
  <si>
    <t>Aagam DI</t>
  </si>
  <si>
    <t>Aagam onsite</t>
  </si>
  <si>
    <t>Ranjit Vanakudari</t>
  </si>
  <si>
    <t>Nikhil Kenni</t>
  </si>
  <si>
    <t>Nilesh Charankar</t>
  </si>
  <si>
    <t>Amogh Lachake</t>
  </si>
  <si>
    <t>Sumit Deshpande</t>
  </si>
  <si>
    <t>Vijin Jain</t>
  </si>
  <si>
    <t>Gangadhara</t>
  </si>
  <si>
    <t>New BA Nov'18</t>
  </si>
  <si>
    <t>Vikas Jain</t>
  </si>
  <si>
    <t>Arun Innani</t>
  </si>
  <si>
    <t>Ashwini Rakh</t>
  </si>
  <si>
    <t>Shobit Agarwal</t>
  </si>
  <si>
    <t>Aastha Kapoor</t>
  </si>
  <si>
    <t>Amit Pagariya</t>
  </si>
  <si>
    <t>TBD1</t>
  </si>
  <si>
    <t>Ashif Nataliya</t>
  </si>
  <si>
    <t>Amit Jain</t>
  </si>
  <si>
    <t>Adtiya Mogatra</t>
  </si>
  <si>
    <t>TBD2</t>
  </si>
  <si>
    <t>Rajan Kamboj</t>
  </si>
  <si>
    <t>Hiral Pandya</t>
  </si>
  <si>
    <t xml:space="preserve">Kaushik Majithia </t>
  </si>
  <si>
    <t>Hariharan B</t>
  </si>
  <si>
    <t>Vishal</t>
  </si>
  <si>
    <t>Mehul Mehta</t>
  </si>
  <si>
    <t>Jeetendra Patil</t>
  </si>
  <si>
    <t>Vinaykumar Bakhru</t>
  </si>
  <si>
    <t>Eshvarya Masand</t>
  </si>
  <si>
    <t>Pankaj Singh</t>
  </si>
  <si>
    <t>Poonam Lute</t>
  </si>
  <si>
    <t>Prashant Mohite</t>
  </si>
  <si>
    <t>Animesh Singh</t>
  </si>
  <si>
    <t>Ronak Chandwani</t>
  </si>
  <si>
    <t>Prashant Saxena</t>
  </si>
  <si>
    <t>Arun Nagria</t>
  </si>
  <si>
    <t>Afreen Memon</t>
  </si>
  <si>
    <t>Piali Roy</t>
  </si>
  <si>
    <t>Maithily Raje</t>
  </si>
  <si>
    <t>Prashant Deshmukh</t>
  </si>
  <si>
    <t>Amol Rajmane</t>
  </si>
  <si>
    <t>MA313-0000107042</t>
  </si>
  <si>
    <t>MA313-0000107043</t>
  </si>
  <si>
    <t>Service charges for Services rendered for Meenal for the month of Oct-2013 (30th Sept till 14th Oct)</t>
  </si>
  <si>
    <t>Service charges for Services rendered for Meenal for the month of Oct-2013 (15th Oct till 17th Oct)</t>
  </si>
  <si>
    <t>MA313-0000107041</t>
  </si>
  <si>
    <t>This is credit note for invoice MA313-0000100894</t>
  </si>
  <si>
    <t>Abhinav Mehta</t>
  </si>
  <si>
    <t>Service Charges for Onsite Travel for DTS Tech Discussions (GBP 8,250)</t>
  </si>
  <si>
    <t>MA313-0000107062</t>
  </si>
  <si>
    <t>MA313-0000107381</t>
  </si>
  <si>
    <t>Service Charges for Karma Team for December-2013 (GBP 6620 * 4 weeks)</t>
  </si>
  <si>
    <t>MA313-0000107382</t>
  </si>
  <si>
    <t>Service Charges for Avatar Team for December-2013 (GBP 7239 * 4 weeks)</t>
  </si>
  <si>
    <t>MA313-0000107383</t>
  </si>
  <si>
    <t>Service Charges for Delivery Solutions Analytical Team for December-2013 (GBP 1620 * 4 weeks)</t>
  </si>
  <si>
    <t>MA313-0000107384</t>
  </si>
  <si>
    <t>Service Charges for Yuga Team for December-2013 (GBP 6620 * 4 weeks)</t>
  </si>
  <si>
    <t>MA313-0000107391</t>
  </si>
  <si>
    <t>MA313-0000107392</t>
  </si>
  <si>
    <t>Service Charges for Mantra Team for December-2013 (GBP 5649 * 4 weeks)</t>
  </si>
  <si>
    <t>MA313-0000107393</t>
  </si>
  <si>
    <t>MA313-0000107394</t>
  </si>
  <si>
    <t>Service Charges for API extended team for December-2013 (GBP 2515 * 4 weeks)</t>
  </si>
  <si>
    <t>MA313-0000107395</t>
  </si>
  <si>
    <t>MA313-0000107396</t>
  </si>
  <si>
    <t>Service Charges for Karma Extension for December 2013 (GBP 3080 * 4 weeks)</t>
  </si>
  <si>
    <t>MA313-0000107397</t>
  </si>
  <si>
    <t>Service Charges for Surya Team for December-2013 (GBP 5275 * 4 weeks)</t>
  </si>
  <si>
    <t>Service Charges for Delivery Solutions Analytical Team - Solution Architect for December-2013 
(GBP 895 X 4 weeks)</t>
  </si>
  <si>
    <t>Service Charges for Pushpak Team for December-2013 (GBP 4,895 X 4 weeks)</t>
  </si>
  <si>
    <t>MA313-0000107695</t>
  </si>
  <si>
    <t>MA313-0000107696</t>
  </si>
  <si>
    <t>MA313-0000107697</t>
  </si>
  <si>
    <t>MA313-0000107698</t>
  </si>
  <si>
    <t>Service charges for TMALL Development Team for the month of Dec-2013</t>
  </si>
  <si>
    <t>Service charges for Ecommerce Integration Testing for the month of Dec-2013</t>
  </si>
  <si>
    <t>Service charges for ASOS China Support for the month of Dec-2013</t>
  </si>
  <si>
    <t>Service charges for China Mule Support for the month of Dec-2013</t>
  </si>
  <si>
    <t>Service charges for Webtrends to Adobe Migration team for the month of Dec-2013</t>
  </si>
  <si>
    <t>MA313-0000107944</t>
  </si>
  <si>
    <t>Service charges for Services rendered for Preeti for the month of Dec-2013</t>
  </si>
  <si>
    <t>MA313-0000107945</t>
  </si>
  <si>
    <t>Service charges for Performance Testing team for the month of Dec-2013</t>
  </si>
  <si>
    <t>MA313-0000107946</t>
  </si>
  <si>
    <t>Service charges for Services rendered for Shamim for month of Dec-2013</t>
  </si>
  <si>
    <t>MA313-0000107947</t>
  </si>
  <si>
    <t>Service charges for Services rendered for Prabakaran for the month of Dec-2013</t>
  </si>
  <si>
    <t>MA313-0000107948</t>
  </si>
  <si>
    <t>Service charges for Services rendered for Anshuman P for the month of Dec-2013</t>
  </si>
  <si>
    <t>MA313-0000107949</t>
  </si>
  <si>
    <t>Service charges for Services rendered for Manjula for the month of Dec-2013</t>
  </si>
  <si>
    <t>MA313-0000107950</t>
  </si>
  <si>
    <t>MA313-0000107951</t>
  </si>
  <si>
    <t>Service charges for Services rendered for Sarbani for the month of Dec-2013</t>
  </si>
  <si>
    <t>MA313-0000107952</t>
  </si>
  <si>
    <t>Service charges for Services rendered for Jai Ganesh for Dec-2013</t>
  </si>
  <si>
    <t>MA313-0000107953</t>
  </si>
  <si>
    <t>Service charges for Third Rock India Team for the month of Dec-2013</t>
  </si>
  <si>
    <t>MA313-0000107954</t>
  </si>
  <si>
    <t>Charges for services rendered by Harshada and Abhith for the month of Dec-2013</t>
  </si>
  <si>
    <t>MA313-0000107955</t>
  </si>
  <si>
    <t>Service charges for Services rendered for Shian for the month of Dec-2013</t>
  </si>
  <si>
    <t>MA313-0000107956</t>
  </si>
  <si>
    <t>Service charges for Services rendered for Anurag Ankur for the month of Dec-2013</t>
  </si>
  <si>
    <t>MA313-0000107957</t>
  </si>
  <si>
    <t>Service charges for Services rendered for Akash Srivastava for the month of Dec</t>
  </si>
  <si>
    <t>MA313-0000107958</t>
  </si>
  <si>
    <t>Service charges for Services rendered for Anika for the month of Dec-2013</t>
  </si>
  <si>
    <t>MA313-0000107959</t>
  </si>
  <si>
    <t>Service charges for ITIS Support Team for the month of Dec-2013</t>
  </si>
  <si>
    <t>MA313-0000107960</t>
  </si>
  <si>
    <t>Service charges for Services rendered for Shripad for the month of Dec-2013</t>
  </si>
  <si>
    <t>MA313-0000107961</t>
  </si>
  <si>
    <t>Service charges for Services rendered for Yogendra for the month of Dec-2013</t>
  </si>
  <si>
    <t>MA313-0000107962</t>
  </si>
  <si>
    <t>Service charges for Services rendered for Salil for the month of Dec-2013</t>
  </si>
  <si>
    <t>MA313-0000107963</t>
  </si>
  <si>
    <t>Service charges for Services rendered for Yogesh for the month of Dec-2013</t>
  </si>
  <si>
    <t>MA313-0000107964</t>
  </si>
  <si>
    <t>Service charges for Services rendered for Yusuf for the month of Dec-2013</t>
  </si>
  <si>
    <t>MA313-0000107965</t>
  </si>
  <si>
    <t>Service charges for Services rendered for Sanchit A for the month of Dec-2013</t>
  </si>
  <si>
    <t>MA313-0000107985</t>
  </si>
  <si>
    <t>MA313-0000107986</t>
  </si>
  <si>
    <t>Charges for services rendered by Hemant Sangya for the month of Dec-2013</t>
  </si>
  <si>
    <t>Charges for services rendered by NetSuite Tech Consultant for month of Dec-2013</t>
  </si>
  <si>
    <t>Service Charges for work on Migration to BrightTag (GBP 9040)</t>
  </si>
  <si>
    <t>MA313-0000108305</t>
  </si>
  <si>
    <t>MA313-0000108726</t>
  </si>
  <si>
    <t>MA313-0000109259</t>
  </si>
  <si>
    <t>T&amp;E expenses for NetSuite Technical Consultant for China visit.</t>
  </si>
  <si>
    <t>Service Charges for Small Change Teams for November-2013 (Avani: GBP 6380 X 5 weeks)(Arya: GBP 5590 X 5 weeks)(Om: GBP5590 X 5 weeks)(Program Governance: GBP 3577.5 X 5 weeks)</t>
  </si>
  <si>
    <t>119/133/
188</t>
  </si>
  <si>
    <t>CTSIN201403033</t>
  </si>
  <si>
    <t>Karma team</t>
  </si>
  <si>
    <t>Service charges for Webtrends to Adobe Migration team for the month of Jan-2014</t>
  </si>
  <si>
    <t>MA313-0000111147</t>
  </si>
  <si>
    <t>Service Charges for Karma Team for Jan-2014 (GBP 6620 * 4 weeks)</t>
  </si>
  <si>
    <t>MA313-0000111148</t>
  </si>
  <si>
    <t>Service Charges for Small Change Teams for Jan-2014 (Avani: GBP 6380 X 4 weeks)(Arya: GBP 5590 X 4 weeks)(Om: GBP 5590 X 4 weeks)(Program Governance: GBP 3577.5 X 4 weeks)</t>
  </si>
  <si>
    <t>Service Charges for Small Change Teams for December-2013 (Avani: GBP 6380 X 4 weeks)(Arya: GBP 5590 X 4 weeks)(Om: GBP 5590 X 4 weeks)(Program Governance: GBP 3577.5 X 4 weeks)</t>
  </si>
  <si>
    <t>MA313-0000111149</t>
  </si>
  <si>
    <t>MA313-0000111150</t>
  </si>
  <si>
    <t>Service Charges for Mantra Team for Jan-2014 (GBP 4753 * 4 weeks)</t>
  </si>
  <si>
    <t>Service Charges for Avatar Team for Jan-2014 (GBP 7239 * 4 weeks)</t>
  </si>
  <si>
    <t>Service Charges for Pushpak Team for Jan-2014 (GBP 4,895 X 4 weeks)</t>
  </si>
  <si>
    <t>MA313-0000111151</t>
  </si>
  <si>
    <t>MA313-0000111152</t>
  </si>
  <si>
    <t>MA313-0000111153</t>
  </si>
  <si>
    <t>Service Charges for Identity Management team for Jan-2014</t>
  </si>
  <si>
    <t>MA313-0000111158</t>
  </si>
  <si>
    <t>MA313-0000111159</t>
  </si>
  <si>
    <t>MA313-0000111160</t>
  </si>
  <si>
    <t>Service Charges for Karma Extension for Jan 2014 (GBP 3080 * 4 weeks)</t>
  </si>
  <si>
    <t>Service Charges for Delivery Solutions Analytical Team for Jan-2014 (GBP 2614 * 4 weeks)</t>
  </si>
  <si>
    <t>Service Charges for Yuga Team for Jan-2014 (GBP 6818 * 4 weeks)</t>
  </si>
  <si>
    <t>Service Charges for Surya Team for Jan-2014 (GBP 6818 * 4 weeks)</t>
  </si>
  <si>
    <t>CTSIN201402035</t>
  </si>
  <si>
    <t>MA313-0000111428</t>
  </si>
  <si>
    <t>Service charges for services rendered by Preeti for the month of Jan-2014</t>
  </si>
  <si>
    <t>MA313-0000111429</t>
  </si>
  <si>
    <t>Service charges for Performance Testing team for the month of Jan-2014</t>
  </si>
  <si>
    <t>MA313-0000111430</t>
  </si>
  <si>
    <t>MA313-0000111431</t>
  </si>
  <si>
    <t>Service charges for services rendered for Shamim for month of Jan-2014 (13th till 24th Jan)</t>
  </si>
  <si>
    <t>Service charges for services rendered for Shamim for month of Jan-2014 (30th Dec till 10th Jan)</t>
  </si>
  <si>
    <t>MA313-0000111432</t>
  </si>
  <si>
    <t>Service charges for services rendered for Prabakaran for the month of Jan-2014</t>
  </si>
  <si>
    <t>MA313-0000111433</t>
  </si>
  <si>
    <t>MA313-0000111434</t>
  </si>
  <si>
    <t>Service charges for services rendered for Anshuman P for the month of Jan-2014</t>
  </si>
  <si>
    <t>Service charges for services rendered for Manjula for the month of Jan-2014</t>
  </si>
  <si>
    <t>MA313-0000111435</t>
  </si>
  <si>
    <t>Service charges for services rendered for Order Processing Team for the month of Jan-2014</t>
  </si>
  <si>
    <t>Maya Pagnini</t>
  </si>
  <si>
    <t>MA313-0000111436</t>
  </si>
  <si>
    <t>Service charges for services rendered for Sarbani for the month of Jan-2014</t>
  </si>
  <si>
    <t>MA313-0000111437</t>
  </si>
  <si>
    <t>Service charges for services rendered for Jai Ganesh for Jan-2014</t>
  </si>
  <si>
    <t>MA313-0000111438</t>
  </si>
  <si>
    <t>Service charges for Third Rock India Team for the month of Jan-2014</t>
  </si>
  <si>
    <t>MA313-0000111439</t>
  </si>
  <si>
    <t>Charges for services rendered by Harshada and Abhith for the month of Jan-2014</t>
  </si>
  <si>
    <t>MA313-0000111440</t>
  </si>
  <si>
    <t>Service charges for services rendered for Shian for the month of Jan-2014 (30th Dec till 17th Jan)</t>
  </si>
  <si>
    <t>MA313-0000111441</t>
  </si>
  <si>
    <t>Service charges for services rendered for Anurag Ankur for the month of Jan-2014</t>
  </si>
  <si>
    <t>MA313-0000111442</t>
  </si>
  <si>
    <t>Service charges for services rendered for Akash S for the month of Jan-2014</t>
  </si>
  <si>
    <t>MA313-0000111443</t>
  </si>
  <si>
    <t>Service charges for services rendered for Anika for the month of Jan-2014</t>
  </si>
  <si>
    <t>MA313-0000111444</t>
  </si>
  <si>
    <t>Service charges for ITIS Support Team for the month of Jan-2014</t>
  </si>
  <si>
    <t>MA313-0000111445</t>
  </si>
  <si>
    <t>MA313-0000111446</t>
  </si>
  <si>
    <t>Service charges for services rendered for Shripad for the month of Jan-2014 (30th and 31st Dec)</t>
  </si>
  <si>
    <t>Service charges for services rendered for Shripad for the month of Jan-2014 (1st till 24th Jan)</t>
  </si>
  <si>
    <t>MA313-0000111447</t>
  </si>
  <si>
    <t>Service charges for services rendered for Salil for the month of Jan-2014 (30th and 31st Dec)</t>
  </si>
  <si>
    <t>MA313-0000111448</t>
  </si>
  <si>
    <t>Service charges for services rendered for Salil for the month of Jan-2014 (1st till 24th Jan)</t>
  </si>
  <si>
    <t>MA313-0000111449</t>
  </si>
  <si>
    <t>Service charges for services rendered for Yogesh for the month of Jan-2014</t>
  </si>
  <si>
    <t>MA313-0000111450</t>
  </si>
  <si>
    <t>Service charges for services rendered for Yusuf for the month of Jan-2014 (30th and 31st Dec)</t>
  </si>
  <si>
    <t>MA313-0000111451</t>
  </si>
  <si>
    <t>Service charges for services rendered for Yusuf for the month of Jan-2014 (1st till 24th Jan)</t>
  </si>
  <si>
    <t>MA313-0000111452</t>
  </si>
  <si>
    <t>Service charges for services rendered for Sanchit A for the month of Jan-2014</t>
  </si>
  <si>
    <t>MA313-0000111608</t>
  </si>
  <si>
    <t>Service charges for Ecommerce Integration Testing for the month of Jan-2014</t>
  </si>
  <si>
    <t>MA313-0000111609</t>
  </si>
  <si>
    <t>Service charges for ASOS China Support for the month of Jan-2014</t>
  </si>
  <si>
    <t>MA313-0000111610</t>
  </si>
  <si>
    <t>Service charges for TMALL Development Team for the month of Jan-2014</t>
  </si>
  <si>
    <t>MA313-0000111611</t>
  </si>
  <si>
    <t>Service charges for China Mule Support for the month of Jan-2014</t>
  </si>
  <si>
    <t>MA313-0000112072</t>
  </si>
  <si>
    <t>Service charges for Netsuite Lead for the month of Jan-2014</t>
  </si>
  <si>
    <t>MA313-0000112073</t>
  </si>
  <si>
    <t>Services Charges for Netsuite Developer for the month of Jan-2014</t>
  </si>
  <si>
    <t>MA313-0000112454</t>
  </si>
  <si>
    <t>Pushpak team</t>
  </si>
  <si>
    <t>MA313-0000112734</t>
  </si>
  <si>
    <t>Services rendered for Jai Ganesh for the month of Jan-2014</t>
  </si>
  <si>
    <t>CTSIN201403024</t>
  </si>
  <si>
    <t>MA313-0000112850</t>
  </si>
  <si>
    <t>This invoice is for internal adjustments only against already paid invoice MA313-0000100894</t>
  </si>
  <si>
    <t>CTSGB201403041</t>
  </si>
  <si>
    <t>Discount</t>
  </si>
  <si>
    <t>ASOS China 
Support</t>
  </si>
  <si>
    <t>ASOS Scrum 
Delivery</t>
  </si>
  <si>
    <t xml:space="preserve">SOW </t>
  </si>
  <si>
    <t xml:space="preserve">PO </t>
  </si>
  <si>
    <t>Value (GBP)</t>
  </si>
  <si>
    <t>CTSGB201404042</t>
  </si>
  <si>
    <t>Not recieved</t>
  </si>
  <si>
    <t>CTSIN201403043</t>
  </si>
  <si>
    <t>CTSIN201404044</t>
  </si>
  <si>
    <t>CTSIN201404045</t>
  </si>
  <si>
    <t>Charges for Payments Processing Team for the month of Feb-2014</t>
  </si>
  <si>
    <t>MA313-0000113937</t>
  </si>
  <si>
    <t>Charges for Surya Team for the month of Feb-2014</t>
  </si>
  <si>
    <t>MA313-0000113936</t>
  </si>
  <si>
    <t>Charges for Delivery Solutions Analytical Team for the month of Feb-2014</t>
  </si>
  <si>
    <t>MA313-0000113938</t>
  </si>
  <si>
    <t>Charges for Yuga Scrum Team for the month of Feb-2014</t>
  </si>
  <si>
    <t>MA313-0000113935</t>
  </si>
  <si>
    <t>Tim Bradford</t>
  </si>
  <si>
    <t>MA313-0000114100</t>
  </si>
  <si>
    <t>Service Charges for Karma Team for Feb-2014 (27th Jan till 14th Feb)</t>
  </si>
  <si>
    <t>MA313-0000114101</t>
  </si>
  <si>
    <t>Service Charges for Small Change Teams for Feb-2014 (Avani: GBP 6380 X 5 weeks)(Arya: GBP 5590 X 5 weeks)(Om: GBP 5590 X 5 weeks)(Program Governance: GBP 3577.5 X 5 weeks)</t>
  </si>
  <si>
    <t>MA313-0000114102</t>
  </si>
  <si>
    <t xml:space="preserve">Service Charges for Mantra Team for Feb-2014 </t>
  </si>
  <si>
    <t>MA313-0000114103</t>
  </si>
  <si>
    <t xml:space="preserve">Service Charges for Avatar Team for Feb-2014 </t>
  </si>
  <si>
    <t>MA313-0000114104</t>
  </si>
  <si>
    <t>Service Charges for Pushpak Team for Feb-2014 (GBP 4,895 X 5 weeks)</t>
  </si>
  <si>
    <t>MA313-0000114105</t>
  </si>
  <si>
    <t>Service Charges for Identity Management team for Feb-2014</t>
  </si>
  <si>
    <t>MA313-0000114106</t>
  </si>
  <si>
    <t>Service Charges for Karma Extension for Feb-2014 (GBP 3080 * 5 weeks)</t>
  </si>
  <si>
    <t>MA313-0000114132</t>
  </si>
  <si>
    <t>Service Charges for Karma Team for Feb-2014 (17th Feb till 28th Feb)</t>
  </si>
  <si>
    <t>MA313-0000105664</t>
  </si>
  <si>
    <t>Credit note for invoice: MA313-0000104517</t>
  </si>
  <si>
    <t>CTSGB201404047</t>
  </si>
  <si>
    <t>MA313-0000114588</t>
  </si>
  <si>
    <t>Services rendered for Webtrends to Adobe Migration team for the month of Feb-2014</t>
  </si>
  <si>
    <t>MA313-0000114784</t>
  </si>
  <si>
    <t>MA313-0000114785</t>
  </si>
  <si>
    <t>Services rendered for Netsuite Lead for the month of Feb-2014(27th Jan till 14th Feb)</t>
  </si>
  <si>
    <t>Services rendered for Netsuite Developer for the month of Feb-2014(27th Jan till 14th Feb)</t>
  </si>
  <si>
    <t>MA313-0000114800</t>
  </si>
  <si>
    <t>MA313-0000114801</t>
  </si>
  <si>
    <t>MA313-0000114802</t>
  </si>
  <si>
    <t>MA313-0000114803</t>
  </si>
  <si>
    <t>MA313-0000114804</t>
  </si>
  <si>
    <t>Services rendered for TMALL Integration Dev Team for the month of Feb-2014 (17th Feb till 28th Feb)</t>
  </si>
  <si>
    <t>Services rendered for Ecommerce Integration Testing for the month of Feb-2014</t>
  </si>
  <si>
    <t>Services rendered for ASOS China Support for the month of Feb-2014</t>
  </si>
  <si>
    <t>Services rendered for China Mule Support for the month of Feb-2014</t>
  </si>
  <si>
    <t>Services rendered for TMALL Development Team for the month of Feb-2014(27th Jan till 14th Feb)</t>
  </si>
  <si>
    <t>Services rendered for ITIS Support Team for the month of Feb-2014(24th Feb till 28th Feb)</t>
  </si>
  <si>
    <t>MA313-0000114577</t>
  </si>
  <si>
    <t>MA313-0000114578</t>
  </si>
  <si>
    <t>Services rendered for Shripad for the month of Feb-2014</t>
  </si>
  <si>
    <t>MA313-0000114579</t>
  </si>
  <si>
    <t>Services rendered for Salil for the month of Feb-2014</t>
  </si>
  <si>
    <t>Services rendered for Yogesh for the month of Feb-2014</t>
  </si>
  <si>
    <t>MA313-0000114580</t>
  </si>
  <si>
    <t>Services rendered for Yusuf for the month of Feb-2014</t>
  </si>
  <si>
    <t>MA313-0000114581</t>
  </si>
  <si>
    <t>Services rendered for Order Processing Team for the month of Feb-2014</t>
  </si>
  <si>
    <t>MA313-0000114582</t>
  </si>
  <si>
    <t>MA313-0000114583</t>
  </si>
  <si>
    <t>Services rendered for Third Rock India Team for the month of Feb-2014</t>
  </si>
  <si>
    <t>MA313-0000114584</t>
  </si>
  <si>
    <t>Services rendered for ITIS Support Team for the month of Feb-2014(27th Jan till 21st Feb)</t>
  </si>
  <si>
    <t>Services rendered for Sanchit A for the month of Feb-2014(27th Jan till 31st Jan)</t>
  </si>
  <si>
    <t>MA313-0000114585</t>
  </si>
  <si>
    <t>MA313-0000114620</t>
  </si>
  <si>
    <t>Services rendered for Preeti for the month of Feb-2014</t>
  </si>
  <si>
    <t>Services rendered for Bharatesh Pai for the month of Feb-2014(24th Feb till 28th Feb)</t>
  </si>
  <si>
    <t>MA313-0000114621</t>
  </si>
  <si>
    <t>Services rendered for Shamim for month of Feb-2014</t>
  </si>
  <si>
    <t>MA313-0000114622</t>
  </si>
  <si>
    <t>MA313-0000114623</t>
  </si>
  <si>
    <t>Services rendered for Prabakaran for the month of Feb-2014(27th Jan till 14th Feb)</t>
  </si>
  <si>
    <t>Services rendered for Prabakaran for the month of Feb-2014(17th Feb till 28th Feb)</t>
  </si>
  <si>
    <t>MA313-0000114624</t>
  </si>
  <si>
    <t>MA313-0000114625</t>
  </si>
  <si>
    <t>MA313-0000114626</t>
  </si>
  <si>
    <t>Services rendered for Anshuman P for the month of Feb-2014(1st Feb till 28th Feb)</t>
  </si>
  <si>
    <t>Services rendered for Manjula for the month of Feb-2014</t>
  </si>
  <si>
    <t>MA313-0000114627</t>
  </si>
  <si>
    <t>Services rendered for Jai Ganesh for the month of Feb-2014(27th Jan till 31st Jan)</t>
  </si>
  <si>
    <t>MA313-0000114628</t>
  </si>
  <si>
    <t>MA313-0000114629</t>
  </si>
  <si>
    <t>Services rendered for Jai Ganesh for the month of Feb-2014(1st Feb till 28th Feb)</t>
  </si>
  <si>
    <t>Services rendered for Harshada and Abhith for the month of Feb-2014 (27th Jan till 14th Feb)</t>
  </si>
  <si>
    <t>MA313-0000114630</t>
  </si>
  <si>
    <t>MA313-0000114631</t>
  </si>
  <si>
    <t>Services rendered for Abhith for the month of Feb-2014 (17th Feb till 28th Feb)</t>
  </si>
  <si>
    <t>MA313-0000114632</t>
  </si>
  <si>
    <t>Services rendered for Harshada for the month of Feb-2014 (17th Feb till 28th Feb)</t>
  </si>
  <si>
    <t>Services rendered for Anurag Ankur for the month of Feb-2014</t>
  </si>
  <si>
    <t>MA313-0000114633</t>
  </si>
  <si>
    <t>Services rendered for Akash Srivastava for the month of Feb-2014</t>
  </si>
  <si>
    <t>MA313-0000114634</t>
  </si>
  <si>
    <t>Services rendered for Anika for the month of Feb-2014</t>
  </si>
  <si>
    <t>MA313-0000114635</t>
  </si>
  <si>
    <t>Services rendered for Style Management Team for the month of Feb-2014(24th Feb till 28th Feb)</t>
  </si>
  <si>
    <t>MA313-0000115447</t>
  </si>
  <si>
    <t>Peter Reading</t>
  </si>
  <si>
    <t>January</t>
  </si>
  <si>
    <t>February</t>
  </si>
  <si>
    <t>March</t>
  </si>
  <si>
    <t>April</t>
  </si>
  <si>
    <t>November</t>
  </si>
  <si>
    <t>Identity billing</t>
  </si>
  <si>
    <t>MA313-0000115923</t>
  </si>
  <si>
    <t>CTSIN201404052</t>
  </si>
  <si>
    <t>Services rendered for Onsite QA Engineer: Nishant Gupta (13th January till 7th Mar)</t>
  </si>
  <si>
    <t>CTSGB201403049</t>
  </si>
  <si>
    <t>CTSGB201403050</t>
  </si>
  <si>
    <t>Yuga Team</t>
  </si>
  <si>
    <t>MA313-0000109183</t>
  </si>
  <si>
    <t>These are Non Billable expenses, PO for S Srinivasan</t>
  </si>
  <si>
    <t>MA313-0000117004</t>
  </si>
  <si>
    <t>Services rendered for ASOS Staff Augmentation</t>
  </si>
  <si>
    <t>CTSIN201404054</t>
  </si>
  <si>
    <t>Jai Ganesh: Search</t>
  </si>
  <si>
    <t>Jai Ganesh:API</t>
  </si>
  <si>
    <t>CTSGB201404055</t>
  </si>
  <si>
    <t>CTSGB201404056</t>
  </si>
  <si>
    <t>MA313-0000117978</t>
  </si>
  <si>
    <t>MA313-0000117979</t>
  </si>
  <si>
    <t>MA313-0000117980</t>
  </si>
  <si>
    <t>MA313-0000117981</t>
  </si>
  <si>
    <t>MA313-0000117982</t>
  </si>
  <si>
    <t>MA313-0000117983</t>
  </si>
  <si>
    <t>MA313-0000117984</t>
  </si>
  <si>
    <t>MA313-0000117985</t>
  </si>
  <si>
    <t>MA313-0000117986</t>
  </si>
  <si>
    <t>MA313-0000117987</t>
  </si>
  <si>
    <t>MA313-0000117988</t>
  </si>
  <si>
    <t>MA313-0000117989</t>
  </si>
  <si>
    <t>MA313-0000117990</t>
  </si>
  <si>
    <t>MA313-0000117991</t>
  </si>
  <si>
    <t>MA313-0000117992</t>
  </si>
  <si>
    <t>MA313-0000117993</t>
  </si>
  <si>
    <t>MA313-0000117994</t>
  </si>
  <si>
    <t>MA313-0000117995</t>
  </si>
  <si>
    <t>MA313-0000117996</t>
  </si>
  <si>
    <t>MA313-0000117997</t>
  </si>
  <si>
    <t>MA313-0000117998</t>
  </si>
  <si>
    <t>MA313-0000117999</t>
  </si>
  <si>
    <t>MA313-0000118000</t>
  </si>
  <si>
    <t>MA313-0000118001</t>
  </si>
  <si>
    <t>Services rendered for Third Rock India Team for the month of Mar-2014</t>
  </si>
  <si>
    <t>Services rendered for ITIS Support Team for the month of Mar-2014</t>
  </si>
  <si>
    <t>Services rendered for Jai Ganesh for the month of Mar-2014</t>
  </si>
  <si>
    <t>Services rendered for Order Processing Team for the month of Mar-2014</t>
  </si>
  <si>
    <t>Services rendered for Prabakaran for the month of Mar-2014(3rd Mar till 14th Mar)</t>
  </si>
  <si>
    <t>Services rendered for Akash Srivastava for the month of Mar-2014</t>
  </si>
  <si>
    <t>Services rendered for Anurag Ankur for the month of Mar-2014</t>
  </si>
  <si>
    <t>Services rendered for Shamim for month of Mar-2014</t>
  </si>
  <si>
    <t>Services rendered for Abhith for the month of Mar-2014</t>
  </si>
  <si>
    <t>Services rendered for Bharatesh Pai for the month of Mar-2014</t>
  </si>
  <si>
    <t>Services rendered for Anika for the month of Mar-2014</t>
  </si>
  <si>
    <t>Services rendered for Manjula for the month of Mar-2014(3rd March till 7th March)</t>
  </si>
  <si>
    <t>Services rendered for Prabakaran for the month of Mar-2014(17th Mar till 28th Mar)</t>
  </si>
  <si>
    <t>Services rendered for Salil for the month of Mar-2014</t>
  </si>
  <si>
    <t>Services rendered for Yogesh for the month of Mar-2014(10th March till 28th March)</t>
  </si>
  <si>
    <t>Services rendered for Yusuf for the month of Mar-2014</t>
  </si>
  <si>
    <t>Services rendered for Preeti for the month of Mar-2014</t>
  </si>
  <si>
    <t>Services rendered for Harshada for the month of Mar-2014 (3rd March till 14th Mar)</t>
  </si>
  <si>
    <t>Services rendered for Sumeet Verma for the month of Mar-2014(17th Mar till 28th Mar)</t>
  </si>
  <si>
    <t>Services rendered for Manjula for the month of Mar-2014(10th March till 21st March)</t>
  </si>
  <si>
    <t>Services rendered for Anshuman P for the month of Mar-2014</t>
  </si>
  <si>
    <t>Services rendered for Yogesh for the month of Mar-2014(3rd March till 7th March)</t>
  </si>
  <si>
    <t>Services rendered for Salil for the month of Mar-2014 (International Faceted search work)</t>
  </si>
  <si>
    <t>Services rendered for Jai Ganesh for the month of Mar-2014 (International Faceted search work)</t>
  </si>
  <si>
    <t xml:space="preserve">MA313-0000118168 </t>
  </si>
  <si>
    <t>MA313-0000118169</t>
  </si>
  <si>
    <t>MA313-0000118170</t>
  </si>
  <si>
    <t>MA313-0000118171</t>
  </si>
  <si>
    <t>Services rendered for ASOS China Support for the month of Mar-2014</t>
  </si>
  <si>
    <t>Services rendered for TMALL Integration Dev Team for the month of Mar-2014</t>
  </si>
  <si>
    <t>Services rendered for China Mule Support for the month of Mar-2014</t>
  </si>
  <si>
    <t>Services rendered for Ecommerce Integration Testing for the month of Mar-2014</t>
  </si>
  <si>
    <t>MA313-0000117678</t>
  </si>
  <si>
    <t>MA313-0000117679</t>
  </si>
  <si>
    <t xml:space="preserve">MA313-0000117680 </t>
  </si>
  <si>
    <t>MA313-0000117681</t>
  </si>
  <si>
    <t>MA313-0000117682</t>
  </si>
  <si>
    <t>MA313-0000117677</t>
  </si>
  <si>
    <t xml:space="preserve">Service Charges for Karma Team for Mar-2014 </t>
  </si>
  <si>
    <t>Service Charges for Karma Extension for Mar-2014</t>
  </si>
  <si>
    <t>Service Charges for Pushpak Team for Mar-2014 (GBP 4,895 X 4 weeks)</t>
  </si>
  <si>
    <t>Service Charges for Identity Management team for Mar-2014</t>
  </si>
  <si>
    <t xml:space="preserve">MA313-0000117698 </t>
  </si>
  <si>
    <t>MA313-0000117699</t>
  </si>
  <si>
    <t xml:space="preserve">MA313-0000117700 </t>
  </si>
  <si>
    <t xml:space="preserve">MA313-0000117701 </t>
  </si>
  <si>
    <t xml:space="preserve">MA313-0000117702 </t>
  </si>
  <si>
    <t>MA313-0000117703</t>
  </si>
  <si>
    <t xml:space="preserve">MA313-0000117840 </t>
  </si>
  <si>
    <t>Charges for Payments Processing Team for the month of Mar-2014</t>
  </si>
  <si>
    <t>Charges for Delivery Solutions Analytical Team for the month of Mar-2014</t>
  </si>
  <si>
    <t>Charges for Yuga Scrum Team for the month of Mar-2014</t>
  </si>
  <si>
    <t>Charges for Surya Team for the month of Mar-2014</t>
  </si>
  <si>
    <t>Charges for Small Change Teams for Mar-2014 (17th Feb till 14th Mar)</t>
  </si>
  <si>
    <t>Charges for Small Change Teams for Mar-2014 (17th Mar till 28th Mar)</t>
  </si>
  <si>
    <t>Charges for Tech Debt Changes Team Mar-2014</t>
  </si>
  <si>
    <t>MA313-0000118579</t>
  </si>
  <si>
    <t>Services rendered for Webtrends to Adobe Migration team for the month of Mar-2014</t>
  </si>
  <si>
    <t>MA313-0000118576</t>
  </si>
  <si>
    <t>Services rendered for Style Management Team for the month of Mar-2014</t>
  </si>
  <si>
    <t>MA313-0000118600</t>
  </si>
  <si>
    <t>Services rendered for Metapack Upgrade Regression Testing Team for the month of Mar-2014</t>
  </si>
  <si>
    <t>MA313-0000118598</t>
  </si>
  <si>
    <t>Services rendered for Checkout Processing Team for the month of Mar-2014</t>
  </si>
  <si>
    <t>MA313-0000118619</t>
  </si>
  <si>
    <t>Lukbir Chanian</t>
  </si>
  <si>
    <t>Charges for International Faceted Search Team for the month of Mar-2014</t>
  </si>
  <si>
    <t>Apr'14</t>
  </si>
  <si>
    <t>Expenses of Onsite ALM training for Sandeep Malve</t>
  </si>
  <si>
    <t>Onsite T&amp;E cost of KT for Style Management team resources.</t>
  </si>
  <si>
    <t>MA313-0000119051</t>
  </si>
  <si>
    <t>MA313-0000119045</t>
  </si>
  <si>
    <t>MA313-0000119162</t>
  </si>
  <si>
    <t>PO value</t>
  </si>
  <si>
    <t>May</t>
  </si>
  <si>
    <t>June</t>
  </si>
  <si>
    <t>CR02</t>
  </si>
  <si>
    <t>May'14</t>
  </si>
  <si>
    <t>June'14</t>
  </si>
  <si>
    <t>July'14</t>
  </si>
  <si>
    <t>Aug'14</t>
  </si>
  <si>
    <t>Sep'14</t>
  </si>
  <si>
    <t>Oct'14</t>
  </si>
  <si>
    <t>Nov'14</t>
  </si>
  <si>
    <t>Dec'14</t>
  </si>
  <si>
    <t>Sumeet</t>
  </si>
  <si>
    <t>ASOS Staff 
Aug</t>
  </si>
  <si>
    <t>MA313-0000119294</t>
  </si>
  <si>
    <t>MID Tier_UAT Support: Sandeep M &amp; Shivam Raju</t>
  </si>
  <si>
    <t>Himalaya</t>
  </si>
  <si>
    <t xml:space="preserve">Kuber </t>
  </si>
  <si>
    <t>Webtrends Team</t>
  </si>
  <si>
    <t>ASOS Order Processing</t>
  </si>
  <si>
    <t>Cancelled online invoice</t>
  </si>
  <si>
    <t>Apr</t>
  </si>
  <si>
    <t>Service Charges for Mantra Team for Mar-2014</t>
  </si>
  <si>
    <t>Service Charges for Avatar Team for Mar-2014</t>
  </si>
  <si>
    <t>July</t>
  </si>
  <si>
    <t>Aug</t>
  </si>
  <si>
    <t>SOW end date</t>
  </si>
  <si>
    <t>Additional Cost</t>
  </si>
  <si>
    <t>Additional weeks if SOW end date is 31st Aug</t>
  </si>
  <si>
    <t>MA313-0000119774</t>
  </si>
  <si>
    <t>MA313-0000119775</t>
  </si>
  <si>
    <t>Service Charges for Mantra Team for Mar-2014: CANCELLED</t>
  </si>
  <si>
    <t>Service Charges for Avatar Team for Mar-2014: CANCELLED</t>
  </si>
  <si>
    <t>MA313-0000119770</t>
  </si>
  <si>
    <t>CREDIT NOTE for MA313-0000117677 &amp; MA313-0000117678</t>
  </si>
  <si>
    <t>T&amp;E cost of Sneha Gurjar for ITIS onsite KT</t>
  </si>
  <si>
    <t>MA313-0000120406</t>
  </si>
  <si>
    <t>PO Value</t>
  </si>
  <si>
    <t>Inv value</t>
  </si>
  <si>
    <t>Inv value without VAT</t>
  </si>
  <si>
    <t>Amount still in PO=</t>
  </si>
  <si>
    <t>PO end date</t>
  </si>
  <si>
    <t>Total (GBP)</t>
  </si>
  <si>
    <t>MA313-0000120587</t>
  </si>
  <si>
    <t>MA313-0000120589</t>
  </si>
  <si>
    <t>MA313-0000120588</t>
  </si>
  <si>
    <t>Service Charges for Pushpak Team for Apr-2014 (GBP 4,895 X 4 weeks)</t>
  </si>
  <si>
    <t>Service Charges for Identity Management team for Apr-2014</t>
  </si>
  <si>
    <t>MA313-0000120635</t>
  </si>
  <si>
    <t>MA313-0000120636</t>
  </si>
  <si>
    <t>MA313-0000120637</t>
  </si>
  <si>
    <t>MA313-0000120638</t>
  </si>
  <si>
    <t>MA313-0000120639</t>
  </si>
  <si>
    <t>MA313-0000120640</t>
  </si>
  <si>
    <t>MA313-0000120641</t>
  </si>
  <si>
    <t>MA313-0000120642</t>
  </si>
  <si>
    <t>Charges for Delivery Solutions Analytical Team for the month of Apr-2014</t>
  </si>
  <si>
    <t>Charges for Surya Team for the month of Apr-2014</t>
  </si>
  <si>
    <t>Charges for Payments Processing Team for the month of Apr-2014</t>
  </si>
  <si>
    <t>Charges for Tech Debt Changes Team Apr-2014</t>
  </si>
  <si>
    <t>Charges for Small Change Teams for Apr-2014</t>
  </si>
  <si>
    <t>Service Charges for Avatar Team for Apr-2014</t>
  </si>
  <si>
    <t>Service Charges for Mantra Team for Apr-2014</t>
  </si>
  <si>
    <t>Charges for Delivery Solutions Analytical Team extension for the month of Apr-2014</t>
  </si>
  <si>
    <t>Mar'15</t>
  </si>
  <si>
    <t>Amount that is/
will remain balance</t>
  </si>
  <si>
    <t>SOW Status</t>
  </si>
  <si>
    <t>Complete</t>
  </si>
  <si>
    <t>In Progress</t>
  </si>
  <si>
    <t>MA313-0000120645</t>
  </si>
  <si>
    <t>Charges for International Faceted search work team for Apr-2014</t>
  </si>
  <si>
    <t xml:space="preserve">Amount that is/
will be invoiced </t>
  </si>
  <si>
    <t>MA313-0000120853</t>
  </si>
  <si>
    <t>Services rendered for Style Management Team for the month of Apr-2014</t>
  </si>
  <si>
    <t>MA313-0000121069</t>
  </si>
  <si>
    <t>Services rendered for Metapack Upgrade Regression Testing Team for the month of Apr-2014</t>
  </si>
  <si>
    <t>MA313-0000121040</t>
  </si>
  <si>
    <t>MA313-0000121041</t>
  </si>
  <si>
    <t>Services rendered for Webtrends to Adobe Migration team for month of Apr-2014
(31st Mar till 22nd Apr )</t>
  </si>
  <si>
    <t>Services rendered for Webtrends to Adobe Migration team for month of Apr-2014
(23rd Apr till 25th Apr)</t>
  </si>
  <si>
    <t>may</t>
  </si>
  <si>
    <t>Services rendered for Checkout Processing Team for the month of Apr-2014</t>
  </si>
  <si>
    <t>MA313-0000121291</t>
  </si>
  <si>
    <t>MA313-0000121292</t>
  </si>
  <si>
    <t>Services rendered for Anurag Ankur for the month of Apr-2014</t>
  </si>
  <si>
    <t>MA313-0000121631</t>
  </si>
  <si>
    <t>MA313-0000121632</t>
  </si>
  <si>
    <t>MA313-0000121633</t>
  </si>
  <si>
    <t xml:space="preserve">MA313-0000121677 </t>
  </si>
  <si>
    <t>MA313-0000121678</t>
  </si>
  <si>
    <t>Services rendered for TMALL Integration Dev Team for the month of Apr-2014</t>
  </si>
  <si>
    <t xml:space="preserve">Debbie Pejica </t>
  </si>
  <si>
    <t>Services rendered for Netsuite Customization Support team for the month of Apr-2014</t>
  </si>
  <si>
    <t>Services rendered for ASOS China Support for the month of Apr-2014</t>
  </si>
  <si>
    <t>Services rendered for Ecommerce Integration Testing for the month of Apr-2014</t>
  </si>
  <si>
    <t>Services rendered for China Mule Support for the month of Apr-2014</t>
  </si>
  <si>
    <t>MA313-0000121401</t>
  </si>
  <si>
    <t>Services rendered for Order Processing Team for the month of Apr-2014</t>
  </si>
  <si>
    <t>MA313-0000121402</t>
  </si>
  <si>
    <t>Services rendered for Prabakaran for the month of Apr-2014</t>
  </si>
  <si>
    <t>MA313-0000121403</t>
  </si>
  <si>
    <t>Services rendered for Third Rock India Team for the month of Apr-2014</t>
  </si>
  <si>
    <t>MA313-0000121404</t>
  </si>
  <si>
    <t>Services rendered for Yogesh for the month of Apr-2014</t>
  </si>
  <si>
    <t>MA313-0000121405</t>
  </si>
  <si>
    <t>Services rendered for Ravish for the month of Apr-2014 (22nd April till 25th April)</t>
  </si>
  <si>
    <t>Services rendered for ITIS Support Team for the month of Apr-2014</t>
  </si>
  <si>
    <t>MA313-0000121406</t>
  </si>
  <si>
    <t>MA313-0000121407</t>
  </si>
  <si>
    <t>Services rendered for Sumeet Verma for the month of Apr-2014</t>
  </si>
  <si>
    <t>MA313-0000121408</t>
  </si>
  <si>
    <t>Services rendered for Bharatesh Pai for the month of Apr-2014</t>
  </si>
  <si>
    <t>Services rendered for Akash Srivastava for the month of Apr-2014</t>
  </si>
  <si>
    <t>MA313-0000121409</t>
  </si>
  <si>
    <t>MA313-0000121410</t>
  </si>
  <si>
    <t>Services rendered for Shamim for month of Apr-2014 (22nd Apr till 25th Apr)</t>
  </si>
  <si>
    <t>MA313-0000121411</t>
  </si>
  <si>
    <t>Services rendered for Shamim for month of Apr-2014 (14th Apr till 17th Apr)</t>
  </si>
  <si>
    <t>Services rendered for Salil for the month of Apr-2014 (International Faceted search work)</t>
  </si>
  <si>
    <t>MA313-0000121412</t>
  </si>
  <si>
    <t>MA313-0000121413</t>
  </si>
  <si>
    <t>Services rendered for Shamim for month of Apr-2014 (31st Mar till 11th Apr)</t>
  </si>
  <si>
    <t>MA313-0000121429</t>
  </si>
  <si>
    <t>Services rendered for Jai Ganesh for the month of Apr-2014</t>
  </si>
  <si>
    <t>Services rendered for Abhith for the month of Apr-2014</t>
  </si>
  <si>
    <t>MA313-0000121430</t>
  </si>
  <si>
    <t>Services rendered for Anshuman Patra for the month of Apr-2014</t>
  </si>
  <si>
    <t>MA313-0000121431</t>
  </si>
  <si>
    <t>MA313-0000121432</t>
  </si>
  <si>
    <t>MA313-0000121433</t>
  </si>
  <si>
    <t>MA313-0000121434</t>
  </si>
  <si>
    <t>MA313-0000121435</t>
  </si>
  <si>
    <t>MA313-0000121436</t>
  </si>
  <si>
    <t>Services rendered for Salil for the month of Apr-2014</t>
  </si>
  <si>
    <t>Services rendered for Anika for the month of Apr-2014</t>
  </si>
  <si>
    <t>Services rendered for Jai Ganesh for the month of Apr-2014 (International Faceted search work)</t>
  </si>
  <si>
    <t>Services rendered for Yusuf for the month of Apr-2014</t>
  </si>
  <si>
    <t>Services rendered for Webtrends to Adobe Migration team for month of Apr-2014
(31st Mar till 23rd Apr )</t>
  </si>
  <si>
    <t>Original SOW end date was 22nd August</t>
  </si>
  <si>
    <t>PO generated with considering discount</t>
  </si>
  <si>
    <t>Resources moved to Checkout team</t>
  </si>
  <si>
    <t xml:space="preserve"> 
MA313-0000122372 </t>
  </si>
  <si>
    <t>Services rendered for Anshuman P for the month of Feb-2014(27th Jan till 31st Jan)</t>
  </si>
  <si>
    <t>CTSIN201405067</t>
  </si>
  <si>
    <t>Salil D: API,complete by 9th May</t>
  </si>
  <si>
    <t>Salil D: Search, continue in identity</t>
  </si>
  <si>
    <t>SOW#</t>
  </si>
  <si>
    <t>SOW start date</t>
  </si>
  <si>
    <t>SOW value</t>
  </si>
  <si>
    <t>CTSIN201406069</t>
  </si>
  <si>
    <t>CTSIN201405070</t>
  </si>
  <si>
    <t>Pune</t>
  </si>
  <si>
    <t>London</t>
  </si>
  <si>
    <t>Weekly cost</t>
  </si>
  <si>
    <t>New milestone values</t>
  </si>
  <si>
    <t>Sept'14</t>
  </si>
  <si>
    <t>Decreament</t>
  </si>
  <si>
    <t>New SOW 
value</t>
  </si>
  <si>
    <t>sow signed?</t>
  </si>
  <si>
    <t>£61,816.00</t>
  </si>
  <si>
    <t>£36,570.00</t>
  </si>
  <si>
    <t>MA313-0000122534</t>
  </si>
  <si>
    <t>Onsite T&amp;E cost of Lead Netsuite Developer to provide support for UAT &amp; Go Live</t>
  </si>
  <si>
    <t>CR03</t>
  </si>
  <si>
    <t>CR01</t>
  </si>
  <si>
    <t>SOW</t>
  </si>
  <si>
    <t>Discount: Not considered in PO</t>
  </si>
  <si>
    <t>Invoice value (Without VAT)</t>
  </si>
  <si>
    <t>CR#</t>
  </si>
  <si>
    <t>CR 1</t>
  </si>
  <si>
    <t>60129303/
60133691</t>
  </si>
  <si>
    <t>new po: 60133691 to be used</t>
  </si>
  <si>
    <t xml:space="preserve">PO: 60133689 </t>
  </si>
  <si>
    <t xml:space="preserve">PO: 60133689  </t>
  </si>
  <si>
    <t xml:space="preserve">PO: </t>
  </si>
  <si>
    <t>MA313-0000124006</t>
  </si>
  <si>
    <t>MA313-0000124007</t>
  </si>
  <si>
    <t>MA313-0000124008</t>
  </si>
  <si>
    <t>MA313-0000124009</t>
  </si>
  <si>
    <t>MA313-0000124010</t>
  </si>
  <si>
    <t>MA313-0000124011</t>
  </si>
  <si>
    <t>Charges for Tech Debt Changes Team May-2014</t>
  </si>
  <si>
    <t>MA313-0000124012</t>
  </si>
  <si>
    <t>MA313-0000124013</t>
  </si>
  <si>
    <t>MA313-0000124014</t>
  </si>
  <si>
    <t>Service Charges for Mantra Team for May-2014</t>
  </si>
  <si>
    <t>MA313-0000124015</t>
  </si>
  <si>
    <t>MA313-0000124016</t>
  </si>
  <si>
    <t>SOW signed?</t>
  </si>
  <si>
    <t>Jan</t>
  </si>
  <si>
    <t>feb</t>
  </si>
  <si>
    <t>mar</t>
  </si>
  <si>
    <t>apr</t>
  </si>
  <si>
    <t>dec</t>
  </si>
  <si>
    <t>Savings</t>
  </si>
  <si>
    <t>Invoicing against PO: 60128805</t>
  </si>
  <si>
    <t>Ivoiced</t>
  </si>
  <si>
    <t>Team</t>
  </si>
  <si>
    <t>£179</t>
  </si>
  <si>
    <t>Microsoft Engineer (Onsite)</t>
  </si>
  <si>
    <t>£471</t>
  </si>
  <si>
    <t>Microsoft Engineer</t>
  </si>
  <si>
    <t>£168</t>
  </si>
  <si>
    <t>QA Engineer (Onsite)</t>
  </si>
  <si>
    <t>£156</t>
  </si>
  <si>
    <t xml:space="preserve">Sr. Business Analyst </t>
  </si>
  <si>
    <t>£488</t>
  </si>
  <si>
    <t>Location</t>
  </si>
  <si>
    <t>Solution Architect (Dev Lead)</t>
  </si>
  <si>
    <t>Ashwini</t>
  </si>
  <si>
    <t>22/08/2014</t>
  </si>
  <si>
    <t>Microsoft Engineer 1</t>
  </si>
  <si>
    <t xml:space="preserve">Pratigya </t>
  </si>
  <si>
    <t>Pratigya</t>
  </si>
  <si>
    <t>07/08/2014*</t>
  </si>
  <si>
    <t>22/08/2014*</t>
  </si>
  <si>
    <t>Microsoft Engineer 2</t>
  </si>
  <si>
    <t xml:space="preserve">Shrikant </t>
  </si>
  <si>
    <t>17/07/2014**</t>
  </si>
  <si>
    <t>22/08/2014**</t>
  </si>
  <si>
    <t>QA Engineer 1</t>
  </si>
  <si>
    <t>Amrita</t>
  </si>
  <si>
    <t>QA Engineer 2</t>
  </si>
  <si>
    <t>Sumeet/Shubhangi</t>
  </si>
  <si>
    <t>Sr. Business Analyst</t>
  </si>
  <si>
    <t>Ankush</t>
  </si>
  <si>
    <t>24/04/2014</t>
  </si>
  <si>
    <t>13/06/2014</t>
  </si>
  <si>
    <t>16/06/2013</t>
  </si>
  <si>
    <t>Amount</t>
  </si>
  <si>
    <t>Billing days</t>
  </si>
  <si>
    <t>24th &amp; 25th Apr</t>
  </si>
  <si>
    <t>28th Apr till 30th May</t>
  </si>
  <si>
    <t>2nd till 27th June</t>
  </si>
  <si>
    <t>30th June till 25th July</t>
  </si>
  <si>
    <t>28th July till 29th Aug</t>
  </si>
  <si>
    <t>New SOW value</t>
  </si>
  <si>
    <t>SOW value we need</t>
  </si>
  <si>
    <t>Difference</t>
  </si>
  <si>
    <t>1st Sept till 5th Sept</t>
  </si>
  <si>
    <t>2 day leave of Ankush</t>
  </si>
  <si>
    <t>29th July</t>
  </si>
  <si>
    <t>15th Aug</t>
  </si>
  <si>
    <t>29th Aug</t>
  </si>
  <si>
    <t>25th Aug</t>
  </si>
  <si>
    <t>3 off holidays</t>
  </si>
  <si>
    <t>1 on holiday</t>
  </si>
  <si>
    <t>1 off holiday</t>
  </si>
  <si>
    <t>1st may</t>
  </si>
  <si>
    <t>2 on holidays</t>
  </si>
  <si>
    <t>5th &amp; 26th may</t>
  </si>
  <si>
    <t>MA313-0000124405</t>
  </si>
  <si>
    <t>MA313-0000124489</t>
  </si>
  <si>
    <t>MA313-0000124449</t>
  </si>
  <si>
    <t>MA313-0000124450</t>
  </si>
  <si>
    <t>MA313-0000124451</t>
  </si>
  <si>
    <t>Services rendered for Anurag Ankur for the month of May-2014</t>
  </si>
  <si>
    <t>MA313-0000124445</t>
  </si>
  <si>
    <t>MA313-0000124446</t>
  </si>
  <si>
    <t>MA313-0000124503</t>
  </si>
  <si>
    <t>Services rendered for TMALL Integration Dev Team for the month of May-2014</t>
  </si>
  <si>
    <t>MA313-0000124504</t>
  </si>
  <si>
    <t>MA313-0000124505</t>
  </si>
  <si>
    <t>MA313-0000124506</t>
  </si>
  <si>
    <t>MA313-0000124462</t>
  </si>
  <si>
    <t>MA313-0000124463</t>
  </si>
  <si>
    <t>MA313-0000124464</t>
  </si>
  <si>
    <t>MA313-0000124465</t>
  </si>
  <si>
    <t>MA313-0000124466</t>
  </si>
  <si>
    <t>MA313-0000124467</t>
  </si>
  <si>
    <t>MA313-0000124468</t>
  </si>
  <si>
    <t>MA313-0000124469</t>
  </si>
  <si>
    <t>MA313-0000124470</t>
  </si>
  <si>
    <t>MA313-0000124471</t>
  </si>
  <si>
    <t>MA313-0000124472</t>
  </si>
  <si>
    <t>Services rendered for Ravish for the month of May-2014</t>
  </si>
  <si>
    <t>Services rendered for Bharatesh Pai for the month of May-2014</t>
  </si>
  <si>
    <t>Services rendered for Shamim for month of May-2014</t>
  </si>
  <si>
    <t>Services rendered for Prabakaran for the month of May-2014(28th Apr till 16th May)</t>
  </si>
  <si>
    <t>Services rendered for Prabakaran for the month of May-2014(19th May till 30th May)</t>
  </si>
  <si>
    <t>Services rendered for Anshuman Patra for the month of May-2014</t>
  </si>
  <si>
    <t>Services rendered for Anshuman Patra for the month of May-2014 (1st May till 27th May)</t>
  </si>
  <si>
    <t>Services rendered for Raman for the month of May-2014 (12th May till 30th May)</t>
  </si>
  <si>
    <t>Services rendered for Swaminathan for the month of May-2014(19th May till 30th May)</t>
  </si>
  <si>
    <t>Services rendered for Jai Ganesh for the month of May-2014</t>
  </si>
  <si>
    <t>Services rendered for Jai Ganesh for the month of May-2014 (International Faceted search work)</t>
  </si>
  <si>
    <t>MA313-0000124473</t>
  </si>
  <si>
    <t>Services rendered for Third Rock India Team for the month of May-2014</t>
  </si>
  <si>
    <t>MA313-0000124474</t>
  </si>
  <si>
    <t>Services rendered for Adarsh for the month of May-2014 (6th May till 30th May)</t>
  </si>
  <si>
    <t>Kieren Rimmer</t>
  </si>
  <si>
    <t>MA313-0000124475</t>
  </si>
  <si>
    <t>Services rendered for Abhith for the month of May-2014</t>
  </si>
  <si>
    <t>MA313-0000124476</t>
  </si>
  <si>
    <t>Services rendered for Akash Srivastava for the month of May-2014 (1st May till 16th May)</t>
  </si>
  <si>
    <t>MA313-0000124477</t>
  </si>
  <si>
    <t>Services rendered for Anika for the month of May-2014 (28th Apr till 9th May)</t>
  </si>
  <si>
    <t>MA313-0000124478</t>
  </si>
  <si>
    <t>Services rendered for ITIS Support Team for the month of May-2014</t>
  </si>
  <si>
    <t>MA313-0000124479</t>
  </si>
  <si>
    <t>Services rendered for Salil for the month of May-2014 (28th Apr till 9th May)</t>
  </si>
  <si>
    <t>MA313-0000124480</t>
  </si>
  <si>
    <t>Services rendered for Salil for the month of May-2014 (International Faceted search work)</t>
  </si>
  <si>
    <t>MA313-0000124481</t>
  </si>
  <si>
    <t>Services rendered for Yogesh for the month of May-2014</t>
  </si>
  <si>
    <t>MA313-0000124482</t>
  </si>
  <si>
    <t>Services rendered for Yusuf for the month of May-2014</t>
  </si>
  <si>
    <t>MA313-0000124483</t>
  </si>
  <si>
    <t>Services rendered for Sumeet Verma for the month of May-2014</t>
  </si>
  <si>
    <t>MA313-0000124866</t>
  </si>
  <si>
    <t>Services rendered for Webtrends to Adobe Migration team for month of Apr-2014
(24th &amp; 25th Apr)</t>
  </si>
  <si>
    <t>Revenue 
(GBP with VAT)</t>
  </si>
  <si>
    <t>Discount: 2.5% (GBP)</t>
  </si>
  <si>
    <t>LWD for Sunny is 27th Mar'14</t>
  </si>
  <si>
    <t>Days saving</t>
  </si>
  <si>
    <t>MA313-0000125447</t>
  </si>
  <si>
    <t>E20140605000010600514720</t>
  </si>
  <si>
    <t xml:space="preserve">MA313-0000125793 
</t>
  </si>
  <si>
    <t>E20140612000010400074963</t>
  </si>
  <si>
    <t>Remarks/
Remittance</t>
  </si>
  <si>
    <t>Amount in GBP 
(without VAT)</t>
  </si>
  <si>
    <t>invoiced</t>
  </si>
  <si>
    <t>savings in PO</t>
  </si>
  <si>
    <t>API</t>
  </si>
  <si>
    <t>SEARCH</t>
  </si>
  <si>
    <t>APR</t>
  </si>
  <si>
    <t>MAY</t>
  </si>
  <si>
    <t>MAR</t>
  </si>
  <si>
    <t>Billing</t>
  </si>
  <si>
    <t>Invoices reciepted</t>
  </si>
  <si>
    <t>Amount left on PO</t>
  </si>
  <si>
    <t>E20140620000010200081740</t>
  </si>
  <si>
    <t>Prabakaran Gunavel</t>
  </si>
  <si>
    <t>Value invoiced</t>
  </si>
  <si>
    <t>No of days</t>
  </si>
  <si>
    <t>Service changes for services rendered for ASOS China Support</t>
  </si>
  <si>
    <t>Service charges for services rendered for ASOS China Support for July-2013</t>
  </si>
  <si>
    <t>Engagement</t>
  </si>
  <si>
    <t>paid</t>
  </si>
  <si>
    <t>E20140626000009600177863</t>
  </si>
  <si>
    <t>Charges for Identity Management team (Aagam) for the month of May-2014</t>
  </si>
  <si>
    <t>Charges for Pushpak team for the month of May-2014</t>
  </si>
  <si>
    <t>Charges for Surya team for the month of May-2014</t>
  </si>
  <si>
    <t>Charges for  Surya Analytical Team for the month of May-2014</t>
  </si>
  <si>
    <t>Charges for Surya Analytical Team extension for the month of May-2014</t>
  </si>
  <si>
    <t>Charges for Payments Processing team (Kuber) for the month of May-2014</t>
  </si>
  <si>
    <t>Charges for Avatar team for the month of May-2014</t>
  </si>
  <si>
    <t>Charges for Tactical changes  teams for the month of May-2014(28th April till 16th May)</t>
  </si>
  <si>
    <t>Charges for Tactical changes  teams for the month of May-2014 (19th May till 30th May)</t>
  </si>
  <si>
    <t>Charges for Metapack Upgrade team for the month of May-2014</t>
  </si>
  <si>
    <t>Charges for Style Management team (Kimaya) for the month of May-2014</t>
  </si>
  <si>
    <t>Charges for Webtrends team for the month of May-2014</t>
  </si>
  <si>
    <t>Charges for Bagheera team for the month of May-2014</t>
  </si>
  <si>
    <t>Charges for Checkout team for the month of May-2014</t>
  </si>
  <si>
    <t>Charges for China L1 Support team for the month of May-2014</t>
  </si>
  <si>
    <t>Charges for Ecommerce Integration Testing for the month of May-2014</t>
  </si>
  <si>
    <t>Charges for China Mule Support for the month of May-2014</t>
  </si>
  <si>
    <t>Charges for Netsuite Customization Support team for the month of May-2014</t>
  </si>
  <si>
    <t>Charges for China Dev Support team for the month of May-2014</t>
  </si>
  <si>
    <t>Charges for ITIS Support team for the month of May-2014</t>
  </si>
  <si>
    <t>Charges for International search work team for the month of May-2014</t>
  </si>
  <si>
    <t>bagheera</t>
  </si>
  <si>
    <t>Sept</t>
  </si>
  <si>
    <t>Oct</t>
  </si>
  <si>
    <t>7% discount we had given till May’14 is GBP 20,614.51</t>
  </si>
  <si>
    <t>Checkout/Juggs Team</t>
  </si>
  <si>
    <t>june</t>
  </si>
  <si>
    <t>july</t>
  </si>
  <si>
    <t>Juggernaut Team</t>
  </si>
  <si>
    <t>Custard Team</t>
  </si>
  <si>
    <t>Total discount (7%)</t>
  </si>
  <si>
    <t>CTSIN201407082</t>
  </si>
  <si>
    <t>MA313-0000127798</t>
  </si>
  <si>
    <t>MA313-0000127799</t>
  </si>
  <si>
    <t>MA313-0000127800</t>
  </si>
  <si>
    <t>Charges for Pushpak team for the month of June-2014</t>
  </si>
  <si>
    <t>Charges for Identity Management team (Aagam) for the month of June-2014</t>
  </si>
  <si>
    <t xml:space="preserve">MA313-0000127816 </t>
  </si>
  <si>
    <t>Charges for International search work team (Yuga) for the month of June-2014</t>
  </si>
  <si>
    <t xml:space="preserve">MA313-0000127805 </t>
  </si>
  <si>
    <t>MA313-0000127806</t>
  </si>
  <si>
    <t>MA313-0000127807</t>
  </si>
  <si>
    <t>MA313-0000127808</t>
  </si>
  <si>
    <t>MA313-0000127809</t>
  </si>
  <si>
    <t>MA313-0000127810</t>
  </si>
  <si>
    <t>MA313-0000127811</t>
  </si>
  <si>
    <t>MA313-0000127812</t>
  </si>
  <si>
    <t>Charges for Surya Analytical team for the month of June-2014</t>
  </si>
  <si>
    <t>Charges for Surya team for the month of June-2014</t>
  </si>
  <si>
    <t>Charges for Payments Processing team (Kuber) for the month of June-2014</t>
  </si>
  <si>
    <t>Charges for Surya Analytical team extension for the month of June-2014</t>
  </si>
  <si>
    <t>Charges for Tactical changes teams for the month of June-2014</t>
  </si>
  <si>
    <t>Charges for Avatar team for the month of June-2014</t>
  </si>
  <si>
    <t>Charges for Karma team for the month of June-2014</t>
  </si>
  <si>
    <t>Charges for Karma team for the month of May-2014</t>
  </si>
  <si>
    <t xml:space="preserve">MA313-0000127901 </t>
  </si>
  <si>
    <t>MA313-0000127902</t>
  </si>
  <si>
    <t>MA313-0000127903</t>
  </si>
  <si>
    <t>MA313-0000127904</t>
  </si>
  <si>
    <t>MA313-0000127905</t>
  </si>
  <si>
    <t>Services rendered for Ecommerce Integration Testing for the month of June-2014</t>
  </si>
  <si>
    <t>Services rendered for China L1 Support team for the month of June-2014</t>
  </si>
  <si>
    <t>Services rendered for China Dev Support team for the month of June-2014</t>
  </si>
  <si>
    <t>Services rendered for China Mule Support for the month of June-2014</t>
  </si>
  <si>
    <t>Services rendered for Netsuite Customization Support team for the month of June-2014</t>
  </si>
  <si>
    <t xml:space="preserve">MA313-0000127899 </t>
  </si>
  <si>
    <t>Services rendered for Webtrends team for the month of June-2014</t>
  </si>
  <si>
    <t>MA313-0000127872</t>
  </si>
  <si>
    <t>Services rendered for Style Management team (Kimaya) for the month of June-2014</t>
  </si>
  <si>
    <t xml:space="preserve">MA313-0000127910 </t>
  </si>
  <si>
    <t>Services rendered for Metapack Upgrade team for the month of June-2014</t>
  </si>
  <si>
    <t>MA313-0000127844</t>
  </si>
  <si>
    <t>MA313-0000127843</t>
  </si>
  <si>
    <t>MA313-0000127842</t>
  </si>
  <si>
    <t>Services rendered for Bagheera team for the month of June-2014</t>
  </si>
  <si>
    <t>Services rendered for Checkout team for the month of June-2014</t>
  </si>
  <si>
    <t>Services rendered for Anurag Ankur for the month of June-2014</t>
  </si>
  <si>
    <t>MA313-0000127994</t>
  </si>
  <si>
    <t>MA313-0000127995</t>
  </si>
  <si>
    <t>MA313-0000127996</t>
  </si>
  <si>
    <t>MA313-0000127997</t>
  </si>
  <si>
    <t>MA313-0000127998</t>
  </si>
  <si>
    <t>MA313-0000127999</t>
  </si>
  <si>
    <t>MA313-0000128001</t>
  </si>
  <si>
    <t>MA313-0000128002</t>
  </si>
  <si>
    <t>MA313-0000128003</t>
  </si>
  <si>
    <t>MA313-0000128004</t>
  </si>
  <si>
    <t>MA313-0000128005</t>
  </si>
  <si>
    <t>MA313-0000128006</t>
  </si>
  <si>
    <t>MA313-0000128000</t>
  </si>
  <si>
    <t>Services rendered for Ravish for the month of June-2014(2nd June till 13th June)</t>
  </si>
  <si>
    <t>Services rendered for Offshore ALM team for the month of June-2014(16th June till 27th June)</t>
  </si>
  <si>
    <t>Services rendered for Bharatesh Pai for the month of June-2014</t>
  </si>
  <si>
    <t>Services rendered for Prabakaran for the month of June-2014</t>
  </si>
  <si>
    <t>Services rendered for Anshuman Patra for the month of June-2014</t>
  </si>
  <si>
    <t>Services rendered for ITIS Support Team for the month of June-2014</t>
  </si>
  <si>
    <t>Services rendered for Raman for the month of June-2014</t>
  </si>
  <si>
    <t>Services rendered for Swaminathan for the month of June-2014</t>
  </si>
  <si>
    <t>Services rendered for Jai Ganesh for the month of June-2014</t>
  </si>
  <si>
    <t>Services rendered for Adarsh for the month of June-2014</t>
  </si>
  <si>
    <t>Services rendered for Abhith for the month of June-2014</t>
  </si>
  <si>
    <t>MA313-0000128007</t>
  </si>
  <si>
    <t>Services rendered for Yogesh for the month of June-2014</t>
  </si>
  <si>
    <t>MA313-0000128008</t>
  </si>
  <si>
    <t>Services rendered for Sumeet Verma for the month of June-2014</t>
  </si>
  <si>
    <t>MA313-0000128009</t>
  </si>
  <si>
    <t>Services rendered for Third Rock India Team for the month of June-2014</t>
  </si>
  <si>
    <t>MA313-0000128010</t>
  </si>
  <si>
    <t>Services rendered for Nitin for the month of June-2014</t>
  </si>
  <si>
    <t xml:space="preserve">                21,973 </t>
  </si>
  <si>
    <t xml:space="preserve">                24,034 </t>
  </si>
  <si>
    <t xml:space="preserve">                17,235 </t>
  </si>
  <si>
    <t xml:space="preserve">                             10,594 </t>
  </si>
  <si>
    <t xml:space="preserve">                      17,838 </t>
  </si>
  <si>
    <t xml:space="preserve">                15,235 </t>
  </si>
  <si>
    <t xml:space="preserve">                             12,884 </t>
  </si>
  <si>
    <t xml:space="preserve">                      21,695 </t>
  </si>
  <si>
    <t xml:space="preserve">             47,349 </t>
  </si>
  <si>
    <t xml:space="preserve">                13,001 </t>
  </si>
  <si>
    <t xml:space="preserve">                             13,001 </t>
  </si>
  <si>
    <t xml:space="preserve">                      21,893 </t>
  </si>
  <si>
    <t xml:space="preserve">             43,785 </t>
  </si>
  <si>
    <t xml:space="preserve">                  9,171 </t>
  </si>
  <si>
    <t xml:space="preserve">                                9,171 </t>
  </si>
  <si>
    <t xml:space="preserve">                      15,443 </t>
  </si>
  <si>
    <t xml:space="preserve">             30,887 </t>
  </si>
  <si>
    <t xml:space="preserve">                  6,513 </t>
  </si>
  <si>
    <t xml:space="preserve">                                6,513 </t>
  </si>
  <si>
    <t xml:space="preserve">                      10,967 </t>
  </si>
  <si>
    <t xml:space="preserve">             21,934 </t>
  </si>
  <si>
    <t xml:space="preserve">                  4,920 </t>
  </si>
  <si>
    <t xml:space="preserve">                                4,920 </t>
  </si>
  <si>
    <t xml:space="preserve">                        8,284 </t>
  </si>
  <si>
    <t xml:space="preserve">             16,569 </t>
  </si>
  <si>
    <t xml:space="preserve">                  4,857 </t>
  </si>
  <si>
    <t xml:space="preserve">                                4,857 </t>
  </si>
  <si>
    <t xml:space="preserve">                        8,179 </t>
  </si>
  <si>
    <t xml:space="preserve">             16,357 </t>
  </si>
  <si>
    <t>Revenue</t>
  </si>
  <si>
    <t>(GBP)</t>
  </si>
  <si>
    <t>2.5 % discount</t>
  </si>
  <si>
    <t>Volume discount</t>
  </si>
  <si>
    <t>(USD)</t>
  </si>
  <si>
    <t>Monthly Discount (USD)</t>
  </si>
  <si>
    <t>Allocation start date</t>
  </si>
  <si>
    <t>Team/project</t>
  </si>
  <si>
    <t>Nina,Wang Ning</t>
  </si>
  <si>
    <t>4th May</t>
  </si>
  <si>
    <t>IT IS-China</t>
  </si>
  <si>
    <t xml:space="preserve">Sachin,Kumar </t>
  </si>
  <si>
    <t xml:space="preserve">Kumud,Singh </t>
  </si>
  <si>
    <t>BUFFER</t>
  </si>
  <si>
    <t>1st May</t>
  </si>
  <si>
    <t>Raman Verma</t>
  </si>
  <si>
    <t>5th May</t>
  </si>
  <si>
    <t>Staff Aug</t>
  </si>
  <si>
    <t xml:space="preserve">Preeti,Rathore </t>
  </si>
  <si>
    <t>Parag,Patil</t>
  </si>
  <si>
    <t>2nd June</t>
  </si>
  <si>
    <t>pushpak</t>
  </si>
  <si>
    <t xml:space="preserve">Bhagyashri,Shawanti </t>
  </si>
  <si>
    <t>12th june</t>
  </si>
  <si>
    <t>kuber</t>
  </si>
  <si>
    <t xml:space="preserve">Anjali,Mohan P </t>
  </si>
  <si>
    <t>23rd June</t>
  </si>
  <si>
    <t xml:space="preserve">Debasis,Choudhury </t>
  </si>
  <si>
    <t>6th June</t>
  </si>
  <si>
    <t>16th June</t>
  </si>
  <si>
    <t>Sagar Modak</t>
  </si>
  <si>
    <t xml:space="preserve">Pranaykumar,Kondekar </t>
  </si>
  <si>
    <t>webtrends</t>
  </si>
  <si>
    <t>10th June</t>
  </si>
  <si>
    <t>Rakesh Gaur</t>
  </si>
  <si>
    <t>Allocation End date</t>
  </si>
  <si>
    <t>30th June</t>
  </si>
  <si>
    <t>Sneha Latne</t>
  </si>
  <si>
    <t>13th june</t>
  </si>
  <si>
    <t xml:space="preserve">Dhandapani K </t>
  </si>
  <si>
    <t>30th May</t>
  </si>
  <si>
    <t>Small changes</t>
  </si>
  <si>
    <t>Ankita Pagaria</t>
  </si>
  <si>
    <t xml:space="preserve">Vinod Pasalkar </t>
  </si>
  <si>
    <t xml:space="preserve">Hariharan Balakrishnan </t>
  </si>
  <si>
    <t>surya</t>
  </si>
  <si>
    <t xml:space="preserve">Avinash Badkas </t>
  </si>
  <si>
    <t>11th June</t>
  </si>
  <si>
    <t>avatar</t>
  </si>
  <si>
    <t>rajan khamboj</t>
  </si>
  <si>
    <t>16th May</t>
  </si>
  <si>
    <t xml:space="preserve">Mahesh Bondre </t>
  </si>
  <si>
    <t>13th May</t>
  </si>
  <si>
    <t>divya patni</t>
  </si>
  <si>
    <t>11th May</t>
  </si>
  <si>
    <t>20th June</t>
  </si>
  <si>
    <t xml:space="preserve">Jeetendra Patil </t>
  </si>
  <si>
    <t>29th May</t>
  </si>
  <si>
    <t xml:space="preserve">Ambalal Sonawane </t>
  </si>
  <si>
    <r>
      <t xml:space="preserve">New joinees
</t>
    </r>
    <r>
      <rPr>
        <sz val="11"/>
        <color theme="1"/>
        <rFont val="Calibri"/>
        <family val="2"/>
        <scheme val="minor"/>
      </rPr>
      <t>(In May and June 2014)</t>
    </r>
  </si>
  <si>
    <r>
      <t xml:space="preserve">Released resources
</t>
    </r>
    <r>
      <rPr>
        <sz val="11"/>
        <color theme="1"/>
        <rFont val="Calibri"/>
        <family val="2"/>
        <scheme val="minor"/>
      </rPr>
      <t>(In May and June 2014)</t>
    </r>
  </si>
  <si>
    <t>MA313-0000128653</t>
  </si>
  <si>
    <t>One time setup cost for ASOS China L1 Support team</t>
  </si>
  <si>
    <t>MA313-0000129060</t>
  </si>
  <si>
    <t>Onsite T&amp;E cost for Avatar team BA, Meenal Jain.</t>
  </si>
  <si>
    <t>CTSGB201408084</t>
  </si>
  <si>
    <t>E20140710000011200242656</t>
  </si>
  <si>
    <t>savings</t>
  </si>
  <si>
    <t>One time cost</t>
  </si>
  <si>
    <t>savings for abhinavs coverage</t>
  </si>
  <si>
    <t>Holidays</t>
  </si>
  <si>
    <t>Billing weeks</t>
  </si>
  <si>
    <t>Effective billing weeks</t>
  </si>
  <si>
    <t>CTSIN201408086</t>
  </si>
  <si>
    <t>CTSIN201408087</t>
  </si>
  <si>
    <t>CTSGB201409088</t>
  </si>
  <si>
    <t>E20140717000009700868791</t>
  </si>
  <si>
    <t>aug</t>
  </si>
  <si>
    <t>sept</t>
  </si>
  <si>
    <t>oct</t>
  </si>
  <si>
    <t>nov</t>
  </si>
  <si>
    <t>days</t>
  </si>
  <si>
    <t>T&amp;E</t>
  </si>
  <si>
    <t>42 days cost with GBP 150</t>
  </si>
  <si>
    <t>One time travel cost</t>
  </si>
  <si>
    <t>7% discount</t>
  </si>
  <si>
    <t>Amount (7% discount)</t>
  </si>
  <si>
    <t>Week</t>
  </si>
  <si>
    <t>E20140724000009200067059</t>
  </si>
  <si>
    <t>CTSIN201408097</t>
  </si>
  <si>
    <t>AUG OFFSHORE</t>
  </si>
  <si>
    <t>AUG ONSITE</t>
  </si>
  <si>
    <t>SEP</t>
  </si>
  <si>
    <t xml:space="preserve">OCT </t>
  </si>
  <si>
    <t>NOV</t>
  </si>
  <si>
    <t>DEC</t>
  </si>
  <si>
    <t>JAN</t>
  </si>
  <si>
    <t xml:space="preserve">FEB </t>
  </si>
  <si>
    <t>sep</t>
  </si>
  <si>
    <t>value</t>
  </si>
  <si>
    <t>round off</t>
  </si>
  <si>
    <t>with discount</t>
  </si>
  <si>
    <t>Offshore Project Manager</t>
  </si>
  <si>
    <t>Business Analyst</t>
  </si>
  <si>
    <t xml:space="preserve">Microsoft Engineers </t>
  </si>
  <si>
    <t>Test Lead</t>
  </si>
  <si>
    <t>Offshore Delivery Management</t>
  </si>
  <si>
    <t>CTSIN201409099</t>
  </si>
  <si>
    <t>CTSIN201409100</t>
  </si>
  <si>
    <t>CTSIN201409101</t>
  </si>
  <si>
    <t>E20140731000011000139612</t>
  </si>
  <si>
    <t>MA313-0000130734</t>
  </si>
  <si>
    <t>MA313-0000130735</t>
  </si>
  <si>
    <t>MA313-0000130736</t>
  </si>
  <si>
    <t>MA313-0000130737</t>
  </si>
  <si>
    <t>MA313-0000130738</t>
  </si>
  <si>
    <t>MA313-0000130739</t>
  </si>
  <si>
    <t>MA313-0000130740</t>
  </si>
  <si>
    <t>MA313-0000130741</t>
  </si>
  <si>
    <t>MA313-0000130742</t>
  </si>
  <si>
    <t>MA313-0000130743</t>
  </si>
  <si>
    <t>MA313-0000130744</t>
  </si>
  <si>
    <t>MA313-0000130745</t>
  </si>
  <si>
    <t>MA313-0000130746</t>
  </si>
  <si>
    <t>MA313-0000130747</t>
  </si>
  <si>
    <t>MA313-0000130748</t>
  </si>
  <si>
    <t>Services rendered for Offshore ALM team for the month of July-2014</t>
  </si>
  <si>
    <t>Services rendered for Bharatesh Pai for the month of July-2014</t>
  </si>
  <si>
    <t>Services rendered for Prabakaran for the month of July-2014</t>
  </si>
  <si>
    <t>Services rendered for Milan Shah for the month of July-2014</t>
  </si>
  <si>
    <t>Services rendered for ITIS Support Team for the month of July-2014</t>
  </si>
  <si>
    <t>Services rendered for Raman for the month of July-2014</t>
  </si>
  <si>
    <t>Services rendered for Swaminathan for the month of July-2014</t>
  </si>
  <si>
    <t>Services rendered for Jai Ganesh for the month of July-2014</t>
  </si>
  <si>
    <t>Services rendered for Adarsh for the month of July-2014</t>
  </si>
  <si>
    <t>Services rendered for Abhith for the month of July-2014</t>
  </si>
  <si>
    <t>Services rendered for Shian for the month of July-2014</t>
  </si>
  <si>
    <t>Services rendered for Yogesh for the month of July-2014</t>
  </si>
  <si>
    <t>Services rendered for Sumeet Verma for the month of July-2014</t>
  </si>
  <si>
    <t>Services rendered for Third Rock India Team for the month of July-2014(30th June till 4th July)</t>
  </si>
  <si>
    <t>Services rendered for Third Rock India Team for the month of July-2014(7th July till 25th July)</t>
  </si>
  <si>
    <t>MA313-0000130749</t>
  </si>
  <si>
    <t>Services rendered for Nitin for the month of July-2014</t>
  </si>
  <si>
    <t xml:space="preserve">MA313-0000130728 </t>
  </si>
  <si>
    <t>MA313-0000130729</t>
  </si>
  <si>
    <t>MA313-0000130730</t>
  </si>
  <si>
    <t>MA313-0000130731</t>
  </si>
  <si>
    <t>Services rendered for Ecommerce Integration Testing for the month of July-2014</t>
  </si>
  <si>
    <t>Services rendered for China L1 Support team for the month of July-2014</t>
  </si>
  <si>
    <t>Services rendered for China Dev Support team for the month of July-2014</t>
  </si>
  <si>
    <t>Services rendered for China Mule Support for the month of July-2014</t>
  </si>
  <si>
    <t>MA313-0000130751</t>
  </si>
  <si>
    <t>MA313-0000130752</t>
  </si>
  <si>
    <t>MA313-0000130753</t>
  </si>
  <si>
    <t>MA313-0000130767</t>
  </si>
  <si>
    <t>MA313-0000130768</t>
  </si>
  <si>
    <t>Services rendered for Checkout team for the month of July-2014</t>
  </si>
  <si>
    <t>Services rendered for Anurag Ankur for the month of July-2014</t>
  </si>
  <si>
    <t>Services rendered for Akash Srivastava for the month of July-2014</t>
  </si>
  <si>
    <t>Services rendered for Bagheera team for the month of July-2014</t>
  </si>
  <si>
    <t>Services rendered for Swaminathan R for the month of July-2014</t>
  </si>
  <si>
    <t>Combined Name</t>
  </si>
  <si>
    <t>Number of Days Worked</t>
  </si>
  <si>
    <t>Days Adjustment</t>
  </si>
  <si>
    <t>Total Days</t>
  </si>
  <si>
    <t>Rectification Remarks</t>
  </si>
  <si>
    <t>AbhijeetVaikar</t>
  </si>
  <si>
    <t xml:space="preserve">                                          20.00 </t>
  </si>
  <si>
    <t>-                                20.00</t>
  </si>
  <si>
    <t xml:space="preserve">                  -   </t>
  </si>
  <si>
    <t>AnandNewasekar</t>
  </si>
  <si>
    <t xml:space="preserve">                                          20.00 </t>
  </si>
  <si>
    <t xml:space="preserve">-                                20.00 </t>
  </si>
  <si>
    <t>AnkushGupta</t>
  </si>
  <si>
    <t xml:space="preserve">                                          15.00 </t>
  </si>
  <si>
    <t xml:space="preserve">                                    4.00 </t>
  </si>
  <si>
    <t xml:space="preserve">           19.00 </t>
  </si>
  <si>
    <t>19 days billed</t>
  </si>
  <si>
    <t>AnuragAnkur</t>
  </si>
  <si>
    <t xml:space="preserve">                                          14.80 </t>
  </si>
  <si>
    <t xml:space="preserve">                                    4.95 </t>
  </si>
  <si>
    <t xml:space="preserve">           19.75 </t>
  </si>
  <si>
    <t>19.75 days billed</t>
  </si>
  <si>
    <t>ArunKumar</t>
  </si>
  <si>
    <t xml:space="preserve">                                    5.00 </t>
  </si>
  <si>
    <t xml:space="preserve">           20.00 </t>
  </si>
  <si>
    <t>20 days billed</t>
  </si>
  <si>
    <t>AshishChakrawar</t>
  </si>
  <si>
    <t xml:space="preserve">                                          16.00 </t>
  </si>
  <si>
    <t>Umesh to check and clarify</t>
  </si>
  <si>
    <t>BalajiYakarllapalli</t>
  </si>
  <si>
    <t xml:space="preserve">                                          15.00 </t>
  </si>
  <si>
    <t>BholanathChowdhury</t>
  </si>
  <si>
    <t>GauravSagne</t>
  </si>
  <si>
    <t>ImranManiyar</t>
  </si>
  <si>
    <t>20 days billed.</t>
  </si>
  <si>
    <t>KatrinaYe</t>
  </si>
  <si>
    <t>KinjalDavda</t>
  </si>
  <si>
    <t xml:space="preserve">                                          15.00 </t>
  </si>
  <si>
    <t>KomalBhatia</t>
  </si>
  <si>
    <t>KunalBhatnagar</t>
  </si>
  <si>
    <t xml:space="preserve">                                          19.00 </t>
  </si>
  <si>
    <t xml:space="preserve">                                    1.00 </t>
  </si>
  <si>
    <t>20 days billed 19 for Kunal &amp; 1 for Rakesh Gaur. OK</t>
  </si>
  <si>
    <t>MilanShah</t>
  </si>
  <si>
    <t xml:space="preserve">                                          14.00 </t>
  </si>
  <si>
    <t>19 days billed 14 in style management &amp; 5 days in Staff Aug.</t>
  </si>
  <si>
    <t>MukeshPal</t>
  </si>
  <si>
    <t>NileshNagepatil</t>
  </si>
  <si>
    <t xml:space="preserve">-                                15.00 </t>
  </si>
  <si>
    <t>PrachiJani</t>
  </si>
  <si>
    <t xml:space="preserve">                                            5.00 </t>
  </si>
  <si>
    <t xml:space="preserve">                                 15.00 </t>
  </si>
  <si>
    <t>RonakChandwani</t>
  </si>
  <si>
    <t>SagarModak</t>
  </si>
  <si>
    <t xml:space="preserve">                                            1.92 </t>
  </si>
  <si>
    <t xml:space="preserve">                                    1.88 </t>
  </si>
  <si>
    <t xml:space="preserve">              3.80 </t>
  </si>
  <si>
    <t>3.80 days billed</t>
  </si>
  <si>
    <t>Sagar</t>
  </si>
  <si>
    <t>SanchitArora</t>
  </si>
  <si>
    <t>SandipKurwale</t>
  </si>
  <si>
    <t xml:space="preserve">-                                  2.00 </t>
  </si>
  <si>
    <t xml:space="preserve">           18.00 </t>
  </si>
  <si>
    <t>18 days billed.</t>
  </si>
  <si>
    <t>We have reduced 2 das billing for late onsite travel. OK</t>
  </si>
  <si>
    <t>SnehaGurjar</t>
  </si>
  <si>
    <t xml:space="preserve">                                            4.00 </t>
  </si>
  <si>
    <t xml:space="preserve">                                 10.00 </t>
  </si>
  <si>
    <t xml:space="preserve">           14.00 </t>
  </si>
  <si>
    <t>14 days billed</t>
  </si>
  <si>
    <t>SoumyaLattupali</t>
  </si>
  <si>
    <t xml:space="preserve">                                            3.00 </t>
  </si>
  <si>
    <t xml:space="preserve">                                    2.00 </t>
  </si>
  <si>
    <t xml:space="preserve">              5.00 </t>
  </si>
  <si>
    <t>5 days billed</t>
  </si>
  <si>
    <t>VaibhavBajpai</t>
  </si>
  <si>
    <t xml:space="preserve">                                          12.00 </t>
  </si>
  <si>
    <t xml:space="preserve">-                                12.00 </t>
  </si>
  <si>
    <t>For Balaji 20 days was correct, he missed to submit for 1 week which he has submitted now.</t>
  </si>
  <si>
    <t>Corrected</t>
  </si>
  <si>
    <t>Communicated to Preeti</t>
  </si>
  <si>
    <t>Kinjal had missed to fill up timesheet for one week which she has submitted now.</t>
  </si>
  <si>
    <t>Kunal became billable in Himalay from 1st July hence his timesheet is showing 1 day less, which should be ok.
Rakesh was billable on till 30th June hence his timesheet is showing only 1 day which should be ok.</t>
  </si>
  <si>
    <t>Harvest timesheets submitted for all members from App Support till date</t>
  </si>
  <si>
    <t>CTSIN201405070_CR001</t>
  </si>
  <si>
    <t>MA313-0000130996</t>
  </si>
  <si>
    <t>Services rendered for Webtrends team for the month of July-2014</t>
  </si>
  <si>
    <t>MA313-0000131328</t>
  </si>
  <si>
    <t>Services rendered for Metapack Upgrade team for the month of July-2014</t>
  </si>
  <si>
    <t>MA313-0000131329</t>
  </si>
  <si>
    <t>Services rendered for Style Management team (Kimaya) for the month of July-2014</t>
  </si>
  <si>
    <t>MA313-0000131099</t>
  </si>
  <si>
    <t>Charges for Identity Management team (Aagam) for the month of July-2014</t>
  </si>
  <si>
    <t>Charges for Pushpak team for the month of July-2014</t>
  </si>
  <si>
    <t>Charges for Tactical changes teams for the month of July-2014</t>
  </si>
  <si>
    <t>MA313-0000130922</t>
  </si>
  <si>
    <t>MA313-0000130923</t>
  </si>
  <si>
    <t>Charges for Karma team for the month of July-2014</t>
  </si>
  <si>
    <t>Charges for Surya Analytical team for the month of July-2014</t>
  </si>
  <si>
    <t>MA313-0000131105</t>
  </si>
  <si>
    <t>MA313-0000131106</t>
  </si>
  <si>
    <t>Charges for Surya Analytical team extension for the month of July-2014</t>
  </si>
  <si>
    <t>MA313-0000131107</t>
  </si>
  <si>
    <t>Charges for International search work team (Yuga) for the month of July-2014</t>
  </si>
  <si>
    <t>MA313-0000131108</t>
  </si>
  <si>
    <t>MA313-0000131655</t>
  </si>
  <si>
    <t>Onsite T&amp;E cost of Lead Netsuite Developer to provide knowledge transition.</t>
  </si>
  <si>
    <t>MA313-0000131674</t>
  </si>
  <si>
    <t>MA313-0000131925</t>
  </si>
  <si>
    <t>Charges for Surya team for the month of July-2014</t>
  </si>
  <si>
    <t xml:space="preserve">         7,264,545 </t>
  </si>
  <si>
    <t xml:space="preserve">              116,939 </t>
  </si>
  <si>
    <t xml:space="preserve">                             61,939 </t>
  </si>
  <si>
    <t>CTSGB201409104</t>
  </si>
  <si>
    <t>CTSGB201409105</t>
  </si>
  <si>
    <t>Milan Shah</t>
  </si>
  <si>
    <t>E20140807000007900170697</t>
  </si>
  <si>
    <t>CA FOR AUG'14</t>
  </si>
  <si>
    <t>ASOS DELIVERY</t>
  </si>
  <si>
    <t>ASOS SCRUM DELIVERY</t>
  </si>
  <si>
    <t>ASOS INT SEARCH</t>
  </si>
  <si>
    <t>CA remarks</t>
  </si>
  <si>
    <t>To define new MS as per new SOW</t>
  </si>
  <si>
    <t>To define new MS as per new SOW CTSIN201408097</t>
  </si>
  <si>
    <t>MS defined in SOW</t>
  </si>
  <si>
    <t>Corrected MS</t>
  </si>
  <si>
    <t>Aug'14 (3 weeks)</t>
  </si>
  <si>
    <t>Sep'14 (4 weeks)</t>
  </si>
  <si>
    <t>Oct'14 (4 weeks)</t>
  </si>
  <si>
    <t xml:space="preserve">No change </t>
  </si>
  <si>
    <t xml:space="preserve">Cost reduced for 2 holidays </t>
  </si>
  <si>
    <t xml:space="preserve">Cost reduced for 3 holidays </t>
  </si>
  <si>
    <t>Total SOW value</t>
  </si>
  <si>
    <t>Will do CA in last week after getting confirmation from Vijin</t>
  </si>
  <si>
    <t>Increament</t>
  </si>
  <si>
    <t>Following CA's to be done</t>
  </si>
  <si>
    <t>Increament/Decreament</t>
  </si>
  <si>
    <t>Kuber (CTSIN201401003)</t>
  </si>
  <si>
    <t>Om (CTSIN201408086)</t>
  </si>
  <si>
    <t>Avani (CTSIN201408087)</t>
  </si>
  <si>
    <t>We will do CA in last week. Identity MS pushed to 31st Aug as of now</t>
  </si>
  <si>
    <t>MS's ok</t>
  </si>
  <si>
    <t>Avatar (CTSIN201406069)</t>
  </si>
  <si>
    <t>reduce July MS by</t>
  </si>
  <si>
    <t>PENDAM on 13th Aug</t>
  </si>
  <si>
    <t>delete July till Dec'14 MS</t>
  </si>
  <si>
    <t>New July MS GBP 5966.
PENDAM on 13th Aug</t>
  </si>
  <si>
    <t>Cookies work (CTSIN201408090)</t>
  </si>
  <si>
    <t>add Aug till Nov MS</t>
  </si>
  <si>
    <t>Aug'14 (5 weeks)</t>
  </si>
  <si>
    <t>Nov'14 (1 week)</t>
  </si>
  <si>
    <t>add Aug till Dec MS</t>
  </si>
  <si>
    <t>Dec'14 (4 weeks &amp; 3 days)</t>
  </si>
  <si>
    <t>Nov'14 (5 week)</t>
  </si>
  <si>
    <t>Decrement</t>
  </si>
  <si>
    <t xml:space="preserve">Cost reduced for 1 holiday </t>
  </si>
  <si>
    <t>Himalaya (CTSIN201409099)</t>
  </si>
  <si>
    <t>add Sep till Feb'15 MS</t>
  </si>
  <si>
    <t>Dec'14 (4 weeks)</t>
  </si>
  <si>
    <t>Jan'15</t>
  </si>
  <si>
    <t>Feb'15 (5 weeks)</t>
  </si>
  <si>
    <t>Jan'15 (4 weeks)</t>
  </si>
  <si>
    <t>Karma (CTSIN201405070_CR001)</t>
  </si>
  <si>
    <t>Will do CA in last week aftre getting confirmation from Ranjit</t>
  </si>
  <si>
    <t>Project Name</t>
  </si>
  <si>
    <t>Team Name</t>
  </si>
  <si>
    <t>No amendment required</t>
  </si>
  <si>
    <t>Fbe'15</t>
  </si>
  <si>
    <t>CTSGB201309015_CR004</t>
  </si>
  <si>
    <t xml:space="preserve">Yuga </t>
  </si>
  <si>
    <t>ASOS Scrum Delivery</t>
  </si>
  <si>
    <t>To delete July till Dec'14 MS</t>
  </si>
  <si>
    <t xml:space="preserve">Om </t>
  </si>
  <si>
    <t xml:space="preserve">Avani </t>
  </si>
  <si>
    <t xml:space="preserve">Karma </t>
  </si>
  <si>
    <t>Increment/
Decrement</t>
  </si>
  <si>
    <t>CA for Aug'14</t>
  </si>
  <si>
    <t>MA313-0000132115</t>
  </si>
  <si>
    <t>Onsite T&amp;E cost of Abhinav Mehta for International search work team (Yuga).</t>
  </si>
  <si>
    <t>Will do CA in last week: Submitting amended CR004</t>
  </si>
  <si>
    <t>Will do CA in last week: Efforts from Ranjit</t>
  </si>
  <si>
    <t>Reduce July'14 MS (by 19,482.25).
New MS shall be 7393.75.
Delete Aug till Nov MS</t>
  </si>
  <si>
    <t>ASOS Intr 
Search</t>
  </si>
  <si>
    <t>T&amp;E invoice for Testing and Release Support at ASOS Warehouse.</t>
  </si>
  <si>
    <t>MA313-0000132938</t>
  </si>
  <si>
    <t>E20140522000010900113767</t>
  </si>
  <si>
    <t>ASOS ALM Offshore</t>
  </si>
  <si>
    <t xml:space="preserve">MA313-0000133008 </t>
  </si>
  <si>
    <t xml:space="preserve">MA313-0000133009 </t>
  </si>
  <si>
    <t>E20140822000011300122491</t>
  </si>
  <si>
    <t>CTSIN201409109</t>
  </si>
  <si>
    <t>CTSIN201409110</t>
  </si>
  <si>
    <t>CTSIN201409111</t>
  </si>
  <si>
    <t>CTSIN201409112</t>
  </si>
  <si>
    <t>jan</t>
  </si>
  <si>
    <t>res name</t>
  </si>
  <si>
    <t>rate</t>
  </si>
  <si>
    <t>mar (4 weeks &amp; 2 days)</t>
  </si>
  <si>
    <t>SUM</t>
  </si>
  <si>
    <t>Teams</t>
  </si>
  <si>
    <t xml:space="preserve">Surya Team  </t>
  </si>
  <si>
    <t>Surya Ana Team</t>
  </si>
  <si>
    <t xml:space="preserve">Om Team </t>
  </si>
  <si>
    <t xml:space="preserve">Avani Team </t>
  </si>
  <si>
    <t>Intr Faceted search work</t>
  </si>
  <si>
    <t>Offshore DM Loading (%)</t>
  </si>
  <si>
    <t>Feb'15</t>
  </si>
  <si>
    <t>Apr'15</t>
  </si>
  <si>
    <t>May'15</t>
  </si>
  <si>
    <t>Aug'15</t>
  </si>
  <si>
    <t>Swami</t>
  </si>
  <si>
    <t>total</t>
  </si>
  <si>
    <t>Identity team</t>
  </si>
  <si>
    <t>Milestones</t>
  </si>
  <si>
    <t xml:space="preserve">Aug'14 amendment </t>
  </si>
  <si>
    <t>old MS</t>
  </si>
  <si>
    <t>New MS</t>
  </si>
  <si>
    <t>increase</t>
  </si>
  <si>
    <t>decrease</t>
  </si>
  <si>
    <t>to delete MS</t>
  </si>
  <si>
    <t>Invoiced amount till 29th Aug</t>
  </si>
  <si>
    <t>PO: 60136718</t>
  </si>
  <si>
    <t>We shall get additional PO for extra efforts from 1st Sept till 5th Sept</t>
  </si>
  <si>
    <t>Inv amount without VAT</t>
  </si>
  <si>
    <t>Inv amount with VAT</t>
  </si>
  <si>
    <t>Savings in PO beyond 29th Aug</t>
  </si>
  <si>
    <t>MA313-0000133714</t>
  </si>
  <si>
    <t>MA313-0000133715</t>
  </si>
  <si>
    <t>MA313-0000133716</t>
  </si>
  <si>
    <t>MA313-0000133717</t>
  </si>
  <si>
    <t>MA313-0000133718</t>
  </si>
  <si>
    <t>Charges for Surya Analytical team for the month of Aug-2014</t>
  </si>
  <si>
    <t>Charges for Surya Analytical team extension for the month of Aug-2014</t>
  </si>
  <si>
    <t>Charges for Avatar team for the month of Aug-2014</t>
  </si>
  <si>
    <t>Charges for Karma team for the month of Aug-2014</t>
  </si>
  <si>
    <t>Services rendered for Cookies work engagement for the month of Aug-2014</t>
  </si>
  <si>
    <t xml:space="preserve">MA313-0000133682 </t>
  </si>
  <si>
    <t>MA313-0000133683</t>
  </si>
  <si>
    <t>Charges for Identity Management team (Aagam) for the month of Aug-2014</t>
  </si>
  <si>
    <t xml:space="preserve">MA313-0000133766 </t>
  </si>
  <si>
    <t>MA313-0000133767</t>
  </si>
  <si>
    <t>Charges for International search work team (Yuga) for the month of Aug-2014 (28th July till 8th Aug)</t>
  </si>
  <si>
    <t>Charges for International search work team (Yuga) for the month of Aug-2014 (11th Aug till 29th Aug)</t>
  </si>
  <si>
    <t>Charges for Tactical changes team: OM for the month of Aug-2014</t>
  </si>
  <si>
    <t>MA313-0000133857</t>
  </si>
  <si>
    <t xml:space="preserve">MA313-0000133648 </t>
  </si>
  <si>
    <t>MA313-0000133649</t>
  </si>
  <si>
    <t>MA313-0000133650</t>
  </si>
  <si>
    <t>MA313-0000133651</t>
  </si>
  <si>
    <t>MA313-0000133652</t>
  </si>
  <si>
    <t>MA313-0000133653</t>
  </si>
  <si>
    <t>MA313-0000133654</t>
  </si>
  <si>
    <t>Services rendered for Ecommerce Integration Testing for the month of Aug-2014</t>
  </si>
  <si>
    <t>Services rendered for China L1 Support team for the month of Aug-2014(28th July till 15th Aug)</t>
  </si>
  <si>
    <t>Services rendered for China L1 Support team for the month of Aug-2014(18th Aug till 29th Aug)</t>
  </si>
  <si>
    <t>Services rendered for China Mule Support for the month of Aug-2014</t>
  </si>
  <si>
    <t>Services rendered for China Dev Support team for the month of Aug-2014</t>
  </si>
  <si>
    <t>Services rendered for LIMA/NetSuite integration development work for the month of Aug-2014</t>
  </si>
  <si>
    <t>Services rendered for Webtrends team for the month of Aug-2014</t>
  </si>
  <si>
    <t>MA313-0000133955</t>
  </si>
  <si>
    <t>MA313-0000133996</t>
  </si>
  <si>
    <t>Charges for Pushpak team for the month of Aug-2014</t>
  </si>
  <si>
    <t xml:space="preserve">MA313-0000133998 </t>
  </si>
  <si>
    <t>Charges for Surya team for the month of Aug-2014</t>
  </si>
  <si>
    <t>Charges for Tactical changes team: AVANI for the month of Aug-2014</t>
  </si>
  <si>
    <t>MA313-0000134038</t>
  </si>
  <si>
    <t>MA313-0000134039</t>
  </si>
  <si>
    <t>MA313-0000134040</t>
  </si>
  <si>
    <t>MA313-0000134041</t>
  </si>
  <si>
    <t>MA313-0000134042</t>
  </si>
  <si>
    <t>MA313-0000134043</t>
  </si>
  <si>
    <t>MA313-0000134044</t>
  </si>
  <si>
    <t>MA313-0000134045</t>
  </si>
  <si>
    <t>MA313-0000134046</t>
  </si>
  <si>
    <t>MA313-0000134049</t>
  </si>
  <si>
    <t>MA313-0000134050</t>
  </si>
  <si>
    <t>MA313-0000134051</t>
  </si>
  <si>
    <t>MA313-0000134052</t>
  </si>
  <si>
    <t>MA313-0000134053</t>
  </si>
  <si>
    <t>MA313-0000134054</t>
  </si>
  <si>
    <t>Services rendered for Venkatesh S for the month of Aug-2014</t>
  </si>
  <si>
    <t>Services rendered for Bharatesh Pai for the month of Aug-2014</t>
  </si>
  <si>
    <t>Services rendered for Prabakaran for the month of Aug-2014</t>
  </si>
  <si>
    <t>Services rendered for Milan for the month of Aug-2014</t>
  </si>
  <si>
    <t>Services rendered for ITIS Support Team for the month of Aug-2014</t>
  </si>
  <si>
    <t>Services rendered for Raman for the month of Aug-2014</t>
  </si>
  <si>
    <t>Services rendered for Jai Ganesh for the month of Aug-2014</t>
  </si>
  <si>
    <t>Services rendered for Adarsh for the month of Aug-2014</t>
  </si>
  <si>
    <t>Services rendered for Abhith for the month of Aug-2014</t>
  </si>
  <si>
    <t>Services rendered for Shian for the month of Aug-2014</t>
  </si>
  <si>
    <t>Services rendered for Salil for the month of Aug-2014</t>
  </si>
  <si>
    <t>Services rendered for Yogesh for the month of Aug-2014</t>
  </si>
  <si>
    <t>Services rendered for Yusuf Jamali for the month of Aug-2014</t>
  </si>
  <si>
    <t>Services rendered for Sumeet Verma for the month of Aug-2014</t>
  </si>
  <si>
    <t>Services rendered for Third Rock India Team for the month of Aug-2014 (28th July till 15th Aug)</t>
  </si>
  <si>
    <t>MA313-0000134418</t>
  </si>
  <si>
    <t>Services rendered for Metapack Upgrade team for the month of Aug-2014 (28th July till 8th Aug)</t>
  </si>
  <si>
    <t>MA313-0000134419</t>
  </si>
  <si>
    <t>Services rendered for Metapack Upgrade team for the month of Aug-2014 (11th Aug till 15th Aug)</t>
  </si>
  <si>
    <t xml:space="preserve">MA313-0000134405 </t>
  </si>
  <si>
    <t>Ian Margetts</t>
  </si>
  <si>
    <t>Services rendered for Offshore ALM team for the month of Aug-2014</t>
  </si>
  <si>
    <t>MA313-0000134420</t>
  </si>
  <si>
    <t>MA313-0000134421</t>
  </si>
  <si>
    <t>MA313-0000134422</t>
  </si>
  <si>
    <t>MA313-0000134423</t>
  </si>
  <si>
    <t>MA313-0000134424</t>
  </si>
  <si>
    <t>MA313-0000134425</t>
  </si>
  <si>
    <t>MA313-0000134426</t>
  </si>
  <si>
    <t>MA313-0000134427</t>
  </si>
  <si>
    <t>Services rendered for Bagheera team for the month of Aug-2014 (4th Aug till 29th Aug)</t>
  </si>
  <si>
    <t>Services rendered for Checkout team for the month of Aug-2014 (28th July till 1st Aug)</t>
  </si>
  <si>
    <t>Services rendered for Bagheera team for the month of Aug-2014 (28th July till 1st Aug)</t>
  </si>
  <si>
    <t>Services rendered for Juggernaut Team for the month of Aug-2014 (4th Aug till 29th Aug)</t>
  </si>
  <si>
    <t>Services rendered for Custard Team for the month of Aug-2014 (4th Aug till 29th Aug)</t>
  </si>
  <si>
    <t>Services rendered for Anurag Ankur for the month of Aug-2014 (1st Aug till 29th Aug)</t>
  </si>
  <si>
    <t>Services rendered for Vinankumar B for the month of Aug-2014 (25th Aug till 29th Aug)</t>
  </si>
  <si>
    <t>Services rendered for Anurag Ankur for the month of Aug-2014 (28th July till 31st July)</t>
  </si>
  <si>
    <t>MA313-0000134625</t>
  </si>
  <si>
    <t>Aug'14 billing</t>
  </si>
  <si>
    <t>CA to be done for 3 invoices</t>
  </si>
  <si>
    <t>Surya team</t>
  </si>
  <si>
    <t>Avani team</t>
  </si>
  <si>
    <t>MA313-0000135022</t>
  </si>
  <si>
    <t>E20140901000009500119977</t>
  </si>
  <si>
    <t>Development Charges</t>
  </si>
  <si>
    <t>2013 Rates</t>
  </si>
  <si>
    <t xml:space="preserve">Consultant </t>
  </si>
  <si>
    <t xml:space="preserve">Experience &amp; Accreditations </t>
  </si>
  <si>
    <t xml:space="preserve">UK Based Day Rates </t>
  </si>
  <si>
    <t xml:space="preserve">Off Shore Based Day Rates </t>
  </si>
  <si>
    <t xml:space="preserve">(on Time and Materials) </t>
  </si>
  <si>
    <t xml:space="preserve">Application Developer </t>
  </si>
  <si>
    <t xml:space="preserve">0 - 0.5 yrs </t>
  </si>
  <si>
    <t xml:space="preserve">0.5 - 1 yrs </t>
  </si>
  <si>
    <t xml:space="preserve">1 - 3 yrs </t>
  </si>
  <si>
    <t xml:space="preserve">3 - 5 yrs </t>
  </si>
  <si>
    <t xml:space="preserve">&gt;5 yrs </t>
  </si>
  <si>
    <t xml:space="preserve">Database Developer </t>
  </si>
  <si>
    <t xml:space="preserve">UK Based Day Rates (on Time and Materials) </t>
  </si>
  <si>
    <t xml:space="preserve">Off Shore Based Day Rates (on Time and Materials) </t>
  </si>
  <si>
    <t xml:space="preserve">Project Staff </t>
  </si>
  <si>
    <t xml:space="preserve">Programme Manager </t>
  </si>
  <si>
    <t xml:space="preserve">&gt;10 years in their specialist field, previous experience as Programme Manager on at least three major projects, PRINCE2 Practitioner certified </t>
  </si>
  <si>
    <t xml:space="preserve">Senior Project Manager </t>
  </si>
  <si>
    <t xml:space="preserve">&gt;7 years in their specialist field, experience in working in a wide range of IS/IT projects, PRINCE2 Practitioner certified. </t>
  </si>
  <si>
    <t xml:space="preserve">Project Manager </t>
  </si>
  <si>
    <t xml:space="preserve">&gt;4 years in their specialist field, experience in working in a wide range of IS/IT projects, PRINCE2 Practitioner certified. </t>
  </si>
  <si>
    <t xml:space="preserve">Project Service Co-Ordinator </t>
  </si>
  <si>
    <t xml:space="preserve">Technical Staff </t>
  </si>
  <si>
    <t xml:space="preserve">Senior Business Analyst </t>
  </si>
  <si>
    <t xml:space="preserve">&gt;5 years substantial experience and in-depth knowledge of their specialist field. </t>
  </si>
  <si>
    <t xml:space="preserve">Business Analyst </t>
  </si>
  <si>
    <t xml:space="preserve">2-5 years in a wide range of projects in their specialist field. </t>
  </si>
  <si>
    <t xml:space="preserve">Senior Business Intelligence Developer </t>
  </si>
  <si>
    <t xml:space="preserve">Business Intelligence Developer </t>
  </si>
  <si>
    <t xml:space="preserve">Senior Creative/Design (UI) Developer </t>
  </si>
  <si>
    <t xml:space="preserve">Creative/Design (UI) Developer </t>
  </si>
  <si>
    <t xml:space="preserve">Testing QA </t>
  </si>
  <si>
    <t>Application Support Engineer</t>
  </si>
  <si>
    <t>DB Support Engineer</t>
  </si>
  <si>
    <t>Manager</t>
  </si>
  <si>
    <t>Mongo DB Engineer</t>
  </si>
  <si>
    <t>Sr. No</t>
  </si>
  <si>
    <t>Holiday Description</t>
  </si>
  <si>
    <t>Date</t>
  </si>
  <si>
    <t>Day</t>
  </si>
  <si>
    <t>Shanghai</t>
  </si>
  <si>
    <t>New Year's Day</t>
  </si>
  <si>
    <t>Tue</t>
  </si>
  <si>
    <t>Chinese New Year’s Day</t>
  </si>
  <si>
    <t>Mon</t>
  </si>
  <si>
    <t>Holi</t>
  </si>
  <si>
    <t>Wed</t>
  </si>
  <si>
    <t>Good Friday</t>
  </si>
  <si>
    <t>Fri</t>
  </si>
  <si>
    <t>Easter Monday</t>
  </si>
  <si>
    <t>Ching Ming Festival</t>
  </si>
  <si>
    <t>Thu</t>
  </si>
  <si>
    <t>Gudi Padwa</t>
  </si>
  <si>
    <t>May Day</t>
  </si>
  <si>
    <t>Early May Bank Holiday</t>
  </si>
  <si>
    <t>Spring Bank Holiday</t>
  </si>
  <si>
    <t>Dragon Boat Festival</t>
  </si>
  <si>
    <t>Id-ul-Fitr</t>
  </si>
  <si>
    <t>Independence Day</t>
  </si>
  <si>
    <t>Summer Bank Holiday</t>
  </si>
  <si>
    <t>Ganesh Chaturthi</t>
  </si>
  <si>
    <t xml:space="preserve"> Mid-Autumn Festival</t>
  </si>
  <si>
    <t>National Day</t>
  </si>
  <si>
    <t>National Day/
Gandhi Jayanti</t>
  </si>
  <si>
    <t>Durga Pooja</t>
  </si>
  <si>
    <t>Bhai Duj</t>
  </si>
  <si>
    <t>Christmas Day</t>
  </si>
  <si>
    <t>Boxing Day</t>
  </si>
  <si>
    <t>Banglore</t>
  </si>
  <si>
    <t>Sankaranthi/ Pongal</t>
  </si>
  <si>
    <t>Spring Festival</t>
  </si>
  <si>
    <t xml:space="preserve">Gudi Padwa  </t>
  </si>
  <si>
    <t>Tomb-sweeping Day</t>
  </si>
  <si>
    <t>Mid-Autumn Festival</t>
  </si>
  <si>
    <t>Gandhi Jayanti</t>
  </si>
  <si>
    <t>Dassera</t>
  </si>
  <si>
    <t>Diwali</t>
  </si>
  <si>
    <t>Balipadyami Deepavali</t>
  </si>
  <si>
    <t xml:space="preserve">Record updated successfully. 
Please make note of your SR No.20343898596 for future reference
</t>
  </si>
  <si>
    <t>Jai Ganeshc</t>
  </si>
  <si>
    <t>IT IS TEAM</t>
  </si>
  <si>
    <t>Sneha</t>
  </si>
  <si>
    <t>Anjali</t>
  </si>
  <si>
    <t>Adarsha</t>
  </si>
  <si>
    <t>B&amp;M QA</t>
  </si>
  <si>
    <t>Resource</t>
  </si>
  <si>
    <t>Billing Mode</t>
  </si>
  <si>
    <t>Raman</t>
  </si>
  <si>
    <t>Covered till 15th Oct only</t>
  </si>
  <si>
    <t>Katrina</t>
  </si>
  <si>
    <t>Angela</t>
  </si>
  <si>
    <t>Roy</t>
  </si>
  <si>
    <t>China L1 Support</t>
  </si>
  <si>
    <t xml:space="preserve">ASOS China Support </t>
  </si>
  <si>
    <t xml:space="preserve">Lisa </t>
  </si>
  <si>
    <t>Cathy</t>
  </si>
  <si>
    <t xml:space="preserve">E Comm:Integration Testing </t>
  </si>
  <si>
    <t>Sachin</t>
  </si>
  <si>
    <t>China Mule Support</t>
  </si>
  <si>
    <t>Zeeshan</t>
  </si>
  <si>
    <t xml:space="preserve">Janakan </t>
  </si>
  <si>
    <t>Balaji</t>
  </si>
  <si>
    <t>Netsuite Customization</t>
  </si>
  <si>
    <t>Pooman</t>
  </si>
  <si>
    <t>OM Team</t>
  </si>
  <si>
    <t>AVANI Team</t>
  </si>
  <si>
    <t>FB teams</t>
  </si>
  <si>
    <t>UmeshDeshmukh</t>
  </si>
  <si>
    <t>SonalDengle</t>
  </si>
  <si>
    <t>BhushanPatil</t>
  </si>
  <si>
    <t>NidhiSahu</t>
  </si>
  <si>
    <t>ManasiSatarkar</t>
  </si>
  <si>
    <t>muralidharVuppala</t>
  </si>
  <si>
    <t>AmolBarve</t>
  </si>
  <si>
    <t>ShwetaMatani</t>
  </si>
  <si>
    <t>AmolRajmane</t>
  </si>
  <si>
    <t>AnishPatel</t>
  </si>
  <si>
    <t>AmitHole</t>
  </si>
  <si>
    <t>AkshayShaha</t>
  </si>
  <si>
    <t>KunalDhanuka</t>
  </si>
  <si>
    <t>AbhishekDoss</t>
  </si>
  <si>
    <t>ManasiPhadnis</t>
  </si>
  <si>
    <t>PriyankaJambhulkar</t>
  </si>
  <si>
    <t>SunilManghrani</t>
  </si>
  <si>
    <t>ShreepadGanesh</t>
  </si>
  <si>
    <t>HIMALAY Team</t>
  </si>
  <si>
    <t>AdityaMagotra</t>
  </si>
  <si>
    <t>NikhilKeni</t>
  </si>
  <si>
    <t>IshanSharma</t>
  </si>
  <si>
    <t>Sumeet Jain</t>
  </si>
  <si>
    <t>KARMA Team</t>
  </si>
  <si>
    <t>Order Processing</t>
  </si>
  <si>
    <t>T&amp;M billing</t>
  </si>
  <si>
    <t>VirendraRajput</t>
  </si>
  <si>
    <t>AbhijeetKharsan</t>
  </si>
  <si>
    <t>ParagMeshram</t>
  </si>
  <si>
    <t>NiravKanakhara</t>
  </si>
  <si>
    <t>ShantanuDaithankar</t>
  </si>
  <si>
    <t>VishalDeshmukh</t>
  </si>
  <si>
    <t>TejsinghPalharya</t>
  </si>
  <si>
    <t>Search YUGA Team</t>
  </si>
  <si>
    <t>Ravish</t>
  </si>
  <si>
    <t>E20140918000010000190145</t>
  </si>
  <si>
    <t>MA313-0000136014</t>
  </si>
  <si>
    <t>MA313-0000136017</t>
  </si>
  <si>
    <t>MA313-0000136016</t>
  </si>
  <si>
    <t>Team/Resource</t>
  </si>
  <si>
    <t>day rate</t>
  </si>
  <si>
    <t>no of days</t>
  </si>
  <si>
    <t>sandip</t>
  </si>
  <si>
    <t>aditya</t>
  </si>
  <si>
    <t>ishan</t>
  </si>
  <si>
    <t>sumeet</t>
  </si>
  <si>
    <t>nikhil</t>
  </si>
  <si>
    <t>Day rate</t>
  </si>
  <si>
    <t>Onsite</t>
  </si>
  <si>
    <t>Offshore</t>
  </si>
  <si>
    <t xml:space="preserve">Resource </t>
  </si>
  <si>
    <t>onsite</t>
  </si>
  <si>
    <t>offshore</t>
  </si>
  <si>
    <t>onsite cost</t>
  </si>
  <si>
    <t>offshore cost</t>
  </si>
  <si>
    <t>ONSITE</t>
  </si>
  <si>
    <t>OFFSHORE</t>
  </si>
  <si>
    <r>
      <t xml:space="preserve">We have arrived to this values based on resource coverage at onsite and offshore and the 7% discount to be given on onsite cost. 
There will be </t>
    </r>
    <r>
      <rPr>
        <b/>
        <sz val="11"/>
        <rFont val="Calibri"/>
        <family val="2"/>
        <scheme val="minor"/>
      </rPr>
      <t>addition to the SOW defined milestones</t>
    </r>
    <r>
      <rPr>
        <sz val="11"/>
        <rFont val="Calibri"/>
        <family val="2"/>
        <scheme val="minor"/>
      </rPr>
      <t xml:space="preserve"> coz we have extended Sumeet Jain (replacement of Eshvarya to be at onsite till 3rd Oct)</t>
    </r>
  </si>
  <si>
    <t>Karma team CR001</t>
  </si>
  <si>
    <t xml:space="preserve">Bharatesh </t>
  </si>
  <si>
    <t xml:space="preserve">Charishma </t>
  </si>
  <si>
    <t>Cost from 6th Oct till 31st Oct, with 7% discount.</t>
  </si>
  <si>
    <t>Cost from 6th Oct till 28th Nov, with 7% discount.</t>
  </si>
  <si>
    <t>Cost from 1st Dec 2014 till 29th May 2015, with 7% discount.</t>
  </si>
  <si>
    <t>Cost from 1st Dec 2014 till 27th Feb 2015, with 7% discount.</t>
  </si>
  <si>
    <t>Cost from 6th Oct 2014 till 31st Mar 2015, with 7% discount.</t>
  </si>
  <si>
    <t>Vinay Kumar</t>
  </si>
  <si>
    <t>Cost from 6th Oct 2014 till 28th Nov 2014, with 7% discount.</t>
  </si>
  <si>
    <t>Sumeet Jain (Karma team)</t>
  </si>
  <si>
    <t>Sumeet Jain as a replacement of Eshvarya to be at onsite till 3rd Oct, with 7% discount</t>
  </si>
  <si>
    <t>Post Nov</t>
  </si>
  <si>
    <t>Cost from 27th Oct 2014 till 31st Dec 2014, with 7% discount.</t>
  </si>
  <si>
    <r>
      <t>Cost from 27th Oct 2014 till 31</t>
    </r>
    <r>
      <rPr>
        <vertAlign val="superscript"/>
        <sz val="11"/>
        <color rgb="FF1F497D"/>
        <rFont val="Calibri"/>
        <family val="2"/>
      </rPr>
      <t>st</t>
    </r>
    <r>
      <rPr>
        <sz val="11"/>
        <color rgb="FF1F497D"/>
        <rFont val="Calibri"/>
        <family val="2"/>
      </rPr>
      <t xml:space="preserve"> Dec 2014, with 7% discount.</t>
    </r>
  </si>
  <si>
    <t>CTSGB201309015_CR005</t>
  </si>
  <si>
    <t>To update MS as per CR005.</t>
  </si>
  <si>
    <t>To define MS as per SOW</t>
  </si>
  <si>
    <t>Overall</t>
  </si>
  <si>
    <t>Vivek Somwanshi</t>
  </si>
  <si>
    <t>Prashnt Pachpode</t>
  </si>
  <si>
    <t>Delivery Sol Ana Team</t>
  </si>
  <si>
    <r>
      <t>Sep’14 MS: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 reduce Sep'14 MS from GBP 45,400 to GBP 17,070</t>
    </r>
  </si>
  <si>
    <r>
      <t>Oct’14 MS</t>
    </r>
    <r>
      <rPr>
        <sz val="11"/>
        <color rgb="FF000000"/>
        <rFont val="Calibri"/>
        <family val="2"/>
        <scheme val="minor"/>
      </rPr>
      <t>: To delete Oct'14 MS of GBP 3,132</t>
    </r>
  </si>
  <si>
    <r>
      <t>Sep’14 MS</t>
    </r>
    <r>
      <rPr>
        <sz val="11"/>
        <color rgb="FF000000"/>
        <rFont val="Calibri"/>
        <family val="2"/>
        <scheme val="minor"/>
      </rPr>
      <t xml:space="preserve">: To define Sep'14 MS </t>
    </r>
  </si>
  <si>
    <r>
      <rPr>
        <b/>
        <sz val="11"/>
        <color rgb="FF000000"/>
        <rFont val="Calibri"/>
        <family val="2"/>
        <scheme val="minor"/>
      </rPr>
      <t>Sep’14 MS</t>
    </r>
    <r>
      <rPr>
        <sz val="11"/>
        <color rgb="FF000000"/>
        <rFont val="Calibri"/>
        <family val="2"/>
        <scheme val="minor"/>
      </rPr>
      <t xml:space="preserve">: To define Sep'14 MS </t>
    </r>
  </si>
  <si>
    <t>To update MS as per CR001</t>
  </si>
  <si>
    <t>nekhil</t>
  </si>
  <si>
    <t>eshvarya</t>
  </si>
  <si>
    <t xml:space="preserve">sumeet </t>
  </si>
  <si>
    <t>KARMA TEAM</t>
  </si>
  <si>
    <t>RATE</t>
  </si>
  <si>
    <t>DAYS</t>
  </si>
  <si>
    <t>AMOUNT</t>
  </si>
  <si>
    <r>
      <t xml:space="preserve">Sept’14 MS: </t>
    </r>
    <r>
      <rPr>
        <sz val="11"/>
        <color rgb="FF000000"/>
        <rFont val="Calibri"/>
        <family val="2"/>
        <scheme val="minor"/>
      </rPr>
      <t>To increase Sep'14 MS from GBP 33,654 to GBP 34,433.91</t>
    </r>
  </si>
  <si>
    <t xml:space="preserve">Avatar </t>
  </si>
  <si>
    <t>Approx savings</t>
  </si>
  <si>
    <t>Invoices issued</t>
  </si>
  <si>
    <t>We have stopped invoicing from July'14</t>
  </si>
  <si>
    <t>Kuber</t>
  </si>
  <si>
    <t>Bagheera</t>
  </si>
  <si>
    <t>Savings till 29th Aug'14.
We have stopped onsite billing from Aug'14. We are billing Shian against this PO.</t>
  </si>
  <si>
    <t>Checkout</t>
  </si>
  <si>
    <t>Approx savings on the PO's coz of mentiond reasons</t>
  </si>
  <si>
    <t>Charishma D</t>
  </si>
  <si>
    <t>CTSGB201412115</t>
  </si>
  <si>
    <t>CTSGB201410116</t>
  </si>
  <si>
    <t>CTSGB201410118</t>
  </si>
  <si>
    <t>E20140925000008400068225</t>
  </si>
  <si>
    <t>MA313-0000136370</t>
  </si>
  <si>
    <t>Services rendered for July'14 efforts for Akash Srivastava from 21st July till 25th July.GBP 471/day.</t>
  </si>
  <si>
    <t>MA313-0000136369</t>
  </si>
  <si>
    <t>Services rendered for Aug'14 efforts for Akash S from 28th July till 29th Aug. GBP 471/day</t>
  </si>
  <si>
    <t>MA313-0000136372</t>
  </si>
  <si>
    <t>Services rendered for July'14 efforts of Swami from 21st July till 25th July. GBP 488/day</t>
  </si>
  <si>
    <t>MA313-0000136373</t>
  </si>
  <si>
    <t>Services rendered for Aug'14 efforts for Swami from 28th July till 29th Aug. GBP 488/day</t>
  </si>
  <si>
    <t>Bharatesh P</t>
  </si>
  <si>
    <t>Swaminathan R</t>
  </si>
  <si>
    <t>CTSGB201412119</t>
  </si>
  <si>
    <t>CTSGB201410120</t>
  </si>
  <si>
    <t>CTSIN201410121</t>
  </si>
  <si>
    <t>CTSCN201410122</t>
  </si>
  <si>
    <t>Onsite T&amp;E cost of Kaushik Majithia for DTS Production release support.</t>
  </si>
  <si>
    <t>MA313-0000136858</t>
  </si>
  <si>
    <t>MA313-0000136859</t>
  </si>
  <si>
    <t>MA313-0000136860</t>
  </si>
  <si>
    <t>Charges for Pushpak team for the month of Sep-2014</t>
  </si>
  <si>
    <t>Charges for Identity Management team (Aagam) for the month of Sep-2014</t>
  </si>
  <si>
    <t>MA313-0000136892</t>
  </si>
  <si>
    <t>Charges for International search work team (Yuga) for the month of Sep-2014</t>
  </si>
  <si>
    <t>MA313-0000136886</t>
  </si>
  <si>
    <t>MA313-0000136887</t>
  </si>
  <si>
    <t>MA313-0000136888</t>
  </si>
  <si>
    <t>MA313-0000136889</t>
  </si>
  <si>
    <t>MA313-0000136890</t>
  </si>
  <si>
    <t>MA313-0000136891</t>
  </si>
  <si>
    <t>Charges for Karma team for the month of Sep-2014</t>
  </si>
  <si>
    <t>Charges for Tactical changes team: OM for the month of Sep-2014</t>
  </si>
  <si>
    <t>Charges for Tactical changes team: AVANI for the month of Sep-2014</t>
  </si>
  <si>
    <t>Charges for Tech Debt Changes team (Himalay) for the month of Sep-2014</t>
  </si>
  <si>
    <t>Charges for Surya team for the month of Sep-2014</t>
  </si>
  <si>
    <t>Charges for Surya Analytical team for the month of Sep-2014</t>
  </si>
  <si>
    <t>Name</t>
  </si>
  <si>
    <t>Webtrends</t>
  </si>
  <si>
    <t>Juggernaut</t>
  </si>
  <si>
    <t>Vijin</t>
  </si>
  <si>
    <t>Mehul</t>
  </si>
  <si>
    <t>Vighneshwar</t>
  </si>
  <si>
    <t>Sachitanand A</t>
  </si>
  <si>
    <t>MA313-0000137012</t>
  </si>
  <si>
    <t>Services rendered for Offshore ALM team for the month of Sep-2014</t>
  </si>
  <si>
    <t xml:space="preserve">MA313-0000136990 </t>
  </si>
  <si>
    <t>MA313-0000136991</t>
  </si>
  <si>
    <t xml:space="preserve">MA313-0000136992 </t>
  </si>
  <si>
    <t>MA313-0000136993</t>
  </si>
  <si>
    <t>MA313-0000136994</t>
  </si>
  <si>
    <t>MA313-0000136995</t>
  </si>
  <si>
    <t>MA313-0000136996</t>
  </si>
  <si>
    <t>Services rendered for Bagheera team for the month of Sep-2014</t>
  </si>
  <si>
    <t>Services rendered for Swaminathan R for the month of Sep-2014</t>
  </si>
  <si>
    <t>Services rendered for Custard Team for the month of Sep-2014</t>
  </si>
  <si>
    <t>Services rendered for Anurag Ankur for the month of Sep-2014</t>
  </si>
  <si>
    <t>Services rendered for Akash Srivastava for the month of Sep-2014</t>
  </si>
  <si>
    <t>Services rendered for Vinanykumar B for the month of Sep-2014</t>
  </si>
  <si>
    <t>Services rendered for Juggernaut Team for the month of Sep-2014</t>
  </si>
  <si>
    <t>MA313-0000136951</t>
  </si>
  <si>
    <t>MA313-0000136952</t>
  </si>
  <si>
    <t>MA313-0000136953</t>
  </si>
  <si>
    <t>MA313-0000136954</t>
  </si>
  <si>
    <t>MA313-0000136955</t>
  </si>
  <si>
    <t>MA313-0000136956</t>
  </si>
  <si>
    <t>MA313-0000136957</t>
  </si>
  <si>
    <t>MA313-0000136958</t>
  </si>
  <si>
    <t>MA313-0000136959</t>
  </si>
  <si>
    <t>MA313-0000136960</t>
  </si>
  <si>
    <t>Services rendered for Prabakaran for the month of Sep-2014</t>
  </si>
  <si>
    <t>Services rendered for Milan for the month of Sep-2014</t>
  </si>
  <si>
    <t>Services rendered for ITIS Support Team for the month of Sep-2014</t>
  </si>
  <si>
    <t>Services rendered for Raman for the month of Sep-2014</t>
  </si>
  <si>
    <t>Services rendered for Jai Ganesh for the month of Sep-2014</t>
  </si>
  <si>
    <t>Services rendered for Adarsh for the month of Sep-2014</t>
  </si>
  <si>
    <t>Services rendered for Shian for the month of Sep-2014</t>
  </si>
  <si>
    <t>Services rendered for Salil for the month of Sep-2014</t>
  </si>
  <si>
    <t>Services rendered for Yusuf Jamali for the month of Sep-2014</t>
  </si>
  <si>
    <t>Services rendered for Third Rock India Team for the month of Sep-2014</t>
  </si>
  <si>
    <t>Discount Mapping</t>
  </si>
  <si>
    <t>MA313-0000138015</t>
  </si>
  <si>
    <t>MA313-0000137293</t>
  </si>
  <si>
    <t>MA313-0000137294</t>
  </si>
  <si>
    <t>MA313-0000137295</t>
  </si>
  <si>
    <t>MA313-0000137296</t>
  </si>
  <si>
    <t>MA313-0000137297</t>
  </si>
  <si>
    <t>MA313-0000137298</t>
  </si>
  <si>
    <t>MA313-0000137299</t>
  </si>
  <si>
    <t>MA313-0000137300</t>
  </si>
  <si>
    <t>Services rendered for Ecommerce Integration Testing for the month of Sep-2014</t>
  </si>
  <si>
    <t>Services rendered for China L1 Support team for the month of Sep-2014</t>
  </si>
  <si>
    <t>Services rendered for China Mule Support for the month of Sep-2014</t>
  </si>
  <si>
    <t>Services rendered for Discovery for China CCP work for the month of Sep-2014</t>
  </si>
  <si>
    <t>Services rendered for Netsuite Customization Support team for the month of Sep-2014</t>
  </si>
  <si>
    <t>Services rendered for LIMA/NetSuite integration development work for the month of Sep-2014</t>
  </si>
  <si>
    <t>MA313-0000137505</t>
  </si>
  <si>
    <t>Services rendered for Webtrends team for the month of Sep-2014</t>
  </si>
  <si>
    <t>E20141002000009600057242</t>
  </si>
  <si>
    <t>Resources for whom coverage is completed or completing in Oct 2014</t>
  </si>
  <si>
    <t>31st Oct</t>
  </si>
  <si>
    <t>SOW coverage end date</t>
  </si>
  <si>
    <t>ASOS Satff Aug</t>
  </si>
  <si>
    <t>Poonam Jadhav</t>
  </si>
  <si>
    <t>China Mule suport</t>
  </si>
  <si>
    <t>26th Sept</t>
  </si>
  <si>
    <t>30th Sept</t>
  </si>
  <si>
    <t>SumeetJain</t>
  </si>
  <si>
    <t>19th Sept</t>
  </si>
  <si>
    <t>3rd Oct</t>
  </si>
  <si>
    <t xml:space="preserve">Custard </t>
  </si>
  <si>
    <t>International Search</t>
  </si>
  <si>
    <t>24th Oct</t>
  </si>
  <si>
    <t>Kaushik Majithia</t>
  </si>
  <si>
    <t>Jay Bang</t>
  </si>
  <si>
    <t>Deivery Solutions</t>
  </si>
  <si>
    <t>Ramcharan A</t>
  </si>
  <si>
    <t>Anand Newasekar</t>
  </si>
  <si>
    <t>SA</t>
  </si>
  <si>
    <t>A</t>
  </si>
  <si>
    <t>OM</t>
  </si>
  <si>
    <t>AVANI</t>
  </si>
  <si>
    <t xml:space="preserve">CA for Sep'14 </t>
  </si>
  <si>
    <t xml:space="preserve">CA for Oct'14 </t>
  </si>
  <si>
    <t>Karma team computations: Oct'14</t>
  </si>
  <si>
    <t>Leave days</t>
  </si>
  <si>
    <t>Leave remarks</t>
  </si>
  <si>
    <t>Amount to be billed</t>
  </si>
  <si>
    <t>16th till 24th Oct</t>
  </si>
  <si>
    <t>Himalay</t>
  </si>
  <si>
    <r>
      <t xml:space="preserve">3 Holidays: </t>
    </r>
    <r>
      <rPr>
        <sz val="10"/>
        <color theme="1"/>
        <rFont val="Calibri"/>
        <family val="2"/>
        <scheme val="minor"/>
      </rPr>
      <t>2nd, 3rd &amp; 23rd oct</t>
    </r>
  </si>
  <si>
    <r>
      <rPr>
        <b/>
        <sz val="10"/>
        <color rgb="FF000000"/>
        <rFont val="Calibri"/>
        <family val="2"/>
        <scheme val="minor"/>
      </rPr>
      <t xml:space="preserve">Old MS: </t>
    </r>
    <r>
      <rPr>
        <sz val="10"/>
        <color rgb="FF000000"/>
        <rFont val="Calibri"/>
        <family val="2"/>
        <scheme val="minor"/>
      </rPr>
      <t xml:space="preserve">20,022.6 
</t>
    </r>
    <r>
      <rPr>
        <b/>
        <sz val="10"/>
        <color rgb="FF000000"/>
        <rFont val="Calibri"/>
        <family val="2"/>
        <scheme val="minor"/>
      </rPr>
      <t xml:space="preserve">New MS: </t>
    </r>
    <r>
      <rPr>
        <sz val="10"/>
        <color rgb="FF000000"/>
        <rFont val="Calibri"/>
        <family val="2"/>
        <scheme val="minor"/>
      </rPr>
      <t>18,844.8</t>
    </r>
  </si>
  <si>
    <t>NBL resources in ASOS projects</t>
  </si>
  <si>
    <t>Sr.</t>
  </si>
  <si>
    <t>Associate Id</t>
  </si>
  <si>
    <t>Designation</t>
  </si>
  <si>
    <t>Palak Purohit</t>
  </si>
  <si>
    <t>Tejaswini Mahajan</t>
  </si>
  <si>
    <t>Preeti Rathore</t>
  </si>
  <si>
    <t>Kumud Singh</t>
  </si>
  <si>
    <t>Sachin Kumar</t>
  </si>
  <si>
    <t>Aditi Kulkarni</t>
  </si>
  <si>
    <t>Arun Nagaria</t>
  </si>
  <si>
    <t>AnjaliKulkarni</t>
  </si>
  <si>
    <t>AnilBorse</t>
  </si>
  <si>
    <t>AfreenMemon</t>
  </si>
  <si>
    <t>SM</t>
  </si>
  <si>
    <t>PA</t>
  </si>
  <si>
    <t>PAT</t>
  </si>
  <si>
    <t xml:space="preserve">Charishma,D'Souza </t>
  </si>
  <si>
    <t>From 13th Oct</t>
  </si>
  <si>
    <t>From 6th Oct</t>
  </si>
  <si>
    <t xml:space="preserve">Anand,Tarey </t>
  </si>
  <si>
    <t xml:space="preserve">Abhith,Karuvangat </t>
  </si>
  <si>
    <t xml:space="preserve">Jay,Bang </t>
  </si>
  <si>
    <t xml:space="preserve">Ashish,Kumar </t>
  </si>
  <si>
    <r>
      <t xml:space="preserve">Old MS: </t>
    </r>
    <r>
      <rPr>
        <sz val="10"/>
        <color rgb="FF000000"/>
        <rFont val="Calibri"/>
        <family val="2"/>
        <scheme val="minor"/>
      </rPr>
      <t xml:space="preserve">21,151.4 </t>
    </r>
    <r>
      <rPr>
        <b/>
        <sz val="10"/>
        <color rgb="FF000000"/>
        <rFont val="Calibri"/>
        <family val="2"/>
        <scheme val="minor"/>
      </rPr>
      <t xml:space="preserve">
New MS: </t>
    </r>
    <r>
      <rPr>
        <sz val="10"/>
        <color rgb="FF000000"/>
        <rFont val="Calibri"/>
        <family val="2"/>
        <scheme val="minor"/>
      </rPr>
      <t>19,907.2</t>
    </r>
  </si>
  <si>
    <r>
      <rPr>
        <b/>
        <sz val="10"/>
        <color theme="3"/>
        <rFont val="Calibri"/>
        <family val="2"/>
        <scheme val="minor"/>
      </rPr>
      <t>To define Oct'14 and Nov'14 MS:</t>
    </r>
    <r>
      <rPr>
        <sz val="10"/>
        <color rgb="FF000000"/>
        <rFont val="Calibri"/>
        <family val="2"/>
        <scheme val="minor"/>
      </rPr>
      <t xml:space="preserve">
</t>
    </r>
    <r>
      <rPr>
        <b/>
        <sz val="10"/>
        <color rgb="FF000000"/>
        <rFont val="Calibri"/>
        <family val="2"/>
        <scheme val="minor"/>
      </rPr>
      <t>Oct'14 MS:</t>
    </r>
    <r>
      <rPr>
        <sz val="10"/>
        <color rgb="FF000000"/>
        <rFont val="Calibri"/>
        <family val="2"/>
        <scheme val="minor"/>
      </rPr>
      <t xml:space="preserve"> To define MS of GBP 17,677.4
</t>
    </r>
    <r>
      <rPr>
        <b/>
        <sz val="10"/>
        <color rgb="FF000000"/>
        <rFont val="Calibri"/>
        <family val="2"/>
        <scheme val="minor"/>
      </rPr>
      <t>Nov'14 MS:</t>
    </r>
    <r>
      <rPr>
        <sz val="10"/>
        <color rgb="FF000000"/>
        <rFont val="Calibri"/>
        <family val="2"/>
        <scheme val="minor"/>
      </rPr>
      <t xml:space="preserve"> To define MS of GBP 13,598</t>
    </r>
  </si>
  <si>
    <t xml:space="preserve">22nd &amp; 24th </t>
  </si>
  <si>
    <t>Sumeet J: OFF</t>
  </si>
  <si>
    <t>Sumeet J: ON</t>
  </si>
  <si>
    <t>Sandip K:ON</t>
  </si>
  <si>
    <t>Sandip K:OFF</t>
  </si>
  <si>
    <t>Ishan S:ON</t>
  </si>
  <si>
    <t>Ishan S:OFF</t>
  </si>
  <si>
    <t>Aditya M:OFF</t>
  </si>
  <si>
    <t>Nikhil K:OFF</t>
  </si>
  <si>
    <t xml:space="preserve">ASOS
International  Search </t>
  </si>
  <si>
    <t>6th, 7th, 20th till 24th Oct</t>
  </si>
  <si>
    <t>Billing Rate</t>
  </si>
  <si>
    <t>11 days billing,6 leaves</t>
  </si>
  <si>
    <t>15 day billing, 4 leaves</t>
  </si>
  <si>
    <t>12 day billing, 2 leaves</t>
  </si>
  <si>
    <t>8 day billing, 6 leaves</t>
  </si>
  <si>
    <t>MS value</t>
  </si>
  <si>
    <t>Existing MS</t>
  </si>
  <si>
    <r>
      <rPr>
        <b/>
        <sz val="10"/>
        <color rgb="FF000000"/>
        <rFont val="Calibri"/>
        <family val="2"/>
        <scheme val="minor"/>
      </rPr>
      <t>Old MS</t>
    </r>
    <r>
      <rPr>
        <sz val="10"/>
        <color rgb="FF000000"/>
        <rFont val="Calibri"/>
        <family val="2"/>
        <scheme val="minor"/>
      </rPr>
      <t xml:space="preserve">: 18,723.00
</t>
    </r>
    <r>
      <rPr>
        <b/>
        <sz val="10"/>
        <color rgb="FF000000"/>
        <rFont val="Calibri"/>
        <family val="2"/>
        <scheme val="minor"/>
      </rPr>
      <t>New MS</t>
    </r>
    <r>
      <rPr>
        <sz val="10"/>
        <color rgb="FF000000"/>
        <rFont val="Calibri"/>
        <family val="2"/>
        <scheme val="minor"/>
      </rPr>
      <t>: 15,733.65</t>
    </r>
  </si>
  <si>
    <r>
      <rPr>
        <b/>
        <sz val="10"/>
        <color theme="3"/>
        <rFont val="Calibri"/>
        <family val="2"/>
        <scheme val="minor"/>
      </rPr>
      <t>To reduce Oct'14 MS, leaves &amp; holidays for team.</t>
    </r>
    <r>
      <rPr>
        <sz val="10"/>
        <color rgb="FF000000"/>
        <rFont val="Calibri"/>
        <family val="2"/>
        <scheme val="minor"/>
      </rPr>
      <t xml:space="preserve">
</t>
    </r>
    <r>
      <rPr>
        <b/>
        <sz val="10"/>
        <color theme="3"/>
        <rFont val="Calibri"/>
        <family val="2"/>
        <scheme val="minor"/>
      </rPr>
      <t>Oct'14 MS</t>
    </r>
    <r>
      <rPr>
        <sz val="10"/>
        <color rgb="FF000000"/>
        <rFont val="Calibri"/>
        <family val="2"/>
        <scheme val="minor"/>
      </rPr>
      <t xml:space="preserve">: To reduce by GBP 2,989.35
</t>
    </r>
    <r>
      <rPr>
        <b/>
        <sz val="10"/>
        <color theme="3"/>
        <rFont val="Calibri"/>
        <family val="2"/>
        <scheme val="minor"/>
      </rPr>
      <t>Nov'14 MS:</t>
    </r>
    <r>
      <rPr>
        <sz val="10"/>
        <color rgb="FF000000"/>
        <rFont val="Calibri"/>
        <family val="2"/>
        <scheme val="minor"/>
      </rPr>
      <t xml:space="preserve"> Let as it is.</t>
    </r>
  </si>
  <si>
    <t>Rreduction in MS value</t>
  </si>
  <si>
    <t>Jun'15</t>
  </si>
  <si>
    <t>Jul'15</t>
  </si>
  <si>
    <t>Total 2015</t>
  </si>
  <si>
    <t>ASOS Staff
Aug</t>
  </si>
  <si>
    <r>
      <rPr>
        <b/>
        <sz val="10"/>
        <color rgb="FF000000"/>
        <rFont val="Calibri"/>
        <family val="2"/>
        <scheme val="minor"/>
      </rPr>
      <t xml:space="preserve">Old MS: </t>
    </r>
    <r>
      <rPr>
        <sz val="10"/>
        <color rgb="FF000000"/>
        <rFont val="Calibri"/>
        <family val="2"/>
        <scheme val="minor"/>
      </rPr>
      <t xml:space="preserve">23,012.9 
</t>
    </r>
    <r>
      <rPr>
        <b/>
        <sz val="10"/>
        <color rgb="FF000000"/>
        <rFont val="Calibri"/>
        <family val="2"/>
        <scheme val="minor"/>
      </rPr>
      <t>New MS:</t>
    </r>
    <r>
      <rPr>
        <sz val="10"/>
        <color rgb="FF000000"/>
        <rFont val="Calibri"/>
        <family val="2"/>
        <scheme val="minor"/>
      </rPr>
      <t xml:space="preserve"> 21,659.2</t>
    </r>
  </si>
  <si>
    <r>
      <rPr>
        <b/>
        <sz val="10"/>
        <color theme="3"/>
        <rFont val="Calibri"/>
        <family val="2"/>
        <scheme val="minor"/>
      </rPr>
      <t>To reduce Oct'14 MS, 24th being leave of team.</t>
    </r>
    <r>
      <rPr>
        <sz val="10"/>
        <color rgb="FF000000"/>
        <rFont val="Calibri"/>
        <family val="2"/>
        <scheme val="minor"/>
      </rPr>
      <t xml:space="preserve">
</t>
    </r>
    <r>
      <rPr>
        <b/>
        <sz val="10"/>
        <color rgb="FF000000"/>
        <rFont val="Calibri"/>
        <family val="2"/>
        <scheme val="minor"/>
      </rPr>
      <t>Oct'14 MS</t>
    </r>
    <r>
      <rPr>
        <sz val="10"/>
        <color rgb="FF000000"/>
        <rFont val="Calibri"/>
        <family val="2"/>
        <scheme val="minor"/>
      </rPr>
      <t xml:space="preserve">: To reduce by GBP 1,244.2
</t>
    </r>
    <r>
      <rPr>
        <b/>
        <sz val="10"/>
        <color rgb="FF000000"/>
        <rFont val="Calibri"/>
        <family val="2"/>
        <scheme val="minor"/>
      </rPr>
      <t>Nov'14 till Feb'15 MS:</t>
    </r>
    <r>
      <rPr>
        <sz val="10"/>
        <color rgb="FF000000"/>
        <rFont val="Calibri"/>
        <family val="2"/>
        <scheme val="minor"/>
      </rPr>
      <t xml:space="preserve"> Let as they are</t>
    </r>
  </si>
  <si>
    <r>
      <rPr>
        <b/>
        <sz val="10"/>
        <color theme="3"/>
        <rFont val="Calibri"/>
        <family val="2"/>
        <scheme val="minor"/>
      </rPr>
      <t>To reduce Oct'14 MS, 24th being leave of team.</t>
    </r>
    <r>
      <rPr>
        <sz val="10"/>
        <color rgb="FF000000"/>
        <rFont val="Calibri"/>
        <family val="2"/>
        <scheme val="minor"/>
      </rPr>
      <t xml:space="preserve">
</t>
    </r>
    <r>
      <rPr>
        <b/>
        <sz val="10"/>
        <color rgb="FF000000"/>
        <rFont val="Calibri"/>
        <family val="2"/>
        <scheme val="minor"/>
      </rPr>
      <t xml:space="preserve">Oct'14 MS: </t>
    </r>
    <r>
      <rPr>
        <sz val="10"/>
        <color rgb="FF000000"/>
        <rFont val="Calibri"/>
        <family val="2"/>
        <scheme val="minor"/>
      </rPr>
      <t xml:space="preserve">To reduce by GBP 1,244.2
</t>
    </r>
    <r>
      <rPr>
        <b/>
        <sz val="10"/>
        <color rgb="FF000000"/>
        <rFont val="Calibri"/>
        <family val="2"/>
        <scheme val="minor"/>
      </rPr>
      <t>Nov'14 &amp; Dec'14 MS:</t>
    </r>
    <r>
      <rPr>
        <sz val="10"/>
        <color rgb="FF000000"/>
        <rFont val="Calibri"/>
        <family val="2"/>
        <scheme val="minor"/>
      </rPr>
      <t xml:space="preserve"> Let as they are</t>
    </r>
  </si>
  <si>
    <r>
      <rPr>
        <b/>
        <sz val="10"/>
        <color theme="3"/>
        <rFont val="Calibri"/>
        <family val="2"/>
        <scheme val="minor"/>
      </rPr>
      <t>To reduce Oct'14 MS, 24th being leave of team</t>
    </r>
    <r>
      <rPr>
        <sz val="10"/>
        <color theme="3"/>
        <rFont val="Calibri"/>
        <family val="2"/>
        <scheme val="minor"/>
      </rPr>
      <t xml:space="preserve">. 
</t>
    </r>
    <r>
      <rPr>
        <b/>
        <sz val="10"/>
        <color rgb="FF000000"/>
        <rFont val="Calibri"/>
        <family val="2"/>
        <scheme val="minor"/>
      </rPr>
      <t>Oct'14 MS:</t>
    </r>
    <r>
      <rPr>
        <sz val="10"/>
        <color rgb="FF000000"/>
        <rFont val="Calibri"/>
        <family val="2"/>
        <scheme val="minor"/>
      </rPr>
      <t xml:space="preserve"> To reduce by GBP 1,353.7
</t>
    </r>
    <r>
      <rPr>
        <b/>
        <sz val="10"/>
        <color rgb="FF000000"/>
        <rFont val="Calibri"/>
        <family val="2"/>
        <scheme val="minor"/>
      </rPr>
      <t>Nov'14 till Feb'15 MS:</t>
    </r>
    <r>
      <rPr>
        <sz val="10"/>
        <color rgb="FF000000"/>
        <rFont val="Calibri"/>
        <family val="2"/>
        <scheme val="minor"/>
      </rPr>
      <t xml:space="preserve"> Let as they are</t>
    </r>
  </si>
  <si>
    <r>
      <rPr>
        <b/>
        <sz val="10"/>
        <color theme="3"/>
        <rFont val="Calibri"/>
        <family val="2"/>
        <scheme val="minor"/>
      </rPr>
      <t>To reduce Oct'14 MS, 24th being leave of team.</t>
    </r>
    <r>
      <rPr>
        <sz val="10"/>
        <color rgb="FF000000"/>
        <rFont val="Calibri"/>
        <family val="2"/>
        <scheme val="minor"/>
      </rPr>
      <t xml:space="preserve">
</t>
    </r>
    <r>
      <rPr>
        <b/>
        <sz val="10"/>
        <color rgb="FF000000"/>
        <rFont val="Calibri"/>
        <family val="2"/>
        <scheme val="minor"/>
      </rPr>
      <t>Oct'14 MS:</t>
    </r>
    <r>
      <rPr>
        <sz val="10"/>
        <color rgb="FF000000"/>
        <rFont val="Calibri"/>
        <family val="2"/>
        <scheme val="minor"/>
      </rPr>
      <t xml:space="preserve"> To reduce by GBP 1,177.8</t>
    </r>
  </si>
  <si>
    <t>Milan Shah/Style Management</t>
  </si>
  <si>
    <t>Feb</t>
  </si>
  <si>
    <t>Mar</t>
  </si>
  <si>
    <t>Sep</t>
  </si>
  <si>
    <t>Cust Contact</t>
  </si>
  <si>
    <t>CTSIN201411124</t>
  </si>
  <si>
    <t>CTSGB201411125</t>
  </si>
  <si>
    <t>CTSIN201411126</t>
  </si>
  <si>
    <t>Tactical changes: OM</t>
  </si>
  <si>
    <t>Tech debt changes: HIMALAYA</t>
  </si>
  <si>
    <t>E20141016000008400467926</t>
  </si>
  <si>
    <t>50-01</t>
  </si>
  <si>
    <t>Service Delivery</t>
  </si>
  <si>
    <t>Lucky</t>
  </si>
  <si>
    <t>Himalaya, App Support</t>
  </si>
  <si>
    <t>50-02</t>
  </si>
  <si>
    <t>ASOS.com</t>
  </si>
  <si>
    <t>Kate / Debbie (China)</t>
  </si>
  <si>
    <t>50-03</t>
  </si>
  <si>
    <t>Strategy &amp; Architecture</t>
  </si>
  <si>
    <t xml:space="preserve">Bob /Ian </t>
  </si>
  <si>
    <t>ALM, B&amp;M</t>
  </si>
  <si>
    <t>Data &amp; Integration</t>
  </si>
  <si>
    <t>Rajeev</t>
  </si>
  <si>
    <t>Integration Team (New)</t>
  </si>
  <si>
    <t>45-02</t>
  </si>
  <si>
    <t>Customer Experience</t>
  </si>
  <si>
    <t>Nuzhat</t>
  </si>
  <si>
    <t>Yuga, Salil, Jai Ganesh</t>
  </si>
  <si>
    <t xml:space="preserve">Surya, Avani, OM,China, Secure staff-aug, Prabakar, Swami, Raman, Milan, Jamali </t>
  </si>
  <si>
    <t>Area</t>
  </si>
  <si>
    <t>Owner</t>
  </si>
  <si>
    <t>Cost center</t>
  </si>
  <si>
    <t>50-07</t>
  </si>
  <si>
    <t>E20141023000008700077693</t>
  </si>
  <si>
    <t>CTSIN201411128</t>
  </si>
  <si>
    <t>CTSIN201411129</t>
  </si>
  <si>
    <t>E20141030000010700740419</t>
  </si>
  <si>
    <t>MA313-0000140030</t>
  </si>
  <si>
    <t>Charges for Karma team for the month of Oct-2014</t>
  </si>
  <si>
    <t>MA313-0000140031</t>
  </si>
  <si>
    <t>Charges for Tactical changes team: OM for the month of Oct-2014</t>
  </si>
  <si>
    <t>Charges for Tactical changes team: AVANI for the month of Oct-2014</t>
  </si>
  <si>
    <t>MA313-0000140032</t>
  </si>
  <si>
    <t>MA313-0000140033</t>
  </si>
  <si>
    <t>Charges for Tech Debt Changes team (Himalay) for the month of Oct-2014</t>
  </si>
  <si>
    <t>MA313-0000140034</t>
  </si>
  <si>
    <t xml:space="preserve">Charges for Surya team for the month of Oct-2014 </t>
  </si>
  <si>
    <t>MA313-0000140035</t>
  </si>
  <si>
    <t>Charges for International search work team (Yuga) for the month of Oct-2014</t>
  </si>
  <si>
    <t>MONGO DB ENGG</t>
  </si>
  <si>
    <t>BackOffice &amp; Integration Team</t>
  </si>
  <si>
    <t>TOTAL GBP</t>
  </si>
  <si>
    <t>TOTAL USD</t>
  </si>
  <si>
    <t>Prabakaran G</t>
  </si>
  <si>
    <t>Off Bagheera Team</t>
  </si>
  <si>
    <t>E Comm:Integration Testing Team</t>
  </si>
  <si>
    <t>ALM Offshore</t>
  </si>
  <si>
    <t>MA313-0000140322</t>
  </si>
  <si>
    <t>MA313-0000140323</t>
  </si>
  <si>
    <t>MA313-0000140324</t>
  </si>
  <si>
    <t>MA313-0000140325</t>
  </si>
  <si>
    <t>MA313-0000140326</t>
  </si>
  <si>
    <t>MA313-0000140327</t>
  </si>
  <si>
    <t>MA313-0000140328</t>
  </si>
  <si>
    <t>MA313-0000140329</t>
  </si>
  <si>
    <t>MA313-0000140330</t>
  </si>
  <si>
    <t>MA313-0000140331</t>
  </si>
  <si>
    <t>MA313-0000140332</t>
  </si>
  <si>
    <t>MA313-0000140333</t>
  </si>
  <si>
    <t>MA313-0000140334</t>
  </si>
  <si>
    <t>MA313-0000140335</t>
  </si>
  <si>
    <t>Services rendered for Prabakaran for the month of Oct-2014</t>
  </si>
  <si>
    <t>Services rendered for Milan for the month of Oct-2014</t>
  </si>
  <si>
    <t>Services rendered for Charishma D for the month of Oct-2014 (13th Oct till 24th Oct)</t>
  </si>
  <si>
    <t>Services rendered for ITIS Support Team for the month of Oct-2014</t>
  </si>
  <si>
    <t>Services rendered for Raman for the month of Oct-2014 (29th Sep till 15th Oct)</t>
  </si>
  <si>
    <t>Services rendered for Raman for the month of Oct-2014 (16th Oct till 24th Oct)</t>
  </si>
  <si>
    <t>Services rendered for Jai Ganesh for the month of Oct-2014</t>
  </si>
  <si>
    <t>Services rendered for Adarsh for the month of Oct-2014 (29th and 30th Sept)</t>
  </si>
  <si>
    <t>Services rendered for Adarsh for the month of Oct-2014 (20th Oct till 24th Oct)</t>
  </si>
  <si>
    <t>Services rendered for Adarsh for the month of Oct-2014 (1st Oct till 17th Oct)</t>
  </si>
  <si>
    <t>Services rendered for Shian for the month of Oct-2014 (29th Sep till 3rd Oct)</t>
  </si>
  <si>
    <t>Services rendered for Salil for the month of Oct-2014</t>
  </si>
  <si>
    <t>Services rendered for Yusuf Jamali for the month of Oct-2014</t>
  </si>
  <si>
    <t>Services rendered for Third Rock India Team for the month of Oct-2014</t>
  </si>
  <si>
    <t xml:space="preserve">MA313-0000140398 </t>
  </si>
  <si>
    <t>MA313-0000140399</t>
  </si>
  <si>
    <t>MA313-0000140400</t>
  </si>
  <si>
    <t>MA313-0000140401</t>
  </si>
  <si>
    <t>MA313-0000140402</t>
  </si>
  <si>
    <t>MA313-0000140403</t>
  </si>
  <si>
    <t>MA313-0000140404</t>
  </si>
  <si>
    <t>MA313-0000140405</t>
  </si>
  <si>
    <t>Services rendered for Ecommerce Integration Testing for the month of Oct-2014</t>
  </si>
  <si>
    <t>Services rendered for Ecommerce Integration Testing for the month of Oct-2014 (20th Oct till 24th Oct)</t>
  </si>
  <si>
    <t>Services rendered for China L1 Support team for the month of Oct-2014</t>
  </si>
  <si>
    <t>Services rendered for China Mule Support for the month of Oct-2014</t>
  </si>
  <si>
    <t>Services rendered for Netsuite Customization Support team for the month of Oct-2014</t>
  </si>
  <si>
    <t>Services rendered for Discovery for China CCP work for the month of Oct-2014</t>
  </si>
  <si>
    <t>Services rendered for LIMA/NetSuite integration development work for the month of Oct-2014</t>
  </si>
  <si>
    <t xml:space="preserve">MA313-0000140336 </t>
  </si>
  <si>
    <t>MA313-0000140337</t>
  </si>
  <si>
    <t>MA313-0000140338</t>
  </si>
  <si>
    <t>MA313-0000140339</t>
  </si>
  <si>
    <t xml:space="preserve">MA313-0000140342 </t>
  </si>
  <si>
    <t>MA313-0000140343</t>
  </si>
  <si>
    <t>MA313-0000140344</t>
  </si>
  <si>
    <t xml:space="preserve">MA313-0000140345 </t>
  </si>
  <si>
    <t>MA313-0000140346</t>
  </si>
  <si>
    <t xml:space="preserve">MA313-0000140347 </t>
  </si>
  <si>
    <t>MA313-0000140348</t>
  </si>
  <si>
    <t>Services rendered for Juggernaut Team for the month of Oct-2014 (29th Sep till 3rd Oct)</t>
  </si>
  <si>
    <t>Services rendered for Arun Kumar for the month of Oct-2014 (6th Oct till 24th Oct)</t>
  </si>
  <si>
    <t>Services rendered for Bagheera team for the month of Oct-2014 (29th Sep till 3rd Oct)</t>
  </si>
  <si>
    <t>Services rendered for Custard Team for the month of Oct-2014 (29th Sep till 3rd Oct)</t>
  </si>
  <si>
    <t>Services rendered for Bharatesh P for the month of Oct-2014 (6th Oct till 24th Oct)</t>
  </si>
  <si>
    <t>Services rendered for Charishma D for the month of Oct-2014 (6th Oct till 10th Oct)</t>
  </si>
  <si>
    <t>Services rendered for Swaminathan R for the month of Oct-2014</t>
  </si>
  <si>
    <t>Services rendered for Anurag Ankur for the month of Oct-2014</t>
  </si>
  <si>
    <t>Services rendered for Akash Srivastava for the month of Oct-2014</t>
  </si>
  <si>
    <t>Services rendered for Vinankumar B for the month of Oct-2014 (29th Sep till 3rd Oct)</t>
  </si>
  <si>
    <t>Services rendered for Vinankumar B for the month of Oct-2014 (6th Oct till 24th Oct)</t>
  </si>
  <si>
    <t>SOW Signed?</t>
  </si>
  <si>
    <t xml:space="preserve">MA313-0000141070 </t>
  </si>
  <si>
    <t>Services rendered for Offshore ALM team for the month of Oct-2014</t>
  </si>
  <si>
    <t>CTSIN201411130</t>
  </si>
  <si>
    <t xml:space="preserve">Andy Greenhalgh </t>
  </si>
  <si>
    <t>MA313-0000141694</t>
  </si>
  <si>
    <t>Services rendered for Identity Phase 1: Bright Tag Set up and Testing</t>
  </si>
  <si>
    <t>E20141113000007800400393</t>
  </si>
  <si>
    <t>T&amp;E cost of Anjali Mohan for Mongo DB onsite KT.</t>
  </si>
  <si>
    <t>MA313-0000141943</t>
  </si>
  <si>
    <t>MA313-0000141934</t>
  </si>
  <si>
    <t>Credit Note: Identity CR004: Aug-2014</t>
  </si>
  <si>
    <t>MA313-0000141935</t>
  </si>
  <si>
    <t>E20141120000010201344993</t>
  </si>
  <si>
    <t xml:space="preserve">CA for Nov'14 </t>
  </si>
  <si>
    <t xml:space="preserve">Lakshya </t>
  </si>
  <si>
    <r>
      <rPr>
        <b/>
        <sz val="10"/>
        <color theme="3"/>
        <rFont val="Calibri"/>
        <family val="2"/>
        <scheme val="minor"/>
      </rPr>
      <t>To define MS from Nov'14 till Mar'15:</t>
    </r>
    <r>
      <rPr>
        <sz val="10"/>
        <color rgb="FF000000"/>
        <rFont val="Calibri"/>
        <family val="2"/>
        <scheme val="minor"/>
      </rPr>
      <t xml:space="preserve">
</t>
    </r>
    <r>
      <rPr>
        <b/>
        <sz val="10"/>
        <color rgb="FF000000"/>
        <rFont val="Calibri"/>
        <family val="2"/>
        <scheme val="minor"/>
      </rPr>
      <t>Nov'14 MS</t>
    </r>
    <r>
      <rPr>
        <sz val="10"/>
        <color rgb="FF000000"/>
        <rFont val="Calibri"/>
        <family val="2"/>
        <scheme val="minor"/>
      </rPr>
      <t xml:space="preserve">: To define MS of GBP 37,632
</t>
    </r>
    <r>
      <rPr>
        <b/>
        <sz val="10"/>
        <color rgb="FF000000"/>
        <rFont val="Calibri"/>
        <family val="2"/>
        <scheme val="minor"/>
      </rPr>
      <t>Dec'14 MS:</t>
    </r>
    <r>
      <rPr>
        <sz val="10"/>
        <color rgb="FF000000"/>
        <rFont val="Calibri"/>
        <family val="2"/>
        <scheme val="minor"/>
      </rPr>
      <t xml:space="preserve"> To define MS of GBP 50,176
</t>
    </r>
    <r>
      <rPr>
        <b/>
        <sz val="10"/>
        <color rgb="FF000000"/>
        <rFont val="Calibri"/>
        <family val="2"/>
        <scheme val="minor"/>
      </rPr>
      <t>Jan'15 MS:</t>
    </r>
    <r>
      <rPr>
        <sz val="10"/>
        <color rgb="FF000000"/>
        <rFont val="Calibri"/>
        <family val="2"/>
        <scheme val="minor"/>
      </rPr>
      <t xml:space="preserve"> To define MS of GBP 50,176
</t>
    </r>
    <r>
      <rPr>
        <b/>
        <sz val="10"/>
        <color rgb="FF000000"/>
        <rFont val="Calibri"/>
        <family val="2"/>
        <scheme val="minor"/>
      </rPr>
      <t xml:space="preserve">Feb'15 MS: </t>
    </r>
    <r>
      <rPr>
        <sz val="10"/>
        <color rgb="FF000000"/>
        <rFont val="Calibri"/>
        <family val="2"/>
        <scheme val="minor"/>
      </rPr>
      <t xml:space="preserve">To define MS of GBP 62,720
</t>
    </r>
    <r>
      <rPr>
        <b/>
        <sz val="10"/>
        <color rgb="FF000000"/>
        <rFont val="Calibri"/>
        <family val="2"/>
        <scheme val="minor"/>
      </rPr>
      <t xml:space="preserve">Mar'15 MS: </t>
    </r>
    <r>
      <rPr>
        <sz val="10"/>
        <color rgb="FF000000"/>
        <rFont val="Calibri"/>
        <family val="2"/>
        <scheme val="minor"/>
      </rPr>
      <t>To define MS of GBP 12,544</t>
    </r>
  </si>
  <si>
    <t>27th Oct till 31st Oct</t>
  </si>
  <si>
    <t>3rd Nov till 14th Nov</t>
  </si>
  <si>
    <t>Aditya Magotra</t>
  </si>
  <si>
    <t>Nikhil Keni</t>
  </si>
  <si>
    <t>Sandpi Kuruwale</t>
  </si>
  <si>
    <t>Res Name</t>
  </si>
  <si>
    <t>Updated MS: 3,356
New MS: 7,692</t>
  </si>
  <si>
    <t>Original Nov'14 MS</t>
  </si>
  <si>
    <t>New Nov'14 MS</t>
  </si>
  <si>
    <t>Updated Nov'14 MS</t>
  </si>
  <si>
    <t>Amendment=</t>
  </si>
  <si>
    <r>
      <rPr>
        <b/>
        <sz val="10"/>
        <color theme="3"/>
        <rFont val="Calibri"/>
        <family val="2"/>
        <scheme val="minor"/>
      </rPr>
      <t>To reduce existing Nov'14 MS &amp; define 1 additional Nov'14 MS:</t>
    </r>
    <r>
      <rPr>
        <sz val="10"/>
        <color rgb="FF000000"/>
        <rFont val="Calibri"/>
        <family val="2"/>
        <scheme val="minor"/>
      </rPr>
      <t xml:space="preserve">
</t>
    </r>
    <r>
      <rPr>
        <b/>
        <sz val="10"/>
        <rFont val="Calibri"/>
        <family val="2"/>
        <scheme val="minor"/>
      </rPr>
      <t>Nov'14 MS:</t>
    </r>
    <r>
      <rPr>
        <sz val="10"/>
        <color rgb="FF000000"/>
        <rFont val="Calibri"/>
        <family val="2"/>
        <scheme val="minor"/>
      </rPr>
      <t xml:space="preserve"> To reduce existing MS by GBP 644
</t>
    </r>
    <r>
      <rPr>
        <b/>
        <sz val="10"/>
        <rFont val="Calibri"/>
        <family val="2"/>
        <scheme val="minor"/>
      </rPr>
      <t>Nov'14 MS:</t>
    </r>
    <r>
      <rPr>
        <sz val="10"/>
        <color rgb="FF000000"/>
        <rFont val="Calibri"/>
        <family val="2"/>
        <scheme val="minor"/>
      </rPr>
      <t xml:space="preserve"> To define new MS of GBP 7,692</t>
    </r>
  </si>
  <si>
    <t>Reducting in extisting Nov'14 MS</t>
  </si>
  <si>
    <r>
      <rPr>
        <b/>
        <sz val="10"/>
        <color theme="3"/>
        <rFont val="Calibri"/>
        <family val="2"/>
        <scheme val="minor"/>
      </rPr>
      <t>To reduce Nov'14 &amp; Dec'14 MS:</t>
    </r>
    <r>
      <rPr>
        <sz val="10"/>
        <color rgb="FF000000"/>
        <rFont val="Calibri"/>
        <family val="2"/>
        <scheme val="minor"/>
      </rPr>
      <t xml:space="preserve">
</t>
    </r>
    <r>
      <rPr>
        <b/>
        <sz val="10"/>
        <color rgb="FF000000"/>
        <rFont val="Calibri"/>
        <family val="2"/>
        <scheme val="minor"/>
      </rPr>
      <t xml:space="preserve">Nov'14 MS: </t>
    </r>
    <r>
      <rPr>
        <sz val="10"/>
        <color rgb="FF000000"/>
        <rFont val="Calibri"/>
        <family val="2"/>
        <scheme val="minor"/>
      </rPr>
      <t xml:space="preserve">To reduce by GBP 3,632
</t>
    </r>
    <r>
      <rPr>
        <b/>
        <sz val="10"/>
        <color rgb="FF000000"/>
        <rFont val="Calibri"/>
        <family val="2"/>
        <scheme val="minor"/>
      </rPr>
      <t>Dec'14 MS:</t>
    </r>
    <r>
      <rPr>
        <sz val="10"/>
        <color rgb="FF000000"/>
        <rFont val="Calibri"/>
        <family val="2"/>
        <scheme val="minor"/>
      </rPr>
      <t xml:space="preserve"> To reduce by GBP 20,465.6</t>
    </r>
  </si>
  <si>
    <r>
      <rPr>
        <b/>
        <sz val="10"/>
        <color theme="3"/>
        <rFont val="Calibri"/>
        <family val="2"/>
        <scheme val="minor"/>
      </rPr>
      <t>To define Nov'14 &amp; Dec'14 MS:</t>
    </r>
    <r>
      <rPr>
        <sz val="10"/>
        <color rgb="FF000000"/>
        <rFont val="Calibri"/>
        <family val="2"/>
        <scheme val="minor"/>
      </rPr>
      <t xml:space="preserve">
</t>
    </r>
    <r>
      <rPr>
        <b/>
        <sz val="10"/>
        <color rgb="FF000000"/>
        <rFont val="Calibri"/>
        <family val="2"/>
        <scheme val="minor"/>
      </rPr>
      <t xml:space="preserve">Nov'14 MS: </t>
    </r>
    <r>
      <rPr>
        <sz val="10"/>
        <color rgb="FF000000"/>
        <rFont val="Calibri"/>
        <family val="2"/>
        <scheme val="minor"/>
      </rPr>
      <t xml:space="preserve">To define MS of GBP 22,497
</t>
    </r>
    <r>
      <rPr>
        <b/>
        <sz val="10"/>
        <color rgb="FF000000"/>
        <rFont val="Calibri"/>
        <family val="2"/>
        <scheme val="minor"/>
      </rPr>
      <t>Dec'14 MS:</t>
    </r>
    <r>
      <rPr>
        <sz val="10"/>
        <color rgb="FF000000"/>
        <rFont val="Calibri"/>
        <family val="2"/>
        <scheme val="minor"/>
      </rPr>
      <t xml:space="preserve"> To define MS of GBP 28,496.2</t>
    </r>
  </si>
  <si>
    <r>
      <rPr>
        <b/>
        <sz val="10"/>
        <color theme="3"/>
        <rFont val="Calibri"/>
        <family val="2"/>
        <scheme val="minor"/>
      </rPr>
      <t xml:space="preserve">To define Nov'14, Dec'14 &amp; Jan'15 MS's:
</t>
    </r>
    <r>
      <rPr>
        <b/>
        <sz val="10"/>
        <rFont val="Calibri"/>
        <family val="2"/>
        <scheme val="minor"/>
      </rPr>
      <t>Nov'14 MS</t>
    </r>
    <r>
      <rPr>
        <b/>
        <sz val="10"/>
        <color rgb="FF000000"/>
        <rFont val="Calibri"/>
        <family val="2"/>
        <scheme val="minor"/>
      </rPr>
      <t>:</t>
    </r>
    <r>
      <rPr>
        <sz val="10"/>
        <color rgb="FF000000"/>
        <rFont val="Calibri"/>
        <family val="2"/>
        <scheme val="minor"/>
      </rPr>
      <t xml:space="preserve"> To define MS of GBP 29,445
</t>
    </r>
    <r>
      <rPr>
        <b/>
        <sz val="10"/>
        <color rgb="FF000000"/>
        <rFont val="Calibri"/>
        <family val="2"/>
        <scheme val="minor"/>
      </rPr>
      <t>Dec'14 MS:</t>
    </r>
    <r>
      <rPr>
        <sz val="10"/>
        <color rgb="FF000000"/>
        <rFont val="Calibri"/>
        <family val="2"/>
        <scheme val="minor"/>
      </rPr>
      <t xml:space="preserve">  To define MS of GBP 23,556
</t>
    </r>
    <r>
      <rPr>
        <b/>
        <sz val="10"/>
        <color rgb="FF000000"/>
        <rFont val="Calibri"/>
        <family val="2"/>
        <scheme val="minor"/>
      </rPr>
      <t xml:space="preserve">Jan'15 MS:   </t>
    </r>
    <r>
      <rPr>
        <sz val="10"/>
        <color rgb="FF000000"/>
        <rFont val="Calibri"/>
        <family val="2"/>
        <scheme val="minor"/>
      </rPr>
      <t>To define MS of GBP 5,889</t>
    </r>
  </si>
  <si>
    <t>avani Nov</t>
  </si>
  <si>
    <t>avani Dec</t>
  </si>
  <si>
    <t>karma nov</t>
  </si>
  <si>
    <t xml:space="preserve">Karma billing: </t>
  </si>
  <si>
    <t>2 resources for 1 week (24th till 28th Nov)</t>
  </si>
  <si>
    <t>Services rendered for Webtrends team for the month of Sep-2014.</t>
  </si>
  <si>
    <t>MA313-0000143029</t>
  </si>
  <si>
    <t>MA313-0000143031</t>
  </si>
  <si>
    <t>50-05</t>
  </si>
  <si>
    <t>50-06</t>
  </si>
  <si>
    <t>NEW COST CENTRES</t>
  </si>
  <si>
    <t>OLD COST CENTRES</t>
  </si>
  <si>
    <t xml:space="preserve">Digital Experience </t>
  </si>
  <si>
    <t>Rajeev A</t>
  </si>
  <si>
    <t>Services rendered for Offshore ALM team for the month of Nov-2014</t>
  </si>
  <si>
    <t>Team?</t>
  </si>
  <si>
    <t xml:space="preserve">MA313-0000144238 </t>
  </si>
  <si>
    <t>MA313-0000144239</t>
  </si>
  <si>
    <t>MA313-0000144240</t>
  </si>
  <si>
    <t>MA313-0000144241</t>
  </si>
  <si>
    <t>MA313-0000144242</t>
  </si>
  <si>
    <t>MA313-0000144243</t>
  </si>
  <si>
    <t>MA313-0000144244</t>
  </si>
  <si>
    <t>MA313-0000144245</t>
  </si>
  <si>
    <t>Charges for Karma team for the month of Nov-2014 (27th Oct till 31st Oct)</t>
  </si>
  <si>
    <t>Charges for Tactical changes team: OM for the month of Nov-2014</t>
  </si>
  <si>
    <t>Charges for Tactical changes team: AVANI for the month of Nov-2014</t>
  </si>
  <si>
    <t>Charges for Tech Debt Changes team (Himalay) for the month of Nov-2014</t>
  </si>
  <si>
    <t>Charges for Lakshya team for the month of Nov-2014</t>
  </si>
  <si>
    <t>Charges for Surya team for the month of Nov-2014 (10th Nov till 28th Nov)</t>
  </si>
  <si>
    <t>Charges for Karma team for the month of Nov-2014 (3rd Nov till 14th Nov)</t>
  </si>
  <si>
    <t>Charges for International search work team (Yuga) for the month of Nov-2014</t>
  </si>
  <si>
    <t xml:space="preserve">MA313-0000144276 </t>
  </si>
  <si>
    <t xml:space="preserve">MA313-0000144277 </t>
  </si>
  <si>
    <t>MA313-0000144278</t>
  </si>
  <si>
    <t>MA313-0000144279</t>
  </si>
  <si>
    <t>MA313-0000144280</t>
  </si>
  <si>
    <t>MA313-0000144281</t>
  </si>
  <si>
    <t>MA313-0000144282</t>
  </si>
  <si>
    <t>MA313-0000144283</t>
  </si>
  <si>
    <t>MA313-0000144284</t>
  </si>
  <si>
    <t>MA313-0000144285</t>
  </si>
  <si>
    <t>MA313-0000144286</t>
  </si>
  <si>
    <t>MA313-0000144287</t>
  </si>
  <si>
    <t>Services rendered for ITIS Support Team for the month of Nov-2014</t>
  </si>
  <si>
    <t>Services rendered for Third Rock India Team for the month of Nov-2014</t>
  </si>
  <si>
    <t>Services rendered for Yusuf Jamali for the month of Nov-2014</t>
  </si>
  <si>
    <t>Services rendered for Raman for the month of Nov-2014 (27th Oct till 7th Nov)</t>
  </si>
  <si>
    <t>Services rendered for Salil for the month of Nov-2014 (27th Oct till 31st Oct)</t>
  </si>
  <si>
    <t>Services rendered for Salil for the month of Nov-2014 (3rd Nov till 28th Nov)</t>
  </si>
  <si>
    <t>Services rendered for Prabakaran for the month of Nov-2014</t>
  </si>
  <si>
    <t>Services rendered for Jai Ganesh for the month of Nov-2014</t>
  </si>
  <si>
    <t>Services rendered for Charishma D for the month of Nov-2014 (27th Oct till 31st Oct)</t>
  </si>
  <si>
    <t>Services rendered for Raman for the month of Nov-2014 (10th Nov till 28th Nov)</t>
  </si>
  <si>
    <t>Services rendered for Adarsh for the month of Nov-2014 (27th Oct till 31st Oct)</t>
  </si>
  <si>
    <t>Services rendered for Milan for the month of Nov-2014</t>
  </si>
  <si>
    <t>MA313-0000144304</t>
  </si>
  <si>
    <t xml:space="preserve">MA313-0000144310 </t>
  </si>
  <si>
    <t>MA313-0000144311</t>
  </si>
  <si>
    <t>MA313-0000144312</t>
  </si>
  <si>
    <t>MA313-0000144313</t>
  </si>
  <si>
    <t>MA313-0000144314</t>
  </si>
  <si>
    <t>MA313-0000144315</t>
  </si>
  <si>
    <t>MA313-0000144316</t>
  </si>
  <si>
    <t>Services rendered for China Mule Support for the month of Nov-2014</t>
  </si>
  <si>
    <t>Services rendered for China L1 Support team for the month of Nov-2014</t>
  </si>
  <si>
    <t>Services rendered for Ecommerce Integration Testing for the month of Nov-2014</t>
  </si>
  <si>
    <t>Services rendered for Netsuite Customization Support team for the month of Nov-2014</t>
  </si>
  <si>
    <t>Services rendered for China Mule Support for the month of Nov-2014 (3rd Nov till 28th Nov)</t>
  </si>
  <si>
    <t>Services rendered for China Mule Support for the month of Nov-2014 (27th Oct till 31st Oct)</t>
  </si>
  <si>
    <t xml:space="preserve">MA313-0000144339 </t>
  </si>
  <si>
    <t xml:space="preserve">MA313-0000144340 </t>
  </si>
  <si>
    <t>MA313-0000144341</t>
  </si>
  <si>
    <t>MA313-0000144342</t>
  </si>
  <si>
    <t>MA313-0000144343</t>
  </si>
  <si>
    <t>MA313-0000144344</t>
  </si>
  <si>
    <t>Services rendered for Vinanaykumar B for the month of Nov-2014</t>
  </si>
  <si>
    <t>Services rendered for Bharatesh P for the month of Nov-2014</t>
  </si>
  <si>
    <t>Services rendered for Akash Srivastava for the month of Nov-2014</t>
  </si>
  <si>
    <t>Services rendered for Swaminathan R for the month of Nov-2014</t>
  </si>
  <si>
    <t>Services rendered for Arun Kumar for the month of Nov-2014</t>
  </si>
  <si>
    <t>Services rendered for Anurag Ankur for the month of Nov-2014</t>
  </si>
  <si>
    <t>Charges for Surya team for the month of Nov-2014 (27th Oct till 7th Nov)</t>
  </si>
  <si>
    <t>MA313-0000144748</t>
  </si>
  <si>
    <t>E20141204000009501459902</t>
  </si>
  <si>
    <t>CTSIN201412137</t>
  </si>
  <si>
    <t>Republic Day</t>
  </si>
  <si>
    <t>Ganesh Choturthi</t>
  </si>
  <si>
    <t>Bakrid / Idul Juha</t>
  </si>
  <si>
    <t xml:space="preserve"> Dussera</t>
  </si>
  <si>
    <t>Muharram / Vijayadasami</t>
  </si>
  <si>
    <t>Diwali / Kali Puja</t>
  </si>
  <si>
    <t xml:space="preserve">Christmas </t>
  </si>
  <si>
    <t>CTSGB201501005</t>
  </si>
  <si>
    <t>E20141204000009501459903</t>
  </si>
  <si>
    <t>CTSGB201501007</t>
  </si>
  <si>
    <t xml:space="preserve">China Based Day Rates </t>
  </si>
  <si>
    <t>E20141211000009200146750</t>
  </si>
  <si>
    <t xml:space="preserve">China Based Day Rates (on Time and Materials) </t>
  </si>
  <si>
    <t>Project Management Charges</t>
  </si>
  <si>
    <t>Testing Charges</t>
  </si>
  <si>
    <t>ITIS Charges</t>
  </si>
  <si>
    <t>Early May bank holiday</t>
  </si>
  <si>
    <t>Spring bank holiday</t>
  </si>
  <si>
    <t>Summer bank holiday</t>
  </si>
  <si>
    <t xml:space="preserve">Boxing Day </t>
  </si>
  <si>
    <t xml:space="preserve">Holiday Calendar-2015 </t>
  </si>
  <si>
    <t xml:space="preserve">Type of Holiday </t>
  </si>
  <si>
    <t>Holiday Arrangement</t>
  </si>
  <si>
    <t xml:space="preserve">Holiday Arrangement Details </t>
  </si>
  <si>
    <t>New Year</t>
  </si>
  <si>
    <t>Jan.1st-Jan.3rd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</si>
  <si>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Arial"/>
        <family val="2"/>
      </rPr>
      <t>Jan.1st :  Thursday, statutory holiday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</si>
  <si>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Arial"/>
        <family val="2"/>
      </rPr>
      <t>Jan.2nd :  Friday, shift with Jan.4th (Sunday)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</si>
  <si>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Arial"/>
        <family val="2"/>
      </rPr>
      <t>Jan.3rd :  Saturday, normal weekend day off</t>
    </r>
  </si>
  <si>
    <t>Feb.18th-Feb.24th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</si>
  <si>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Arial"/>
        <family val="2"/>
      </rPr>
      <t>Feb.18th-Feb.20th : Wednesday to Friday, statutory holidays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</si>
  <si>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Arial"/>
        <family val="2"/>
      </rPr>
      <t>Feb.21st-Feb.22nd : Saturday to Sunday, normal weekend day off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</si>
  <si>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Arial"/>
        <family val="2"/>
      </rPr>
      <t>Feb.23rd : Monday, shift with Feb.15th (Sunday)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</si>
  <si>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Arial"/>
        <family val="2"/>
      </rPr>
      <t>Feb.24th : Tuesday, shift with Feb.28th (Saturday)</t>
    </r>
  </si>
  <si>
    <t> Tomb-sweeping Day</t>
  </si>
  <si>
    <t>Apr.4th-Apr.6th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</si>
  <si>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Arial"/>
        <family val="2"/>
      </rPr>
      <t>Apr.4th : Saturday, normal weekend day off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</si>
  <si>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Arial"/>
        <family val="2"/>
      </rPr>
      <t>Apr.5th : Sunday, statutory holiday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</si>
  <si>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Arial"/>
        <family val="2"/>
      </rPr>
      <t>Apr.6th : Monday, shift with Apr.5th (Holiday which falls on weekend)</t>
    </r>
  </si>
  <si>
    <t>International Labor Day</t>
  </si>
  <si>
    <t>May.1st-May.3rd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</si>
  <si>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Arial"/>
        <family val="2"/>
      </rPr>
      <t>May.1st : Friday, statutory holiday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</si>
  <si>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Arial"/>
        <family val="2"/>
      </rPr>
      <t>May.2nd-May.3rd : Saturday to Sunday, normal weekend day off</t>
    </r>
  </si>
  <si>
    <t>Jun.20th-Jun.22nd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</si>
  <si>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Arial"/>
        <family val="2"/>
      </rPr>
      <t>Jun.20th : Saturday, statutory holiday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</si>
  <si>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Arial"/>
        <family val="2"/>
      </rPr>
      <t>Jun.21st : Sunday, normal weekend day off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</si>
  <si>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Arial"/>
        <family val="2"/>
      </rPr>
      <t>Jun.22nd : Monday, shift with Jun.20th (Holiday which falls on weekend)</t>
    </r>
  </si>
  <si>
    <t>Mid-autumn Festival</t>
  </si>
  <si>
    <t>Sep.27th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</si>
  <si>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Arial"/>
        <family val="2"/>
      </rPr>
      <t>Sep.27th : Sunday, statutory holiday</t>
    </r>
  </si>
  <si>
    <t>Oct.1st-Oct.7th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</si>
  <si>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Arial"/>
        <family val="2"/>
      </rPr>
      <t>Oct.1st-Oct.3rd : Thursday to Saturday, statutory holiday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</si>
  <si>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Arial"/>
        <family val="2"/>
      </rPr>
      <t>Oct.4th : Sunday, normal weekend day off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</si>
  <si>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Arial"/>
        <family val="2"/>
      </rPr>
      <t>Oct.5th : Monday, shift with Oct.3rd (Holiday which falls on weekend)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</si>
  <si>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Arial"/>
        <family val="2"/>
      </rPr>
      <t>Oct.6th : Tuesday, shift with Sep.27th (Holiday which falls on weekend)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</si>
  <si>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9"/>
        <color theme="1"/>
        <rFont val="Arial"/>
        <family val="2"/>
      </rPr>
      <t>Oct.7th : Wednesday, shift with Oct.10th (Saturday)</t>
    </r>
  </si>
  <si>
    <t>Easter Monday/Tomb-sweeping Day</t>
  </si>
  <si>
    <t>May Day/ Labor Day</t>
  </si>
  <si>
    <t>Gandhi Jayanti/National Day</t>
  </si>
  <si>
    <t>2015 Holiday Arrangement : CHINA</t>
  </si>
  <si>
    <t>TOTAL</t>
  </si>
  <si>
    <t xml:space="preserve">CA for Dec'14 </t>
  </si>
  <si>
    <t>weekly</t>
  </si>
  <si>
    <r>
      <rPr>
        <b/>
        <sz val="10"/>
        <color rgb="FF000000"/>
        <rFont val="Calibri"/>
        <family val="2"/>
        <scheme val="minor"/>
      </rPr>
      <t>Dec'14 MS:</t>
    </r>
    <r>
      <rPr>
        <sz val="10"/>
        <color rgb="FF000000"/>
        <rFont val="Calibri"/>
        <family val="2"/>
        <scheme val="minor"/>
      </rPr>
      <t xml:space="preserve">  To reduce MS by GBP 1,177.8
</t>
    </r>
    <r>
      <rPr>
        <b/>
        <sz val="10"/>
        <color rgb="FF000000"/>
        <rFont val="Calibri"/>
        <family val="2"/>
        <scheme val="minor"/>
      </rPr>
      <t xml:space="preserve">Jan'15 MS:   </t>
    </r>
    <r>
      <rPr>
        <sz val="10"/>
        <color rgb="FF000000"/>
        <rFont val="Calibri"/>
        <family val="2"/>
        <scheme val="minor"/>
      </rPr>
      <t>To reduce MS by GBP 1,177.8</t>
    </r>
  </si>
  <si>
    <t>Updated MS: 
GBP 4,711.2</t>
  </si>
  <si>
    <r>
      <t xml:space="preserve">Jan'15 MS: </t>
    </r>
    <r>
      <rPr>
        <sz val="10"/>
        <color theme="1"/>
        <rFont val="Calibri"/>
        <family val="2"/>
        <scheme val="minor"/>
      </rPr>
      <t>To define New MS of GBP 17,667</t>
    </r>
    <r>
      <rPr>
        <b/>
        <sz val="10"/>
        <color theme="1"/>
        <rFont val="Calibri"/>
        <family val="2"/>
        <scheme val="minor"/>
      </rPr>
      <t xml:space="preserve">
Feb'15 MS: </t>
    </r>
    <r>
      <rPr>
        <sz val="10"/>
        <color theme="1"/>
        <rFont val="Calibri"/>
        <family val="2"/>
        <scheme val="minor"/>
      </rPr>
      <t>To define New MS of GBP 29,445</t>
    </r>
    <r>
      <rPr>
        <b/>
        <sz val="10"/>
        <color theme="1"/>
        <rFont val="Calibri"/>
        <family val="2"/>
        <scheme val="minor"/>
      </rPr>
      <t xml:space="preserve">
Mar'15 MS: </t>
    </r>
    <r>
      <rPr>
        <sz val="10"/>
        <color theme="1"/>
        <rFont val="Calibri"/>
        <family val="2"/>
        <scheme val="minor"/>
      </rPr>
      <t>To define New MS of GBP 23,556</t>
    </r>
    <r>
      <rPr>
        <b/>
        <sz val="10"/>
        <color theme="1"/>
        <rFont val="Calibri"/>
        <family val="2"/>
        <scheme val="minor"/>
      </rPr>
      <t xml:space="preserve">
Apr'15 MS: </t>
    </r>
    <r>
      <rPr>
        <sz val="10"/>
        <color theme="1"/>
        <rFont val="Calibri"/>
        <family val="2"/>
        <scheme val="minor"/>
      </rPr>
      <t>To define New MS of GBP 5,889</t>
    </r>
  </si>
  <si>
    <t>Updated MS:
GBP 22,378.2</t>
  </si>
  <si>
    <t>1 day</t>
  </si>
  <si>
    <r>
      <rPr>
        <b/>
        <sz val="10"/>
        <color rgb="FF000000"/>
        <rFont val="Calibri"/>
        <family val="2"/>
        <scheme val="minor"/>
      </rPr>
      <t xml:space="preserve">Dec'14 MS: </t>
    </r>
    <r>
      <rPr>
        <sz val="10"/>
        <color rgb="FF000000"/>
        <rFont val="Calibri"/>
        <family val="2"/>
        <scheme val="minor"/>
      </rPr>
      <t>To define MS of GBP 1,620</t>
    </r>
  </si>
  <si>
    <r>
      <rPr>
        <b/>
        <sz val="10"/>
        <color rgb="FF000000"/>
        <rFont val="Calibri"/>
        <family val="2"/>
        <scheme val="minor"/>
      </rPr>
      <t>Dec'14 MS:</t>
    </r>
    <r>
      <rPr>
        <sz val="10"/>
        <color rgb="FF000000"/>
        <rFont val="Calibri"/>
        <family val="2"/>
        <scheme val="minor"/>
      </rPr>
      <t xml:space="preserve"> To define MS of GBP 11,197.8
</t>
    </r>
    <r>
      <rPr>
        <b/>
        <sz val="10"/>
        <color rgb="FF000000"/>
        <rFont val="Calibri"/>
        <family val="2"/>
        <scheme val="minor"/>
      </rPr>
      <t>Jan'15 MS:</t>
    </r>
    <r>
      <rPr>
        <sz val="10"/>
        <color rgb="FF000000"/>
        <rFont val="Calibri"/>
        <family val="2"/>
        <scheme val="minor"/>
      </rPr>
      <t xml:space="preserve"> To define MS of GBP 24,884</t>
    </r>
    <r>
      <rPr>
        <b/>
        <sz val="10"/>
        <color rgb="FF000000"/>
        <rFont val="Calibri"/>
        <family val="2"/>
        <scheme val="minor"/>
      </rPr>
      <t xml:space="preserve">
Feb'15 MS: </t>
    </r>
    <r>
      <rPr>
        <sz val="10"/>
        <color rgb="FF000000"/>
        <rFont val="Calibri"/>
        <family val="2"/>
        <scheme val="minor"/>
      </rPr>
      <t>To define MS of GBP</t>
    </r>
    <r>
      <rPr>
        <b/>
        <sz val="10"/>
        <color rgb="FF000000"/>
        <rFont val="Calibri"/>
        <family val="2"/>
        <scheme val="minor"/>
      </rPr>
      <t xml:space="preserve"> </t>
    </r>
    <r>
      <rPr>
        <sz val="10"/>
        <color rgb="FF000000"/>
        <rFont val="Calibri"/>
        <family val="2"/>
        <scheme val="minor"/>
      </rPr>
      <t>36,135</t>
    </r>
    <r>
      <rPr>
        <b/>
        <sz val="10"/>
        <color rgb="FF000000"/>
        <rFont val="Calibri"/>
        <family val="2"/>
        <scheme val="minor"/>
      </rPr>
      <t xml:space="preserve">
Mar'15 MS:</t>
    </r>
    <r>
      <rPr>
        <sz val="10"/>
        <color rgb="FF000000"/>
        <rFont val="Calibri"/>
        <family val="2"/>
        <scheme val="minor"/>
      </rPr>
      <t xml:space="preserve"> To define MS of GBP 29,914</t>
    </r>
    <r>
      <rPr>
        <b/>
        <sz val="10"/>
        <color rgb="FF000000"/>
        <rFont val="Calibri"/>
        <family val="2"/>
        <scheme val="minor"/>
      </rPr>
      <t xml:space="preserve">
Apr'15 MS: </t>
    </r>
    <r>
      <rPr>
        <sz val="10"/>
        <color rgb="FF000000"/>
        <rFont val="Calibri"/>
        <family val="2"/>
        <scheme val="minor"/>
      </rPr>
      <t>To define MS of GBP 2,994.4</t>
    </r>
  </si>
  <si>
    <t>Dec'14 MS</t>
  </si>
  <si>
    <t>DB</t>
  </si>
  <si>
    <t>ME</t>
  </si>
  <si>
    <t>LEAD DB</t>
  </si>
  <si>
    <t>ODM</t>
  </si>
  <si>
    <r>
      <rPr>
        <b/>
        <sz val="10"/>
        <color rgb="FF000000"/>
        <rFont val="Calibri"/>
        <family val="2"/>
        <scheme val="minor"/>
      </rPr>
      <t>Dec'14 MS:</t>
    </r>
    <r>
      <rPr>
        <sz val="10"/>
        <color rgb="FF000000"/>
        <rFont val="Calibri"/>
        <family val="2"/>
        <scheme val="minor"/>
      </rPr>
      <t xml:space="preserve"> To reduce MS by GBP 4,119.8</t>
    </r>
  </si>
  <si>
    <t>Updated MS:
GBP 46,056.2</t>
  </si>
  <si>
    <t>E20141219000013007049850</t>
  </si>
  <si>
    <t>Lakshya team working for Dec'14</t>
  </si>
  <si>
    <t>No of positions</t>
  </si>
  <si>
    <t>Dec'14 billing</t>
  </si>
  <si>
    <t>Total for Dec</t>
  </si>
  <si>
    <t>4 week billing without changes</t>
  </si>
  <si>
    <t>Difference coz of holidays and leaves</t>
  </si>
  <si>
    <t>Lakshya/Integration Team</t>
  </si>
  <si>
    <t>MA313-0000146574</t>
  </si>
  <si>
    <t>Charges for Tactical changes team: OM for the month of Dec-2014</t>
  </si>
  <si>
    <t>MA313-0000146575</t>
  </si>
  <si>
    <t>Charges for Tactical changes team: AVANI for the month of Dec-2014 (1st Dec till 12th Dec)</t>
  </si>
  <si>
    <t>MA313-0000146576</t>
  </si>
  <si>
    <t>Charges for Tech Debt Changes team (Himalay) for the month of Dec-2014</t>
  </si>
  <si>
    <t>MA313-0000146577</t>
  </si>
  <si>
    <t>Charges for Lakshya team for the month of Dec-2014</t>
  </si>
  <si>
    <t>MA313-0000146578</t>
  </si>
  <si>
    <t>Charges for Surya team for the month of Dec-2014 (1st Dec till 23rd Dec)</t>
  </si>
  <si>
    <t>MA313-0000146579</t>
  </si>
  <si>
    <t>Charges for Tactical changes team: AVANI for the month of Dec-2014 (15th Dec till 26th Dec)</t>
  </si>
  <si>
    <t>MA313-0000146580</t>
  </si>
  <si>
    <t>Charges for Karma team for the month of Dec-2014 (1 week efforts in Nov-2014)</t>
  </si>
  <si>
    <t>MA313-0000146584</t>
  </si>
  <si>
    <t>Charges for International search work team (Yuga) for the month of Dec-2014</t>
  </si>
  <si>
    <t>T&amp;E cost of Sneha Gurjar for IT IS Support activities at onsite.</t>
  </si>
  <si>
    <t>MA313-0000146630</t>
  </si>
  <si>
    <t>Services rendered for ITIS Support Team for the month of Dec-2014</t>
  </si>
  <si>
    <t>T&amp;E expenses for Kaushik Majithia for Mid-Tier Russia and DTS Express Production release and project handover activities.</t>
  </si>
  <si>
    <t>MA313-0000146724</t>
  </si>
  <si>
    <t xml:space="preserve">MA313-0000147054 </t>
  </si>
  <si>
    <t>MA313-0000147055</t>
  </si>
  <si>
    <t>MA313-0000147056</t>
  </si>
  <si>
    <t>MA313-0000147057</t>
  </si>
  <si>
    <t>MA313-0000147058</t>
  </si>
  <si>
    <t>MA313-0000147059</t>
  </si>
  <si>
    <t>MA313-0000147060</t>
  </si>
  <si>
    <t>MA313-0000147061</t>
  </si>
  <si>
    <t>MA313-0000147062</t>
  </si>
  <si>
    <t>MA313-0000147063</t>
  </si>
  <si>
    <t>Services rendered for Prabakaran for the month of Dec-2014</t>
  </si>
  <si>
    <t>Services rendered for Milan for the month of Dec-2014</t>
  </si>
  <si>
    <t>Services rendered for Charishma D for the month of Dec-2014</t>
  </si>
  <si>
    <t>Services rendered for Raman for the month of Dec-2014</t>
  </si>
  <si>
    <t>Services rendered for Jai Ganesh for the month of Dec-2014</t>
  </si>
  <si>
    <t>Services rendered for Third Rock India Team for the month of Dec-2014</t>
  </si>
  <si>
    <t>Services rendered for Salil for the month of Dec-2014</t>
  </si>
  <si>
    <t>Services rendered for Ishan Sharma for the month of Dec-2014</t>
  </si>
  <si>
    <t>Charmaine Ching</t>
  </si>
  <si>
    <t>Services rendered for Yusuf Jamali for the month of Dec-2014</t>
  </si>
  <si>
    <t xml:space="preserve">MA313-0000147105 </t>
  </si>
  <si>
    <t>Services rendered for Offshore ALM team for the month of Dec-2014</t>
  </si>
  <si>
    <t>MA313-0000147119</t>
  </si>
  <si>
    <t>Services rendered for Ecommerce Integration Testing for the month of Dec-2014</t>
  </si>
  <si>
    <t>Services rendered for China L1 Support team for the month of Dec-2014</t>
  </si>
  <si>
    <t>MA313-0000147120</t>
  </si>
  <si>
    <t>MA313-0000147121</t>
  </si>
  <si>
    <t>Services rendered for China Mule Support for the month of Dec-2014 (1st Dec till 5th Dec)</t>
  </si>
  <si>
    <t>MA313-0000147122</t>
  </si>
  <si>
    <t>MA313-0000147123</t>
  </si>
  <si>
    <t>MA313-0000147124</t>
  </si>
  <si>
    <t>Services rendered for China Mule Support for the month of Dec-2014 (17th Dec till 26th Dec)</t>
  </si>
  <si>
    <t>Services rendered for Netsuite Customization Support team for the month of Dec-2014</t>
  </si>
  <si>
    <t>Services rendered for China Mule Support for the month of Dec-2014</t>
  </si>
  <si>
    <t>MA313-0000147486</t>
  </si>
  <si>
    <t>Services rendered for Bharatesh P for the month of Dec-2014</t>
  </si>
  <si>
    <t>MA313-0000147487</t>
  </si>
  <si>
    <t>Services rendered for Swaminathan R for the month of Dec-2014</t>
  </si>
  <si>
    <t>MA313-0000147488</t>
  </si>
  <si>
    <t>Services rendered for Anurag Ankur for the month of Dec-2014</t>
  </si>
  <si>
    <t>MA313-0000147489</t>
  </si>
  <si>
    <t>Services rendered for Akash Srivastava for the month of Dec-2014</t>
  </si>
  <si>
    <t>MA313-0000147490</t>
  </si>
  <si>
    <t>Services rendered for Arun Kumar for the month of Dec-2014</t>
  </si>
  <si>
    <t>Discount Mapping,Negated</t>
  </si>
  <si>
    <t>Discount Credit Memo</t>
  </si>
  <si>
    <t>Discount Project Id</t>
  </si>
  <si>
    <t>MA313-0000138153</t>
  </si>
  <si>
    <t>MA313-0000138152</t>
  </si>
  <si>
    <t>MA313-0000138156</t>
  </si>
  <si>
    <t>MA313-0000138154</t>
  </si>
  <si>
    <t>MA313-0000138157</t>
  </si>
  <si>
    <t>MA313-0000138158</t>
  </si>
  <si>
    <t>MA313-0000141501</t>
  </si>
  <si>
    <t>MA313-0000141502</t>
  </si>
  <si>
    <t>MA313-0000145285</t>
  </si>
  <si>
    <t>MA313-0000145286</t>
  </si>
  <si>
    <t>MA313-0000145287</t>
  </si>
  <si>
    <t>MA313-0000145288</t>
  </si>
  <si>
    <t>MA313-0000148262</t>
  </si>
  <si>
    <t>MA313-0000148264</t>
  </si>
  <si>
    <t>MA313-0000146716</t>
  </si>
  <si>
    <t xml:space="preserve">Amount in GBP (without VAT) 
</t>
  </si>
  <si>
    <t>CTSIN201502015</t>
  </si>
  <si>
    <t>Lakshya team working for Jan'15</t>
  </si>
  <si>
    <t>amol</t>
  </si>
  <si>
    <t>Jan'15 billing</t>
  </si>
  <si>
    <t>bharat: On</t>
  </si>
  <si>
    <t>bharat: Off</t>
  </si>
  <si>
    <t>vijin</t>
  </si>
  <si>
    <t>pradeep</t>
  </si>
  <si>
    <t>imran &amp; prashant</t>
  </si>
  <si>
    <t>mahesh</t>
  </si>
  <si>
    <t>prachi &amp; amit</t>
  </si>
  <si>
    <t>abhith &amp; shian</t>
  </si>
  <si>
    <t>suhas</t>
  </si>
  <si>
    <t>19 days</t>
  </si>
  <si>
    <t>billed days</t>
  </si>
  <si>
    <t>488 * 20</t>
  </si>
  <si>
    <t>Bharat's billing</t>
  </si>
  <si>
    <t>Decreament coz of holidays and leaves of Bharat &amp; Amol</t>
  </si>
  <si>
    <t>E20150115000007803028040</t>
  </si>
  <si>
    <t>Invoice value</t>
  </si>
  <si>
    <t>PO Amount</t>
  </si>
  <si>
    <t>Amount invoiced</t>
  </si>
  <si>
    <t>Savings in PO</t>
  </si>
  <si>
    <t>NO PO</t>
  </si>
  <si>
    <t>Identity team biling for entire duration.</t>
  </si>
  <si>
    <t>TOTAL BILLING FOR IDENTITY PROGRAM</t>
  </si>
  <si>
    <t xml:space="preserve">CA for Jan'15 </t>
  </si>
  <si>
    <r>
      <rPr>
        <b/>
        <sz val="10"/>
        <color rgb="FF000000"/>
        <rFont val="Calibri"/>
        <family val="2"/>
        <scheme val="minor"/>
      </rPr>
      <t>Jan'15 MS:</t>
    </r>
    <r>
      <rPr>
        <sz val="10"/>
        <color rgb="FF000000"/>
        <rFont val="Calibri"/>
        <family val="2"/>
        <scheme val="minor"/>
      </rPr>
      <t xml:space="preserve"> To reduce MS by GBP 1,244.20</t>
    </r>
  </si>
  <si>
    <r>
      <rPr>
        <b/>
        <sz val="10"/>
        <color rgb="FF000000"/>
        <rFont val="Calibri"/>
        <family val="2"/>
        <scheme val="minor"/>
      </rPr>
      <t>Jan'15 MS:</t>
    </r>
    <r>
      <rPr>
        <sz val="10"/>
        <color rgb="FF000000"/>
        <rFont val="Calibri"/>
        <family val="2"/>
        <scheme val="minor"/>
      </rPr>
      <t xml:space="preserve"> To reduce MS by GBP 1,353.70</t>
    </r>
  </si>
  <si>
    <r>
      <rPr>
        <b/>
        <sz val="10"/>
        <color rgb="FF000000"/>
        <rFont val="Calibri"/>
        <family val="2"/>
        <scheme val="minor"/>
      </rPr>
      <t>Jan'15 MS:</t>
    </r>
    <r>
      <rPr>
        <sz val="10"/>
        <color rgb="FF000000"/>
        <rFont val="Calibri"/>
        <family val="2"/>
        <scheme val="minor"/>
      </rPr>
      <t xml:space="preserve"> To reduce MS by GBP 6,217.80</t>
    </r>
  </si>
  <si>
    <r>
      <rPr>
        <b/>
        <sz val="10"/>
        <rFont val="Calibri"/>
        <family val="2"/>
        <scheme val="minor"/>
      </rPr>
      <t xml:space="preserve">New MS: </t>
    </r>
    <r>
      <rPr>
        <sz val="10"/>
        <rFont val="Calibri"/>
        <family val="2"/>
        <scheme val="minor"/>
      </rPr>
      <t>GBP 23,639.80</t>
    </r>
  </si>
  <si>
    <r>
      <rPr>
        <b/>
        <sz val="10"/>
        <rFont val="Calibri"/>
        <family val="2"/>
        <scheme val="minor"/>
      </rPr>
      <t>New MS:</t>
    </r>
    <r>
      <rPr>
        <sz val="10"/>
        <rFont val="Calibri"/>
        <family val="2"/>
        <scheme val="minor"/>
      </rPr>
      <t xml:space="preserve"> GBP 25,720.30</t>
    </r>
  </si>
  <si>
    <r>
      <rPr>
        <b/>
        <sz val="10"/>
        <rFont val="Calibri"/>
        <family val="2"/>
        <scheme val="minor"/>
      </rPr>
      <t>New MS:</t>
    </r>
    <r>
      <rPr>
        <sz val="10"/>
        <rFont val="Calibri"/>
        <family val="2"/>
        <scheme val="minor"/>
      </rPr>
      <t xml:space="preserve"> GBP 43,958.20</t>
    </r>
  </si>
  <si>
    <t>18 days, 1 holidays &amp; 1 leave</t>
  </si>
  <si>
    <t>10 days,onsite</t>
  </si>
  <si>
    <t>7 days, offshore.2 leaves on 2nd &amp; 5th jan and 1 holiday of 1st jan</t>
  </si>
  <si>
    <t>E20150122000008200311238</t>
  </si>
  <si>
    <t>iSeries Developer</t>
  </si>
  <si>
    <t>.Net Developer (C# or VB)</t>
  </si>
  <si>
    <t>SCRUM  Master</t>
  </si>
  <si>
    <t>Manual Tester</t>
  </si>
  <si>
    <t>Cost (130 days)</t>
  </si>
  <si>
    <t>role</t>
  </si>
  <si>
    <t>count</t>
  </si>
  <si>
    <t>onsite rate</t>
  </si>
  <si>
    <t>offshore rate</t>
  </si>
  <si>
    <t>Solution Designer / Analyst/BA</t>
  </si>
  <si>
    <t>E20150130000007600306772</t>
  </si>
  <si>
    <t xml:space="preserve">MA313-0000149749 </t>
  </si>
  <si>
    <t xml:space="preserve">MA313-0000149750 </t>
  </si>
  <si>
    <t>MA313-0000149751</t>
  </si>
  <si>
    <t>MA313-0000149752</t>
  </si>
  <si>
    <t>Charges for Tactical changes team: OM for the month of Jan-2015</t>
  </si>
  <si>
    <t>Charges for Tech Debt Changes team (Himalay) for the month of Jan-2015</t>
  </si>
  <si>
    <t>Charges for Lakshya team for the month of Jan-2015</t>
  </si>
  <si>
    <t>Charges for Tactical changes team: AVANI for the month of Jan-2015</t>
  </si>
  <si>
    <t>MA313-0000149753</t>
  </si>
  <si>
    <t>Charges for International search work team (Yuga) for the month of Jan-2015 (29th Dec till 2nd Jan)</t>
  </si>
  <si>
    <t>MA313-0000149754</t>
  </si>
  <si>
    <t>Charges for International search work team (Yuga) for the month of Jan-2015 (5th Jan till 23rd Jan)</t>
  </si>
  <si>
    <t>MA313-0000149839</t>
  </si>
  <si>
    <t>Services rendered for Offshore ALM team for the month of Jan-2015</t>
  </si>
  <si>
    <t xml:space="preserve">MA313-0000150086 </t>
  </si>
  <si>
    <t>CTSIN201503019</t>
  </si>
  <si>
    <t>ASOS Data Access Architecture</t>
  </si>
  <si>
    <t>CTSIN201502020</t>
  </si>
  <si>
    <t xml:space="preserve">MA313-0000150763 </t>
  </si>
  <si>
    <t>MA313-0000150764</t>
  </si>
  <si>
    <t xml:space="preserve">MA313-0000150765 </t>
  </si>
  <si>
    <t>MA313-0000150766</t>
  </si>
  <si>
    <t>MA313-0000150767</t>
  </si>
  <si>
    <t>MA313-0000150768</t>
  </si>
  <si>
    <t>Services rendered for Anurag Ankur for the month of Jan-2015</t>
  </si>
  <si>
    <t xml:space="preserve">Services rendered for Anurag Ankur for the month of Jan-2015 </t>
  </si>
  <si>
    <t>Services rendered for Swaminathan R for the month of Jan-2015</t>
  </si>
  <si>
    <t>Services rendered for Arun Kumar for the month of Jan-2015</t>
  </si>
  <si>
    <t>Services rendered for Bharatesh P for the month of Jan-2015</t>
  </si>
  <si>
    <t>Services rendered for Akash Srivastava for the month of Jan-2015</t>
  </si>
  <si>
    <t xml:space="preserve">MA313-0000150757 </t>
  </si>
  <si>
    <t xml:space="preserve">MA313-0000150758 </t>
  </si>
  <si>
    <t xml:space="preserve">MA313-0000150759 </t>
  </si>
  <si>
    <t xml:space="preserve">MA313-0000150760 </t>
  </si>
  <si>
    <t xml:space="preserve">MA313-0000150761 </t>
  </si>
  <si>
    <t xml:space="preserve">MA313-0000150762 </t>
  </si>
  <si>
    <t>Services rendered for Netsuite Customization Support team for the month of Jan-2015</t>
  </si>
  <si>
    <t>Services rendered for China Mule Support for the month of Jan-2015</t>
  </si>
  <si>
    <t>Services rendered for China L1 Support team for the month of Jan-2015</t>
  </si>
  <si>
    <t>Services rendered for Ecommerce Integration Testing for the month of Jan-2015 (19th Jan till 23rd Jan)</t>
  </si>
  <si>
    <t>Services rendered for Ecommerce Integration Testing for the month of Jan-2015 (29th Dec till 16th Jan)</t>
  </si>
  <si>
    <t>Services rendered for China Mule Support for the month of Jan-2015 (29th Dec till 2nd Jan)</t>
  </si>
  <si>
    <t>MA313-0000150743</t>
  </si>
  <si>
    <t>MA313-0000150744</t>
  </si>
  <si>
    <t xml:space="preserve">MA313-0000150745 </t>
  </si>
  <si>
    <t xml:space="preserve">MA313-0000150746 </t>
  </si>
  <si>
    <t xml:space="preserve">MA313-0000150747 </t>
  </si>
  <si>
    <t xml:space="preserve">MA313-0000150748 </t>
  </si>
  <si>
    <t xml:space="preserve">MA313-0000150749 </t>
  </si>
  <si>
    <t xml:space="preserve">MA313-0000150750 </t>
  </si>
  <si>
    <t xml:space="preserve">MA313-0000150751 </t>
  </si>
  <si>
    <t xml:space="preserve">MA313-0000150752 </t>
  </si>
  <si>
    <t xml:space="preserve">MA313-0000150753 </t>
  </si>
  <si>
    <t xml:space="preserve">MA313-0000150754 </t>
  </si>
  <si>
    <t>MA313-0000150755</t>
  </si>
  <si>
    <t>MA313-0000150756</t>
  </si>
  <si>
    <t>Services rendered for Third Rock India Team for the month of Jan-2015</t>
  </si>
  <si>
    <t>Services rendered for Yusuf Jamali for the month of Jan-2015</t>
  </si>
  <si>
    <t>Services rendered for Ishan Sharma for the month of Jan-2015</t>
  </si>
  <si>
    <t>Services rendered for Sonal for the month of Jan-2015 (29th Dec till 31st Dec)</t>
  </si>
  <si>
    <t>Services rendered for Salil for the month of Jan-2015 (5th Jan till 23rd Jan)</t>
  </si>
  <si>
    <t>Services rendered for Prabakaran for the month of Jan-2015 (29th Dec till 31st Dec)</t>
  </si>
  <si>
    <t>Services rendered for ITIS Support Team for the month of Jan-2015</t>
  </si>
  <si>
    <t>Services rendered for Jai Ganesh for the month of Jan-2015 (1st Jan till 23rd Jan)</t>
  </si>
  <si>
    <t>Services rendered for Charishma D for the month of Jan-2015</t>
  </si>
  <si>
    <t>Services rendered for Sonal for the month of Jan-2015 (1st Jan till 23rd Jan)</t>
  </si>
  <si>
    <t>Services rendered for Prabakaran for the month of Jan-2015 (1st Jan till 23rd Jan)</t>
  </si>
  <si>
    <t>Services rendered for Salil for the month of Jan-2015 (29th Dec till 2nd Jan)</t>
  </si>
  <si>
    <t>Services rendered for Raman for the month of Jan-2015</t>
  </si>
  <si>
    <t>Services rendered for Nitin Nazare for the month of Jan-2015 (5th Jan till 23rd Jan)</t>
  </si>
  <si>
    <t>E20150205000009800109751</t>
  </si>
  <si>
    <t>E20150212000010300274507</t>
  </si>
  <si>
    <t>CTSIN201502022</t>
  </si>
  <si>
    <t xml:space="preserve">CTSIN201503021 </t>
  </si>
  <si>
    <t>CTSGB201503026</t>
  </si>
  <si>
    <t>Customer Name</t>
  </si>
  <si>
    <t>Customer Id</t>
  </si>
  <si>
    <t>ASOS CYCLE (4-4-5)</t>
  </si>
  <si>
    <t>POC's</t>
  </si>
  <si>
    <t>Suhas, Umesh,Vijin</t>
  </si>
  <si>
    <t>Projects</t>
  </si>
  <si>
    <t>1000079359: ASOS Staff Aug (T&amp;M)</t>
  </si>
  <si>
    <t>1000095634: ASOS China Suport (T&amp;M)</t>
  </si>
  <si>
    <t>1000116575: ASOS ALM Offshore (T&amp;M)</t>
  </si>
  <si>
    <t>1000125792: ASOS China CCP (T&amp;M)</t>
  </si>
  <si>
    <t>1000105043: ASOS Scrum Delivery (FB)</t>
  </si>
  <si>
    <t>1000109733: ASOS Inter Search (FB)</t>
  </si>
  <si>
    <t xml:space="preserve">CA for Feb'15 </t>
  </si>
  <si>
    <t>Lakshya team working for Feb'15</t>
  </si>
  <si>
    <t>5 week billing without changes</t>
  </si>
  <si>
    <t>Feb'15 billing</t>
  </si>
  <si>
    <t>24 days, 1 leave</t>
  </si>
  <si>
    <t>23 days, 2 leaves</t>
  </si>
  <si>
    <t>24 days</t>
  </si>
  <si>
    <t>Prashant</t>
  </si>
  <si>
    <t xml:space="preserve">imran </t>
  </si>
  <si>
    <t>Roopali</t>
  </si>
  <si>
    <t>9 days</t>
  </si>
  <si>
    <t>15 days</t>
  </si>
  <si>
    <r>
      <rPr>
        <b/>
        <sz val="10"/>
        <color rgb="FF000000"/>
        <rFont val="Calibri"/>
        <family val="2"/>
        <scheme val="minor"/>
      </rPr>
      <t>Feb'15 MS:</t>
    </r>
    <r>
      <rPr>
        <sz val="10"/>
        <color rgb="FF000000"/>
        <rFont val="Calibri"/>
        <family val="2"/>
        <scheme val="minor"/>
      </rPr>
      <t xml:space="preserve"> To define MS of GBP 18,663.0</t>
    </r>
  </si>
  <si>
    <r>
      <rPr>
        <b/>
        <sz val="10"/>
        <color rgb="FF000000"/>
        <rFont val="Calibri"/>
        <family val="2"/>
        <scheme val="minor"/>
      </rPr>
      <t>Feb'15 MS:</t>
    </r>
    <r>
      <rPr>
        <sz val="10"/>
        <color rgb="FF000000"/>
        <rFont val="Calibri"/>
        <family val="2"/>
        <scheme val="minor"/>
      </rPr>
      <t xml:space="preserve"> To reduce MS by GBP 1,244.2</t>
    </r>
  </si>
  <si>
    <r>
      <rPr>
        <b/>
        <sz val="10"/>
        <rFont val="Calibri"/>
        <family val="2"/>
        <scheme val="minor"/>
      </rPr>
      <t xml:space="preserve">New MS: </t>
    </r>
    <r>
      <rPr>
        <sz val="10"/>
        <rFont val="Calibri"/>
        <family val="2"/>
        <scheme val="minor"/>
      </rPr>
      <t>GBP 4,976.8</t>
    </r>
  </si>
  <si>
    <r>
      <rPr>
        <b/>
        <sz val="10"/>
        <rFont val="Calibri"/>
        <family val="2"/>
        <scheme val="minor"/>
      </rPr>
      <t xml:space="preserve">New MS: </t>
    </r>
    <r>
      <rPr>
        <sz val="10"/>
        <rFont val="Calibri"/>
        <family val="2"/>
        <scheme val="minor"/>
      </rPr>
      <t>GBP 18,663.0</t>
    </r>
  </si>
  <si>
    <r>
      <rPr>
        <b/>
        <sz val="10"/>
        <color rgb="FF000000"/>
        <rFont val="Calibri"/>
        <family val="2"/>
        <scheme val="minor"/>
      </rPr>
      <t>Feb'15 MS:</t>
    </r>
    <r>
      <rPr>
        <sz val="10"/>
        <color rgb="FF000000"/>
        <rFont val="Calibri"/>
        <family val="2"/>
        <scheme val="minor"/>
      </rPr>
      <t xml:space="preserve"> To define MS of GBP 6,221.0</t>
    </r>
  </si>
  <si>
    <r>
      <rPr>
        <b/>
        <sz val="10"/>
        <rFont val="Calibri"/>
        <family val="2"/>
        <scheme val="minor"/>
      </rPr>
      <t xml:space="preserve">New MS: </t>
    </r>
    <r>
      <rPr>
        <sz val="10"/>
        <rFont val="Calibri"/>
        <family val="2"/>
        <scheme val="minor"/>
      </rPr>
      <t>GBP 6,221.0</t>
    </r>
  </si>
  <si>
    <r>
      <rPr>
        <b/>
        <sz val="10"/>
        <color rgb="FF000000"/>
        <rFont val="Calibri"/>
        <family val="2"/>
        <scheme val="minor"/>
      </rPr>
      <t>Mar'15 MS:</t>
    </r>
    <r>
      <rPr>
        <sz val="10"/>
        <color rgb="FF000000"/>
        <rFont val="Calibri"/>
        <family val="2"/>
        <scheme val="minor"/>
      </rPr>
      <t xml:space="preserve"> To define MS of GBP 6,221.0</t>
    </r>
  </si>
  <si>
    <r>
      <rPr>
        <b/>
        <sz val="10"/>
        <color rgb="FF000000"/>
        <rFont val="Calibri"/>
        <family val="2"/>
        <scheme val="minor"/>
      </rPr>
      <t>Feb'15 MS:</t>
    </r>
    <r>
      <rPr>
        <sz val="10"/>
        <color rgb="FF000000"/>
        <rFont val="Calibri"/>
        <family val="2"/>
        <scheme val="minor"/>
      </rPr>
      <t xml:space="preserve"> To reduce MS by GBP 6,274.2</t>
    </r>
  </si>
  <si>
    <r>
      <rPr>
        <b/>
        <sz val="10"/>
        <rFont val="Calibri"/>
        <family val="2"/>
        <scheme val="minor"/>
      </rPr>
      <t xml:space="preserve">New MS: </t>
    </r>
    <r>
      <rPr>
        <sz val="10"/>
        <rFont val="Calibri"/>
        <family val="2"/>
        <scheme val="minor"/>
      </rPr>
      <t>GBP 29,860.8</t>
    </r>
  </si>
  <si>
    <r>
      <rPr>
        <b/>
        <sz val="10"/>
        <color rgb="FF000000"/>
        <rFont val="Calibri"/>
        <family val="2"/>
        <scheme val="minor"/>
      </rPr>
      <t>Feb'15 MS:</t>
    </r>
    <r>
      <rPr>
        <sz val="10"/>
        <color rgb="FF000000"/>
        <rFont val="Calibri"/>
        <family val="2"/>
        <scheme val="minor"/>
      </rPr>
      <t xml:space="preserve"> To reduce MS by GBP 1,353.7</t>
    </r>
  </si>
  <si>
    <r>
      <rPr>
        <b/>
        <sz val="10"/>
        <rFont val="Calibri"/>
        <family val="2"/>
        <scheme val="minor"/>
      </rPr>
      <t>New MS:</t>
    </r>
    <r>
      <rPr>
        <sz val="10"/>
        <rFont val="Calibri"/>
        <family val="2"/>
        <scheme val="minor"/>
      </rPr>
      <t xml:space="preserve"> GBP 32,488.8</t>
    </r>
  </si>
  <si>
    <r>
      <rPr>
        <b/>
        <sz val="10"/>
        <color rgb="FF000000"/>
        <rFont val="Calibri"/>
        <family val="2"/>
        <scheme val="minor"/>
      </rPr>
      <t>Feb'15 MS:</t>
    </r>
    <r>
      <rPr>
        <sz val="10"/>
        <color rgb="FF000000"/>
        <rFont val="Calibri"/>
        <family val="2"/>
        <scheme val="minor"/>
      </rPr>
      <t xml:space="preserve"> To reduce MS by GBP 3,146.8</t>
    </r>
  </si>
  <si>
    <r>
      <rPr>
        <b/>
        <sz val="10"/>
        <rFont val="Calibri"/>
        <family val="2"/>
        <scheme val="minor"/>
      </rPr>
      <t>New MS:</t>
    </r>
    <r>
      <rPr>
        <sz val="10"/>
        <rFont val="Calibri"/>
        <family val="2"/>
        <scheme val="minor"/>
      </rPr>
      <t xml:space="preserve"> GBP 59,573.2</t>
    </r>
  </si>
  <si>
    <t>ASOS International 
Search</t>
  </si>
  <si>
    <t>Yuga Extn</t>
  </si>
  <si>
    <r>
      <rPr>
        <b/>
        <sz val="10"/>
        <color rgb="FF000000"/>
        <rFont val="Calibri"/>
        <family val="2"/>
        <scheme val="minor"/>
      </rPr>
      <t>Feb'15 MS:</t>
    </r>
    <r>
      <rPr>
        <sz val="10"/>
        <color rgb="FF000000"/>
        <rFont val="Calibri"/>
        <family val="2"/>
        <scheme val="minor"/>
      </rPr>
      <t xml:space="preserve"> To reduce MS by GBP 1,177.8</t>
    </r>
  </si>
  <si>
    <r>
      <rPr>
        <b/>
        <sz val="10"/>
        <rFont val="Calibri"/>
        <family val="2"/>
        <scheme val="minor"/>
      </rPr>
      <t>New MS:</t>
    </r>
    <r>
      <rPr>
        <sz val="10"/>
        <rFont val="Calibri"/>
        <family val="2"/>
        <scheme val="minor"/>
      </rPr>
      <t xml:space="preserve"> GBP 28,267.2</t>
    </r>
  </si>
  <si>
    <r>
      <rPr>
        <b/>
        <sz val="10"/>
        <color rgb="FF000000"/>
        <rFont val="Calibri"/>
        <family val="2"/>
        <scheme val="minor"/>
      </rPr>
      <t>Feb'15 MS:</t>
    </r>
    <r>
      <rPr>
        <sz val="10"/>
        <color rgb="FF000000"/>
        <rFont val="Calibri"/>
        <family val="2"/>
        <scheme val="minor"/>
      </rPr>
      <t xml:space="preserve"> To define MS of GBP 4,368.0</t>
    </r>
  </si>
  <si>
    <r>
      <rPr>
        <b/>
        <sz val="10"/>
        <rFont val="Calibri"/>
        <family val="2"/>
        <scheme val="minor"/>
      </rPr>
      <t>New MS:</t>
    </r>
    <r>
      <rPr>
        <sz val="10"/>
        <rFont val="Calibri"/>
        <family val="2"/>
        <scheme val="minor"/>
      </rPr>
      <t xml:space="preserve"> GBP 4,368.0</t>
    </r>
  </si>
  <si>
    <r>
      <rPr>
        <b/>
        <sz val="10"/>
        <color rgb="FF000000"/>
        <rFont val="Calibri"/>
        <family val="2"/>
        <scheme val="minor"/>
      </rPr>
      <t>Mar'15 MS:</t>
    </r>
    <r>
      <rPr>
        <sz val="10"/>
        <color rgb="FF000000"/>
        <rFont val="Calibri"/>
        <family val="2"/>
        <scheme val="minor"/>
      </rPr>
      <t xml:space="preserve"> To define MS of GBP 12,640.0</t>
    </r>
  </si>
  <si>
    <r>
      <rPr>
        <b/>
        <sz val="10"/>
        <color rgb="FF000000"/>
        <rFont val="Calibri"/>
        <family val="2"/>
        <scheme val="minor"/>
      </rPr>
      <t>Apr'15 MS:</t>
    </r>
    <r>
      <rPr>
        <sz val="10"/>
        <color rgb="FF000000"/>
        <rFont val="Calibri"/>
        <family val="2"/>
        <scheme val="minor"/>
      </rPr>
      <t xml:space="preserve"> To define MS of GBP 3,160.0</t>
    </r>
  </si>
  <si>
    <r>
      <rPr>
        <b/>
        <sz val="10"/>
        <rFont val="Calibri"/>
        <family val="2"/>
        <scheme val="minor"/>
      </rPr>
      <t xml:space="preserve">New MS: </t>
    </r>
    <r>
      <rPr>
        <sz val="10"/>
        <rFont val="Calibri"/>
        <family val="2"/>
        <scheme val="minor"/>
      </rPr>
      <t>GBP 6,221</t>
    </r>
  </si>
  <si>
    <r>
      <rPr>
        <b/>
        <sz val="10"/>
        <rFont val="Calibri"/>
        <family val="2"/>
        <scheme val="minor"/>
      </rPr>
      <t xml:space="preserve">New MS: </t>
    </r>
    <r>
      <rPr>
        <sz val="10"/>
        <rFont val="Calibri"/>
        <family val="2"/>
        <scheme val="minor"/>
      </rPr>
      <t>GBP 12,640</t>
    </r>
  </si>
  <si>
    <r>
      <rPr>
        <b/>
        <sz val="10"/>
        <rFont val="Calibri"/>
        <family val="2"/>
        <scheme val="minor"/>
      </rPr>
      <t xml:space="preserve">New MS: </t>
    </r>
    <r>
      <rPr>
        <sz val="10"/>
        <rFont val="Calibri"/>
        <family val="2"/>
        <scheme val="minor"/>
      </rPr>
      <t>GBP 3,160</t>
    </r>
  </si>
  <si>
    <t>MA313-0000152274</t>
  </si>
  <si>
    <t>MA313-0000152275</t>
  </si>
  <si>
    <t>MA313-0000152276</t>
  </si>
  <si>
    <t>Charges for Tactical changes team: OM for the month of Feb-2015 (26th Jan till 30th Jan)</t>
  </si>
  <si>
    <t>Charges for Tech Debt Changes team (Himalay) for the month of Feb-2015</t>
  </si>
  <si>
    <t>Charges for Tactical changes team: OM for the month of Feb-2015 (2nd Feb till 20th Feb)</t>
  </si>
  <si>
    <t>MA313-0000152278</t>
  </si>
  <si>
    <t>MA313-0000152277</t>
  </si>
  <si>
    <t>Charges for International search work team (Yuga) for the month of Feb-2015</t>
  </si>
  <si>
    <t>Charges for Yuga extn team: Saved Items Refactoring for the month of Feb-2015</t>
  </si>
  <si>
    <t xml:space="preserve">MA313-0000152310 </t>
  </si>
  <si>
    <t>MA313-0000152311</t>
  </si>
  <si>
    <t>MA313-0000152312</t>
  </si>
  <si>
    <t>Charges for Lakshya team for the month of Feb-2015</t>
  </si>
  <si>
    <t>Charges for Tactical changes team: AVANI for the month of Feb-2015</t>
  </si>
  <si>
    <t>Charges for Tactical changes team: OM for the month of Feb-2015 (23rd Feb till 27th Feb)</t>
  </si>
  <si>
    <t>E20150212000010300274508</t>
  </si>
  <si>
    <t>Services rendered for Offshore ALM team for the month of Feb-2015</t>
  </si>
  <si>
    <t>MA313-0000152374</t>
  </si>
  <si>
    <t>ASOS Staff Aug</t>
  </si>
  <si>
    <t xml:space="preserve">ASOS ALM Offshore </t>
  </si>
  <si>
    <t>ASOS CCP</t>
  </si>
  <si>
    <t>ASOS SEARCH</t>
  </si>
  <si>
    <t>AVANI+OM+HIMALAY+LAKSHYA+AONAL</t>
  </si>
  <si>
    <t>YUGA+YUGA EXTN</t>
  </si>
  <si>
    <t>EIM TEAM</t>
  </si>
  <si>
    <t xml:space="preserve">Approx Billing (GBP) </t>
  </si>
  <si>
    <t xml:space="preserve">Approx Billing (USD) </t>
  </si>
  <si>
    <t>June'15</t>
  </si>
  <si>
    <t>July'15</t>
  </si>
  <si>
    <t>Overall change</t>
  </si>
  <si>
    <t>CA for Mar'15 (For reducing the True Down)</t>
  </si>
  <si>
    <t xml:space="preserve">MA313-0000152623 </t>
  </si>
  <si>
    <t>MA313-0000152624</t>
  </si>
  <si>
    <t>MA313-0000152625</t>
  </si>
  <si>
    <t>MA313-0000152626</t>
  </si>
  <si>
    <t>MA313-0000152627</t>
  </si>
  <si>
    <t>Services rendered for Bharatesh P for the month of Feb-2015</t>
  </si>
  <si>
    <t>Services rendered for Swaminathan R for the month of Feb-2015</t>
  </si>
  <si>
    <t>Services rendered for Anurag Ankur for the month of Feb-2015</t>
  </si>
  <si>
    <t>Services rendered for Akash Srivastava for the month of Feb-2015</t>
  </si>
  <si>
    <t>Services rendered for Arun Kumar for the month of Feb-2015</t>
  </si>
  <si>
    <t>MA313-0000152650</t>
  </si>
  <si>
    <t>MA313-0000152651</t>
  </si>
  <si>
    <t>MA313-0000152652</t>
  </si>
  <si>
    <t>MA313-0000152653</t>
  </si>
  <si>
    <t>MA313-0000152654</t>
  </si>
  <si>
    <t>MA313-0000152655</t>
  </si>
  <si>
    <t>MA313-0000152656</t>
  </si>
  <si>
    <t>MA313-0000152657</t>
  </si>
  <si>
    <t>MA313-0000152658</t>
  </si>
  <si>
    <t>MA313-0000152659</t>
  </si>
  <si>
    <t xml:space="preserve">MA313-0000152674 </t>
  </si>
  <si>
    <t>MA313-0000152675</t>
  </si>
  <si>
    <t>MA313-0000152676</t>
  </si>
  <si>
    <t>Services rendered for Jai Ganesh for the month of Feb-2015</t>
  </si>
  <si>
    <t>Services rendered for Sneha Gurjar (ITIS Team) for the month of Feb-2015</t>
  </si>
  <si>
    <t>Services rendered for ITIS Support Team for the month of Feb-2015</t>
  </si>
  <si>
    <t>Services rendered for Yusuf Jamali for the month of Feb-2015 (9th Feb till 27th Feb)</t>
  </si>
  <si>
    <t>Services rendered for Third Rock India Team for the month of Feb-2015</t>
  </si>
  <si>
    <t>Services rendered for Raman for the month of Feb-2015</t>
  </si>
  <si>
    <t>Services rendered for Ishan Sharma for the month of Feb-2015</t>
  </si>
  <si>
    <t>Services rendered for Prabakaran for the month of Feb-2015</t>
  </si>
  <si>
    <t>Services rendered for Milan for the month of Feb-2015</t>
  </si>
  <si>
    <t>Services rendered for Salil for the month of Feb-2015</t>
  </si>
  <si>
    <t>Services rendered for Nitin Nazare for the month of Feb-2015</t>
  </si>
  <si>
    <t>Services rendered for Charishma D for the month of Feb-2015</t>
  </si>
  <si>
    <t>Services rendered for Yusuf Jamali for the month of Feb-2015 (26th Jan till 6th Feb)</t>
  </si>
  <si>
    <t>MA313-0000152690</t>
  </si>
  <si>
    <t>Services rendered for China CCP team for the month of Feb-2015 (2nd Feb till 27th Feb)</t>
  </si>
  <si>
    <t>Clifford Steele</t>
  </si>
  <si>
    <t xml:space="preserve">MA313-0000153324 </t>
  </si>
  <si>
    <t>MA313-0000153325</t>
  </si>
  <si>
    <t>MA313-0000153326</t>
  </si>
  <si>
    <t>MA313-0000153327</t>
  </si>
  <si>
    <t>Services rendered for Ecommerce Integration Testing for the month of Feb-2015</t>
  </si>
  <si>
    <t>Services rendered for China L1 Support team for the month of Feb-2015</t>
  </si>
  <si>
    <t>Services rendered for China Mule Support for the month of Feb-2015</t>
  </si>
  <si>
    <t>Services rendered for Netsuite Customization Support team for the month of Feb-2015</t>
  </si>
  <si>
    <t>E20150305000007200080420</t>
  </si>
  <si>
    <t>CTSGB201503035</t>
  </si>
  <si>
    <t>CTSIN201504037</t>
  </si>
  <si>
    <t>START DATE</t>
  </si>
  <si>
    <t>END DATE</t>
  </si>
  <si>
    <t>SOW VALUE</t>
  </si>
  <si>
    <t xml:space="preserve">AMOUNT INVOICED </t>
  </si>
  <si>
    <t>SAVINGS</t>
  </si>
  <si>
    <t>SAVINGS IN OM SOW</t>
  </si>
  <si>
    <t>Agrim Bothra: EIM BA</t>
  </si>
  <si>
    <t>E20150312000009100036977</t>
  </si>
  <si>
    <t>Milestone for phase 1 of ASOS Data Access Architecture engagement.</t>
  </si>
  <si>
    <t>Soumya Mukherjee: EBA</t>
  </si>
  <si>
    <t>MA313-0000154522</t>
  </si>
  <si>
    <t>CTSGB201504043</t>
  </si>
  <si>
    <t>CTSIN201504044</t>
  </si>
  <si>
    <t>E20150319000008200444299</t>
  </si>
  <si>
    <t xml:space="preserve">ASOS
International 
Search </t>
  </si>
  <si>
    <t>Mar'15 Yuga Extension billing</t>
  </si>
  <si>
    <t>Rohan</t>
  </si>
  <si>
    <t>Amit</t>
  </si>
  <si>
    <t>Maithily</t>
  </si>
  <si>
    <t>Billing Amount</t>
  </si>
  <si>
    <t>CTSGB201504045</t>
  </si>
  <si>
    <t xml:space="preserve">CA for Mar'15 </t>
  </si>
  <si>
    <t>Lakshya</t>
  </si>
  <si>
    <r>
      <rPr>
        <b/>
        <sz val="10"/>
        <color rgb="FF000000"/>
        <rFont val="Calibri"/>
        <family val="2"/>
        <scheme val="minor"/>
      </rPr>
      <t>Mar'15 MS:</t>
    </r>
    <r>
      <rPr>
        <sz val="10"/>
        <color rgb="FF000000"/>
        <rFont val="Calibri"/>
        <family val="2"/>
        <scheme val="minor"/>
      </rPr>
      <t xml:space="preserve"> To reduce MS by GBP 1,244.2</t>
    </r>
  </si>
  <si>
    <r>
      <rPr>
        <b/>
        <sz val="10"/>
        <rFont val="Calibri"/>
        <family val="2"/>
        <scheme val="minor"/>
      </rPr>
      <t xml:space="preserve">New MS: </t>
    </r>
    <r>
      <rPr>
        <sz val="10"/>
        <rFont val="Calibri"/>
        <family val="2"/>
        <scheme val="minor"/>
      </rPr>
      <t>GBP 27,412.3</t>
    </r>
  </si>
  <si>
    <r>
      <rPr>
        <b/>
        <sz val="10"/>
        <rFont val="Calibri"/>
        <family val="2"/>
        <scheme val="minor"/>
      </rPr>
      <t xml:space="preserve">New MS: </t>
    </r>
    <r>
      <rPr>
        <sz val="10"/>
        <rFont val="Calibri"/>
        <family val="2"/>
        <scheme val="minor"/>
      </rPr>
      <t>GBP 25,720.3</t>
    </r>
  </si>
  <si>
    <r>
      <rPr>
        <b/>
        <sz val="10"/>
        <rFont val="Calibri"/>
        <family val="2"/>
        <scheme val="minor"/>
      </rPr>
      <t xml:space="preserve">New MS: </t>
    </r>
    <r>
      <rPr>
        <sz val="10"/>
        <rFont val="Calibri"/>
        <family val="2"/>
        <scheme val="minor"/>
      </rPr>
      <t>GBP 10,962.2</t>
    </r>
  </si>
  <si>
    <r>
      <rPr>
        <b/>
        <sz val="10"/>
        <color rgb="FF000000"/>
        <rFont val="Calibri"/>
        <family val="2"/>
        <scheme val="minor"/>
      </rPr>
      <t>Mar'15 MS:</t>
    </r>
    <r>
      <rPr>
        <sz val="10"/>
        <color rgb="FF000000"/>
        <rFont val="Calibri"/>
        <family val="2"/>
        <scheme val="minor"/>
      </rPr>
      <t xml:space="preserve"> To reduce MS by GBP 488</t>
    </r>
  </si>
  <si>
    <r>
      <rPr>
        <b/>
        <sz val="10"/>
        <rFont val="Calibri"/>
        <family val="2"/>
        <scheme val="minor"/>
      </rPr>
      <t xml:space="preserve">New MS: </t>
    </r>
    <r>
      <rPr>
        <sz val="10"/>
        <rFont val="Calibri"/>
        <family val="2"/>
        <scheme val="minor"/>
      </rPr>
      <t>GBP 36,649.0</t>
    </r>
  </si>
  <si>
    <r>
      <rPr>
        <b/>
        <sz val="10"/>
        <color rgb="FF000000"/>
        <rFont val="Calibri"/>
        <family val="2"/>
        <scheme val="minor"/>
      </rPr>
      <t>Mar'15 MS:</t>
    </r>
    <r>
      <rPr>
        <sz val="10"/>
        <color rgb="FF000000"/>
        <rFont val="Calibri"/>
        <family val="2"/>
        <scheme val="minor"/>
      </rPr>
      <t xml:space="preserve"> To define MS for GBP 19,950</t>
    </r>
  </si>
  <si>
    <r>
      <rPr>
        <b/>
        <sz val="10"/>
        <rFont val="Calibri"/>
        <family val="2"/>
        <scheme val="minor"/>
      </rPr>
      <t xml:space="preserve">New MS: </t>
    </r>
    <r>
      <rPr>
        <sz val="10"/>
        <rFont val="Calibri"/>
        <family val="2"/>
        <scheme val="minor"/>
      </rPr>
      <t>GBP 19,950.0</t>
    </r>
  </si>
  <si>
    <r>
      <rPr>
        <b/>
        <sz val="10"/>
        <color rgb="FF000000"/>
        <rFont val="Calibri"/>
        <family val="2"/>
        <scheme val="minor"/>
      </rPr>
      <t>Mar'15 MS:</t>
    </r>
    <r>
      <rPr>
        <sz val="10"/>
        <color rgb="FF000000"/>
        <rFont val="Calibri"/>
        <family val="2"/>
        <scheme val="minor"/>
      </rPr>
      <t xml:space="preserve"> To reduce MS by GBP 1,177.8</t>
    </r>
  </si>
  <si>
    <r>
      <rPr>
        <b/>
        <sz val="10"/>
        <rFont val="Calibri"/>
        <family val="2"/>
        <scheme val="minor"/>
      </rPr>
      <t xml:space="preserve">New MS: </t>
    </r>
    <r>
      <rPr>
        <sz val="10"/>
        <rFont val="Calibri"/>
        <family val="2"/>
        <scheme val="minor"/>
      </rPr>
      <t>GBP 22,378.2</t>
    </r>
  </si>
  <si>
    <r>
      <rPr>
        <b/>
        <sz val="10"/>
        <rFont val="Calibri"/>
        <family val="2"/>
        <scheme val="minor"/>
      </rPr>
      <t xml:space="preserve">New MS: </t>
    </r>
    <r>
      <rPr>
        <sz val="10"/>
        <rFont val="Calibri"/>
        <family val="2"/>
        <scheme val="minor"/>
      </rPr>
      <t>GBP 9,044</t>
    </r>
  </si>
  <si>
    <r>
      <rPr>
        <b/>
        <sz val="10"/>
        <color rgb="FF000000"/>
        <rFont val="Calibri"/>
        <family val="2"/>
        <scheme val="minor"/>
      </rPr>
      <t>Mar'15 MS:</t>
    </r>
    <r>
      <rPr>
        <sz val="10"/>
        <color rgb="FF000000"/>
        <rFont val="Calibri"/>
        <family val="2"/>
        <scheme val="minor"/>
      </rPr>
      <t xml:space="preserve"> To reduce MS by GBP 3,596</t>
    </r>
  </si>
  <si>
    <t>Zonal Integration 
re-write</t>
  </si>
  <si>
    <t>Yuga: Saved Items Refactoring</t>
  </si>
  <si>
    <t>KumudSingh</t>
  </si>
  <si>
    <t>Developer 2</t>
  </si>
  <si>
    <t>QA 1</t>
  </si>
  <si>
    <t>Kumud &amp; Kunal's extra billing in March (9th March till 27th March)</t>
  </si>
  <si>
    <r>
      <rPr>
        <b/>
        <sz val="10"/>
        <rFont val="Calibri"/>
        <family val="2"/>
        <scheme val="minor"/>
      </rPr>
      <t xml:space="preserve">New MS: </t>
    </r>
    <r>
      <rPr>
        <sz val="10"/>
        <rFont val="Calibri"/>
        <family val="2"/>
        <scheme val="minor"/>
      </rPr>
      <t>GBP 4,620.0</t>
    </r>
  </si>
  <si>
    <t>Charges for Zonal Integration Rewrite team for the month of Mar-2015</t>
  </si>
  <si>
    <t>CTSCN201504047</t>
  </si>
  <si>
    <t>E20150326000011600175062</t>
  </si>
  <si>
    <t>CTSGB201504049</t>
  </si>
  <si>
    <t>Dhrubajyoti Ghosh</t>
  </si>
  <si>
    <r>
      <rPr>
        <b/>
        <sz val="10"/>
        <rFont val="Calibri"/>
        <family val="2"/>
        <scheme val="minor"/>
      </rPr>
      <t>Mar'15 MS:</t>
    </r>
    <r>
      <rPr>
        <sz val="10"/>
        <rFont val="Calibri"/>
        <family val="2"/>
        <scheme val="minor"/>
      </rPr>
      <t xml:space="preserve"> To define MS for GBP 4,620</t>
    </r>
  </si>
  <si>
    <r>
      <rPr>
        <b/>
        <sz val="10"/>
        <rFont val="Calibri"/>
        <family val="2"/>
        <scheme val="minor"/>
      </rPr>
      <t>Mar'15 MS:</t>
    </r>
    <r>
      <rPr>
        <sz val="10"/>
        <rFont val="Calibri"/>
        <family val="2"/>
        <scheme val="minor"/>
      </rPr>
      <t xml:space="preserve"> To reduce MS by GBP 2,501.7</t>
    </r>
  </si>
  <si>
    <r>
      <rPr>
        <b/>
        <sz val="10"/>
        <rFont val="Calibri"/>
        <family val="2"/>
        <scheme val="minor"/>
      </rPr>
      <t>Mar'15 MS:</t>
    </r>
    <r>
      <rPr>
        <sz val="10"/>
        <rFont val="Calibri"/>
        <family val="2"/>
        <scheme val="minor"/>
      </rPr>
      <t xml:space="preserve"> To reduce MS by GBP 1,353.7</t>
    </r>
  </si>
  <si>
    <r>
      <rPr>
        <b/>
        <sz val="10"/>
        <rFont val="Calibri"/>
        <family val="2"/>
        <scheme val="minor"/>
      </rPr>
      <t>Mar'15 MS:</t>
    </r>
    <r>
      <rPr>
        <sz val="10"/>
        <rFont val="Calibri"/>
        <family val="2"/>
        <scheme val="minor"/>
      </rPr>
      <t xml:space="preserve"> To reduce MS by GBP 1,581.8</t>
    </r>
  </si>
  <si>
    <t>MA313-0000155173</t>
  </si>
  <si>
    <t>MA313-0000155174</t>
  </si>
  <si>
    <t>MA313-0000155175</t>
  </si>
  <si>
    <t>MA313-0000155176</t>
  </si>
  <si>
    <t>MA313-0000155177</t>
  </si>
  <si>
    <t>MA313-0000155178</t>
  </si>
  <si>
    <t>MA313-0000155179</t>
  </si>
  <si>
    <t>Charges for Lakshya team for the month of Mar'15 (2nd Mar till 6th Mar)</t>
  </si>
  <si>
    <t>Charges for Tactical changes team: AVANI for the month of Mar-2015</t>
  </si>
  <si>
    <t>Charges for Tech Debt Changes team (Himalay) for the month of Mar-2015</t>
  </si>
  <si>
    <t>Charges for Lakshya team for the month of Mar'15 (9th Mar till 27th Mar)</t>
  </si>
  <si>
    <t>Charges for Tactical changes team: OM for the month of Mar-2015 (2nd Mar till 6th Mar)</t>
  </si>
  <si>
    <t>Charges for Kunal &amp; Kumud from OM team for month of Mar-2015 (9th Mar till 27th Mar)</t>
  </si>
  <si>
    <t xml:space="preserve">MA313-0000155185 </t>
  </si>
  <si>
    <t>MA313-0000155186</t>
  </si>
  <si>
    <t>Charges for International search work team (Yuga) for the month of Mar-2015</t>
  </si>
  <si>
    <t>Charges for Yuga extn team: Saved Items Refactoring for the month of Mar-2015</t>
  </si>
  <si>
    <t>E20150401000008500176535</t>
  </si>
  <si>
    <t>MA313-0000155780</t>
  </si>
  <si>
    <t>Services rendered for Offshore ALM team for the month of Mar-2015</t>
  </si>
  <si>
    <t xml:space="preserve">MA313-0000155688 </t>
  </si>
  <si>
    <t>MA313-0000155689</t>
  </si>
  <si>
    <t>MA313-0000155690</t>
  </si>
  <si>
    <t>MA313-0000155691</t>
  </si>
  <si>
    <t>Services rendered for Ecommerce Integration Testing for the month of Mar-2015</t>
  </si>
  <si>
    <t>Services rendered for China L1 Support team for the month of Mar-2015</t>
  </si>
  <si>
    <t>Services rendered for China Mule Support for the month of Mar-2015</t>
  </si>
  <si>
    <t>Services rendered for Netsuite Customization Support team for the month of Mar-2015</t>
  </si>
  <si>
    <t>MA313-0000155677</t>
  </si>
  <si>
    <t>MA313-0000155678</t>
  </si>
  <si>
    <t>Services rendered for China PDI team for the month of Mar-2015</t>
  </si>
  <si>
    <t>Services rendered for China CCP team for the month of Mar-2015</t>
  </si>
  <si>
    <t xml:space="preserve">MA313-0000155672 </t>
  </si>
  <si>
    <t>MA313-0000155673</t>
  </si>
  <si>
    <t>MA313-0000155674</t>
  </si>
  <si>
    <t>MA313-0000155675</t>
  </si>
  <si>
    <t>MA313-0000155676</t>
  </si>
  <si>
    <t>Services rendered for Bharatesh P for the month of Mar-2015</t>
  </si>
  <si>
    <t>Services rendered for Swaminathan R for the month of Mar-2015</t>
  </si>
  <si>
    <t>Services rendered for Anurag Ankur for the month of Mar-2015</t>
  </si>
  <si>
    <t>Services rendered for Akash Srivastava for the month of Mar-2015</t>
  </si>
  <si>
    <t>Services rendered for Arun Kumar for the month of Mar-2015</t>
  </si>
  <si>
    <t xml:space="preserve">MA313-0000156028 </t>
  </si>
  <si>
    <t xml:space="preserve">MA313-0000156029 </t>
  </si>
  <si>
    <t>MA313-0000156030</t>
  </si>
  <si>
    <t>MA313-0000156031</t>
  </si>
  <si>
    <t>MA313-0000156032</t>
  </si>
  <si>
    <t>MA313-0000156033</t>
  </si>
  <si>
    <t>MA313-0000156034</t>
  </si>
  <si>
    <t>MA313-0000156035</t>
  </si>
  <si>
    <t>MA313-0000156036</t>
  </si>
  <si>
    <t>MA313-0000156037</t>
  </si>
  <si>
    <t>MA313-0000156038</t>
  </si>
  <si>
    <t>MA313-0000156039</t>
  </si>
  <si>
    <t>MA313-0000156040</t>
  </si>
  <si>
    <t>MA313-0000156041</t>
  </si>
  <si>
    <t>MA313-0000156042</t>
  </si>
  <si>
    <t>MA313-0000156043</t>
  </si>
  <si>
    <t>MA313-0000156044</t>
  </si>
  <si>
    <t>Services rendered for Prabakaran for the month of Mar-2015</t>
  </si>
  <si>
    <t>Services rendered for Milan for the month of Mar-2015</t>
  </si>
  <si>
    <t>Services rendered for Charishma D for the month of Mar-2015</t>
  </si>
  <si>
    <t>Services rendered for Raman for the month of Mar-2015</t>
  </si>
  <si>
    <t>Services rendered for ITIS Support Team for the month of Mar-2015</t>
  </si>
  <si>
    <t>Services rendered for Jai Ganesh for the month of Mar-2015</t>
  </si>
  <si>
    <t>Services rendered for Third Rock India Team for the month of Mar-2015</t>
  </si>
  <si>
    <t>Services rendered for Anika for the month of Mar-2015 (9th Mar till 27th Mar)</t>
  </si>
  <si>
    <t>Services rendered for Salil for the month of Mar-2015</t>
  </si>
  <si>
    <t>Services rendered for Ishan Sharma for the month of Mar-2015</t>
  </si>
  <si>
    <t>Services rendered for Yusuf Jamali for the month of Mar-2015</t>
  </si>
  <si>
    <t>Services rendered for Gaurav Sharma for the month of Mar-2015 (16th Mar till 27th Mar)</t>
  </si>
  <si>
    <t>Services rendered for Sunil Manghrani for the month of Mar-2015</t>
  </si>
  <si>
    <t>Mike Spruce</t>
  </si>
  <si>
    <t>Services rendered for Sneha Gurjar (ITIS Team) for the month of Mar-2015</t>
  </si>
  <si>
    <t>Services rendered for Agrim Bothra for the month of Mar-2015 (16th Mar till 27th Mar)</t>
  </si>
  <si>
    <t>Services rendered for Sonal for the month of Mar-2015 (23rd Mar till 27th Mar)</t>
  </si>
  <si>
    <t>Services rendered for Nitin Nazare for the month of Mar-2015</t>
  </si>
  <si>
    <t>Milestone for phase 2 of ASOS Data Access Architecture engagement.</t>
  </si>
  <si>
    <t>Savings in Salil's PO</t>
  </si>
  <si>
    <t>6th Mar till 3rd Apr</t>
  </si>
  <si>
    <t xml:space="preserve">T&amp;E for shantanu &amp; nirav </t>
  </si>
  <si>
    <t>22nd Mar till 17th Apr</t>
  </si>
  <si>
    <t>27 days T&amp;E inv against Salil's SOW CTSGB201501005</t>
  </si>
  <si>
    <t>18th Apr till 16th May</t>
  </si>
  <si>
    <t>Savings in Yuga extn PO</t>
  </si>
  <si>
    <t>5th Feb till 3rd Apr</t>
  </si>
  <si>
    <t>Savings in Jaiganesh PO</t>
  </si>
  <si>
    <t>25th May till 12th June</t>
  </si>
  <si>
    <t>We will draft new SOW for this difference amount</t>
  </si>
  <si>
    <t>No of T&amp;E invoices</t>
  </si>
  <si>
    <t>1 against SaLils PO</t>
  </si>
  <si>
    <t>1 against Yuga extn PO</t>
  </si>
  <si>
    <t>1 against New SOW</t>
  </si>
  <si>
    <t>Milestone for Shantanu &amp; Nirav</t>
  </si>
  <si>
    <t>New SOW for 1500 + 20 days cost</t>
  </si>
  <si>
    <t>18th May till 12th June</t>
  </si>
  <si>
    <t>24 days T&amp;E inv against Yuga extn SOW CTSIN201502020</t>
  </si>
  <si>
    <t>5 days T&amp;E inv against new SOW</t>
  </si>
  <si>
    <t>Extra amount we have to manage in new SOW</t>
  </si>
  <si>
    <t xml:space="preserve">New SOW to be drafted for </t>
  </si>
  <si>
    <t>difference after using yuga extn SOW &amp; Jaiganesh SOW</t>
  </si>
  <si>
    <t>SALIL</t>
  </si>
  <si>
    <t>YUGA EXTN</t>
  </si>
  <si>
    <t>NEW SOW</t>
  </si>
  <si>
    <t>JAI GANESH</t>
  </si>
  <si>
    <t>SOW'S</t>
  </si>
  <si>
    <t>INVOICE TYPE</t>
  </si>
  <si>
    <t>1 INV</t>
  </si>
  <si>
    <t>I INV</t>
  </si>
  <si>
    <t>MA313-0000157043</t>
  </si>
  <si>
    <t>Online invoice</t>
  </si>
  <si>
    <t>Total onsite stay of Nirav &amp; Shantanu</t>
  </si>
  <si>
    <t>22nd Mar till 16th May</t>
  </si>
  <si>
    <t>Week/Time frame to work on</t>
  </si>
  <si>
    <t>No of times in month</t>
  </si>
  <si>
    <t>Sr No.</t>
  </si>
  <si>
    <t>Updating Ops tracker</t>
  </si>
  <si>
    <t>As and when required</t>
  </si>
  <si>
    <t>Important Ops tasks</t>
  </si>
  <si>
    <t>Last week of previous month</t>
  </si>
  <si>
    <t>Once in a month</t>
  </si>
  <si>
    <t>Billing advice</t>
  </si>
  <si>
    <t>SOW/PO tracking</t>
  </si>
  <si>
    <t>Each week</t>
  </si>
  <si>
    <t>Nearly daily</t>
  </si>
  <si>
    <t>Revenue Forecasting (6 months)</t>
  </si>
  <si>
    <t>As and when any SOW/PO is updated</t>
  </si>
  <si>
    <t>Recon file</t>
  </si>
  <si>
    <t xml:space="preserve">We need to share this with ASOS Fin team before immediate Tuesday of billing week </t>
  </si>
  <si>
    <t>Contract Amendment data</t>
  </si>
  <si>
    <t>We will need this for submitting contract amendment</t>
  </si>
  <si>
    <t>Budget Confirmation</t>
  </si>
  <si>
    <t>First week of month</t>
  </si>
  <si>
    <t>We need to confirm budgets for FB projects base don SOW coverage</t>
  </si>
  <si>
    <t>This needs to be shared with Samir for tracking</t>
  </si>
  <si>
    <t>PAS submission</t>
  </si>
  <si>
    <t>To generate invoices for T&amp;M projects</t>
  </si>
  <si>
    <t>Milestone condition change</t>
  </si>
  <si>
    <t>To generate invoices for FB projects</t>
  </si>
  <si>
    <t>Sharing invices with Samir</t>
  </si>
  <si>
    <t>For payment</t>
  </si>
  <si>
    <t>We need to share this data with Umesh to enter in C Forecast</t>
  </si>
  <si>
    <t>It should be ready before invoicing</t>
  </si>
  <si>
    <t>AR tracking</t>
  </si>
  <si>
    <t>To check if we are not having long pending invices</t>
  </si>
  <si>
    <t>Timesheet Recon upload</t>
  </si>
  <si>
    <t>To confirm efforts billed for T&amp;M resources</t>
  </si>
  <si>
    <t xml:space="preserve">Updating invoice status </t>
  </si>
  <si>
    <t>Uploading SOW's in ARC</t>
  </si>
  <si>
    <t>We need to upload signed SOW in ARC to knock off the reserves</t>
  </si>
  <si>
    <t>To confirm when invoices are shared with onsite counter part</t>
  </si>
  <si>
    <t xml:space="preserve">Resource allocation/release </t>
  </si>
  <si>
    <t>When allocation is to be done or completed</t>
  </si>
  <si>
    <t>We need to confirm the efforts to be billed for T&amp;M resources</t>
  </si>
  <si>
    <t>Confirm efforts for T&amp;M resources</t>
  </si>
  <si>
    <t>Whenever any New SOW is to be submitted</t>
  </si>
  <si>
    <t>Reviewing SOW</t>
  </si>
  <si>
    <t>Reviewing PO</t>
  </si>
  <si>
    <t>Whenever any PO is shared with us, to check the value to be equal to SOW</t>
  </si>
  <si>
    <t>SO/Allocation tracking</t>
  </si>
  <si>
    <t>SO creation based on need and tracking it for closure</t>
  </si>
  <si>
    <t>Pinnacle parameters</t>
  </si>
  <si>
    <t>We should closely track and control pinnacle parameters like Utilization, TS, Pyramid, Rev, CP, offshoring, T&amp;E</t>
  </si>
  <si>
    <t>Receivables</t>
  </si>
  <si>
    <t>We shall check with Samir for remittance and give invoice mapping to finance team</t>
  </si>
  <si>
    <t>ESA allocations/NBL Tracking</t>
  </si>
  <si>
    <t>If there are any resource movements,billability changes</t>
  </si>
  <si>
    <t>Timesheet approval</t>
  </si>
  <si>
    <t>Twice in a month</t>
  </si>
  <si>
    <t>second &amp; last week</t>
  </si>
  <si>
    <t>To make sure we get PAS enabled on time</t>
  </si>
  <si>
    <t>Project Role</t>
  </si>
  <si>
    <t>Source Type</t>
  </si>
  <si>
    <t>QA ENGINEER</t>
  </si>
  <si>
    <t>E20150416000008601904402</t>
  </si>
  <si>
    <t>Last week month</t>
  </si>
  <si>
    <t>Last week month/before ESA freeze</t>
  </si>
  <si>
    <t>Last week of current month/First week of next month</t>
  </si>
  <si>
    <t xml:space="preserve">CA for Apr'15 </t>
  </si>
  <si>
    <t>18 days. 1st Apr till 24th Ar</t>
  </si>
  <si>
    <t>15 days. 6th  till 24th Apr</t>
  </si>
  <si>
    <t>5 days. 30th Mar till 3rd Apr</t>
  </si>
  <si>
    <r>
      <t xml:space="preserve">New MS: </t>
    </r>
    <r>
      <rPr>
        <sz val="10"/>
        <rFont val="Calibri"/>
        <family val="2"/>
        <scheme val="minor"/>
      </rPr>
      <t>GBP 2,991.4</t>
    </r>
  </si>
  <si>
    <r>
      <t xml:space="preserve">New MS: </t>
    </r>
    <r>
      <rPr>
        <sz val="10"/>
        <rFont val="Calibri"/>
        <family val="2"/>
        <scheme val="minor"/>
      </rPr>
      <t>GBP 26,922.6</t>
    </r>
  </si>
  <si>
    <r>
      <t xml:space="preserve">New MS: </t>
    </r>
    <r>
      <rPr>
        <sz val="10"/>
        <rFont val="Calibri"/>
        <family val="2"/>
        <scheme val="minor"/>
      </rPr>
      <t>GBP 37,392.5</t>
    </r>
  </si>
  <si>
    <r>
      <t xml:space="preserve">New MS: </t>
    </r>
    <r>
      <rPr>
        <sz val="10"/>
        <rFont val="Calibri"/>
        <family val="2"/>
        <scheme val="minor"/>
      </rPr>
      <t>GBP 7,478.5</t>
    </r>
  </si>
  <si>
    <r>
      <rPr>
        <b/>
        <sz val="10"/>
        <rFont val="Calibri"/>
        <family val="2"/>
        <scheme val="minor"/>
      </rPr>
      <t>Apr'15:</t>
    </r>
    <r>
      <rPr>
        <sz val="10"/>
        <rFont val="Calibri"/>
        <family val="2"/>
        <scheme val="minor"/>
      </rPr>
      <t xml:space="preserve">   Define MS for GBP 26,922.6
</t>
    </r>
    <r>
      <rPr>
        <b/>
        <sz val="10"/>
        <rFont val="Calibri"/>
        <family val="2"/>
        <scheme val="minor"/>
      </rPr>
      <t>May'15</t>
    </r>
    <r>
      <rPr>
        <sz val="10"/>
        <rFont val="Calibri"/>
        <family val="2"/>
        <scheme val="minor"/>
      </rPr>
      <t xml:space="preserve">: Define MS for GBP 37,392.5
</t>
    </r>
    <r>
      <rPr>
        <b/>
        <sz val="10"/>
        <rFont val="Calibri"/>
        <family val="2"/>
        <scheme val="minor"/>
      </rPr>
      <t>June'15</t>
    </r>
    <r>
      <rPr>
        <sz val="10"/>
        <rFont val="Calibri"/>
        <family val="2"/>
        <scheme val="minor"/>
      </rPr>
      <t xml:space="preserve">: Define MS for GBP 29,914
</t>
    </r>
    <r>
      <rPr>
        <b/>
        <sz val="10"/>
        <rFont val="Calibri"/>
        <family val="2"/>
        <scheme val="minor"/>
      </rPr>
      <t>July'15</t>
    </r>
    <r>
      <rPr>
        <sz val="10"/>
        <rFont val="Calibri"/>
        <family val="2"/>
        <scheme val="minor"/>
      </rPr>
      <t>:  Define MS for GBP 7,478.5</t>
    </r>
  </si>
  <si>
    <t>20 days. 30th Mar till 24th Apr. 2 holidays at onsite</t>
  </si>
  <si>
    <t xml:space="preserve">SSIS &amp; Int: Lakshya </t>
  </si>
  <si>
    <r>
      <t xml:space="preserve">New MS: </t>
    </r>
    <r>
      <rPr>
        <sz val="10"/>
        <rFont val="Calibri"/>
        <family val="2"/>
        <scheme val="minor"/>
      </rPr>
      <t>GBP 29,914</t>
    </r>
  </si>
  <si>
    <r>
      <t xml:space="preserve">New MS: </t>
    </r>
    <r>
      <rPr>
        <sz val="10"/>
        <rFont val="Calibri"/>
        <family val="2"/>
        <scheme val="minor"/>
      </rPr>
      <t>GBP 17,667</t>
    </r>
  </si>
  <si>
    <r>
      <t xml:space="preserve">New MS: </t>
    </r>
    <r>
      <rPr>
        <sz val="10"/>
        <rFont val="Calibri"/>
        <family val="2"/>
        <scheme val="minor"/>
      </rPr>
      <t>GBP 29,445</t>
    </r>
  </si>
  <si>
    <r>
      <t xml:space="preserve">New MS: </t>
    </r>
    <r>
      <rPr>
        <sz val="10"/>
        <rFont val="Calibri"/>
        <family val="2"/>
        <scheme val="minor"/>
      </rPr>
      <t>GBP 23,556</t>
    </r>
  </si>
  <si>
    <r>
      <t xml:space="preserve">New MS: </t>
    </r>
    <r>
      <rPr>
        <sz val="10"/>
        <rFont val="Calibri"/>
        <family val="2"/>
        <scheme val="minor"/>
      </rPr>
      <t>GBP 5,889</t>
    </r>
  </si>
  <si>
    <r>
      <t xml:space="preserve">New MS: </t>
    </r>
    <r>
      <rPr>
        <sz val="10"/>
        <rFont val="Calibri"/>
        <family val="2"/>
        <scheme val="minor"/>
      </rPr>
      <t>GBP 2,380</t>
    </r>
  </si>
  <si>
    <t>Milestone Remarks</t>
  </si>
  <si>
    <t>CTSGB201505055</t>
  </si>
  <si>
    <t>Bhaskar D: ETL Dev</t>
  </si>
  <si>
    <r>
      <rPr>
        <b/>
        <sz val="10"/>
        <color rgb="FF000000"/>
        <rFont val="Calibri"/>
        <family val="2"/>
        <scheme val="minor"/>
      </rPr>
      <t>Apr'15:</t>
    </r>
    <r>
      <rPr>
        <sz val="10"/>
        <color rgb="FF000000"/>
        <rFont val="Calibri"/>
        <family val="2"/>
        <scheme val="minor"/>
      </rPr>
      <t xml:space="preserve">   Reduce MS by GBP 1,934</t>
    </r>
  </si>
  <si>
    <r>
      <t xml:space="preserve">New MS: </t>
    </r>
    <r>
      <rPr>
        <sz val="10"/>
        <rFont val="Calibri"/>
        <family val="2"/>
        <scheme val="minor"/>
      </rPr>
      <t>GBP 47,582</t>
    </r>
  </si>
  <si>
    <r>
      <rPr>
        <b/>
        <sz val="10"/>
        <color rgb="FF000000"/>
        <rFont val="Calibri"/>
        <family val="2"/>
        <scheme val="minor"/>
      </rPr>
      <t xml:space="preserve">Apr'15:   </t>
    </r>
    <r>
      <rPr>
        <sz val="10"/>
        <color rgb="FF000000"/>
        <rFont val="Calibri"/>
        <family val="2"/>
        <scheme val="minor"/>
      </rPr>
      <t>Define MS for GBP 17,667</t>
    </r>
    <r>
      <rPr>
        <b/>
        <sz val="10"/>
        <color rgb="FF000000"/>
        <rFont val="Calibri"/>
        <family val="2"/>
        <scheme val="minor"/>
      </rPr>
      <t xml:space="preserve">
May'15: </t>
    </r>
    <r>
      <rPr>
        <sz val="10"/>
        <color rgb="FF000000"/>
        <rFont val="Calibri"/>
        <family val="2"/>
        <scheme val="minor"/>
      </rPr>
      <t>Define MS for GBP 29,445</t>
    </r>
    <r>
      <rPr>
        <b/>
        <sz val="10"/>
        <color rgb="FF000000"/>
        <rFont val="Calibri"/>
        <family val="2"/>
        <scheme val="minor"/>
      </rPr>
      <t xml:space="preserve">
June'15: </t>
    </r>
    <r>
      <rPr>
        <sz val="10"/>
        <color rgb="FF000000"/>
        <rFont val="Calibri"/>
        <family val="2"/>
        <scheme val="minor"/>
      </rPr>
      <t>Define MS for GBP 23,556</t>
    </r>
    <r>
      <rPr>
        <b/>
        <sz val="10"/>
        <color rgb="FF000000"/>
        <rFont val="Calibri"/>
        <family val="2"/>
        <scheme val="minor"/>
      </rPr>
      <t xml:space="preserve">
July'15:  </t>
    </r>
    <r>
      <rPr>
        <sz val="10"/>
        <color rgb="FF000000"/>
        <rFont val="Calibri"/>
        <family val="2"/>
        <scheme val="minor"/>
      </rPr>
      <t>Define MS for GBP 5,889</t>
    </r>
  </si>
  <si>
    <r>
      <rPr>
        <b/>
        <sz val="10"/>
        <rFont val="Calibri"/>
        <family val="2"/>
        <scheme val="minor"/>
      </rPr>
      <t>Apr'15:</t>
    </r>
    <r>
      <rPr>
        <sz val="10"/>
        <rFont val="Calibri"/>
        <family val="2"/>
        <scheme val="minor"/>
      </rPr>
      <t xml:space="preserve">   Reduce MS by GBP 3</t>
    </r>
  </si>
  <si>
    <t>Overall 
change</t>
  </si>
  <si>
    <r>
      <rPr>
        <b/>
        <sz val="10"/>
        <rFont val="Calibri"/>
        <family val="2"/>
        <scheme val="minor"/>
      </rPr>
      <t>Apr'15:</t>
    </r>
    <r>
      <rPr>
        <sz val="10"/>
        <rFont val="Calibri"/>
        <family val="2"/>
        <scheme val="minor"/>
      </rPr>
      <t xml:space="preserve">   Reduce MS by GBP 780</t>
    </r>
  </si>
  <si>
    <t>T&amp;E cost of Vinamra Dubey for IT IS Support activities at onsite.</t>
  </si>
  <si>
    <t>MA313-0000157910</t>
  </si>
  <si>
    <t>MA313-0000157911</t>
  </si>
  <si>
    <t>MA313-0000157912</t>
  </si>
  <si>
    <t>MA313-0000157909</t>
  </si>
  <si>
    <t>Charges for Tactical changes team: AVANI for the month of Apr-2015 (30th &amp; 31st Mar)</t>
  </si>
  <si>
    <t>Charges for Tech Debt Changes team (Himalay) for the month of Apr-2015</t>
  </si>
  <si>
    <t>Charges for Lakshya team for the month of Apr-2015</t>
  </si>
  <si>
    <t>Charges for Tactical changes team: AVANI for the month of Apr-2015 (1st Apr till 24th Apr)</t>
  </si>
  <si>
    <t xml:space="preserve">MA313-0000157914 </t>
  </si>
  <si>
    <t xml:space="preserve">MA313-0000157915 </t>
  </si>
  <si>
    <t>MA313-0000157916</t>
  </si>
  <si>
    <t>Charges for International search work team (Yuga) for the month of Apr-2015 (30th Mar till 3rd Apr)</t>
  </si>
  <si>
    <t>Charges for Yuga extn team: Saved Items Refactoring for the month of Apr-2015 (30th Mar till 3rd Apr)</t>
  </si>
  <si>
    <t>Charges for International search work team (Yuga) for the month of Apr-2015 (6th Apr till 24th Apr)</t>
  </si>
  <si>
    <t>MA313-0000157970</t>
  </si>
  <si>
    <t>Services rendered for Offshore ALM team for the month of Apr-2015</t>
  </si>
  <si>
    <t>MA313-0000157996</t>
  </si>
  <si>
    <t>CTSGB201505056</t>
  </si>
  <si>
    <t>Viswa Ranjan: ETL Dev</t>
  </si>
  <si>
    <t>MA313-0000158258</t>
  </si>
  <si>
    <t>MA313-0000158257</t>
  </si>
  <si>
    <t>Services rendered for China PDI team for the month of Apr-2015</t>
  </si>
  <si>
    <t>Services rendered for China CCP team for the month of Apr-2015</t>
  </si>
  <si>
    <t>E20150430000009700110518</t>
  </si>
  <si>
    <t xml:space="preserve">MA313-0000158522 </t>
  </si>
  <si>
    <t>MA313-0000158523</t>
  </si>
  <si>
    <t>MA313-0000158524</t>
  </si>
  <si>
    <t>MA313-0000158525</t>
  </si>
  <si>
    <t>MA313-0000158526</t>
  </si>
  <si>
    <t>Services rendered for Arun Kumar for the month of Apr-2015 (30th Mar till 3rd Apr)</t>
  </si>
  <si>
    <t>Services rendered for Anurag Ankur for the month of Apr-2015 (30th Mar till 3rd Apr)</t>
  </si>
  <si>
    <t>Services rendered for Akash Srivastava for the month of Apr-2015 (30th Mar till 3rd Apr)</t>
  </si>
  <si>
    <t>Services rendered for Bharatesh P for the month of Apr-2015</t>
  </si>
  <si>
    <t>Services rendered for Swaminathan R for the month of Apr-2015</t>
  </si>
  <si>
    <t xml:space="preserve">MA313-0000158540 </t>
  </si>
  <si>
    <t xml:space="preserve">MA313-0000158541 </t>
  </si>
  <si>
    <t>MA313-0000158542</t>
  </si>
  <si>
    <t>MA313-0000158543</t>
  </si>
  <si>
    <t xml:space="preserve">MA313-0000158544 </t>
  </si>
  <si>
    <t>Services rendered for China L1 Support team for the month of Apr-2015</t>
  </si>
  <si>
    <t>Services rendered for Ecommerce Integration Testing for the month of Apr-2015 (30th Mar till 10th Apr)</t>
  </si>
  <si>
    <t>Services rendered for Ecommerce Integration Testing for the month of Apr-2015 (13th Apr till 24th Apr)</t>
  </si>
  <si>
    <t>Services rendered for Netsuite Customization Support team for the month of Apr-2015</t>
  </si>
  <si>
    <t>Services rendered for China Mule Support for the month of Apr-2015</t>
  </si>
  <si>
    <t>MA313-0000158441</t>
  </si>
  <si>
    <t>MA313-0000158442</t>
  </si>
  <si>
    <t>MA313-0000158443</t>
  </si>
  <si>
    <t>MA313-0000158444</t>
  </si>
  <si>
    <t>MA313-0000158445</t>
  </si>
  <si>
    <t>MA313-0000158446</t>
  </si>
  <si>
    <t>MA313-0000158447</t>
  </si>
  <si>
    <t>MA313-0000158448</t>
  </si>
  <si>
    <t>MA313-0000158449</t>
  </si>
  <si>
    <t>MA313-0000158450</t>
  </si>
  <si>
    <t>MA313-0000158451</t>
  </si>
  <si>
    <t>MA313-0000158452</t>
  </si>
  <si>
    <t>MA313-0000158453</t>
  </si>
  <si>
    <t>MA313-0000158454</t>
  </si>
  <si>
    <t>Services rendered for ITIS Support Team for the month of Apr-2015</t>
  </si>
  <si>
    <t>Services rendered for Raman for the month of Apr-2015 (1st April till 24th Apr)</t>
  </si>
  <si>
    <t>Services rendered for Sunil Manghrani for the month of Apr-2015</t>
  </si>
  <si>
    <t>Services rendered for Third Rock India Team for the month of Apr-2015 (30th &amp; 31st Mar)</t>
  </si>
  <si>
    <t>Services rendered for Dhrubajyoti G for the month of Apr-2015 (14th Apr till 24th Apr)</t>
  </si>
  <si>
    <t>Services rendered for Sonal for the month of Apr-2015 (30th Mar till 17th Apr)</t>
  </si>
  <si>
    <t>Services rendered for Hardik L for the month of Apr-2015</t>
  </si>
  <si>
    <t>Services rendered for Nitin Nazare for the month of Apr-2015 (30th Mar till 3rd Apr)</t>
  </si>
  <si>
    <t>Services rendered for Arun K for the month of Apr-2015 (6th Apr till 24th Apr)</t>
  </si>
  <si>
    <t>Services rendered for Third Rock India Team for the month of Apr-2015 (1st April till 24th Apr)</t>
  </si>
  <si>
    <t>Services rendered for Prabakaran for the month of Apr-2015 (30th Mar till 3rd Apr)</t>
  </si>
  <si>
    <t>Services rendered for Raman for the month of Apr-2015 (30th &amp; 31st Mar)</t>
  </si>
  <si>
    <t>Services rendered for Yusuf Jamali for the month of Apr-2015</t>
  </si>
  <si>
    <t>Services rendered for Milan for the month of Apr-2015 (6th Apr till 24th Apr)</t>
  </si>
  <si>
    <t>MA313-0000158455</t>
  </si>
  <si>
    <t>Services rendered for Anika for the month of Apr-2015</t>
  </si>
  <si>
    <t>MA313-0000158456</t>
  </si>
  <si>
    <t>Services rendered for Kunal D for the month of Apr-2015 (16th Apr till 24th Apr)</t>
  </si>
  <si>
    <t>Sharlene Rahman</t>
  </si>
  <si>
    <t>MA313-0000158457</t>
  </si>
  <si>
    <t>Services rendered for Akash S for the month of Apr-2015 (6th Apr till 24th Apr)</t>
  </si>
  <si>
    <t>MA313-0000158458</t>
  </si>
  <si>
    <t>Services rendered for Agrim Bothra for the month of Apr-2015</t>
  </si>
  <si>
    <t>MA313-0000158459</t>
  </si>
  <si>
    <t>Services rendered for Gaurav Sharma for the month of Apr-2015</t>
  </si>
  <si>
    <t>MA313-0000158460</t>
  </si>
  <si>
    <t>Services rendered for Charishma D for the month of Apr-2015 (13th Apr till 24th Apr)</t>
  </si>
  <si>
    <t>MA313-0000158461</t>
  </si>
  <si>
    <t>Services rendered for Nitin Nazare for the month of Apr-2015 (6th Apr till 24th Apr)</t>
  </si>
  <si>
    <t>MA313-0000158462</t>
  </si>
  <si>
    <t>Services rendered for Charishma D for the month of Apr-2015 (30th Mar till 10th Apr)</t>
  </si>
  <si>
    <t>MA313-0000158463</t>
  </si>
  <si>
    <t>Services rendered for Milan for the month of Apr-2015 (30th Mar till 3rd Apr)</t>
  </si>
  <si>
    <t>MA313-0000158464</t>
  </si>
  <si>
    <t>Services rendered for Soumya M for the month of Apr-2015 (7th Apr till 24th Apr)</t>
  </si>
  <si>
    <t>MA313-0000158465</t>
  </si>
  <si>
    <t>Services rendered for Jai Ganesh for the month of Apr-2015 (6th Apr till 24th Apr)</t>
  </si>
  <si>
    <t>MA313-0000158466</t>
  </si>
  <si>
    <t>Services rendered for Salil for the month of Apr-2015</t>
  </si>
  <si>
    <t>MA313-0000158467</t>
  </si>
  <si>
    <t>Services rendered for Ishan Sharma for the month of Apr-2015</t>
  </si>
  <si>
    <t>MA313-0000158468</t>
  </si>
  <si>
    <t>Services rendered for Anurag A for the month of Apr-2015 (6th Apr till 24th Apr)</t>
  </si>
  <si>
    <t>MA313-0000158469</t>
  </si>
  <si>
    <t>Services rendered for Prabakaran for the month of Apr-2015 (6th Apr till 24th Apr)</t>
  </si>
  <si>
    <t>MA313-0000158470</t>
  </si>
  <si>
    <t>Services rendered for Jai Ganesh for the month of Apr-2015 (30th Mar till 3rd Apr)</t>
  </si>
  <si>
    <t>CTSGB201506061</t>
  </si>
  <si>
    <t>CTSGB201507064</t>
  </si>
  <si>
    <t>CTSGB201507065</t>
  </si>
  <si>
    <t>Dileep Kumar Banala</t>
  </si>
  <si>
    <t>CTSGB201505066</t>
  </si>
  <si>
    <t>CTSIN201507069</t>
  </si>
  <si>
    <t>Shantanu D</t>
  </si>
  <si>
    <t>E20150515000008500768292</t>
  </si>
  <si>
    <t>TOTAL (GBP)</t>
  </si>
  <si>
    <t>CTSIN201507073</t>
  </si>
  <si>
    <t>T&amp;E cost of Shantanu &amp; Nirav for Saved items refactoring and mobile API improvement work at onsite.</t>
  </si>
  <si>
    <t xml:space="preserve">CA for May'15 </t>
  </si>
  <si>
    <t>Resource/Team</t>
  </si>
  <si>
    <t>daily cost</t>
  </si>
  <si>
    <t>Salil (50%)</t>
  </si>
  <si>
    <t>Jai Ganesh  (50%)</t>
  </si>
  <si>
    <t>Sandeep (100%)</t>
  </si>
  <si>
    <t>Yuga (100%)</t>
  </si>
  <si>
    <t>Cost from 6th July, as they are already covered in current SOW's till 3rd july</t>
  </si>
  <si>
    <t>days in month</t>
  </si>
  <si>
    <t xml:space="preserve">ASOS International 
Search </t>
  </si>
  <si>
    <t>New May'15
MS</t>
  </si>
  <si>
    <t>May'15 MS Remarks</t>
  </si>
  <si>
    <t>ESA MS as of now</t>
  </si>
  <si>
    <r>
      <rPr>
        <b/>
        <sz val="10"/>
        <rFont val="Calibri"/>
        <family val="2"/>
        <scheme val="minor"/>
      </rPr>
      <t>May'15 MS:</t>
    </r>
    <r>
      <rPr>
        <sz val="10"/>
        <rFont val="Calibri"/>
        <family val="2"/>
        <scheme val="minor"/>
      </rPr>
      <t xml:space="preserve"> Reduce MS by GBP 1,495.7</t>
    </r>
  </si>
  <si>
    <r>
      <rPr>
        <b/>
        <sz val="10"/>
        <rFont val="Calibri"/>
        <family val="2"/>
        <scheme val="minor"/>
      </rPr>
      <t>May'15 MS</t>
    </r>
    <r>
      <rPr>
        <sz val="10"/>
        <rFont val="Calibri"/>
        <family val="2"/>
        <scheme val="minor"/>
      </rPr>
      <t>: Reduce MS by GBP 1,353.7</t>
    </r>
  </si>
  <si>
    <r>
      <rPr>
        <b/>
        <sz val="10"/>
        <rFont val="Calibri"/>
        <family val="2"/>
        <scheme val="minor"/>
      </rPr>
      <t>May'15 MS:</t>
    </r>
    <r>
      <rPr>
        <sz val="10"/>
        <rFont val="Calibri"/>
        <family val="2"/>
        <scheme val="minor"/>
      </rPr>
      <t xml:space="preserve"> Reduce MS by GBP 1,177.8</t>
    </r>
  </si>
  <si>
    <t>MA313-0000160538</t>
  </si>
  <si>
    <r>
      <rPr>
        <b/>
        <sz val="10"/>
        <rFont val="Calibri"/>
        <family val="2"/>
        <scheme val="minor"/>
      </rPr>
      <t>May'15 MS:</t>
    </r>
    <r>
      <rPr>
        <sz val="10"/>
        <rFont val="Calibri"/>
        <family val="2"/>
        <scheme val="minor"/>
      </rPr>
      <t xml:space="preserve"> Reduce MS by GBP 5,281.8</t>
    </r>
  </si>
  <si>
    <t>Commited SOW value (GBP)</t>
  </si>
  <si>
    <t>Resource Count</t>
  </si>
  <si>
    <t>Engagements started in March</t>
  </si>
  <si>
    <t>Engagements started in April</t>
  </si>
  <si>
    <t>Engagements started in May</t>
  </si>
  <si>
    <t>Services rendered for Offshore ALM team for the month of May-2015</t>
  </si>
  <si>
    <t>MA313-0000161159</t>
  </si>
  <si>
    <t>MA313-0000161264</t>
  </si>
  <si>
    <t>Charges for Tech Debt Changes team (Himalay) for the month of May-2015</t>
  </si>
  <si>
    <t>MA313-0000161265</t>
  </si>
  <si>
    <t>Charges for Lakshya team for the month of May-2015</t>
  </si>
  <si>
    <t>MA313-0000161266</t>
  </si>
  <si>
    <t>Charges for Tactical changes team: AVANI for the month of May-2015</t>
  </si>
  <si>
    <t>MA313-0000161500</t>
  </si>
  <si>
    <t>Services rendered for Netsuite Customization Support team for the month of May-2015</t>
  </si>
  <si>
    <t>Services rendered for China L1 Support team for the month of May-2015</t>
  </si>
  <si>
    <t>MA313-0000161501</t>
  </si>
  <si>
    <t>MA313-0000161502</t>
  </si>
  <si>
    <t>Services rendered for Ecommerce Integration Testing for the month of May-2015</t>
  </si>
  <si>
    <t>MA313-0000161503</t>
  </si>
  <si>
    <t>Services rendered for China Mule Support for the month of May-2015</t>
  </si>
  <si>
    <t>MA313-0000161475</t>
  </si>
  <si>
    <t>Services rendered for Bharatesh P for the month of May-2015</t>
  </si>
  <si>
    <t>MA313-0000161476</t>
  </si>
  <si>
    <t>Services rendered for Swaminathan R for the month of May-2015</t>
  </si>
  <si>
    <t>MA313-0000161665</t>
  </si>
  <si>
    <t>Services rendered for China CCP team for the month of May-2015</t>
  </si>
  <si>
    <t>MA313-0000161666</t>
  </si>
  <si>
    <t>Services rendered for China PDI team for the month of May-2015</t>
  </si>
  <si>
    <t>MA313-0000161824</t>
  </si>
  <si>
    <t>MA313-0000161825</t>
  </si>
  <si>
    <t>MA313-0000161826</t>
  </si>
  <si>
    <t>MA313-0000161827</t>
  </si>
  <si>
    <t>MA313-0000161828</t>
  </si>
  <si>
    <t>MA313-0000161829</t>
  </si>
  <si>
    <t>MA313-0000161830</t>
  </si>
  <si>
    <t>MA313-0000161831</t>
  </si>
  <si>
    <t>MA313-0000161832</t>
  </si>
  <si>
    <t>MA313-0000161833</t>
  </si>
  <si>
    <t>MA313-0000161834</t>
  </si>
  <si>
    <t>MA313-0000161835</t>
  </si>
  <si>
    <t>MA313-0000161836</t>
  </si>
  <si>
    <t>MA313-0000161837</t>
  </si>
  <si>
    <t>MA313-0000161838</t>
  </si>
  <si>
    <t>MA313-0000161839</t>
  </si>
  <si>
    <t>MA313-0000161840</t>
  </si>
  <si>
    <t>MA313-0000161841</t>
  </si>
  <si>
    <t>MA313-0000161842</t>
  </si>
  <si>
    <t>MA313-0000161843</t>
  </si>
  <si>
    <t>MA313-0000161844</t>
  </si>
  <si>
    <t>MA313-0000161845</t>
  </si>
  <si>
    <t>MA313-0000161846</t>
  </si>
  <si>
    <t>MA313-0000161847</t>
  </si>
  <si>
    <t>MA313-0000161848</t>
  </si>
  <si>
    <t>MA313-0000161849</t>
  </si>
  <si>
    <t>MA313-0000161850</t>
  </si>
  <si>
    <t>MA313-0000161851</t>
  </si>
  <si>
    <t>MA313-0000161852</t>
  </si>
  <si>
    <t>Services rendered for Third Rock India Team for the month of May-2015</t>
  </si>
  <si>
    <t>Services rendered for Arun K for the month of May-2015</t>
  </si>
  <si>
    <t>Services rendered for Raman for the month of May-2015</t>
  </si>
  <si>
    <t>Services rendered for Anurag A for the month of May-2015</t>
  </si>
  <si>
    <t>Services rendered for Anika for the month of May-2015</t>
  </si>
  <si>
    <t>Services rendered for Akash S for the month of May-2015</t>
  </si>
  <si>
    <t>Services rendered for Agrim Bothra for the month of May-2015</t>
  </si>
  <si>
    <t>Services rendered for Charishma D for the month of May-2015</t>
  </si>
  <si>
    <t>Services rendered for Bharatesh P for the month of May-2015 (5th May till 29th May)</t>
  </si>
  <si>
    <t>Services rendered for Kunal D for the month of May-2015</t>
  </si>
  <si>
    <t>Services rendered for ITIS Support Team for the month of May-2015</t>
  </si>
  <si>
    <t>Services rendered for Soumya M for the month of May-2015</t>
  </si>
  <si>
    <t>Services rendered for Sunil Manghrani for the month of May-2015</t>
  </si>
  <si>
    <t>Services rendered for Nitin Nazare for the month of May-2015</t>
  </si>
  <si>
    <t>Services rendered for Dhrubajyoti G for the month of May-2015</t>
  </si>
  <si>
    <t>Services rendered for Salil for the month of May-2015</t>
  </si>
  <si>
    <t>Services rendered for Yusuf Jamali for the month of May-2015</t>
  </si>
  <si>
    <t>Services rendered for Gaurav Sharma for the month of May-2015</t>
  </si>
  <si>
    <t>Services rendered for Hardik L for the month of May-2015 (27th Apr till 22nd May)</t>
  </si>
  <si>
    <t>Services rendered for Milan for the month of May-2015</t>
  </si>
  <si>
    <t>Services rendered for Ishan Sharma for the month of May-2015</t>
  </si>
  <si>
    <t>Services rendered for Prabakaran for the month of May-2015</t>
  </si>
  <si>
    <t>Services rendered for Hardik L for the month of May-2015 (25th May till 29th May)</t>
  </si>
  <si>
    <t>Services rendered for Jai Ganesh for the month of May-2015</t>
  </si>
  <si>
    <t>Services rendered for Shian T for the month of May-2015 (29th May)</t>
  </si>
  <si>
    <t>Services rendered for Viswa S for the month of May-2015 (18th May till 29th May)</t>
  </si>
  <si>
    <t>Services rendered for Dileep Kumar for the month of May-2015 (11th May till 29th May)</t>
  </si>
  <si>
    <t>Services rendered for Shantanu D for the month of May-2015 (18th May till 29th May)</t>
  </si>
  <si>
    <t>Services rendered for Bhaskar D for the month of May-2015 (5th May till 29th May)</t>
  </si>
  <si>
    <t>Charges for International search work team (Yuga) for the month of May-2015</t>
  </si>
  <si>
    <t>MA313-0000162011</t>
  </si>
  <si>
    <t>ADDITIONS IN MAY BILLING</t>
  </si>
  <si>
    <t>Dileep K</t>
  </si>
  <si>
    <t>11th May till 29th May</t>
  </si>
  <si>
    <t>18th May till 29th May</t>
  </si>
  <si>
    <t>Shian T</t>
  </si>
  <si>
    <t>29th May till 29th May</t>
  </si>
  <si>
    <t>25th May till 29th May</t>
  </si>
  <si>
    <t>Resourec Name</t>
  </si>
  <si>
    <t>billing period</t>
  </si>
  <si>
    <t>Amount (GBP)</t>
  </si>
  <si>
    <t>Amount (USD)</t>
  </si>
  <si>
    <t>Hardik L</t>
  </si>
  <si>
    <t>mail on 5th June 2015</t>
  </si>
  <si>
    <t>Invoicing done</t>
  </si>
  <si>
    <t>Savings till may invoicing</t>
  </si>
  <si>
    <t>QA Lead-BI</t>
  </si>
  <si>
    <t xml:space="preserve">3 laptops </t>
  </si>
  <si>
    <t>Meal expenses</t>
  </si>
  <si>
    <t>Taxi expenses</t>
  </si>
  <si>
    <t>COST HEADS</t>
  </si>
  <si>
    <t>IN RMB</t>
  </si>
  <si>
    <t>RMB to GBP</t>
  </si>
  <si>
    <t>RMB to USD</t>
  </si>
  <si>
    <t xml:space="preserve">SOW's with improved velocity </t>
  </si>
  <si>
    <t>Velocity in story points</t>
  </si>
  <si>
    <t xml:space="preserve">16 to 18 </t>
  </si>
  <si>
    <t>13 to 15</t>
  </si>
  <si>
    <t>Surya Analytical Team</t>
  </si>
  <si>
    <t>Team size is increased as well</t>
  </si>
  <si>
    <t>1st Apr'13 to 31st Mar'14</t>
  </si>
  <si>
    <t>6th July</t>
  </si>
  <si>
    <t>25th Sep</t>
  </si>
  <si>
    <t>Resource/Team Name</t>
  </si>
  <si>
    <t>SOW Start date</t>
  </si>
  <si>
    <t>SOW End date</t>
  </si>
  <si>
    <t>27th July</t>
  </si>
  <si>
    <t>30th Oct</t>
  </si>
  <si>
    <t>3rd Aug</t>
  </si>
  <si>
    <t>Avani Team</t>
  </si>
  <si>
    <t>New SOW's to be drafted.</t>
  </si>
  <si>
    <t>CTSGB201509089</t>
  </si>
  <si>
    <t>CTSIN201509093</t>
  </si>
  <si>
    <t xml:space="preserve">CA for June'15 </t>
  </si>
  <si>
    <t>NOT NEEDED</t>
  </si>
  <si>
    <t>SOLUTION ARCH</t>
  </si>
  <si>
    <t>Charges for International search work team (Yuga) for the month of June-2015</t>
  </si>
  <si>
    <t>MA313-0000163787</t>
  </si>
  <si>
    <t>MA313-0000163786</t>
  </si>
  <si>
    <t>Charges for Tech Debt Changes team (Himalay) for the month of June-2015</t>
  </si>
  <si>
    <t>MA313-0000163804</t>
  </si>
  <si>
    <t>Charges for Lakshya team for the month of June-2015</t>
  </si>
  <si>
    <t>MA313-0000163805</t>
  </si>
  <si>
    <t>Charges for Tactical changes team: AVANI for the month of June-2015</t>
  </si>
  <si>
    <t>Mail on 26th June 2015</t>
  </si>
  <si>
    <t>mail on 26th June 2015</t>
  </si>
  <si>
    <t>E20150626000006101438421</t>
  </si>
  <si>
    <t>CTSIN201507094</t>
  </si>
  <si>
    <t>Sylvie Manuel</t>
  </si>
  <si>
    <t>MA313-0000164627</t>
  </si>
  <si>
    <t>Services rendered for Offshore ALM team for the month of June-2015</t>
  </si>
  <si>
    <t>MA313-0000164622</t>
  </si>
  <si>
    <t>Services rendered for China PDI team for the month of June-2015</t>
  </si>
  <si>
    <t>MA313-0000164623</t>
  </si>
  <si>
    <t>Services rendered for China CCP team for the month of June-2015</t>
  </si>
  <si>
    <t>MA313-0000164732</t>
  </si>
  <si>
    <t>MA313-0000164733</t>
  </si>
  <si>
    <t>MA313-0000164734</t>
  </si>
  <si>
    <t>MA313-0000164735</t>
  </si>
  <si>
    <t>MA313-0000164736</t>
  </si>
  <si>
    <t>MA313-0000164737</t>
  </si>
  <si>
    <t>MA313-0000164738</t>
  </si>
  <si>
    <t>MA313-0000164739</t>
  </si>
  <si>
    <t>MA313-0000164740</t>
  </si>
  <si>
    <t>Services rendered for Sanchit A for the month of June-2015 (16th June till 26th June)</t>
  </si>
  <si>
    <t>Services rendered for Mahesh K for the month of June-2015</t>
  </si>
  <si>
    <t>Services rendered for Raman for the month of June-2015</t>
  </si>
  <si>
    <t>Services rendered for Charishma D for the month of June-2015</t>
  </si>
  <si>
    <t>Pratap Chaudhary</t>
  </si>
  <si>
    <t>Services rendered for Dhrubajyoti G for the month of June-2015</t>
  </si>
  <si>
    <t>Services rendered for Onsite Checkout Team for the month of June-2015</t>
  </si>
  <si>
    <t>Andy Greenhalgh</t>
  </si>
  <si>
    <t>Services rendered for Nitin Nazare for the month of June-2015 (1st June till 5th June)</t>
  </si>
  <si>
    <t>Services rendered for Gaurav Sharma for the month of June-2015 (1st June till 12th June)</t>
  </si>
  <si>
    <t>Services rendered for Bhaskar D for the month of June-2015</t>
  </si>
  <si>
    <t>MA313-0000164741</t>
  </si>
  <si>
    <t>MA313-0000164742</t>
  </si>
  <si>
    <t>MA313-0000164743</t>
  </si>
  <si>
    <t>MA313-0000164744</t>
  </si>
  <si>
    <t>MA313-0000164745</t>
  </si>
  <si>
    <t>MA313-0000164746</t>
  </si>
  <si>
    <t>MA313-0000164747</t>
  </si>
  <si>
    <t>MA313-0000164748</t>
  </si>
  <si>
    <t>MA313-0000164749</t>
  </si>
  <si>
    <t>MA313-0000164750</t>
  </si>
  <si>
    <t>Services rendered for Gaurav Sharma for the month of June-2015 (15th June till 26th June)</t>
  </si>
  <si>
    <t>Services rendered for Salil for the month of June-2015</t>
  </si>
  <si>
    <t>Services rendered for Milan for the month of June-2015</t>
  </si>
  <si>
    <t>Services rendered for Anurag A for the month of June-2015</t>
  </si>
  <si>
    <t>Services rendered for Arun K for the month of June-2015</t>
  </si>
  <si>
    <t>Services rendered for Soumya M for the month of June-2015</t>
  </si>
  <si>
    <t>Services rendered for Third Rock India Team for the month of June-2015</t>
  </si>
  <si>
    <t>Services rendered for Viswa S for the month of June-2015</t>
  </si>
  <si>
    <t>Services rendered for Kunal D for the month of June-2015</t>
  </si>
  <si>
    <t>Services rendered for Bharatesh P for the month of June-2015</t>
  </si>
  <si>
    <t>MA313-0000164751</t>
  </si>
  <si>
    <t>MA313-0000164752</t>
  </si>
  <si>
    <t>MA313-0000164753</t>
  </si>
  <si>
    <t>MA313-0000164754</t>
  </si>
  <si>
    <t>MA313-0000164755</t>
  </si>
  <si>
    <t>MA313-0000164756</t>
  </si>
  <si>
    <t>MA313-0000164757</t>
  </si>
  <si>
    <t>MA313-0000164758</t>
  </si>
  <si>
    <t>MA313-0000164759</t>
  </si>
  <si>
    <t>MA313-0000164760</t>
  </si>
  <si>
    <t>Services rendered for Dileep Kumar for the month of June-2015</t>
  </si>
  <si>
    <t>Services rendered for ITIS Support Team for the month of June-2015</t>
  </si>
  <si>
    <t>Services rendered for Jai Ganesh for the month of June-2015</t>
  </si>
  <si>
    <t>Services rendered for Agrim Bothra for the month of June-2015 (1st June till 12th June)</t>
  </si>
  <si>
    <t>Services rendered for Yusuf Jamali for the month of June-2015</t>
  </si>
  <si>
    <t>Services rendered for Nitin Nazare for the month of June-2015 (8th June till 26th June)</t>
  </si>
  <si>
    <t>Services rendered for Sunil Manghrani for the month of June-2015</t>
  </si>
  <si>
    <t>Services rendered for Hardik L for the month of June-2015</t>
  </si>
  <si>
    <t>Services rendered for Ishan Sharma for the month of June-2015</t>
  </si>
  <si>
    <t>Services rendered for Akash S for the month of June-2015</t>
  </si>
  <si>
    <t>MA313-0000164761</t>
  </si>
  <si>
    <t>MA313-0000164762</t>
  </si>
  <si>
    <t>MA313-0000164763</t>
  </si>
  <si>
    <t>MA313-0000164764</t>
  </si>
  <si>
    <t>MA313-0000164765</t>
  </si>
  <si>
    <t>MA313-0000164766</t>
  </si>
  <si>
    <t>Services rendered for Anika for the month of June-2015</t>
  </si>
  <si>
    <t>Services rendered for Shian T for the month of June-2015</t>
  </si>
  <si>
    <t>Services rendered for Swaminathan R for the month of June-2015</t>
  </si>
  <si>
    <t>Services rendered for Shantanu D for the month of June-2015</t>
  </si>
  <si>
    <t>Services rendered for Kim Mellebeek for the month of June-2015 (22nd June till 26th June)</t>
  </si>
  <si>
    <t>Meriel Neighbour</t>
  </si>
  <si>
    <t>Services rendered for Agrim Bothra for the month of June-2015 (15th June till 26th June)</t>
  </si>
  <si>
    <t>MA313-0000165057</t>
  </si>
  <si>
    <t>MA313-0000165058</t>
  </si>
  <si>
    <t>MA313-0000165059</t>
  </si>
  <si>
    <t>MA313-0000165060</t>
  </si>
  <si>
    <t>Services rendered for Ecommerce Integration Testing for the month of June-2015</t>
  </si>
  <si>
    <t>Services rendered for China L1 Support team for the month of June-2015</t>
  </si>
  <si>
    <t>Services rendered for China Mule Support for the month of June-2015</t>
  </si>
  <si>
    <t>Services rendered for Netsuite Customization Support team for the month of June-2015</t>
  </si>
  <si>
    <t>MA313-0000165142</t>
  </si>
  <si>
    <t>MA313-0000165143</t>
  </si>
  <si>
    <t>E20150702000007300436693</t>
  </si>
  <si>
    <t xml:space="preserve">T&amp;E invoice for Janakan for conducting the promotion modelling tool UAT </t>
  </si>
  <si>
    <t>Dev Manager</t>
  </si>
  <si>
    <t>London/Pune</t>
  </si>
  <si>
    <t>MS Developers</t>
  </si>
  <si>
    <t>Lead Soft Engg</t>
  </si>
  <si>
    <t xml:space="preserve">Onsite Rate </t>
  </si>
  <si>
    <t xml:space="preserve">Offshore Rate </t>
  </si>
  <si>
    <t>-</t>
  </si>
  <si>
    <t>Onsite start date</t>
  </si>
  <si>
    <t>Count</t>
  </si>
  <si>
    <t>TBD</t>
  </si>
  <si>
    <t xml:space="preserve">Kunal </t>
  </si>
  <si>
    <t>Vighnesh</t>
  </si>
  <si>
    <t>Gaurav</t>
  </si>
  <si>
    <t>17th aug</t>
  </si>
  <si>
    <t>15th July</t>
  </si>
  <si>
    <t>Global Fulfilment costing</t>
  </si>
  <si>
    <t>SOW 
Signed?</t>
  </si>
  <si>
    <t>Start 
date</t>
  </si>
  <si>
    <t>End 
date</t>
  </si>
  <si>
    <t xml:space="preserve">ASOS Middleware Integration </t>
  </si>
  <si>
    <t xml:space="preserve">MA313-0000166142 </t>
  </si>
  <si>
    <t>LEAD DESIGNER</t>
  </si>
  <si>
    <t>DEV MANAGER</t>
  </si>
  <si>
    <t xml:space="preserve">CA for July'15 </t>
  </si>
  <si>
    <t xml:space="preserve">July'15 MS </t>
  </si>
  <si>
    <t xml:space="preserve">Aug'15 MS </t>
  </si>
  <si>
    <t xml:space="preserve">Sep'15 MS </t>
  </si>
  <si>
    <t xml:space="preserve">Oct'15 MS </t>
  </si>
  <si>
    <t xml:space="preserve">Nov'15 MS </t>
  </si>
  <si>
    <t>Increament/
Decreament</t>
  </si>
  <si>
    <t>Add milestones as per the SOW</t>
  </si>
  <si>
    <t>CTSIN201503021</t>
  </si>
  <si>
    <t>CTSGB201508103</t>
  </si>
  <si>
    <t>CTSGB201508104</t>
  </si>
  <si>
    <t>CTSGB201508105</t>
  </si>
  <si>
    <t>E20150717000006500170510</t>
  </si>
  <si>
    <t>Reduce July'15 MS by GBP 1,500</t>
  </si>
  <si>
    <t>MS in ESA</t>
  </si>
  <si>
    <t>Increase July'15 MS by GBP 895</t>
  </si>
  <si>
    <t>CA Status</t>
  </si>
  <si>
    <t xml:space="preserve">2015 Discount </t>
  </si>
  <si>
    <t>Will be effective from July 2015 on all newly drafted SOW's based on duration</t>
  </si>
  <si>
    <t>SOW duration</t>
  </si>
  <si>
    <t>Flat discount</t>
  </si>
  <si>
    <t>3+ months</t>
  </si>
  <si>
    <t>6+ months</t>
  </si>
  <si>
    <t>How to compute duration of SOW's, based on ASOS billing cycle or based on SOW dates.</t>
  </si>
  <si>
    <t>How to map the 50K discount, we shall need to accrue it in discount project starting from August 2015.</t>
  </si>
  <si>
    <t>£50K discount will be till Dec 2015?, accordingly we will need to ask discount team for accrual.</t>
  </si>
  <si>
    <t xml:space="preserve">Are both considerations valid or only 1 will be considered. </t>
  </si>
  <si>
    <t>Pioints to clarify</t>
  </si>
  <si>
    <t>Which financial year we need to consider?</t>
  </si>
  <si>
    <t xml:space="preserve">£50 K of discount that can be applied against SOW’s / Invoices.  
</t>
  </si>
  <si>
    <t>if any SOW is first signed for 3+months and then we draft extension for additional months we need not to give 5% discount. Discount will be given based on 1 SOW duration</t>
  </si>
  <si>
    <t>E20150723000006700069402</t>
  </si>
  <si>
    <t>Nitin chinnannavar</t>
  </si>
  <si>
    <t>CTSGB201508106</t>
  </si>
  <si>
    <t>APPROVED</t>
  </si>
  <si>
    <t xml:space="preserve">MA313-0000167198 </t>
  </si>
  <si>
    <t>MA313-0000167199</t>
  </si>
  <si>
    <t>MA313-0000167200</t>
  </si>
  <si>
    <t>MA313-0000167201</t>
  </si>
  <si>
    <t>Charges for Tech Debt Changes team (Himalay) for the month of July-2015</t>
  </si>
  <si>
    <t>Charges for Lakshya team for the month of July-2015 (29th June till 3rd July)</t>
  </si>
  <si>
    <t>Charges for Tactical changes team: AVANI for the month of July-2015 (29th June till 3rd July)</t>
  </si>
  <si>
    <t>Charges for Tactical changes team: AVANI for the month of July-2015 (6th July till 24th July)</t>
  </si>
  <si>
    <t xml:space="preserve">MA313-0000167202 </t>
  </si>
  <si>
    <t>MA313-0000167203</t>
  </si>
  <si>
    <t>Charges for International search work team (Yuga) for the month of July-2015 (29th June till 3rd July)</t>
  </si>
  <si>
    <t>Charges for International search work team (Yuga) for the month of July-2015 (6th July till 24th July)</t>
  </si>
  <si>
    <t>MA313-0000167204</t>
  </si>
  <si>
    <t>Charges for Lakshya team for the month of July-2015 (6th July till 24th July)</t>
  </si>
  <si>
    <t>Services rendered for Offshore ALM team for the month of July-2015</t>
  </si>
  <si>
    <t>MA313-0000167468</t>
  </si>
  <si>
    <t>Amol Barve</t>
  </si>
  <si>
    <t>CTSGB201508107</t>
  </si>
  <si>
    <t>E20150730000009000155050</t>
  </si>
  <si>
    <t>MA313-0000167795</t>
  </si>
  <si>
    <t>Services rendered for China PDI team for the month of July-2015</t>
  </si>
  <si>
    <t>MA313-0000167796</t>
  </si>
  <si>
    <t>Services rendered for China CCP team for the month of July-2015</t>
  </si>
  <si>
    <t>Services rendered for Koundinya for the month of June-2015 (15th till 26th June)</t>
  </si>
  <si>
    <t>Services rendered for TejSingh for the month of June-2015 (23rd till 26th June)</t>
  </si>
  <si>
    <t>MA313-0000168043</t>
  </si>
  <si>
    <t>Services rendered for Data HubTeam for the month of July-2015</t>
  </si>
  <si>
    <t>MA313-0000168044</t>
  </si>
  <si>
    <t>Services rendered for Rewards Voucher Team for the month of July-2015</t>
  </si>
  <si>
    <t>Winifred Awa</t>
  </si>
  <si>
    <t>MA313-0000168045</t>
  </si>
  <si>
    <t>Services rendered for Mahesh K for the month of July-2015</t>
  </si>
  <si>
    <t>MA313-0000168046</t>
  </si>
  <si>
    <t>Services rendered for Shian T for the month of July-2015</t>
  </si>
  <si>
    <t>MA313-0000168047</t>
  </si>
  <si>
    <t>Services rendered for Soumya M for the month of July-2015 (6th July till 24th July)</t>
  </si>
  <si>
    <t>MA313-0000168048</t>
  </si>
  <si>
    <t>Services rendered for Onsite Checkout Team for the month of July-2015</t>
  </si>
  <si>
    <t>MA313-0000168049</t>
  </si>
  <si>
    <t>Services rendered for Sanchit A for the month of July-2015</t>
  </si>
  <si>
    <t>MA313-0000168050</t>
  </si>
  <si>
    <t>Services rendered for Raman for the month of July-2015 (6th July till 24th July)</t>
  </si>
  <si>
    <t>MA313-0000168051</t>
  </si>
  <si>
    <t>Services rendered for Salil for the month of July-2015 (29th June till 3rd July)</t>
  </si>
  <si>
    <t>MA313-0000168052</t>
  </si>
  <si>
    <t>Services rendered for ITIS Support Team for the month of July-2015</t>
  </si>
  <si>
    <t>MA313-0000168053</t>
  </si>
  <si>
    <t>Services rendered for Global Fulfilment team for the month of July-2015</t>
  </si>
  <si>
    <t>MA313-0000168054</t>
  </si>
  <si>
    <t>Services rendered for Hardik L for the month of July-2015</t>
  </si>
  <si>
    <t>MA313-0000168055</t>
  </si>
  <si>
    <t>Services rendered for Third Rock India Team for the month of July-2015</t>
  </si>
  <si>
    <t>MA313-0000168056</t>
  </si>
  <si>
    <t>Services rendered for Ishan Sharma for the month of July-2015</t>
  </si>
  <si>
    <t>MA313-0000168057</t>
  </si>
  <si>
    <t>Services rendered for Akash S for the month of July-2015</t>
  </si>
  <si>
    <t>MA313-0000168058</t>
  </si>
  <si>
    <t>Services rendered for Gaurav Sharma for the month of July-2015</t>
  </si>
  <si>
    <t>MA313-0000168059</t>
  </si>
  <si>
    <t>Services rendered for Yusuf Jamali for the month of July-2015</t>
  </si>
  <si>
    <t>MA313-0000168060</t>
  </si>
  <si>
    <t>Services rendered for Anika for the month of July-2015</t>
  </si>
  <si>
    <t>MA313-0000168061</t>
  </si>
  <si>
    <t>Services rendered for Sunil Manghrani for the month of July-2015</t>
  </si>
  <si>
    <t>MA313-0000168062</t>
  </si>
  <si>
    <t>Services rendered for Nitin Nazare for the month of July-2015 (29th June till 3rd July)</t>
  </si>
  <si>
    <t>MA313-0000168063</t>
  </si>
  <si>
    <t>Services rendered for Salil for the month of July-2015 (6th July till 24th July)</t>
  </si>
  <si>
    <t>MA313-0000168067</t>
  </si>
  <si>
    <t>Services rendered for Kim Mellebeek for the month of July-2015</t>
  </si>
  <si>
    <t>MA313-0000168068</t>
  </si>
  <si>
    <t>Services rendered for Dileep Kumar for the month of July-2015</t>
  </si>
  <si>
    <t>MA313-0000168069</t>
  </si>
  <si>
    <t>Services rendered for Jai Ganesh for the month of July-2015 (6th July till 24th July)</t>
  </si>
  <si>
    <t>MA313-0000168070</t>
  </si>
  <si>
    <t>Services rendered for Anurag A for the month of July-2015</t>
  </si>
  <si>
    <t>MA313-0000168071</t>
  </si>
  <si>
    <t>Services rendered for Kunal D for the month of July-2015</t>
  </si>
  <si>
    <t>MA313-0000168072</t>
  </si>
  <si>
    <t>Services rendered for Arun K for the month of July-2015</t>
  </si>
  <si>
    <t>MA313-0000168073</t>
  </si>
  <si>
    <t>Services rendered for Raman for the month of July-2015 (29th June till 3rd July)</t>
  </si>
  <si>
    <t>MA313-0000168074</t>
  </si>
  <si>
    <t>Services rendered for Agrim Bothra for the month of July-2015</t>
  </si>
  <si>
    <t>MA313-0000168075</t>
  </si>
  <si>
    <t>Services rendered for Bhaskar D for the month of July-2015 (29th June till 17th July)</t>
  </si>
  <si>
    <t>MA313-0000168076</t>
  </si>
  <si>
    <t>Services rendered for Jai Ganesh for the month of July-2015 (29th June till 3rd July)</t>
  </si>
  <si>
    <t>MA313-0000168077</t>
  </si>
  <si>
    <t>Services rendered for Charishma D for the month of July-2015</t>
  </si>
  <si>
    <t>MA313-0000168078</t>
  </si>
  <si>
    <t>Services rendered for Nitin Nazare for the month of July-2015 (6th July till 24th July)</t>
  </si>
  <si>
    <t>MA313-0000168079</t>
  </si>
  <si>
    <t>Services rendered for Viswa S for the month of July-2015</t>
  </si>
  <si>
    <t>MA313-0000168080</t>
  </si>
  <si>
    <t>Services rendered for Soumya M for the month of July-2015 (29th June till 3rd July)</t>
  </si>
  <si>
    <t>MA313-0000168205</t>
  </si>
  <si>
    <t>Services rendered for Bharatesh P for the month of July-2015</t>
  </si>
  <si>
    <t>MA313-0000168206</t>
  </si>
  <si>
    <t>Services rendered for Swaminathan R for the month of July-2015</t>
  </si>
  <si>
    <t>MA313-0000168207</t>
  </si>
  <si>
    <t>Services rendered for Dhrubajyoti G for the month of July-2015 (29th June till 3rd July)</t>
  </si>
  <si>
    <t>MA313-0000168208</t>
  </si>
  <si>
    <t>Services rendered for Dhrubajyoti G for the month of July-2015 (6th July till 24th July)</t>
  </si>
  <si>
    <t>MA313-0000168209</t>
  </si>
  <si>
    <t>Services rendered for Abhijeet K for the month of July-2015 (13th July till 24th July)</t>
  </si>
  <si>
    <t>MA313-0000168210</t>
  </si>
  <si>
    <t>Services rendered for Sandip K for the month of July-2015 (13th July till 24th July)</t>
  </si>
  <si>
    <t>MA313-0000168212</t>
  </si>
  <si>
    <t>Services rendered for Koundinya for the month of July-2015</t>
  </si>
  <si>
    <t>MA313-0000168213</t>
  </si>
  <si>
    <t>Services rendered for Ganesh I for the month of July-2015 (8th July till 24th July)</t>
  </si>
  <si>
    <t>MA313-0000168214</t>
  </si>
  <si>
    <t>Services rendered for TejSingh for the month of July-2015</t>
  </si>
  <si>
    <t>MA313-0000168707</t>
  </si>
  <si>
    <t>Services rendered for China L1 Support team for the month of July-2015</t>
  </si>
  <si>
    <t>MA313-0000168708</t>
  </si>
  <si>
    <t>Services rendered for China Mule Support for the month of July-2015</t>
  </si>
  <si>
    <t>MA313-0000168709</t>
  </si>
  <si>
    <t>Services rendered for Ecommerce Integration Testing for the month of July-2015 (29th June to 3rd July)</t>
  </si>
  <si>
    <t>MA313-0000168710</t>
  </si>
  <si>
    <t>Services rendered for Ecommerce Integration Testing for the month of July-2015 (6th July to 24th July)</t>
  </si>
  <si>
    <t>MA313-0000168711</t>
  </si>
  <si>
    <t>Services rendered for Netsuite Customization Support team for the month of July-2015</t>
  </si>
  <si>
    <t xml:space="preserve">SQL upgrade testing </t>
  </si>
  <si>
    <t>CTSGB201508108</t>
  </si>
  <si>
    <t>Santosh K: SSIS Developer</t>
  </si>
  <si>
    <t>K Vidhyasagar: SQL dev</t>
  </si>
  <si>
    <t>Sriram K:BAU SSIS Dev</t>
  </si>
  <si>
    <t>CTSGB201509109</t>
  </si>
  <si>
    <t>CTSIN201509110</t>
  </si>
  <si>
    <t>CTSGB201508111</t>
  </si>
  <si>
    <t>Activity</t>
  </si>
  <si>
    <t>Frequency</t>
  </si>
  <si>
    <t>Tracking SOW-PO-Invoices</t>
  </si>
  <si>
    <t>Whenever required</t>
  </si>
  <si>
    <t>Drafting/reviewing SOW's</t>
  </si>
  <si>
    <t>Preparing monthly BA</t>
  </si>
  <si>
    <t>Monthly</t>
  </si>
  <si>
    <t>Preparing monthly Recon</t>
  </si>
  <si>
    <t>Preparing CA data for FB projects</t>
  </si>
  <si>
    <t>Submitting CA &amp; Budget confirmation</t>
  </si>
  <si>
    <t>Tracking leaves for T&amp;M folks</t>
  </si>
  <si>
    <t>Tracking pending invoices with samir</t>
  </si>
  <si>
    <t>Rectify recon data issues</t>
  </si>
  <si>
    <t>Rectify any invoicing issues from ASOS</t>
  </si>
  <si>
    <t>Invoice finalization</t>
  </si>
  <si>
    <t>Revenue forecasting</t>
  </si>
  <si>
    <t>SO creation/Tracking</t>
  </si>
  <si>
    <t>TS &amp; Expese report approvals</t>
  </si>
  <si>
    <t>NBL Tracking</t>
  </si>
  <si>
    <t>Sharing revenue forecast data with rave</t>
  </si>
  <si>
    <t>Tracking completing SOW's with samir</t>
  </si>
  <si>
    <t>TS recon upload for T&amp;M projects</t>
  </si>
  <si>
    <t>Revenue Forecast vs Actual variance</t>
  </si>
  <si>
    <t>Tracking invoice payments and remittance mapping</t>
  </si>
  <si>
    <t>Project 
ID</t>
  </si>
  <si>
    <t>CTSIN201508113</t>
  </si>
  <si>
    <t>CTSGB201508114</t>
  </si>
  <si>
    <t>ASOS Agile Development</t>
  </si>
  <si>
    <t>FB</t>
  </si>
  <si>
    <t>New ESA projects based on discount % and SOW type</t>
  </si>
  <si>
    <t>Discount %</t>
  </si>
  <si>
    <t>Project Type</t>
  </si>
  <si>
    <t>Resource/Team name</t>
  </si>
  <si>
    <t>ESA Project Name</t>
  </si>
  <si>
    <t>SOW Value</t>
  </si>
  <si>
    <t>Vivek Somvanshi: Merrt Discovery</t>
  </si>
  <si>
    <t>mail on 6th Aug 2015</t>
  </si>
  <si>
    <t>Ravish Tiwari: Gift Card SA</t>
  </si>
  <si>
    <t>CTSIN201508116</t>
  </si>
  <si>
    <t>CTSGB201508117</t>
  </si>
  <si>
    <t>ASOS Staff Aug: Short term</t>
  </si>
  <si>
    <t>ASOS Staff Aug: Long term</t>
  </si>
  <si>
    <t>Discount Value</t>
  </si>
  <si>
    <t>E20150813000007400067215</t>
  </si>
  <si>
    <t>CTSIN201508121</t>
  </si>
  <si>
    <t xml:space="preserve">CA for Aug'15 </t>
  </si>
  <si>
    <t>Himalay Team</t>
  </si>
  <si>
    <t>Dec'15</t>
  </si>
  <si>
    <t>Jan'16</t>
  </si>
  <si>
    <t>Feb'16</t>
  </si>
  <si>
    <t>Master Layout Team</t>
  </si>
  <si>
    <t xml:space="preserve">Proactive Monitoring </t>
  </si>
  <si>
    <t xml:space="preserve">Sep'15  </t>
  </si>
  <si>
    <t xml:space="preserve">Oct'15 </t>
  </si>
  <si>
    <t xml:space="preserve">Nov'15 </t>
  </si>
  <si>
    <t>RE Remittance for 20th Aug</t>
  </si>
  <si>
    <t>Approved</t>
  </si>
  <si>
    <t>MA313-0000170263</t>
  </si>
  <si>
    <t>Charges for Tech Debt Changes team (Himalay) for the month of Aug-2015</t>
  </si>
  <si>
    <t>MA313-0000170264</t>
  </si>
  <si>
    <t>Charges for Tactical changes team: AVANI for the month of Aug-2015</t>
  </si>
  <si>
    <t>MA313-0000170265</t>
  </si>
  <si>
    <t>Charges for Master Layout Team for the month of Aug-2015 (10th Aug till 28th Aug)</t>
  </si>
  <si>
    <t>Maheshni Pillay</t>
  </si>
  <si>
    <t>MA313-0000170266</t>
  </si>
  <si>
    <t xml:space="preserve">Charges for International search work team (Yuga) for the month of Aug-2015 </t>
  </si>
  <si>
    <t>MA313-0000170294</t>
  </si>
  <si>
    <t>Charges for Lakshya team for the month of August-2015</t>
  </si>
  <si>
    <t>Services rendered for Offshore ALM team for the month of Aug-2015</t>
  </si>
  <si>
    <t>MA313-0000170400</t>
  </si>
  <si>
    <t>MA313-0000170565</t>
  </si>
  <si>
    <t>MA313-0000170564</t>
  </si>
  <si>
    <t>Services rendered for China PDI team for the month of Aug-2015</t>
  </si>
  <si>
    <t>Services rendered for China CCP team for the month of Aug-2015</t>
  </si>
  <si>
    <t>Lead NetSuite Developer</t>
  </si>
  <si>
    <t>Bangalore</t>
  </si>
  <si>
    <t>NetSuite Developer</t>
  </si>
  <si>
    <t>Bangalore\Pune</t>
  </si>
  <si>
    <t>Lead Tester</t>
  </si>
  <si>
    <t>Tester</t>
  </si>
  <si>
    <t>Janakan</t>
  </si>
  <si>
    <t>senthil</t>
  </si>
  <si>
    <t>devendra</t>
  </si>
  <si>
    <t>palasha, gowthaman, priti, satish</t>
  </si>
  <si>
    <t xml:space="preserve">MA313-0000170851 </t>
  </si>
  <si>
    <t>MA313-0000170852</t>
  </si>
  <si>
    <t>MA313-0000170853</t>
  </si>
  <si>
    <t>MA313-0000170854</t>
  </si>
  <si>
    <t>Services rendered for Ecommerce Integration Testing for the month of Aug-2015</t>
  </si>
  <si>
    <t>Services rendered for China L1 Support team for the month of Aug-2015</t>
  </si>
  <si>
    <t>Services rendered for China Mule Support for the month of Aug-2015</t>
  </si>
  <si>
    <t>Services rendered for Netsuite Customization Support team for the month of Aug-2015</t>
  </si>
  <si>
    <t>MA313-0000171317</t>
  </si>
  <si>
    <t>MA313-0000171318</t>
  </si>
  <si>
    <t>MA313-0000171319</t>
  </si>
  <si>
    <t>MA313-0000171320</t>
  </si>
  <si>
    <t>MA313-0000171321</t>
  </si>
  <si>
    <t>MA313-0000171322</t>
  </si>
  <si>
    <t>MA313-0000171323</t>
  </si>
  <si>
    <t>MA313-0000171324</t>
  </si>
  <si>
    <t>MA313-0000171325</t>
  </si>
  <si>
    <t>MA313-0000171326</t>
  </si>
  <si>
    <t>MA313-0000171327</t>
  </si>
  <si>
    <t>MA313-0000171328</t>
  </si>
  <si>
    <t>MA313-0000171329</t>
  </si>
  <si>
    <t>MA313-0000171330</t>
  </si>
  <si>
    <t>MA313-0000171331</t>
  </si>
  <si>
    <t>MA313-0000171341</t>
  </si>
  <si>
    <t>MA313-0000171342</t>
  </si>
  <si>
    <t>MA313-0000171343</t>
  </si>
  <si>
    <t>MA313-0000171344</t>
  </si>
  <si>
    <t>MA313-0000171345</t>
  </si>
  <si>
    <t>MA313-0000171346</t>
  </si>
  <si>
    <t>MA313-0000171347</t>
  </si>
  <si>
    <t>MA313-0000171348</t>
  </si>
  <si>
    <t>MA313-0000171349</t>
  </si>
  <si>
    <t>MA313-0000171350</t>
  </si>
  <si>
    <t>MA313-0000171351</t>
  </si>
  <si>
    <t>MA313-0000171352</t>
  </si>
  <si>
    <t>MA313-0000171353</t>
  </si>
  <si>
    <t>MA313-0000171354</t>
  </si>
  <si>
    <t>MA313-0000171355</t>
  </si>
  <si>
    <t>MA313-0000171356</t>
  </si>
  <si>
    <t>MA313-0000171357</t>
  </si>
  <si>
    <t>MA313-0000171358</t>
  </si>
  <si>
    <t>MA313-0000171359</t>
  </si>
  <si>
    <t>MA313-0000171360</t>
  </si>
  <si>
    <t>Services rendered for Global Fulfilment team for the month of Aug-2015</t>
  </si>
  <si>
    <t>Services rendered for Data HubTeam for the month of Aug-2015</t>
  </si>
  <si>
    <t>Services rendered for Rewards Voucher Team for the month of Aug-2015 (27th July till 21st Aug)</t>
  </si>
  <si>
    <t>Services rendered for ITIS Support Team for the month of Aug-2015</t>
  </si>
  <si>
    <t>Services rendered for Ishan Sharma for the month of Aug-2015</t>
  </si>
  <si>
    <t>Services rendered for K Vidhyasagar for the month of Aug-2015 (10th Aug till 28th Aug)</t>
  </si>
  <si>
    <t>Services rendered for TejSingh for the month of Aug-2015</t>
  </si>
  <si>
    <t>Services rendered for Kunal D for the month of Aug-2015</t>
  </si>
  <si>
    <t>Services rendered for Dileep Kumar for the month of Aug-2015 (17th Aug till 28th Aug)</t>
  </si>
  <si>
    <t>Services rendered for Anika for the month of Aug-2015</t>
  </si>
  <si>
    <t>Services rendered for Sunil Manghrani for the month of Aug-2015</t>
  </si>
  <si>
    <t>Services rendered for Third Rock India Team for the month of Aug-2015</t>
  </si>
  <si>
    <t>Services rendered for Mahesh K for the month of Aug-2015</t>
  </si>
  <si>
    <t>Services rendered for Salil for the month of Aug-2015</t>
  </si>
  <si>
    <t>Services rendered for Dileep Kumar for the month of Aug-2015 (27th July till 14th Aug)</t>
  </si>
  <si>
    <t>Services rendered for Onsite Checkout Team for the month of Aug-2015</t>
  </si>
  <si>
    <t>Services rendered for Viswa S for the month of Aug-2015 (27th July till 31st July)</t>
  </si>
  <si>
    <t>Services rendered for Nitin Nazare for the month of Aug-2015</t>
  </si>
  <si>
    <t>Services rendered for Jai Ganesh for the month of Aug-2015</t>
  </si>
  <si>
    <t>Services rendered for Yusuf Jamali for the month of Aug-2015</t>
  </si>
  <si>
    <t>Services rendered for Rewards Voucher Team for the month of Aug-2015 (24th Aug till 28th Aug)</t>
  </si>
  <si>
    <t>Services rendered for Raman for the month of Aug-2015</t>
  </si>
  <si>
    <t>Services rendered for Santosh K for the month of Aug-2015 (3rd Aug till 28th Aug)</t>
  </si>
  <si>
    <t>Services rendered for Agrim Bothra for the month of Aug-2015</t>
  </si>
  <si>
    <t>Services rendered for Anurag A for the month of Aug-2015</t>
  </si>
  <si>
    <t>Services rendered for Kim Mellebeek for the month of Aug-2015</t>
  </si>
  <si>
    <t>Services rendered for Ankita A for the month of Aug-2015 (24th Aug till 28th Aug)</t>
  </si>
  <si>
    <t>Tom Brewer</t>
  </si>
  <si>
    <t>Services rendered for Akash S for the month of Aug-2015</t>
  </si>
  <si>
    <t>Services rendered for Charishma D for the month of Aug-2015</t>
  </si>
  <si>
    <t>Services rendered for Sanchit A for the month of Aug-2015</t>
  </si>
  <si>
    <t>Services rendered for Soumya M for the month of Aug-2015</t>
  </si>
  <si>
    <t>Services rendered for Dhrubajyoti G for the month of Aug-2015</t>
  </si>
  <si>
    <t>Services rendered for Gaurav Sharma for the month of Aug-2015</t>
  </si>
  <si>
    <t>Services rendered for Arun K for the month of Aug-2015</t>
  </si>
  <si>
    <t>Services rendered for Shian T for the month of Aug-2015</t>
  </si>
  <si>
    <t>MA313-0000171893</t>
  </si>
  <si>
    <t>MA313-0000171894</t>
  </si>
  <si>
    <t>MA313-0000171895</t>
  </si>
  <si>
    <t xml:space="preserve">MA313-0000171896 </t>
  </si>
  <si>
    <t>MA313-0000171897</t>
  </si>
  <si>
    <t>MA313-0000171898</t>
  </si>
  <si>
    <t>MA313-0000171899</t>
  </si>
  <si>
    <t>MA313-0000171900</t>
  </si>
  <si>
    <t>MA313-0000171901</t>
  </si>
  <si>
    <t>MA313-0000171902</t>
  </si>
  <si>
    <t>MA313-0000171903</t>
  </si>
  <si>
    <t>Services rendered for Swaminathan R for the month of Aug-2015</t>
  </si>
  <si>
    <t>Services rendered for Viswa S for the month of Aug-2015 (3rd Aug till 28th Aug)</t>
  </si>
  <si>
    <t>Services rendered for Ravish T for the month of Aug-2015 (3rd Aug till 28th Aug)</t>
  </si>
  <si>
    <t>Services rendered for Piali R for the month of Aug-2015 (24th Aug till 28th Aug)</t>
  </si>
  <si>
    <t>Services rendered for Koundinya for the month of Aug-2015</t>
  </si>
  <si>
    <t>Services rendered for Haripraghash S for the month of Aug-2015 (10th Aug till 28th Aug)</t>
  </si>
  <si>
    <t>Services rendered for Sandip K for the month of Aug-2015</t>
  </si>
  <si>
    <t>Services rendered for Vivek S for the month of Aug-2015</t>
  </si>
  <si>
    <t>Services rendered for Bharatesh P for the month of Aug-2015</t>
  </si>
  <si>
    <t>Services rendered for Abhijeet K for the month of Aug-2015</t>
  </si>
  <si>
    <t>Services rendered for Ganesh I for the month of Aug-2015</t>
  </si>
  <si>
    <t>Services rendered for Amol B for the month of Aug-2015 (11th Aug till 28th Aug)</t>
  </si>
  <si>
    <t>MA313-0000172062</t>
  </si>
  <si>
    <t>Services rendered for SQL upgrade testing team for the month of Aug-2015 (10th Aug till 28th Aug)</t>
  </si>
  <si>
    <t>Emma Green</t>
  </si>
  <si>
    <t>Additional remarks</t>
  </si>
  <si>
    <t>Keep ASOS Ops tracker updated with latest changes</t>
  </si>
  <si>
    <t>Assigning unique#, checking for dates, rates and cost</t>
  </si>
  <si>
    <t>Keep all allocations atrictly a sper SOW coverages</t>
  </si>
  <si>
    <t>To have correct billing effots</t>
  </si>
  <si>
    <t>For PAS submission</t>
  </si>
  <si>
    <t>To share with ASOS for monthly invoice generated</t>
  </si>
  <si>
    <t>To update/create/delete milestones</t>
  </si>
  <si>
    <t>FB billing</t>
  </si>
  <si>
    <t>For resource allocations</t>
  </si>
  <si>
    <t>To share with Samir</t>
  </si>
  <si>
    <t>For finance calls</t>
  </si>
  <si>
    <t>If required and efforts cant be billed through PAS</t>
  </si>
  <si>
    <t>To keep resserves lower</t>
  </si>
  <si>
    <t xml:space="preserve">if comes any from ASOS </t>
  </si>
  <si>
    <t>to share with smair</t>
  </si>
  <si>
    <t>to avoid AR</t>
  </si>
  <si>
    <t>To avoid coverage issues</t>
  </si>
  <si>
    <t>to confirm billed efforts</t>
  </si>
  <si>
    <t>PAS enabling and expense payouts</t>
  </si>
  <si>
    <t>to avoid undue allocations/cost</t>
  </si>
  <si>
    <t>give justifications to finance if variance is significant</t>
  </si>
  <si>
    <t>Handover Plan</t>
  </si>
  <si>
    <t>Topic</t>
  </si>
  <si>
    <t>Week #</t>
  </si>
  <si>
    <t>ESA Resource Allocations &amp; allocation changes (Billability,Location)</t>
  </si>
  <si>
    <t>FB milestone submission</t>
  </si>
  <si>
    <t>Online invoice submission</t>
  </si>
  <si>
    <t>ARC uploads: Reserves management</t>
  </si>
  <si>
    <t>Submitting Budget confirmation</t>
  </si>
  <si>
    <t>Mantaining repository of all project related docs</t>
  </si>
  <si>
    <t xml:space="preserve">to have all docs easily available </t>
  </si>
  <si>
    <t>Introduction to ASOS</t>
  </si>
  <si>
    <t>Dates</t>
  </si>
  <si>
    <t>Overview of ASOS Ops tracker</t>
  </si>
  <si>
    <t>For SOW-PO-Invoice tracking</t>
  </si>
  <si>
    <t>Onsite/Offshore imp stake holders for PMO tasks</t>
  </si>
  <si>
    <t>For project creation, contract creation, 
rate set creation/amemdnemt,SO creation, allocation updates</t>
  </si>
  <si>
    <t>14th till 18th Sep</t>
  </si>
  <si>
    <t>KT for ESA: T&amp;M projects</t>
  </si>
  <si>
    <t>KT for ESA: FB projects</t>
  </si>
  <si>
    <t>KT for ESA: Invoicing</t>
  </si>
  <si>
    <t>PAS submission, FB milestobne submission, 
invoice finalization</t>
  </si>
  <si>
    <t>Duration (Hrs)</t>
  </si>
  <si>
    <t>For project creation, contract creation, 
milestone creation, resource loading, contract amemdnemt, budget confirmation, SO creation, allocation updates</t>
  </si>
  <si>
    <t>Updation of OPS Tracker</t>
  </si>
  <si>
    <t>To have all latest changes updated in it</t>
  </si>
  <si>
    <t>9th till 11th Sep</t>
  </si>
  <si>
    <t>Points to check for finalizing the SOW</t>
  </si>
  <si>
    <t>Reserves management</t>
  </si>
  <si>
    <t>TS &amp; Expense report approvals</t>
  </si>
  <si>
    <t>21st till 25th Sep</t>
  </si>
  <si>
    <t>How to approve, what to check before approving</t>
  </si>
  <si>
    <t>Preparing BA</t>
  </si>
  <si>
    <t>How to create, what to refer and check</t>
  </si>
  <si>
    <t>PAS Submission</t>
  </si>
  <si>
    <t>CA submission</t>
  </si>
  <si>
    <t>Budget submission</t>
  </si>
  <si>
    <t>Process for uploading docs in ARC, its significance</t>
  </si>
  <si>
    <t>How to submit, significance</t>
  </si>
  <si>
    <t>Finalization of proforma Invoices</t>
  </si>
  <si>
    <t>28th Sep til 2nd Oct</t>
  </si>
  <si>
    <t>What to check, update for finalizing proforma</t>
  </si>
  <si>
    <t>How to arrive at forecast values</t>
  </si>
  <si>
    <t>Sharing rev forecast data with Rave</t>
  </si>
  <si>
    <t>How to draft the values in asked format</t>
  </si>
  <si>
    <t>Onsline submission, if required</t>
  </si>
  <si>
    <t>Tracking pending SOW's/ Invoices with samir</t>
  </si>
  <si>
    <t>How to check pending SOW's/Invoices in tracker and inform samir</t>
  </si>
  <si>
    <t>How to rectify these issues if any</t>
  </si>
  <si>
    <t>Drafting/Reviewing SOW's</t>
  </si>
  <si>
    <t>How to do this to mapp invoices in CTS system</t>
  </si>
  <si>
    <t>Preparing Recon: to share with ASOS</t>
  </si>
  <si>
    <t xml:space="preserve">1000141058: ASOS Middleware Integration (FB) </t>
  </si>
  <si>
    <t>PACE (FB)</t>
  </si>
  <si>
    <t>ALERT MONITORING (FB)</t>
  </si>
  <si>
    <t>Horizontal/Vertical</t>
  </si>
  <si>
    <t>QE&amp;A</t>
  </si>
  <si>
    <t>EIM</t>
  </si>
  <si>
    <t>CBC-BUISNESS ANALYST</t>
  </si>
  <si>
    <t>ADVANCE SOLUTIONS PRACTICE</t>
  </si>
  <si>
    <t>LEAD</t>
  </si>
  <si>
    <t>PREETI GROVER/NISHANT GUPTA</t>
  </si>
  <si>
    <t>RAHUL BALGHAT</t>
  </si>
  <si>
    <t>SHIJO THOMAS</t>
  </si>
  <si>
    <t>PRAKASH RATHOD</t>
  </si>
  <si>
    <t>TECHNOLOGY</t>
  </si>
  <si>
    <t>UMESH DESHMUKH</t>
  </si>
  <si>
    <t>E20150911000006800629013</t>
  </si>
  <si>
    <t>Daily</t>
  </si>
  <si>
    <t>TIMEFRAME FOR IMP PMO TASKS</t>
  </si>
  <si>
    <t>Time Frame</t>
  </si>
  <si>
    <t>Whenever asked by ASOS</t>
  </si>
  <si>
    <t>2nd/3rd week</t>
  </si>
  <si>
    <t>3rd &amp; last week</t>
  </si>
  <si>
    <t>3rd &amp; 1st week of next month</t>
  </si>
  <si>
    <t>last week (timesheet approvals)</t>
  </si>
  <si>
    <t>last week or 1st week of next month</t>
  </si>
  <si>
    <t>1st or 2nd week of next month</t>
  </si>
  <si>
    <t>H</t>
  </si>
  <si>
    <t>V</t>
  </si>
  <si>
    <t>LEAD DB ENGG</t>
  </si>
  <si>
    <t>Sep'15</t>
  </si>
  <si>
    <t xml:space="preserve">CA for Sep'15 </t>
  </si>
  <si>
    <t>Reduce Sep'15 MS by GBP 3,011.2</t>
  </si>
  <si>
    <t>Reduce Sep'15 MS by GBP 2,727.2</t>
  </si>
  <si>
    <t>Delete Sep'15 MS of GBP 8,856.0</t>
  </si>
  <si>
    <t>ASOS Proactive 
Monitoring Team</t>
  </si>
  <si>
    <t>Delete Sep'15 till Nov'15 MS's of GBP 100,000</t>
  </si>
  <si>
    <t>Reduce Sep'15 MS by GBP 2,037.2</t>
  </si>
  <si>
    <t>MA313-0000173237</t>
  </si>
  <si>
    <t>Services rendered for Offshore ALM team for the month of Sep-2015</t>
  </si>
  <si>
    <t>Charges for Lakshya team for the month of Sep-2015</t>
  </si>
  <si>
    <t>MA313-0000173265</t>
  </si>
  <si>
    <t>MA313-0000173296</t>
  </si>
  <si>
    <t>Charges for Tactical changes team: AVANI for the month of Sep-2015</t>
  </si>
  <si>
    <t>MA313-0000173297</t>
  </si>
  <si>
    <t>Charges for Tech Debt Changes team (Himalay) for the month of Sep-2015</t>
  </si>
  <si>
    <t>MA313-0000173298</t>
  </si>
  <si>
    <t xml:space="preserve">Charges for International search work team (Yuga) for the month of Sep-2015 </t>
  </si>
  <si>
    <t>MA313-0000173284</t>
  </si>
  <si>
    <t>Charges for Performance Monitoring for the month of Sept-2015</t>
  </si>
  <si>
    <t>mail on 24th Sep</t>
  </si>
  <si>
    <t>MA313-0000173967</t>
  </si>
  <si>
    <t>Services rendered for China CCP &amp; PDI team for the month of Sep-2015</t>
  </si>
  <si>
    <t xml:space="preserve">MA313-0000174042 </t>
  </si>
  <si>
    <t>MA313-0000174043</t>
  </si>
  <si>
    <t>MA313-0000174044</t>
  </si>
  <si>
    <t>MA313-0000174045</t>
  </si>
  <si>
    <t>Services rendered for Ecommerce Integration Testing for the month of Sep-2015</t>
  </si>
  <si>
    <t>Services rendered for Netsuite Customization Support team for the month of Sep-2015</t>
  </si>
  <si>
    <t>Services rendered for China Mule Support for the month of Sep-2015</t>
  </si>
  <si>
    <t>Services rendered for China L1 Support team for the month of Sep-2015</t>
  </si>
  <si>
    <t>E20151001000007400058711</t>
  </si>
  <si>
    <t>MA313-0000174232</t>
  </si>
  <si>
    <t>Services rendered for Performance Testing Team for the month of Sep-2015</t>
  </si>
  <si>
    <t>Catherine Smith</t>
  </si>
  <si>
    <t>MA313-0000174233</t>
  </si>
  <si>
    <t>Services rendered for Gaurav Sharma for the month of Sep-2015 (31st Aug till 11th Sep)</t>
  </si>
  <si>
    <t>MA313-0000174234</t>
  </si>
  <si>
    <t>Services rendered for Dhrubajyoti G for the month of Sep-2015</t>
  </si>
  <si>
    <t>MA313-0000174235</t>
  </si>
  <si>
    <t>Services rendered for ASOS Future Team for the month of Sep-2015</t>
  </si>
  <si>
    <t>MA313-0000174236</t>
  </si>
  <si>
    <t>Services rendered for Data HubTeam for the month of Sep-2015</t>
  </si>
  <si>
    <t>MA313-0000174237</t>
  </si>
  <si>
    <t>Services rendered for Akash S for the month of Sep-2015 (31st Aug till 4th Sep)</t>
  </si>
  <si>
    <t>MA313-0000174238</t>
  </si>
  <si>
    <t>Services rendered for Third Rock India Team for the month of Sep-2015</t>
  </si>
  <si>
    <t>MA313-0000174239</t>
  </si>
  <si>
    <t>Services rendered for Rewards Voucher Team for the month of Sep-2015</t>
  </si>
  <si>
    <t>MA313-0000174240</t>
  </si>
  <si>
    <t>Services rendered for Kim Mellebeek for the month of Sep-2015</t>
  </si>
  <si>
    <t>MA313-0000174241</t>
  </si>
  <si>
    <t>Services rendered for ITIS Support Team for the month of Sep-2015</t>
  </si>
  <si>
    <t>MA313-0000174242</t>
  </si>
  <si>
    <t>Services rendered for Light House QA Team for the month of Sep-2015</t>
  </si>
  <si>
    <t>Sarah Dibley</t>
  </si>
  <si>
    <t>MA313-0000174243</t>
  </si>
  <si>
    <t>Services rendered for Ankita A for the month of Sep-2015</t>
  </si>
  <si>
    <t>MA313-0000174337</t>
  </si>
  <si>
    <t>Services rendered for Global Fulfilment team for the month of Sep-2015</t>
  </si>
  <si>
    <t>MA313-0000174338</t>
  </si>
  <si>
    <t>Services rendered for SQL upgrade testing team for the month of Sep-2015</t>
  </si>
  <si>
    <t>MA313-0000174339</t>
  </si>
  <si>
    <t>Services rendered for Onsite Checkout Team for the month of Sep-2015</t>
  </si>
  <si>
    <t>MA313-0000174340</t>
  </si>
  <si>
    <t>Services rendered for K Vidhyasagar for the month of Sep-2015</t>
  </si>
  <si>
    <t>MA313-0000174341</t>
  </si>
  <si>
    <t>Services rendered for Anurag A for the month of Sep-2015 (31st Aug till 4th Sep)</t>
  </si>
  <si>
    <t>MA313-0000174342</t>
  </si>
  <si>
    <t>Services rendered for Agrim Bothra for the month of Sep-2015 (31st Aug till 11th Sep)</t>
  </si>
  <si>
    <t>MA313-0000174343</t>
  </si>
  <si>
    <t>Services rendered for Raman for the month of Sep-2015</t>
  </si>
  <si>
    <t>MA313-0000174344</t>
  </si>
  <si>
    <t>Services rendered for Sunil Manghrani for the month of Sep-2015 (14th Sep till 25th Sep)</t>
  </si>
  <si>
    <t>MA313-0000174345</t>
  </si>
  <si>
    <t>Services rendered for Gift Card Team for the month of Sep-2015</t>
  </si>
  <si>
    <t>MA313-0000174346</t>
  </si>
  <si>
    <t>Services rendered for Kunal D for the month of Sep-2015</t>
  </si>
  <si>
    <t>MA313-0000174347</t>
  </si>
  <si>
    <t>Services rendered for Discovery for Merret restructuring team for the month of Sep-2015</t>
  </si>
  <si>
    <t>MA313-0000174348</t>
  </si>
  <si>
    <t>Services rendered for B Ramkumar (Rewards Voucher Team) for the month of Sep-15 (31st Aug-4th Sep)</t>
  </si>
  <si>
    <t>MA313-0000174349</t>
  </si>
  <si>
    <t>Services rendered for Agrim Bothra for the month of Sep-2015 (14th Sep till 25th Sep)</t>
  </si>
  <si>
    <t>MA313-0000174350</t>
  </si>
  <si>
    <t>Services rendered for Anurag A for the month of Sep-2015 (7th Sep till 25th Sep)</t>
  </si>
  <si>
    <t>MA313-0000174351</t>
  </si>
  <si>
    <t>Services rendered for Sunil Manghrani for the month of Sep-2015 (31st Aug till 11th Sep)</t>
  </si>
  <si>
    <t>MA313-0000174352</t>
  </si>
  <si>
    <t>Services rendered for Arun K for the month of Sep-2015 (7th Sep till 25th Sep)</t>
  </si>
  <si>
    <t>MA313-0000174353</t>
  </si>
  <si>
    <t>Services rendered for Gaurav Sharma for the month of Sep-2015 (14th Sep till 25th Sep)</t>
  </si>
  <si>
    <t>MA313-0000174354</t>
  </si>
  <si>
    <t>Services rendered for Viswa S for the month of Sep-2015</t>
  </si>
  <si>
    <t>MA313-0000174355</t>
  </si>
  <si>
    <t>Services rendered for Dileep Kumar for the month of Sep-2015</t>
  </si>
  <si>
    <t>MA313-0000174356</t>
  </si>
  <si>
    <t>Services rendered for Charishma D for the month of Sep-2015 (31st Aug till 4th Sep)</t>
  </si>
  <si>
    <t>MA313-0000174357</t>
  </si>
  <si>
    <t>Services rendered for Arun K for the month of Sep-2015 (31st Aug till 4th Sep)</t>
  </si>
  <si>
    <t>MA313-0000174358</t>
  </si>
  <si>
    <t>Services rendered for Akash S for the month of Sep-2015 (7th Sep till 25th Sep)</t>
  </si>
  <si>
    <t>MA313-0000174359</t>
  </si>
  <si>
    <t>Services rendered for Charishma D for the month of Sep-2015 (7th Sep till 25th Sep)</t>
  </si>
  <si>
    <t>MA313-0000174461</t>
  </si>
  <si>
    <t>Services rendered for Yusuf Jamali for the month of Sep-2015</t>
  </si>
  <si>
    <t>MA313-0000174462</t>
  </si>
  <si>
    <t>Services rendered for Sanchit A for the month of Sep-2015</t>
  </si>
  <si>
    <t>MA313-0000174463</t>
  </si>
  <si>
    <t>Services rendered for Salil for the month of Sep-2015</t>
  </si>
  <si>
    <t>MA313-0000174464</t>
  </si>
  <si>
    <t>Services rendered for Anika for the month of Sep-2015</t>
  </si>
  <si>
    <t>MA313-0000174465</t>
  </si>
  <si>
    <t>Services rendered for Bharatesh P for the month of Sep-2015 (31st Aug till 4th Sep)</t>
  </si>
  <si>
    <t>MA313-0000174466</t>
  </si>
  <si>
    <t>Services rendered for Bharatesh P for the month of Sep-2015 (7th Sep - 25th Sep)</t>
  </si>
  <si>
    <t>MA313-0000174467</t>
  </si>
  <si>
    <t>Services rendered for Swaminathan R for the month of Sep-2015 (31st Aug-4th Sep)</t>
  </si>
  <si>
    <t>MA313-0000174468</t>
  </si>
  <si>
    <t>Services rendered for Swaminathan R for the month of Sep-2015 (7th Sep -25th Sep)</t>
  </si>
  <si>
    <t>MA313-0000174469</t>
  </si>
  <si>
    <t>Services rendered for Ishan Sharma for the month of Sep-2015</t>
  </si>
  <si>
    <t>MA313-0000174470</t>
  </si>
  <si>
    <t>Services rendered for Soumya M for the month of Sep-2015</t>
  </si>
  <si>
    <t>MA313-0000174471</t>
  </si>
  <si>
    <t>Services rendered for Nitin Nazare for the month of Sep-2015</t>
  </si>
  <si>
    <t>MA313-0000174472</t>
  </si>
  <si>
    <t>Services rendered for Rashid M for the month of Sep-2015 (24th till 25th Sep)</t>
  </si>
  <si>
    <t>Perry Luke</t>
  </si>
  <si>
    <t>MA313-0000174473</t>
  </si>
  <si>
    <t>Services rendered for Abhijeet K for the month of Sep-2015</t>
  </si>
  <si>
    <t>MA313-0000174474</t>
  </si>
  <si>
    <t>Services rendered for Sandip K for the month of Sep-2015</t>
  </si>
  <si>
    <t>MA313-0000174475</t>
  </si>
  <si>
    <t>Services rendered for Ganesh I for the month of Sep-2015</t>
  </si>
  <si>
    <t>MA313-0000174476</t>
  </si>
  <si>
    <t>Services rendered for TejSingh for the month of Sep-2015</t>
  </si>
  <si>
    <t>MA313-0000174477</t>
  </si>
  <si>
    <t>Services rendered for Koundinya for the month of Sep-2015</t>
  </si>
  <si>
    <t>MA313-0000174478</t>
  </si>
  <si>
    <t>Services rendered for Shian T for the month of Sep-2015</t>
  </si>
  <si>
    <t>MA313-0000174479</t>
  </si>
  <si>
    <t>Services rendered for Santosh K for the month of Sep-2015</t>
  </si>
  <si>
    <t>MA313-0000174480</t>
  </si>
  <si>
    <t>Services rendered for Sriram K for the month of Sep-2015</t>
  </si>
  <si>
    <t>MA313-0000174481</t>
  </si>
  <si>
    <t>Services rendered for Nitin C for the month of Sep-2015</t>
  </si>
  <si>
    <t>Nik Crabtree</t>
  </si>
  <si>
    <t>MA313-0000174482</t>
  </si>
  <si>
    <t>Services rendered for Amol B for the month of Sep-2015</t>
  </si>
  <si>
    <t>MA313-0000174483</t>
  </si>
  <si>
    <t>Services rendered for Venkatesh P for the month of Sep-2015</t>
  </si>
  <si>
    <t>MA313-0000174484</t>
  </si>
  <si>
    <t>Services rendered for Amit P for the month of Sep-2015</t>
  </si>
  <si>
    <t>MA313-0000174485</t>
  </si>
  <si>
    <t>Services rendered for Bharat M for the month of Sep-2015</t>
  </si>
  <si>
    <t>MA313-0000174486</t>
  </si>
  <si>
    <t>Services rendered for Saurav B for the month of Sep-2015</t>
  </si>
  <si>
    <t>Lauren Smith</t>
  </si>
  <si>
    <t>MA313-0000174487</t>
  </si>
  <si>
    <t>Services rendered for Vidyakant P for the month of Sep-2015</t>
  </si>
  <si>
    <t>MA313-0000174488</t>
  </si>
  <si>
    <t>Services rendered for Piali R for the month of Sep-2015</t>
  </si>
  <si>
    <t>MA313-0000174489</t>
  </si>
  <si>
    <t>Services rendered for Mehul Mehta for the month of Sep-2015</t>
  </si>
  <si>
    <t>MA313-0000174490</t>
  </si>
  <si>
    <t>Services rendered for Mahesh K for the month of Sep-2015</t>
  </si>
  <si>
    <t>MA313-0000174491</t>
  </si>
  <si>
    <t>Services rendered for Jai Ganesh for the month of Sep-2015</t>
  </si>
  <si>
    <t>E20151009000006502071507</t>
  </si>
  <si>
    <t>Remittance on 29th Oct'15</t>
  </si>
  <si>
    <t xml:space="preserve">22nd Oct'15 Remittance </t>
  </si>
  <si>
    <t>Remittance for 20th Aug</t>
  </si>
  <si>
    <t>Oct'15</t>
  </si>
  <si>
    <t>Services rendered for Gift Card for the month of Oct-2015</t>
  </si>
  <si>
    <t>MA313-0000177979</t>
  </si>
  <si>
    <t>MA313-0000177980</t>
  </si>
  <si>
    <t>Services rendered for Charishma D for the month of Oct-2015</t>
  </si>
  <si>
    <t>Charges for Lakshya Team for the month of Oct-2015</t>
  </si>
  <si>
    <t>MA313-0000176443</t>
  </si>
  <si>
    <t>MA313-0000176338</t>
  </si>
  <si>
    <t>28 Days of accomodation and Airfare Charges for Vijin Jain T&amp;E Sept 20th - Oct 17th 2015</t>
  </si>
  <si>
    <t>MA313-0000176100</t>
  </si>
  <si>
    <t>Charges for Performance Monitoring for the month of Oct-2015</t>
  </si>
  <si>
    <t>MA313-0000177981</t>
  </si>
  <si>
    <t>Services rendered for Kunal D for the month of Oct-2015</t>
  </si>
  <si>
    <t>MA313-0000177982</t>
  </si>
  <si>
    <t>Services rendered for Rewards Voucher Team for the month of Oct-2015</t>
  </si>
  <si>
    <t>MA313-0000177983</t>
  </si>
  <si>
    <t>Services rendered for SQL upgrade testing team for the month of Oct-2015</t>
  </si>
  <si>
    <t>MA313-0000177984</t>
  </si>
  <si>
    <t>Services rendered for ITIS Support Team for the month of Oct-2015</t>
  </si>
  <si>
    <t>MA313-0000177985</t>
  </si>
  <si>
    <t>Services rendered for Sanchit for the month of Oct-2015</t>
  </si>
  <si>
    <t>MA313-0000177986</t>
  </si>
  <si>
    <t>Services rendered for Raman for the month of Oct-2015</t>
  </si>
  <si>
    <t>MA313-0000177987</t>
  </si>
  <si>
    <t>Services rendered for Yusuf Jamali for the month of Oct-2015</t>
  </si>
  <si>
    <t>MA313-0000177988</t>
  </si>
  <si>
    <t>Services rendered for Light House QA Team for the month of Oct-2015</t>
  </si>
  <si>
    <t>MA313-0000177989</t>
  </si>
  <si>
    <t>Services rendered for K Vidhyasagar for the month of Oct-2015</t>
  </si>
  <si>
    <t>MA313-0000177990</t>
  </si>
  <si>
    <t>Services rendered for Data HubTeam for the month of Oct-2015</t>
  </si>
  <si>
    <t>MA313-0000177991</t>
  </si>
  <si>
    <t>Services rendered for Arun K for the month of Oct-2015</t>
  </si>
  <si>
    <t>MA313-0000177992</t>
  </si>
  <si>
    <t>Services rendered for Dileep Kumar for the month of Oct-2015</t>
  </si>
  <si>
    <t>MA313-0000177993</t>
  </si>
  <si>
    <t>Services rendered for Anurag A for the month of Oct-2015</t>
  </si>
  <si>
    <t>MA313-0000177994</t>
  </si>
  <si>
    <t>Services rendered for Kim Mellebeek for the month of Oct-2015</t>
  </si>
  <si>
    <t>MA313-0000177995</t>
  </si>
  <si>
    <t>Services rendered for Koundinya for the month of Oct-15</t>
  </si>
  <si>
    <t>MA313-0000177996</t>
  </si>
  <si>
    <t>Services rendered for Ishan S for the month of Oct-2015</t>
  </si>
  <si>
    <t>MA313-0000177997</t>
  </si>
  <si>
    <t>Services rendered for Sunil Manghrani for the month of Oct-2015</t>
  </si>
  <si>
    <t>MA313-0000177998</t>
  </si>
  <si>
    <t>Services rendered for Discovery for Merret restructuring team for the month of Oct-2015</t>
  </si>
  <si>
    <t>MA313-0000177999</t>
  </si>
  <si>
    <t>Services rendered for Service charges for Services rendered for Balaji Varada for the month of c</t>
  </si>
  <si>
    <t>MA313-0000178000</t>
  </si>
  <si>
    <t>Services rendered for Gaurav Sharma for the month of Oct-2015</t>
  </si>
  <si>
    <t>MA313-0000178001</t>
  </si>
  <si>
    <t>Services rendered for Agrim Bothra for the month of Oct-2015</t>
  </si>
  <si>
    <t>MA313-0000178002</t>
  </si>
  <si>
    <t>Services rendered for Third Rock India Team for the month of Oct-2015</t>
  </si>
  <si>
    <t>MA313-0000178003</t>
  </si>
  <si>
    <t>Services rendered for Viswa S for the month of Oct-2015</t>
  </si>
  <si>
    <t>MA313-0000178004</t>
  </si>
  <si>
    <t>Services rendered for Swaminathan R for the month of Oct-2015</t>
  </si>
  <si>
    <t>MA313-0000178005</t>
  </si>
  <si>
    <t>Services rendered for Dhrubajyoti G for the month of Oct-2015</t>
  </si>
  <si>
    <t>MA313-0000178006</t>
  </si>
  <si>
    <t>Services rendered for Soumya for the month of Oct-2015</t>
  </si>
  <si>
    <t>MA313-0000178007</t>
  </si>
  <si>
    <t>Services rendered for Bharatesh for the month of Oct-2015</t>
  </si>
  <si>
    <t>MA313-0000178008</t>
  </si>
  <si>
    <t>Services rendered for Salil D for the month of Oct-2015</t>
  </si>
  <si>
    <t>MA313-0000178009</t>
  </si>
  <si>
    <t>Services rendered for Akash S for the month of Oct-2015</t>
  </si>
  <si>
    <t>MA313-0000178098</t>
  </si>
  <si>
    <t>Services rendered for Services rendered for Nitin</t>
  </si>
  <si>
    <t>MA313-0000178099</t>
  </si>
  <si>
    <t>Services rendered for Haripraghash for October-2015</t>
  </si>
  <si>
    <t>Services rendered for Rashid Manzar for the month of Oct-2015</t>
  </si>
  <si>
    <t>MA313-0000178101</t>
  </si>
  <si>
    <t>MA313-0000178102</t>
  </si>
  <si>
    <t>Services rendered for Abhijeet Kharsan for the month of Oct-2015</t>
  </si>
  <si>
    <t>MA313-0000178103</t>
  </si>
  <si>
    <t>Services rendered for Sandip Kurwale for the month of Oct-2015</t>
  </si>
  <si>
    <t>MA313-0000178106</t>
  </si>
  <si>
    <t>Services rendered for Ganesh Iyer for the month of Oct-2015</t>
  </si>
  <si>
    <t>MA313-0000178107</t>
  </si>
  <si>
    <t>Services rendered for Ankita Acharya for the month of Oct-2015</t>
  </si>
  <si>
    <t>MA313-0000178109</t>
  </si>
  <si>
    <t>Services rendered for Tejsingh for the month of Oct-2015</t>
  </si>
  <si>
    <t>MA313-0000178110</t>
  </si>
  <si>
    <t>Services rendered for Shian T for the month of Oct-2015</t>
  </si>
  <si>
    <t>MA313-0000178111</t>
  </si>
  <si>
    <t>Services rendered for Sriram Krithiga for the month of Oct-2015</t>
  </si>
  <si>
    <t>MA313-0000178112</t>
  </si>
  <si>
    <t>Services rendered for Nitin Chinnannavar for the month of Oct-2015</t>
  </si>
  <si>
    <t>MA313-0000178113</t>
  </si>
  <si>
    <t>Services rendered for for Amol Barve for the month of Oct-2015</t>
  </si>
  <si>
    <t>MA313-0000178114</t>
  </si>
  <si>
    <t>Services rendered for Amit Pagariya for the month of Oct-2015</t>
  </si>
  <si>
    <t>MA313-0000178115</t>
  </si>
  <si>
    <t>Services rendered for Saudamini for the month of Oct-2015</t>
  </si>
  <si>
    <t>MA313-0000178116</t>
  </si>
  <si>
    <t>Services rendered for Randhir Sumedh for the month of Oct-2015</t>
  </si>
  <si>
    <t>MA313-0000178117</t>
  </si>
  <si>
    <t>Services rendered for Saurav Battra for the month of Oct-2015</t>
  </si>
  <si>
    <t>MA313-0000178118</t>
  </si>
  <si>
    <t>Services rendered for Vidyakant P for the month of Oct-2015</t>
  </si>
  <si>
    <t>MA313-0000178119</t>
  </si>
  <si>
    <t>Services rendered for Piali Roy for the month of Oct-2015</t>
  </si>
  <si>
    <t>MA313-0000178121</t>
  </si>
  <si>
    <t>Services rendered for Rohan M for the month of Oct-2015</t>
  </si>
  <si>
    <t>MA313-0000178123</t>
  </si>
  <si>
    <t>Services rendered for Venkatesh P for the month of Oct-2015</t>
  </si>
  <si>
    <t>MA313-0000178125</t>
  </si>
  <si>
    <t>Services rendered for Avinash V for the month of Oct-2015</t>
  </si>
  <si>
    <t>MA313-0000178126</t>
  </si>
  <si>
    <t>Services rendered for Murugesan C for the month of Oct-2015</t>
  </si>
  <si>
    <t>MA313-0000178127</t>
  </si>
  <si>
    <t>Services rendered for Vivek Valsan for the month of Oct-2015</t>
  </si>
  <si>
    <t>MA313-0000178128</t>
  </si>
  <si>
    <t>Services rendered for Shanmugam S for the month of Oct-2015</t>
  </si>
  <si>
    <t>MA313-0000178129</t>
  </si>
  <si>
    <t>Services rendered for Lokesh B for the month of Oct-2015</t>
  </si>
  <si>
    <t>MA313-0000178130</t>
  </si>
  <si>
    <t>Services rendered for Swetha Priya for the month of Oct-2015</t>
  </si>
  <si>
    <t>MA313-0000178131</t>
  </si>
  <si>
    <t>Services rendered for Prithviraj G for the month of Oct-2015</t>
  </si>
  <si>
    <t>MA313-0000178132</t>
  </si>
  <si>
    <t>Services rendered for Mehul M for the month of Oct-2015</t>
  </si>
  <si>
    <t>MA313-0000178133</t>
  </si>
  <si>
    <t>Services rendered for Mahesh K for the month of Oct-2015</t>
  </si>
  <si>
    <t>MA313-0000178134</t>
  </si>
  <si>
    <t>Services rendered for Santosh Katkuri for the month of Oct-2015</t>
  </si>
  <si>
    <t>MA313-0000178135</t>
  </si>
  <si>
    <t>Services rendered for Spandana V for the month of Oct-2015</t>
  </si>
  <si>
    <t>MA313-0000178136</t>
  </si>
  <si>
    <t>Services rendered for Vishal N,Kunal B,Vighneshwar,Rohan M,Hiral,Adarsh A,Gaurav for month of Oct-2015</t>
  </si>
  <si>
    <t>MA313-0000178294</t>
  </si>
  <si>
    <t>Services rendered for Services rendered for Bharath K M</t>
  </si>
  <si>
    <t>MA313-0000178295</t>
  </si>
  <si>
    <t>Services rendered for Services rendered for Jai Ganesh</t>
  </si>
  <si>
    <t>MA313-0000178296</t>
  </si>
  <si>
    <t>Services rendered for services rendered for Checkout Team for October-2015</t>
  </si>
  <si>
    <t>MA313-0000178297</t>
  </si>
  <si>
    <t>Services rendered for Services rendered for Prabakaran and Anantha</t>
  </si>
  <si>
    <t>MA313-0000177513</t>
  </si>
  <si>
    <t>Services rendered for China CCP &amp; PDI team for the month of Oct-2015</t>
  </si>
  <si>
    <t>MA313-0000177445</t>
  </si>
  <si>
    <t>Debbie Pejica</t>
  </si>
  <si>
    <t>Services rendered for China Mule Support for the month of Oct-2015</t>
  </si>
  <si>
    <t>MA313-0000177446</t>
  </si>
  <si>
    <t>Services rendered for China L1 Support team for the month of Oct-2015</t>
  </si>
  <si>
    <t>MA313-0000177447</t>
  </si>
  <si>
    <t>Services rendered for Ecommerce Integration Testing for the month of Oct-2015</t>
  </si>
  <si>
    <t>MA313-0000177448</t>
  </si>
  <si>
    <t>Services rendered for Netsuite Customization Support team for the month of Oct-2015</t>
  </si>
  <si>
    <t>MA313-0000177495</t>
  </si>
  <si>
    <t>Services rendered for Offshore ALM team for the month of Oct-2015</t>
  </si>
  <si>
    <t>MA313-0000176494</t>
  </si>
  <si>
    <t>Charges for Tech Debt Changes team (Himalay) for the month of Oct-2015</t>
  </si>
  <si>
    <t>MA313-0000176495</t>
  </si>
  <si>
    <t>Charges for Tech Debt Changes extension team (Himalay) for the month of Oct-2015</t>
  </si>
  <si>
    <t>MA313-0000176493</t>
  </si>
  <si>
    <t>Charges for Tactical changes team: AVANI for the month of Oct-2015</t>
  </si>
  <si>
    <t>MA313-0000176432</t>
  </si>
  <si>
    <t>Charges for Yuga team for the month of Oct-2015</t>
  </si>
  <si>
    <t xml:space="preserve">E20151106000006200100609 </t>
  </si>
  <si>
    <t>CTSGB201601002</t>
  </si>
  <si>
    <t>CTSGB201601003</t>
  </si>
  <si>
    <t>CTSGB201601005</t>
  </si>
  <si>
    <t>CTSGB201601006</t>
  </si>
  <si>
    <t>Service Rendered for Raman Verma for the month of Nov'15</t>
  </si>
  <si>
    <t>Service Rendered for Yusuf Jamali for the month of Nov'15</t>
  </si>
  <si>
    <t>Service Rendered for Sanchit for the month of Nov'15</t>
  </si>
  <si>
    <t>Service Rendered for Salil D for the month of Nov'15</t>
  </si>
  <si>
    <t>Service Rendered for Bharatesh P for the month of Nov'15</t>
  </si>
  <si>
    <t>Service Rendered for Swaminathan R for the month of Nov'15</t>
  </si>
  <si>
    <t>Service Rendered for Ishan S for the month of Nov'15</t>
  </si>
  <si>
    <t>Service Rendered for Nitin N for the month of Nov'15</t>
  </si>
  <si>
    <t>Service Rendered for Kunal D for the month of Nov'15</t>
  </si>
  <si>
    <t>Service Rendered for Shian T for the month of Nov'15</t>
  </si>
  <si>
    <t>Service Rendered for Charishma for the month of Nov'15</t>
  </si>
  <si>
    <t>Service Rendered for Akash Srivastava for the month of Nov'15</t>
  </si>
  <si>
    <t>Service Rendered for Arun Kumar for the month of Nov'15</t>
  </si>
  <si>
    <t>Service Rendered for Anurag Ankur for the month of Nov'15</t>
  </si>
  <si>
    <t>Service Rendered for Agrim Bothra for the month of Nov'15</t>
  </si>
  <si>
    <t>Service Rendered for Gaurav Sharma for the month of Nov'15</t>
  </si>
  <si>
    <t>Service Rendered for Soumya for the month of Nov'15</t>
  </si>
  <si>
    <t>Service Rendered for Dileep K for the month of Nov'15</t>
  </si>
  <si>
    <t>Service Rendered for Dhruba for the month of Nov'15</t>
  </si>
  <si>
    <t>Service Rendered for Koundinya for the month of Nov'15</t>
  </si>
  <si>
    <t>Service Rendered for Jain Vijin for the month of Nov'15</t>
  </si>
  <si>
    <t>Service Rendered for ViswaSahu for the month of Nov'15</t>
  </si>
  <si>
    <t>Service Rendered for Haripraghash S for the month of Nov'15</t>
  </si>
  <si>
    <t>Service Rendered for Abhishek Chatterjee for the month of Nov'15</t>
  </si>
  <si>
    <t>Service Rendered for Rashid Manzar for the month of Nov'15</t>
  </si>
  <si>
    <t>Service Rendered for Abhijeet Kharsan for the month of Nov'15</t>
  </si>
  <si>
    <t>Service Rendered for Sandip Kurwale for the month of Nov'15</t>
  </si>
  <si>
    <t>Service Rendered for Ganesh Iyer for the month of Nov'15</t>
  </si>
  <si>
    <t>Service Rendered for Ankita Acharya for the month of Nov'15</t>
  </si>
  <si>
    <t>Service Rendered for Sunil Manghrani for the month of Nov'15</t>
  </si>
  <si>
    <t>Service Rendered for Tejsingh P for the month of Nov'15</t>
  </si>
  <si>
    <t>Service Rendered for Santosh Katkuri for the month of Nov'15</t>
  </si>
  <si>
    <t>Service Rendered for K Vidhyasagar for the month of Nov'15</t>
  </si>
  <si>
    <t>Service Rendered for Sriram Krithiga for the month of Nov'15</t>
  </si>
  <si>
    <t>Service Rendered for Amol Barve for the month of Nov'15</t>
  </si>
  <si>
    <t>Service Rendered for Anshu Wadhwani for the month of Nov'15</t>
  </si>
  <si>
    <t>Service Rendered for Sridhar Gururaj for the month of Nov'15</t>
  </si>
  <si>
    <t>Service Rendered for Imran M for the month of Nov'15</t>
  </si>
  <si>
    <t>Service Rendered for Performance Testing Team for the month of Nov'15</t>
  </si>
  <si>
    <t>Service Rendered for Venkatesh P for the month of Nov'15</t>
  </si>
  <si>
    <t>Service Rendered for Amit Pagariya for the month of Nov'15</t>
  </si>
  <si>
    <t>Service Rendered for BharathGupta for the month of Nov'15</t>
  </si>
  <si>
    <t>Service Rendered for Light House QA Team for the month of Nov'15</t>
  </si>
  <si>
    <t>Service Rendered for Avinash V for the month of Nov'15</t>
  </si>
  <si>
    <t>Service Rendered for Murugesan C for the month of Nov'15</t>
  </si>
  <si>
    <t>Service Rendered for Vivek Valsan for the month of Nov'15</t>
  </si>
  <si>
    <t>Service Rendered for Saudamini Bhadange for the month of Nov'15</t>
  </si>
  <si>
    <t>Service Rendered for Vidyakant P for the month of Nov'15</t>
  </si>
  <si>
    <t>Service Rendered for Lokesh B  for the month of Nov'15</t>
  </si>
  <si>
    <t>Service Rendered for Piali Roy for the month of Nov'15</t>
  </si>
  <si>
    <t>Service Rendered for Rohan M for the month of Nov'15</t>
  </si>
  <si>
    <t>Service Rendered for PrithiviRaj G for the month of Nov'15</t>
  </si>
  <si>
    <t>Service Rendered for Mehul M for the month of Nov'15</t>
  </si>
  <si>
    <t>Service Rendered for Gift Card Team for the month of Nov'15</t>
  </si>
  <si>
    <t>Service Rendered for Global Fulfilment  team for the month of Nov'15</t>
  </si>
  <si>
    <t>Service Rendered for ASOS Data Hub teamfor the month of Nov'15</t>
  </si>
  <si>
    <t>Service Rendered for Application Support for the month of Nov'15</t>
  </si>
  <si>
    <t>Service Rendered for Mahesk K for the month of Nov'15</t>
  </si>
  <si>
    <t>Service Rendered for Jai Ganesh for the month of Nov'15</t>
  </si>
  <si>
    <t>Service Rendered for Tejaswini Mahajan for the month of Nov'15</t>
  </si>
  <si>
    <t>Service Rendered for ASOS China Level 1  for the month of Nov'15</t>
  </si>
  <si>
    <t>Service Rendered for E-Comm Integration for the month of Nov'15</t>
  </si>
  <si>
    <t>Service Rendered for ASOS China Mule for the month of Nov'15</t>
  </si>
  <si>
    <t>Service Rendered for Netsuite Customization Support for the month of Nov'15</t>
  </si>
  <si>
    <t>Service Rendered for ASOS China CCP &amp; PDI for the month of Nov'15</t>
  </si>
  <si>
    <t>Service Rendered for Girik Koul for the month of Nov'15</t>
  </si>
  <si>
    <t>Service Rendered for International Site Discovery for the month of Nov'15</t>
  </si>
  <si>
    <t>Service Rendered for Thadhani Nikhil for the month of Nov'15</t>
  </si>
  <si>
    <t>Service Rendered for Kurapati,Venkata Lakshmi kantha Reddy for the month of Oct'15</t>
  </si>
  <si>
    <t>Service Rendered for Nishant &amp; Ekta for the month of Nov'15</t>
  </si>
  <si>
    <t>MA313-0000181213</t>
  </si>
  <si>
    <t>MA313-0000181225</t>
  </si>
  <si>
    <t>MA313-0000181215</t>
  </si>
  <si>
    <t>MA313-0000181223</t>
  </si>
  <si>
    <t>MA313-0000181204</t>
  </si>
  <si>
    <t>MA313-0000181216</t>
  </si>
  <si>
    <t>MA313-0000181218</t>
  </si>
  <si>
    <t>MA313-0000181586</t>
  </si>
  <si>
    <t>MA313-0000181226</t>
  </si>
  <si>
    <t>MA313-0000181202 B</t>
  </si>
  <si>
    <t>MA313-0000181221</t>
  </si>
  <si>
    <t>MA313-0000181736</t>
  </si>
  <si>
    <t>MA313-0000181220</t>
  </si>
  <si>
    <t>MA313-0000181212</t>
  </si>
  <si>
    <t>MA313-0000181222</t>
  </si>
  <si>
    <t>MA313-0000181206</t>
  </si>
  <si>
    <t>MA313-0000181210</t>
  </si>
  <si>
    <t>MA313-0000181227</t>
  </si>
  <si>
    <t>MA313-0000181228</t>
  </si>
  <si>
    <t>MA313-0000181229</t>
  </si>
  <si>
    <t>MA313-0000181605</t>
  </si>
  <si>
    <t>MA313-0000181214</t>
  </si>
  <si>
    <t>MA313-0000181202 D</t>
  </si>
  <si>
    <t xml:space="preserve">ONL-MA313-00060298 </t>
  </si>
  <si>
    <t>MA313-0000181587</t>
  </si>
  <si>
    <t>ONL-MA313-00060303</t>
  </si>
  <si>
    <t>ONL-MA313-00060304</t>
  </si>
  <si>
    <t>MA313-0000181588</t>
  </si>
  <si>
    <t>ONL-MA313-00060306</t>
  </si>
  <si>
    <t>MA313-0000181211</t>
  </si>
  <si>
    <t>MA313-0000181202 E</t>
  </si>
  <si>
    <t>ONL-MA313-00060307</t>
  </si>
  <si>
    <t>MA313-0000181219</t>
  </si>
  <si>
    <t>MA313-0000181590</t>
  </si>
  <si>
    <t>MA313-0000181592</t>
  </si>
  <si>
    <t>MA313-0000181201</t>
  </si>
  <si>
    <t>MA313-0000181224</t>
  </si>
  <si>
    <t>MA313-0000181585</t>
  </si>
  <si>
    <t>MA313-0000181593</t>
  </si>
  <si>
    <t>MA313-0000181739</t>
  </si>
  <si>
    <t>MA313-0000181594</t>
  </si>
  <si>
    <t>MA313-0000181208</t>
  </si>
  <si>
    <t>MA313-0000184972 / MA313-0000184993</t>
  </si>
  <si>
    <t>MA313-0000181734</t>
  </si>
  <si>
    <t xml:space="preserve">ONL-MA313-00060297 </t>
  </si>
  <si>
    <t>MA313-0000181589</t>
  </si>
  <si>
    <t>MA313-0000181595</t>
  </si>
  <si>
    <t>MA313-0000181596</t>
  </si>
  <si>
    <t>MA313-0000181599</t>
  </si>
  <si>
    <t>MA313-0000181600</t>
  </si>
  <si>
    <t>MA313-0000181737</t>
  </si>
  <si>
    <t>MA313-0000181202 F</t>
  </si>
  <si>
    <t>MA313-0000181203</t>
  </si>
  <si>
    <t>MA313-0000181601 A</t>
  </si>
  <si>
    <t>MA313-0000181205 A</t>
  </si>
  <si>
    <t>MA313-0000181207</t>
  </si>
  <si>
    <t>MA313-0000181217</t>
  </si>
  <si>
    <t>MA313-0000181603</t>
  </si>
  <si>
    <t>MA313-0000181202 G</t>
  </si>
  <si>
    <t>Need to check with Umesh he is only raised online</t>
  </si>
  <si>
    <t>MA313-0000181274</t>
  </si>
  <si>
    <t>MA313-0000181273</t>
  </si>
  <si>
    <t>MA313-0000181272</t>
  </si>
  <si>
    <t>MA313-0000181304</t>
  </si>
  <si>
    <t>MA313-0000181604</t>
  </si>
  <si>
    <t>MA313-000060340 A</t>
  </si>
  <si>
    <t>MA313-0000181606</t>
  </si>
  <si>
    <t>MA313-0000181735</t>
  </si>
  <si>
    <t>Nov'15</t>
  </si>
  <si>
    <t>Not received</t>
  </si>
  <si>
    <t>MA313-0000160673</t>
  </si>
  <si>
    <t>MA313-0000160674</t>
  </si>
  <si>
    <t>MA313-0000171892</t>
  </si>
  <si>
    <t>No</t>
  </si>
  <si>
    <t>Rasika</t>
  </si>
  <si>
    <t>25th Apr till 27th May</t>
  </si>
  <si>
    <t>Madhuri</t>
  </si>
  <si>
    <t>Billing Period</t>
  </si>
  <si>
    <t>Billing 
days</t>
  </si>
  <si>
    <t>Billing (Total)</t>
  </si>
  <si>
    <t>Amit P</t>
  </si>
  <si>
    <t>Gaurav S</t>
  </si>
  <si>
    <t>Gurav S</t>
  </si>
  <si>
    <t># of Weeks</t>
  </si>
  <si>
    <t># of Days</t>
  </si>
  <si>
    <t>Nov</t>
  </si>
  <si>
    <t>Dec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</si>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</sst>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[$-409]d\-mmm\-yy;@"/>
    <numFmt numFmtId="165" formatCode="0.00;[Red]0.00"/>
    <numFmt numFmtId="166" formatCode="[$£-809]#,##0"/>
    <numFmt numFmtId="167" formatCode="[$-409]mmmm\ d\,\ yyyy;@"/>
    <numFmt numFmtId="168" formatCode="[$£-809]#,##0.00"/>
    <numFmt numFmtId="169" formatCode="_(* #,##0_);_(* \(#,##0\);_(* &quot;-&quot;??_);_(@_)"/>
    <numFmt numFmtId="170" formatCode="[$£-809]#,##0;[Red][$£-809]#,##0"/>
    <numFmt numFmtId="171" formatCode="#,##0.0"/>
    <numFmt numFmtId="172" formatCode="d\-mmm\-yyyy"/>
    <numFmt numFmtId="173" formatCode="_(* #,##0.0_);_(* \(#,##0.0\);_(* &quot;-&quot;??_);_(@_)"/>
    <numFmt numFmtId="174" formatCode="0.0"/>
    <numFmt numFmtId="175" formatCode="[$-409]d\-mmm;@"/>
    <numFmt numFmtId="176" formatCode="0_);\(0\)"/>
    <numFmt numFmtId="177" formatCode="0.000"/>
    <numFmt numFmtId="178" formatCode="[$£-809]#,##0;\-[$£-809]#,##0"/>
    <numFmt numFmtId="179" formatCode="[$£-809]#,##0.0;\-[$£-809]#,##0.0"/>
  </numFmts>
  <fonts count="9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000000"/>
      <name val="Calibri"/>
      <family val="2"/>
    </font>
    <font>
      <sz val="10"/>
      <color rgb="FF00B050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3" tint="-0.249977111117893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9"/>
      <color theme="1"/>
      <name val="Tahoma"/>
      <family val="2"/>
    </font>
    <font>
      <b/>
      <sz val="8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color rgb="FF000000"/>
      <name val="Calibri"/>
      <family val="2"/>
    </font>
    <font>
      <b/>
      <sz val="1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3C3C3C"/>
      <name val="Arial"/>
      <family val="2"/>
    </font>
    <font>
      <sz val="12"/>
      <color theme="1"/>
      <name val="Calibri"/>
      <family val="2"/>
    </font>
    <font>
      <sz val="10"/>
      <color rgb="FF1F497D"/>
      <name val="Verdana"/>
      <family val="2"/>
    </font>
    <font>
      <sz val="11"/>
      <color rgb="FF1F497D"/>
      <name val="Calibri"/>
      <family val="2"/>
      <scheme val="minor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50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1F497D"/>
      <name val="Calibri"/>
      <family val="2"/>
    </font>
    <font>
      <b/>
      <sz val="11"/>
      <name val="Calibri"/>
      <family val="2"/>
    </font>
    <font>
      <vertAlign val="superscript"/>
      <sz val="11"/>
      <color rgb="FF1F497D"/>
      <name val="Calibri"/>
      <family val="2"/>
    </font>
    <font>
      <b/>
      <sz val="11"/>
      <color rgb="FF1F497D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color theme="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</font>
    <font>
      <b/>
      <sz val="14"/>
      <color rgb="FFFF0000"/>
      <name val="Calibri"/>
      <family val="2"/>
      <scheme val="minor"/>
    </font>
    <font>
      <b/>
      <sz val="10"/>
      <name val="Calibri"/>
      <family val="2"/>
    </font>
    <font>
      <sz val="10"/>
      <color rgb="FF00B0F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rgb="FF0D8D22"/>
      <name val="Calibri"/>
      <family val="2"/>
      <scheme val="minor"/>
    </font>
    <font>
      <b/>
      <sz val="9"/>
      <color rgb="FFFFFFFF"/>
      <name val="Verdana"/>
      <family val="2"/>
    </font>
    <font>
      <sz val="9"/>
      <color theme="1"/>
      <name val="Arial"/>
      <family val="2"/>
    </font>
    <font>
      <sz val="9"/>
      <color theme="1"/>
      <name val="Symbol"/>
      <family val="1"/>
      <charset val="2"/>
    </font>
    <font>
      <sz val="7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rgb="FF00B050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0000"/>
      <name val="Verdana"/>
      <family val="2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5D9F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48" fillId="0" borderId="0" applyFont="0" applyFill="0" applyBorder="0" applyAlignment="0" applyProtection="0"/>
    <xf numFmtId="175" fontId="2" fillId="0" borderId="0"/>
  </cellStyleXfs>
  <cellXfs count="1003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6" fillId="0" borderId="0" xfId="0" applyFont="1"/>
    <xf numFmtId="14" fontId="7" fillId="0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right"/>
    </xf>
    <xf numFmtId="0" fontId="7" fillId="0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1" xfId="0" applyFont="1" applyBorder="1"/>
    <xf numFmtId="0" fontId="6" fillId="0" borderId="0" xfId="0" applyFont="1" applyBorder="1"/>
    <xf numFmtId="164" fontId="6" fillId="0" borderId="1" xfId="0" applyNumberFormat="1" applyFont="1" applyBorder="1"/>
    <xf numFmtId="4" fontId="6" fillId="0" borderId="1" xfId="0" applyNumberFormat="1" applyFont="1" applyBorder="1"/>
    <xf numFmtId="3" fontId="6" fillId="0" borderId="1" xfId="0" applyNumberFormat="1" applyFont="1" applyBorder="1"/>
    <xf numFmtId="0" fontId="9" fillId="0" borderId="1" xfId="0" applyFont="1" applyBorder="1" applyAlignment="1">
      <alignment wrapText="1"/>
    </xf>
    <xf numFmtId="0" fontId="6" fillId="0" borderId="5" xfId="0" applyFont="1" applyBorder="1"/>
    <xf numFmtId="0" fontId="6" fillId="0" borderId="1" xfId="0" applyFont="1" applyFill="1" applyBorder="1"/>
    <xf numFmtId="0" fontId="9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12" fillId="0" borderId="0" xfId="0" applyFont="1"/>
    <xf numFmtId="0" fontId="6" fillId="0" borderId="0" xfId="0" applyFont="1" applyFill="1"/>
    <xf numFmtId="0" fontId="9" fillId="0" borderId="1" xfId="0" applyFont="1" applyBorder="1"/>
    <xf numFmtId="0" fontId="15" fillId="0" borderId="1" xfId="0" applyFont="1" applyBorder="1"/>
    <xf numFmtId="0" fontId="12" fillId="0" borderId="1" xfId="0" applyFont="1" applyBorder="1"/>
    <xf numFmtId="164" fontId="6" fillId="0" borderId="1" xfId="0" applyNumberFormat="1" applyFont="1" applyFill="1" applyBorder="1"/>
    <xf numFmtId="0" fontId="15" fillId="0" borderId="0" xfId="0" applyFont="1" applyBorder="1"/>
    <xf numFmtId="0" fontId="6" fillId="0" borderId="1" xfId="0" applyFont="1" applyFill="1" applyBorder="1" applyAlignment="1">
      <alignment wrapText="1"/>
    </xf>
    <xf numFmtId="0" fontId="9" fillId="0" borderId="1" xfId="0" applyFont="1" applyFill="1" applyBorder="1"/>
    <xf numFmtId="0" fontId="17" fillId="0" borderId="0" xfId="0" applyFont="1"/>
    <xf numFmtId="0" fontId="0" fillId="0" borderId="0" xfId="0" applyFont="1"/>
    <xf numFmtId="0" fontId="5" fillId="0" borderId="1" xfId="0" applyFont="1" applyBorder="1"/>
    <xf numFmtId="0" fontId="5" fillId="0" borderId="1" xfId="0" applyFont="1" applyFill="1" applyBorder="1" applyAlignment="1">
      <alignment horizontal="center" vertical="center" wrapText="1"/>
    </xf>
    <xf numFmtId="165" fontId="5" fillId="0" borderId="1" xfId="0" applyNumberFormat="1" applyFont="1" applyBorder="1"/>
    <xf numFmtId="0" fontId="6" fillId="0" borderId="0" xfId="0" applyFont="1" applyBorder="1" applyAlignment="1">
      <alignment horizontal="center" vertical="center"/>
    </xf>
    <xf numFmtId="0" fontId="9" fillId="0" borderId="1" xfId="0" applyFont="1" applyFill="1" applyBorder="1" applyAlignment="1">
      <alignment wrapText="1"/>
    </xf>
    <xf numFmtId="4" fontId="9" fillId="0" borderId="1" xfId="0" applyNumberFormat="1" applyFont="1" applyBorder="1" applyAlignment="1">
      <alignment wrapText="1"/>
    </xf>
    <xf numFmtId="0" fontId="9" fillId="0" borderId="0" xfId="0" applyFont="1"/>
    <xf numFmtId="4" fontId="9" fillId="0" borderId="1" xfId="0" applyNumberFormat="1" applyFont="1" applyBorder="1"/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right"/>
    </xf>
    <xf numFmtId="0" fontId="9" fillId="0" borderId="3" xfId="0" applyFont="1" applyFill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0" xfId="0" applyFont="1" applyFill="1" applyBorder="1"/>
    <xf numFmtId="0" fontId="16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3" xfId="0" applyFont="1" applyBorder="1"/>
    <xf numFmtId="0" fontId="6" fillId="0" borderId="3" xfId="0" applyFont="1" applyBorder="1" applyAlignment="1">
      <alignment horizontal="left" vertical="center" wrapText="1"/>
    </xf>
    <xf numFmtId="1" fontId="6" fillId="0" borderId="1" xfId="0" applyNumberFormat="1" applyFont="1" applyBorder="1"/>
    <xf numFmtId="0" fontId="6" fillId="0" borderId="2" xfId="0" applyFont="1" applyBorder="1" applyAlignment="1">
      <alignment horizontal="left" vertical="center" wrapText="1"/>
    </xf>
    <xf numFmtId="0" fontId="9" fillId="3" borderId="1" xfId="0" applyFont="1" applyFill="1" applyBorder="1" applyAlignment="1">
      <alignment wrapText="1"/>
    </xf>
    <xf numFmtId="0" fontId="9" fillId="3" borderId="1" xfId="0" applyFont="1" applyFill="1" applyBorder="1"/>
    <xf numFmtId="0" fontId="20" fillId="0" borderId="1" xfId="0" applyFont="1" applyFill="1" applyBorder="1" applyAlignment="1">
      <alignment vertical="center"/>
    </xf>
    <xf numFmtId="0" fontId="19" fillId="0" borderId="0" xfId="0" applyFont="1"/>
    <xf numFmtId="0" fontId="16" fillId="0" borderId="1" xfId="0" applyFont="1" applyBorder="1" applyAlignment="1">
      <alignment vertical="center"/>
    </xf>
    <xf numFmtId="0" fontId="16" fillId="5" borderId="6" xfId="0" applyFont="1" applyFill="1" applyBorder="1" applyAlignment="1">
      <alignment vertical="center"/>
    </xf>
    <xf numFmtId="0" fontId="16" fillId="5" borderId="11" xfId="0" applyFont="1" applyFill="1" applyBorder="1" applyAlignment="1">
      <alignment vertical="center" wrapText="1"/>
    </xf>
    <xf numFmtId="0" fontId="16" fillId="5" borderId="12" xfId="0" applyFont="1" applyFill="1" applyBorder="1" applyAlignment="1">
      <alignment vertical="center"/>
    </xf>
    <xf numFmtId="0" fontId="16" fillId="5" borderId="13" xfId="0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0" borderId="18" xfId="0" applyFont="1" applyBorder="1" applyAlignment="1">
      <alignment vertical="center"/>
    </xf>
    <xf numFmtId="164" fontId="9" fillId="0" borderId="1" xfId="0" applyNumberFormat="1" applyFont="1" applyBorder="1"/>
    <xf numFmtId="0" fontId="21" fillId="0" borderId="0" xfId="0" applyFont="1" applyAlignment="1"/>
    <xf numFmtId="0" fontId="9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1" xfId="0" applyFont="1" applyBorder="1" applyAlignment="1"/>
    <xf numFmtId="0" fontId="6" fillId="0" borderId="1" xfId="0" applyFont="1" applyBorder="1" applyAlignment="1">
      <alignment wrapText="1"/>
    </xf>
    <xf numFmtId="0" fontId="6" fillId="3" borderId="1" xfId="0" applyFont="1" applyFill="1" applyBorder="1"/>
    <xf numFmtId="0" fontId="22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vertical="center"/>
    </xf>
    <xf numFmtId="3" fontId="6" fillId="0" borderId="1" xfId="0" applyNumberFormat="1" applyFont="1" applyFill="1" applyBorder="1"/>
    <xf numFmtId="4" fontId="9" fillId="0" borderId="1" xfId="0" applyNumberFormat="1" applyFont="1" applyFill="1" applyBorder="1" applyAlignment="1">
      <alignment wrapText="1"/>
    </xf>
    <xf numFmtId="4" fontId="6" fillId="0" borderId="1" xfId="0" applyNumberFormat="1" applyFont="1" applyFill="1" applyBorder="1"/>
    <xf numFmtId="4" fontId="9" fillId="0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6" fillId="0" borderId="4" xfId="0" applyFont="1" applyBorder="1"/>
    <xf numFmtId="164" fontId="6" fillId="0" borderId="1" xfId="0" applyNumberFormat="1" applyFont="1" applyBorder="1" applyAlignment="1">
      <alignment vertical="center"/>
    </xf>
    <xf numFmtId="0" fontId="9" fillId="0" borderId="4" xfId="0" applyFont="1" applyBorder="1"/>
    <xf numFmtId="4" fontId="6" fillId="0" borderId="4" xfId="0" applyNumberFormat="1" applyFont="1" applyBorder="1"/>
    <xf numFmtId="0" fontId="6" fillId="0" borderId="1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164" fontId="6" fillId="0" borderId="0" xfId="0" applyNumberFormat="1" applyFont="1" applyBorder="1"/>
    <xf numFmtId="0" fontId="15" fillId="0" borderId="1" xfId="0" applyFont="1" applyFill="1" applyBorder="1"/>
    <xf numFmtId="4" fontId="6" fillId="3" borderId="1" xfId="0" applyNumberFormat="1" applyFont="1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/>
    <xf numFmtId="4" fontId="0" fillId="0" borderId="0" xfId="0" applyNumberFormat="1"/>
    <xf numFmtId="0" fontId="0" fillId="0" borderId="1" xfId="0" applyBorder="1"/>
    <xf numFmtId="0" fontId="23" fillId="4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 wrapText="1"/>
    </xf>
    <xf numFmtId="0" fontId="25" fillId="3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5" fillId="3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/>
    </xf>
    <xf numFmtId="0" fontId="25" fillId="3" borderId="1" xfId="0" applyFont="1" applyFill="1" applyBorder="1" applyAlignment="1">
      <alignment vertical="center"/>
    </xf>
    <xf numFmtId="0" fontId="25" fillId="0" borderId="7" xfId="0" applyFont="1" applyFill="1" applyBorder="1" applyAlignment="1">
      <alignment vertical="center"/>
    </xf>
    <xf numFmtId="0" fontId="25" fillId="0" borderId="5" xfId="0" applyFont="1" applyFill="1" applyBorder="1" applyAlignment="1">
      <alignment vertical="center"/>
    </xf>
    <xf numFmtId="0" fontId="6" fillId="0" borderId="3" xfId="0" applyFont="1" applyFill="1" applyBorder="1"/>
    <xf numFmtId="0" fontId="9" fillId="0" borderId="3" xfId="0" applyFont="1" applyBorder="1"/>
    <xf numFmtId="4" fontId="6" fillId="0" borderId="3" xfId="0" applyNumberFormat="1" applyFont="1" applyFill="1" applyBorder="1"/>
    <xf numFmtId="4" fontId="9" fillId="0" borderId="4" xfId="0" applyNumberFormat="1" applyFont="1" applyBorder="1"/>
    <xf numFmtId="0" fontId="9" fillId="0" borderId="4" xfId="0" applyFont="1" applyBorder="1" applyAlignment="1">
      <alignment wrapText="1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5" fillId="0" borderId="0" xfId="0" applyFont="1" applyBorder="1"/>
    <xf numFmtId="0" fontId="2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Font="1" applyBorder="1" applyAlignment="1">
      <alignment horizontal="right" vertical="center" wrapText="1"/>
    </xf>
    <xf numFmtId="166" fontId="27" fillId="0" borderId="0" xfId="0" applyNumberFormat="1" applyFont="1" applyBorder="1" applyAlignment="1">
      <alignment horizontal="right" vertical="center" wrapText="1"/>
    </xf>
    <xf numFmtId="0" fontId="0" fillId="7" borderId="0" xfId="0" applyFill="1" applyBorder="1"/>
    <xf numFmtId="0" fontId="29" fillId="7" borderId="0" xfId="0" applyFont="1" applyFill="1" applyBorder="1" applyAlignment="1">
      <alignment vertical="center"/>
    </xf>
    <xf numFmtId="0" fontId="30" fillId="7" borderId="0" xfId="0" applyFont="1" applyFill="1" applyBorder="1" applyAlignment="1">
      <alignment horizontal="left"/>
    </xf>
    <xf numFmtId="0" fontId="29" fillId="7" borderId="0" xfId="0" applyFont="1" applyFill="1" applyBorder="1" applyAlignment="1">
      <alignment vertical="center" wrapText="1"/>
    </xf>
    <xf numFmtId="0" fontId="6" fillId="0" borderId="6" xfId="0" applyFont="1" applyBorder="1"/>
    <xf numFmtId="0" fontId="9" fillId="0" borderId="6" xfId="0" applyFont="1" applyBorder="1"/>
    <xf numFmtId="0" fontId="6" fillId="0" borderId="4" xfId="0" applyFont="1" applyFill="1" applyBorder="1"/>
    <xf numFmtId="0" fontId="9" fillId="0" borderId="4" xfId="0" applyFont="1" applyFill="1" applyBorder="1"/>
    <xf numFmtId="4" fontId="6" fillId="0" borderId="4" xfId="0" applyNumberFormat="1" applyFont="1" applyFill="1" applyBorder="1"/>
    <xf numFmtId="0" fontId="6" fillId="0" borderId="0" xfId="0" applyFont="1" applyFill="1" applyBorder="1"/>
    <xf numFmtId="4" fontId="9" fillId="0" borderId="0" xfId="0" applyNumberFormat="1" applyFont="1"/>
    <xf numFmtId="0" fontId="19" fillId="0" borderId="1" xfId="0" applyFont="1" applyBorder="1"/>
    <xf numFmtId="0" fontId="0" fillId="0" borderId="0" xfId="0" applyFill="1" applyBorder="1"/>
    <xf numFmtId="3" fontId="31" fillId="0" borderId="0" xfId="0" applyNumberFormat="1" applyFont="1" applyFill="1" applyBorder="1" applyAlignment="1">
      <alignment horizontal="right" vertical="center" wrapText="1" readingOrder="1"/>
    </xf>
    <xf numFmtId="0" fontId="0" fillId="7" borderId="1" xfId="0" applyFill="1" applyBorder="1"/>
    <xf numFmtId="0" fontId="5" fillId="0" borderId="1" xfId="0" applyFont="1" applyBorder="1" applyAlignment="1">
      <alignment wrapText="1"/>
    </xf>
    <xf numFmtId="167" fontId="6" fillId="0" borderId="1" xfId="0" applyNumberFormat="1" applyFont="1" applyBorder="1"/>
    <xf numFmtId="168" fontId="6" fillId="0" borderId="1" xfId="0" applyNumberFormat="1" applyFont="1" applyBorder="1"/>
    <xf numFmtId="0" fontId="6" fillId="7" borderId="1" xfId="0" applyFont="1" applyFill="1" applyBorder="1"/>
    <xf numFmtId="0" fontId="6" fillId="7" borderId="0" xfId="0" applyFont="1" applyFill="1" applyBorder="1"/>
    <xf numFmtId="0" fontId="34" fillId="7" borderId="0" xfId="0" applyFont="1" applyFill="1" applyBorder="1" applyAlignment="1">
      <alignment vertical="center"/>
    </xf>
    <xf numFmtId="0" fontId="6" fillId="7" borderId="0" xfId="0" applyFont="1" applyFill="1" applyBorder="1" applyAlignment="1">
      <alignment vertical="center" wrapText="1"/>
    </xf>
    <xf numFmtId="3" fontId="34" fillId="0" borderId="1" xfId="0" applyNumberFormat="1" applyFont="1" applyFill="1" applyBorder="1" applyAlignment="1">
      <alignment horizontal="right" vertical="center" wrapText="1" readingOrder="1"/>
    </xf>
    <xf numFmtId="168" fontId="32" fillId="7" borderId="0" xfId="0" applyNumberFormat="1" applyFont="1" applyFill="1" applyBorder="1" applyAlignment="1">
      <alignment horizontal="right"/>
    </xf>
    <xf numFmtId="168" fontId="32" fillId="7" borderId="1" xfId="0" applyNumberFormat="1" applyFont="1" applyFill="1" applyBorder="1" applyAlignment="1">
      <alignment horizontal="right"/>
    </xf>
    <xf numFmtId="0" fontId="28" fillId="7" borderId="1" xfId="0" applyFont="1" applyFill="1" applyBorder="1" applyAlignment="1">
      <alignment horizontal="right" vertical="center" wrapText="1"/>
    </xf>
    <xf numFmtId="168" fontId="0" fillId="0" borderId="0" xfId="0" applyNumberFormat="1"/>
    <xf numFmtId="4" fontId="19" fillId="0" borderId="0" xfId="0" applyNumberFormat="1" applyFont="1"/>
    <xf numFmtId="4" fontId="6" fillId="0" borderId="0" xfId="0" applyNumberFormat="1" applyFont="1" applyBorder="1"/>
    <xf numFmtId="3" fontId="0" fillId="0" borderId="0" xfId="0" applyNumberFormat="1"/>
    <xf numFmtId="3" fontId="19" fillId="0" borderId="0" xfId="0" applyNumberFormat="1" applyFont="1"/>
    <xf numFmtId="164" fontId="9" fillId="0" borderId="1" xfId="0" applyNumberFormat="1" applyFont="1" applyFill="1" applyBorder="1"/>
    <xf numFmtId="0" fontId="0" fillId="0" borderId="1" xfId="0" applyFont="1" applyBorder="1"/>
    <xf numFmtId="0" fontId="19" fillId="5" borderId="1" xfId="0" applyFont="1" applyFill="1" applyBorder="1"/>
    <xf numFmtId="0" fontId="35" fillId="9" borderId="1" xfId="0" applyFont="1" applyFill="1" applyBorder="1"/>
    <xf numFmtId="0" fontId="35" fillId="9" borderId="1" xfId="0" applyFont="1" applyFill="1" applyBorder="1" applyAlignment="1">
      <alignment wrapText="1"/>
    </xf>
    <xf numFmtId="0" fontId="33" fillId="3" borderId="1" xfId="0" applyFont="1" applyFill="1" applyBorder="1" applyAlignment="1">
      <alignment wrapText="1"/>
    </xf>
    <xf numFmtId="0" fontId="26" fillId="0" borderId="0" xfId="0" applyFont="1" applyBorder="1" applyAlignment="1">
      <alignment horizontal="center" vertical="center" wrapText="1"/>
    </xf>
    <xf numFmtId="3" fontId="0" fillId="0" borderId="0" xfId="0" applyNumberFormat="1" applyBorder="1"/>
    <xf numFmtId="3" fontId="9" fillId="0" borderId="1" xfId="0" applyNumberFormat="1" applyFont="1" applyBorder="1"/>
    <xf numFmtId="4" fontId="9" fillId="0" borderId="3" xfId="0" applyNumberFormat="1" applyFont="1" applyBorder="1"/>
    <xf numFmtId="0" fontId="9" fillId="0" borderId="19" xfId="0" applyFont="1" applyBorder="1"/>
    <xf numFmtId="164" fontId="6" fillId="0" borderId="1" xfId="0" applyNumberFormat="1" applyFont="1" applyBorder="1" applyAlignment="1">
      <alignment horizontal="left"/>
    </xf>
    <xf numFmtId="164" fontId="9" fillId="0" borderId="1" xfId="0" applyNumberFormat="1" applyFont="1" applyFill="1" applyBorder="1" applyAlignment="1">
      <alignment horizontal="left"/>
    </xf>
    <xf numFmtId="4" fontId="0" fillId="0" borderId="1" xfId="0" applyNumberFormat="1" applyFont="1" applyBorder="1"/>
    <xf numFmtId="14" fontId="6" fillId="0" borderId="1" xfId="0" applyNumberFormat="1" applyFont="1" applyBorder="1" applyAlignment="1">
      <alignment horizontal="left"/>
    </xf>
    <xf numFmtId="3" fontId="5" fillId="3" borderId="1" xfId="0" applyNumberFormat="1" applyFont="1" applyFill="1" applyBorder="1"/>
    <xf numFmtId="17" fontId="19" fillId="0" borderId="0" xfId="0" applyNumberFormat="1" applyFont="1" applyAlignment="1">
      <alignment horizontal="left"/>
    </xf>
    <xf numFmtId="0" fontId="5" fillId="0" borderId="1" xfId="0" applyFont="1" applyFill="1" applyBorder="1"/>
    <xf numFmtId="0" fontId="5" fillId="0" borderId="0" xfId="0" applyFont="1" applyFill="1" applyBorder="1"/>
    <xf numFmtId="0" fontId="9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 wrapText="1"/>
    </xf>
    <xf numFmtId="2" fontId="0" fillId="0" borderId="0" xfId="0" applyNumberFormat="1"/>
    <xf numFmtId="6" fontId="16" fillId="0" borderId="0" xfId="0" applyNumberFormat="1" applyFont="1"/>
    <xf numFmtId="8" fontId="0" fillId="0" borderId="0" xfId="0" applyNumberFormat="1"/>
    <xf numFmtId="0" fontId="9" fillId="0" borderId="1" xfId="0" applyFont="1" applyBorder="1" applyAlignment="1">
      <alignment horizontal="left"/>
    </xf>
    <xf numFmtId="0" fontId="9" fillId="7" borderId="1" xfId="0" applyFont="1" applyFill="1" applyBorder="1"/>
    <xf numFmtId="0" fontId="9" fillId="0" borderId="1" xfId="0" applyFont="1" applyBorder="1" applyAlignment="1">
      <alignment horizontal="right"/>
    </xf>
    <xf numFmtId="168" fontId="6" fillId="0" borderId="0" xfId="0" applyNumberFormat="1" applyFont="1" applyBorder="1"/>
    <xf numFmtId="3" fontId="34" fillId="0" borderId="0" xfId="0" applyNumberFormat="1" applyFont="1" applyFill="1" applyBorder="1" applyAlignment="1">
      <alignment horizontal="right" vertical="center" wrapText="1" readingOrder="1"/>
    </xf>
    <xf numFmtId="14" fontId="6" fillId="0" borderId="0" xfId="0" applyNumberFormat="1" applyFont="1" applyBorder="1" applyAlignment="1">
      <alignment horizontal="left"/>
    </xf>
    <xf numFmtId="0" fontId="6" fillId="0" borderId="2" xfId="0" applyFont="1" applyFill="1" applyBorder="1"/>
    <xf numFmtId="0" fontId="37" fillId="0" borderId="0" xfId="0" applyFont="1"/>
    <xf numFmtId="0" fontId="35" fillId="9" borderId="0" xfId="0" applyFont="1" applyFill="1" applyBorder="1"/>
    <xf numFmtId="0" fontId="6" fillId="0" borderId="0" xfId="0" applyFont="1" applyBorder="1" applyAlignment="1">
      <alignment wrapText="1"/>
    </xf>
    <xf numFmtId="0" fontId="5" fillId="2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0" fontId="0" fillId="0" borderId="1" xfId="0" applyFont="1" applyBorder="1" applyAlignment="1"/>
    <xf numFmtId="0" fontId="38" fillId="2" borderId="1" xfId="0" applyFont="1" applyFill="1" applyBorder="1" applyAlignment="1">
      <alignment vertical="center"/>
    </xf>
    <xf numFmtId="0" fontId="38" fillId="2" borderId="1" xfId="0" applyFont="1" applyFill="1" applyBorder="1" applyAlignment="1">
      <alignment horizontal="left" vertical="center"/>
    </xf>
    <xf numFmtId="0" fontId="30" fillId="0" borderId="1" xfId="0" applyFont="1" applyFill="1" applyBorder="1" applyAlignment="1">
      <alignment vertical="center"/>
    </xf>
    <xf numFmtId="0" fontId="39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Fill="1" applyBorder="1"/>
    <xf numFmtId="0" fontId="0" fillId="0" borderId="1" xfId="0" applyFont="1" applyFill="1" applyBorder="1"/>
    <xf numFmtId="0" fontId="0" fillId="0" borderId="0" xfId="0" applyFont="1" applyFill="1"/>
    <xf numFmtId="0" fontId="30" fillId="0" borderId="1" xfId="0" applyFont="1" applyFill="1" applyBorder="1"/>
    <xf numFmtId="164" fontId="0" fillId="0" borderId="1" xfId="0" applyNumberFormat="1" applyFont="1" applyBorder="1"/>
    <xf numFmtId="0" fontId="0" fillId="0" borderId="1" xfId="0" applyFont="1" applyBorder="1" applyAlignment="1">
      <alignment horizontal="right"/>
    </xf>
    <xf numFmtId="164" fontId="30" fillId="0" borderId="1" xfId="0" applyNumberFormat="1" applyFont="1" applyBorder="1"/>
    <xf numFmtId="0" fontId="30" fillId="0" borderId="1" xfId="0" applyFont="1" applyFill="1" applyBorder="1" applyAlignment="1">
      <alignment horizontal="left"/>
    </xf>
    <xf numFmtId="164" fontId="30" fillId="0" borderId="1" xfId="0" applyNumberFormat="1" applyFont="1" applyFill="1" applyBorder="1"/>
    <xf numFmtId="3" fontId="0" fillId="0" borderId="1" xfId="0" applyNumberFormat="1" applyFont="1" applyBorder="1" applyAlignment="1"/>
    <xf numFmtId="0" fontId="0" fillId="0" borderId="1" xfId="0" applyFont="1" applyBorder="1" applyAlignment="1">
      <alignment horizontal="left"/>
    </xf>
    <xf numFmtId="0" fontId="30" fillId="0" borderId="1" xfId="0" applyFont="1" applyBorder="1"/>
    <xf numFmtId="0" fontId="30" fillId="0" borderId="1" xfId="0" applyFont="1" applyBorder="1" applyAlignment="1">
      <alignment horizontal="right"/>
    </xf>
    <xf numFmtId="3" fontId="30" fillId="0" borderId="1" xfId="0" applyNumberFormat="1" applyFont="1" applyBorder="1" applyAlignment="1"/>
    <xf numFmtId="0" fontId="30" fillId="0" borderId="0" xfId="0" applyFont="1"/>
    <xf numFmtId="3" fontId="0" fillId="0" borderId="1" xfId="0" applyNumberFormat="1" applyFont="1" applyBorder="1"/>
    <xf numFmtId="164" fontId="30" fillId="0" borderId="1" xfId="0" applyNumberFormat="1" applyFont="1" applyBorder="1" applyAlignment="1">
      <alignment vertical="center"/>
    </xf>
    <xf numFmtId="0" fontId="0" fillId="0" borderId="0" xfId="0" applyFont="1" applyAlignment="1"/>
    <xf numFmtId="0" fontId="0" fillId="3" borderId="1" xfId="0" applyFont="1" applyFill="1" applyBorder="1"/>
    <xf numFmtId="4" fontId="0" fillId="0" borderId="0" xfId="0" applyNumberFormat="1" applyFont="1"/>
    <xf numFmtId="0" fontId="40" fillId="0" borderId="0" xfId="0" applyFont="1" applyAlignment="1"/>
    <xf numFmtId="0" fontId="32" fillId="0" borderId="1" xfId="0" applyFont="1" applyFill="1" applyBorder="1"/>
    <xf numFmtId="0" fontId="41" fillId="0" borderId="1" xfId="0" applyFont="1" applyFill="1" applyBorder="1" applyAlignment="1">
      <alignment vertical="center" wrapText="1"/>
    </xf>
    <xf numFmtId="4" fontId="41" fillId="0" borderId="1" xfId="0" applyNumberFormat="1" applyFont="1" applyFill="1" applyBorder="1" applyAlignment="1">
      <alignment horizontal="right" vertical="center" wrapText="1"/>
    </xf>
    <xf numFmtId="4" fontId="30" fillId="0" borderId="1" xfId="0" applyNumberFormat="1" applyFont="1" applyFill="1" applyBorder="1"/>
    <xf numFmtId="4" fontId="42" fillId="0" borderId="1" xfId="0" applyNumberFormat="1" applyFont="1" applyFill="1" applyBorder="1"/>
    <xf numFmtId="0" fontId="42" fillId="0" borderId="0" xfId="0" applyFont="1" applyAlignment="1">
      <alignment wrapText="1"/>
    </xf>
    <xf numFmtId="0" fontId="42" fillId="0" borderId="0" xfId="0" applyFont="1" applyAlignment="1"/>
    <xf numFmtId="0" fontId="0" fillId="3" borderId="1" xfId="0" applyFont="1" applyFill="1" applyBorder="1" applyAlignment="1"/>
    <xf numFmtId="0" fontId="19" fillId="3" borderId="1" xfId="0" applyFont="1" applyFill="1" applyBorder="1"/>
    <xf numFmtId="0" fontId="0" fillId="0" borderId="0" xfId="0" applyFont="1" applyBorder="1" applyAlignment="1">
      <alignment vertical="center" wrapText="1"/>
    </xf>
    <xf numFmtId="0" fontId="19" fillId="0" borderId="0" xfId="0" applyFont="1" applyBorder="1"/>
    <xf numFmtId="0" fontId="0" fillId="0" borderId="0" xfId="0" applyFont="1" applyBorder="1"/>
    <xf numFmtId="0" fontId="19" fillId="0" borderId="1" xfId="0" applyFont="1" applyBorder="1" applyAlignment="1">
      <alignment vertical="center" wrapText="1"/>
    </xf>
    <xf numFmtId="166" fontId="0" fillId="0" borderId="1" xfId="0" applyNumberFormat="1" applyFont="1" applyBorder="1"/>
    <xf numFmtId="4" fontId="29" fillId="0" borderId="0" xfId="0" applyNumberFormat="1" applyFont="1" applyBorder="1" applyAlignment="1">
      <alignment horizontal="right" vertical="center" wrapText="1"/>
    </xf>
    <xf numFmtId="4" fontId="0" fillId="0" borderId="0" xfId="0" applyNumberFormat="1" applyFont="1" applyBorder="1"/>
    <xf numFmtId="0" fontId="0" fillId="0" borderId="0" xfId="0" applyFont="1" applyBorder="1" applyAlignment="1"/>
    <xf numFmtId="3" fontId="39" fillId="0" borderId="0" xfId="0" applyNumberFormat="1" applyFont="1" applyBorder="1" applyAlignment="1">
      <alignment horizontal="right" vertical="center"/>
    </xf>
    <xf numFmtId="0" fontId="43" fillId="0" borderId="0" xfId="0" applyFont="1" applyAlignment="1">
      <alignment horizontal="left" vertical="center"/>
    </xf>
    <xf numFmtId="3" fontId="45" fillId="0" borderId="0" xfId="0" applyNumberFormat="1" applyFont="1" applyBorder="1" applyAlignment="1">
      <alignment horizontal="right" vertical="center"/>
    </xf>
    <xf numFmtId="0" fontId="44" fillId="0" borderId="0" xfId="0" applyFont="1" applyBorder="1" applyAlignment="1">
      <alignment vertical="center" wrapText="1"/>
    </xf>
    <xf numFmtId="0" fontId="9" fillId="0" borderId="0" xfId="0" applyFont="1" applyFill="1"/>
    <xf numFmtId="0" fontId="9" fillId="0" borderId="6" xfId="0" applyFont="1" applyFill="1" applyBorder="1"/>
    <xf numFmtId="0" fontId="46" fillId="0" borderId="0" xfId="0" applyFont="1" applyAlignment="1">
      <alignment vertical="center"/>
    </xf>
    <xf numFmtId="3" fontId="0" fillId="0" borderId="0" xfId="0" applyNumberFormat="1" applyFont="1" applyFill="1"/>
    <xf numFmtId="0" fontId="28" fillId="0" borderId="1" xfId="0" applyFont="1" applyBorder="1" applyAlignment="1">
      <alignment horizontal="right" vertical="center" wrapText="1"/>
    </xf>
    <xf numFmtId="16" fontId="29" fillId="10" borderId="1" xfId="0" applyNumberFormat="1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horizontal="right" vertical="center"/>
    </xf>
    <xf numFmtId="1" fontId="29" fillId="10" borderId="1" xfId="0" applyNumberFormat="1" applyFont="1" applyFill="1" applyBorder="1" applyAlignment="1">
      <alignment vertical="center"/>
    </xf>
    <xf numFmtId="1" fontId="29" fillId="10" borderId="1" xfId="0" applyNumberFormat="1" applyFont="1" applyFill="1" applyBorder="1" applyAlignment="1">
      <alignment horizontal="right" vertical="center"/>
    </xf>
    <xf numFmtId="16" fontId="29" fillId="11" borderId="1" xfId="0" applyNumberFormat="1" applyFont="1" applyFill="1" applyBorder="1" applyAlignment="1">
      <alignment horizontal="right" vertical="center"/>
    </xf>
    <xf numFmtId="1" fontId="29" fillId="11" borderId="1" xfId="0" applyNumberFormat="1" applyFont="1" applyFill="1" applyBorder="1" applyAlignment="1">
      <alignment vertical="center"/>
    </xf>
    <xf numFmtId="1" fontId="29" fillId="11" borderId="1" xfId="0" applyNumberFormat="1" applyFont="1" applyFill="1" applyBorder="1" applyAlignment="1">
      <alignment horizontal="right" vertical="center"/>
    </xf>
    <xf numFmtId="0" fontId="0" fillId="0" borderId="0" xfId="0" applyFont="1" applyFill="1" applyBorder="1"/>
    <xf numFmtId="0" fontId="0" fillId="3" borderId="0" xfId="0" applyFill="1"/>
    <xf numFmtId="0" fontId="9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vertical="center"/>
    </xf>
    <xf numFmtId="164" fontId="6" fillId="3" borderId="1" xfId="0" applyNumberFormat="1" applyFont="1" applyFill="1" applyBorder="1"/>
    <xf numFmtId="164" fontId="9" fillId="3" borderId="1" xfId="0" applyNumberFormat="1" applyFont="1" applyFill="1" applyBorder="1"/>
    <xf numFmtId="0" fontId="6" fillId="3" borderId="1" xfId="0" applyFont="1" applyFill="1" applyBorder="1" applyAlignment="1">
      <alignment horizontal="right"/>
    </xf>
    <xf numFmtId="3" fontId="6" fillId="3" borderId="1" xfId="0" applyNumberFormat="1" applyFont="1" applyFill="1" applyBorder="1" applyAlignment="1"/>
    <xf numFmtId="3" fontId="6" fillId="3" borderId="0" xfId="0" applyNumberFormat="1" applyFont="1" applyFill="1" applyBorder="1" applyAlignment="1"/>
    <xf numFmtId="3" fontId="0" fillId="3" borderId="0" xfId="0" applyNumberFormat="1" applyFill="1"/>
    <xf numFmtId="0" fontId="19" fillId="12" borderId="1" xfId="0" applyFont="1" applyFill="1" applyBorder="1" applyAlignment="1">
      <alignment horizontal="center" vertical="center"/>
    </xf>
    <xf numFmtId="0" fontId="0" fillId="12" borderId="0" xfId="0" applyFill="1"/>
    <xf numFmtId="0" fontId="7" fillId="12" borderId="1" xfId="0" applyFont="1" applyFill="1" applyBorder="1" applyAlignment="1">
      <alignment vertical="center"/>
    </xf>
    <xf numFmtId="3" fontId="6" fillId="12" borderId="1" xfId="0" applyNumberFormat="1" applyFont="1" applyFill="1" applyBorder="1"/>
    <xf numFmtId="164" fontId="6" fillId="12" borderId="1" xfId="0" applyNumberFormat="1" applyFont="1" applyFill="1" applyBorder="1"/>
    <xf numFmtId="0" fontId="6" fillId="12" borderId="1" xfId="0" applyFont="1" applyFill="1" applyBorder="1"/>
    <xf numFmtId="0" fontId="9" fillId="12" borderId="1" xfId="0" applyFont="1" applyFill="1" applyBorder="1"/>
    <xf numFmtId="3" fontId="6" fillId="12" borderId="1" xfId="0" applyNumberFormat="1" applyFont="1" applyFill="1" applyBorder="1" applyAlignment="1">
      <alignment horizontal="right"/>
    </xf>
    <xf numFmtId="3" fontId="6" fillId="3" borderId="1" xfId="0" applyNumberFormat="1" applyFont="1" applyFill="1" applyBorder="1"/>
    <xf numFmtId="3" fontId="6" fillId="3" borderId="1" xfId="0" applyNumberFormat="1" applyFont="1" applyFill="1" applyBorder="1" applyAlignment="1">
      <alignment horizontal="right"/>
    </xf>
    <xf numFmtId="0" fontId="0" fillId="12" borderId="1" xfId="0" applyFill="1" applyBorder="1"/>
    <xf numFmtId="3" fontId="0" fillId="0" borderId="0" xfId="0" applyNumberFormat="1" applyFill="1" applyBorder="1"/>
    <xf numFmtId="3" fontId="49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50" fillId="0" borderId="20" xfId="0" applyFont="1" applyBorder="1" applyAlignment="1">
      <alignment vertical="center" wrapText="1"/>
    </xf>
    <xf numFmtId="0" fontId="51" fillId="0" borderId="20" xfId="0" applyFont="1" applyBorder="1" applyAlignment="1">
      <alignment vertical="center" wrapText="1"/>
    </xf>
    <xf numFmtId="0" fontId="0" fillId="0" borderId="1" xfId="0" applyFill="1" applyBorder="1"/>
    <xf numFmtId="0" fontId="44" fillId="0" borderId="22" xfId="0" applyFont="1" applyBorder="1" applyAlignment="1">
      <alignment vertical="center" wrapText="1"/>
    </xf>
    <xf numFmtId="0" fontId="52" fillId="0" borderId="21" xfId="0" applyFont="1" applyBorder="1" applyAlignment="1">
      <alignment vertical="center" wrapText="1"/>
    </xf>
    <xf numFmtId="0" fontId="52" fillId="0" borderId="22" xfId="0" applyFont="1" applyBorder="1" applyAlignment="1">
      <alignment vertical="center" wrapText="1"/>
    </xf>
    <xf numFmtId="0" fontId="52" fillId="0" borderId="0" xfId="0" applyFont="1" applyFill="1" applyBorder="1" applyAlignment="1">
      <alignment vertical="center" wrapText="1"/>
    </xf>
    <xf numFmtId="0" fontId="37" fillId="0" borderId="0" xfId="0" applyFont="1" applyFill="1" applyBorder="1"/>
    <xf numFmtId="0" fontId="8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1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28" fillId="0" borderId="20" xfId="0" applyFont="1" applyBorder="1" applyAlignment="1">
      <alignment vertical="center"/>
    </xf>
    <xf numFmtId="0" fontId="28" fillId="0" borderId="20" xfId="0" applyFont="1" applyBorder="1" applyAlignment="1">
      <alignment horizontal="right" vertical="center"/>
    </xf>
    <xf numFmtId="1" fontId="4" fillId="10" borderId="1" xfId="0" applyNumberFormat="1" applyFont="1" applyFill="1" applyBorder="1" applyAlignment="1">
      <alignment horizontal="right" vertical="center"/>
    </xf>
    <xf numFmtId="0" fontId="0" fillId="0" borderId="3" xfId="0" applyFont="1" applyFill="1" applyBorder="1" applyAlignment="1">
      <alignment horizontal="center" vertical="center"/>
    </xf>
    <xf numFmtId="0" fontId="19" fillId="0" borderId="1" xfId="0" applyFont="1" applyFill="1" applyBorder="1"/>
    <xf numFmtId="0" fontId="19" fillId="0" borderId="0" xfId="0" applyFont="1" applyFill="1" applyBorder="1"/>
    <xf numFmtId="0" fontId="53" fillId="0" borderId="0" xfId="0" applyFont="1" applyBorder="1"/>
    <xf numFmtId="0" fontId="37" fillId="0" borderId="1" xfId="0" applyFont="1" applyFill="1" applyBorder="1"/>
    <xf numFmtId="0" fontId="0" fillId="0" borderId="0" xfId="0" applyAlignment="1">
      <alignment wrapText="1"/>
    </xf>
    <xf numFmtId="0" fontId="54" fillId="0" borderId="0" xfId="0" applyFont="1" applyBorder="1"/>
    <xf numFmtId="0" fontId="0" fillId="0" borderId="4" xfId="0" applyFont="1" applyBorder="1"/>
    <xf numFmtId="0" fontId="37" fillId="0" borderId="1" xfId="0" applyFont="1" applyBorder="1"/>
    <xf numFmtId="4" fontId="0" fillId="0" borderId="0" xfId="0" applyNumberFormat="1" applyBorder="1"/>
    <xf numFmtId="0" fontId="37" fillId="0" borderId="2" xfId="0" applyFont="1" applyFill="1" applyBorder="1"/>
    <xf numFmtId="169" fontId="47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14" borderId="1" xfId="0" applyFill="1" applyBorder="1"/>
    <xf numFmtId="0" fontId="0" fillId="14" borderId="1" xfId="0" applyFill="1" applyBorder="1" applyAlignment="1">
      <alignment horizontal="right"/>
    </xf>
    <xf numFmtId="169" fontId="47" fillId="14" borderId="1" xfId="1" applyNumberFormat="1" applyFont="1" applyFill="1" applyBorder="1" applyAlignment="1">
      <alignment horizontal="right" vertical="center"/>
    </xf>
    <xf numFmtId="0" fontId="0" fillId="14" borderId="1" xfId="0" applyFill="1" applyBorder="1" applyAlignment="1">
      <alignment horizontal="center"/>
    </xf>
    <xf numFmtId="0" fontId="56" fillId="0" borderId="0" xfId="0" applyFont="1"/>
    <xf numFmtId="0" fontId="0" fillId="0" borderId="1" xfId="0" applyBorder="1" applyAlignment="1">
      <alignment horizontal="center" vertical="center"/>
    </xf>
    <xf numFmtId="169" fontId="20" fillId="0" borderId="1" xfId="1" applyNumberFormat="1" applyFont="1" applyBorder="1" applyAlignment="1">
      <alignment horizontal="right" vertical="center"/>
    </xf>
    <xf numFmtId="3" fontId="20" fillId="0" borderId="1" xfId="0" applyNumberFormat="1" applyFont="1" applyBorder="1" applyAlignment="1">
      <alignment horizontal="right" vertical="center"/>
    </xf>
    <xf numFmtId="0" fontId="40" fillId="0" borderId="1" xfId="0" applyFont="1" applyBorder="1"/>
    <xf numFmtId="0" fontId="57" fillId="0" borderId="1" xfId="0" applyFont="1" applyBorder="1"/>
    <xf numFmtId="0" fontId="0" fillId="0" borderId="0" xfId="0" applyFill="1" applyBorder="1" applyAlignment="1">
      <alignment horizontal="right"/>
    </xf>
    <xf numFmtId="0" fontId="0" fillId="0" borderId="1" xfId="0" applyBorder="1" applyAlignment="1">
      <alignment horizontal="center" wrapText="1"/>
    </xf>
    <xf numFmtId="0" fontId="53" fillId="0" borderId="1" xfId="0" applyFont="1" applyBorder="1"/>
    <xf numFmtId="0" fontId="53" fillId="0" borderId="1" xfId="0" applyFont="1" applyBorder="1" applyAlignment="1">
      <alignment wrapText="1"/>
    </xf>
    <xf numFmtId="0" fontId="55" fillId="0" borderId="1" xfId="0" applyFont="1" applyBorder="1"/>
    <xf numFmtId="0" fontId="0" fillId="14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0" fontId="58" fillId="0" borderId="1" xfId="0" applyFont="1" applyBorder="1"/>
    <xf numFmtId="0" fontId="50" fillId="0" borderId="1" xfId="0" applyFont="1" applyBorder="1"/>
    <xf numFmtId="1" fontId="19" fillId="0" borderId="1" xfId="0" applyNumberFormat="1" applyFont="1" applyBorder="1"/>
    <xf numFmtId="0" fontId="18" fillId="0" borderId="1" xfId="0" applyFont="1" applyFill="1" applyBorder="1" applyAlignment="1">
      <alignment wrapText="1"/>
    </xf>
    <xf numFmtId="3" fontId="3" fillId="0" borderId="1" xfId="0" applyNumberFormat="1" applyFont="1" applyBorder="1" applyAlignment="1">
      <alignment horizontal="right" vertical="center"/>
    </xf>
    <xf numFmtId="0" fontId="36" fillId="0" borderId="0" xfId="0" applyFont="1"/>
    <xf numFmtId="3" fontId="41" fillId="0" borderId="1" xfId="0" applyNumberFormat="1" applyFont="1" applyBorder="1" applyAlignment="1">
      <alignment horizontal="right" vertical="center"/>
    </xf>
    <xf numFmtId="0" fontId="0" fillId="0" borderId="4" xfId="0" applyBorder="1"/>
    <xf numFmtId="0" fontId="0" fillId="0" borderId="4" xfId="0" applyFill="1" applyBorder="1"/>
    <xf numFmtId="3" fontId="30" fillId="0" borderId="1" xfId="0" applyNumberFormat="1" applyFont="1" applyBorder="1"/>
    <xf numFmtId="3" fontId="19" fillId="0" borderId="1" xfId="0" applyNumberFormat="1" applyFont="1" applyBorder="1"/>
    <xf numFmtId="4" fontId="9" fillId="0" borderId="0" xfId="0" applyNumberFormat="1" applyFont="1" applyBorder="1"/>
    <xf numFmtId="0" fontId="50" fillId="0" borderId="0" xfId="0" applyFont="1"/>
    <xf numFmtId="0" fontId="50" fillId="0" borderId="0" xfId="0" applyFont="1" applyAlignment="1">
      <alignment horizontal="right"/>
    </xf>
    <xf numFmtId="170" fontId="61" fillId="17" borderId="1" xfId="0" applyNumberFormat="1" applyFont="1" applyFill="1" applyBorder="1" applyAlignment="1">
      <alignment vertical="center" wrapText="1"/>
    </xf>
    <xf numFmtId="0" fontId="61" fillId="17" borderId="1" xfId="0" applyFont="1" applyFill="1" applyBorder="1" applyAlignment="1">
      <alignment vertical="center" wrapText="1"/>
    </xf>
    <xf numFmtId="0" fontId="51" fillId="0" borderId="1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right" vertical="center" wrapText="1"/>
    </xf>
    <xf numFmtId="1" fontId="51" fillId="0" borderId="1" xfId="0" applyNumberFormat="1" applyFont="1" applyBorder="1" applyAlignment="1">
      <alignment horizontal="center" vertical="center" wrapText="1"/>
    </xf>
    <xf numFmtId="1" fontId="62" fillId="0" borderId="1" xfId="0" applyNumberFormat="1" applyFont="1" applyBorder="1" applyAlignment="1">
      <alignment horizontal="center" vertical="center" wrapText="1"/>
    </xf>
    <xf numFmtId="170" fontId="61" fillId="17" borderId="25" xfId="0" applyNumberFormat="1" applyFont="1" applyFill="1" applyBorder="1" applyAlignment="1">
      <alignment vertical="center" wrapText="1"/>
    </xf>
    <xf numFmtId="0" fontId="61" fillId="17" borderId="26" xfId="0" applyFont="1" applyFill="1" applyBorder="1" applyAlignment="1">
      <alignment vertical="center" wrapText="1"/>
    </xf>
    <xf numFmtId="0" fontId="19" fillId="3" borderId="0" xfId="0" applyFont="1" applyFill="1"/>
    <xf numFmtId="0" fontId="5" fillId="6" borderId="1" xfId="0" applyFont="1" applyFill="1" applyBorder="1"/>
    <xf numFmtId="0" fontId="6" fillId="14" borderId="1" xfId="0" applyFont="1" applyFill="1" applyBorder="1"/>
    <xf numFmtId="0" fontId="6" fillId="14" borderId="1" xfId="0" applyFont="1" applyFill="1" applyBorder="1" applyAlignment="1">
      <alignment horizontal="left"/>
    </xf>
    <xf numFmtId="16" fontId="6" fillId="14" borderId="1" xfId="0" applyNumberFormat="1" applyFont="1" applyFill="1" applyBorder="1"/>
    <xf numFmtId="0" fontId="6" fillId="12" borderId="1" xfId="0" applyFont="1" applyFill="1" applyBorder="1" applyAlignment="1">
      <alignment horizontal="left"/>
    </xf>
    <xf numFmtId="16" fontId="6" fillId="12" borderId="1" xfId="0" applyNumberFormat="1" applyFont="1" applyFill="1" applyBorder="1"/>
    <xf numFmtId="0" fontId="6" fillId="12" borderId="1" xfId="0" applyFont="1" applyFill="1" applyBorder="1" applyAlignment="1">
      <alignment horizontal="left" wrapText="1"/>
    </xf>
    <xf numFmtId="0" fontId="6" fillId="14" borderId="1" xfId="0" applyFont="1" applyFill="1" applyBorder="1" applyAlignment="1">
      <alignment horizontal="right"/>
    </xf>
    <xf numFmtId="0" fontId="6" fillId="12" borderId="1" xfId="0" applyFont="1" applyFill="1" applyBorder="1" applyAlignment="1">
      <alignment horizontal="right"/>
    </xf>
    <xf numFmtId="0" fontId="18" fillId="0" borderId="1" xfId="0" applyFont="1" applyFill="1" applyBorder="1"/>
    <xf numFmtId="1" fontId="9" fillId="0" borderId="1" xfId="0" applyNumberFormat="1" applyFont="1" applyBorder="1"/>
    <xf numFmtId="0" fontId="9" fillId="0" borderId="2" xfId="0" applyFont="1" applyFill="1" applyBorder="1" applyAlignment="1">
      <alignment vertical="center"/>
    </xf>
    <xf numFmtId="0" fontId="19" fillId="12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 wrapText="1"/>
    </xf>
    <xf numFmtId="0" fontId="3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49" fillId="0" borderId="1" xfId="0" applyFont="1" applyBorder="1" applyAlignment="1">
      <alignment vertical="center" wrapText="1"/>
    </xf>
    <xf numFmtId="0" fontId="63" fillId="0" borderId="1" xfId="0" applyFont="1" applyBorder="1" applyAlignment="1">
      <alignment vertical="center" wrapText="1"/>
    </xf>
    <xf numFmtId="0" fontId="64" fillId="0" borderId="1" xfId="0" applyFont="1" applyBorder="1" applyAlignment="1">
      <alignment vertical="center" wrapText="1"/>
    </xf>
    <xf numFmtId="0" fontId="32" fillId="0" borderId="1" xfId="0" applyFont="1" applyBorder="1"/>
    <xf numFmtId="0" fontId="41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30" fillId="0" borderId="1" xfId="0" applyFont="1" applyBorder="1" applyAlignment="1">
      <alignment wrapText="1"/>
    </xf>
    <xf numFmtId="3" fontId="19" fillId="0" borderId="0" xfId="0" applyNumberFormat="1" applyFont="1" applyBorder="1"/>
    <xf numFmtId="0" fontId="30" fillId="0" borderId="0" xfId="0" applyFont="1" applyFill="1" applyBorder="1"/>
    <xf numFmtId="0" fontId="19" fillId="0" borderId="0" xfId="0" applyFont="1" applyBorder="1" applyAlignment="1">
      <alignment horizontal="center"/>
    </xf>
    <xf numFmtId="0" fontId="63" fillId="0" borderId="1" xfId="0" applyFont="1" applyBorder="1" applyAlignment="1">
      <alignment vertical="center"/>
    </xf>
    <xf numFmtId="0" fontId="49" fillId="0" borderId="1" xfId="0" applyFont="1" applyBorder="1" applyAlignment="1">
      <alignment horizontal="right" vertical="center"/>
    </xf>
    <xf numFmtId="3" fontId="49" fillId="0" borderId="1" xfId="0" applyNumberFormat="1" applyFont="1" applyBorder="1" applyAlignment="1">
      <alignment horizontal="right" vertical="center"/>
    </xf>
    <xf numFmtId="4" fontId="49" fillId="0" borderId="1" xfId="0" applyNumberFormat="1" applyFont="1" applyBorder="1" applyAlignment="1">
      <alignment horizontal="right" vertical="center"/>
    </xf>
    <xf numFmtId="0" fontId="49" fillId="0" borderId="1" xfId="0" applyFont="1" applyBorder="1" applyAlignment="1">
      <alignment vertical="center"/>
    </xf>
    <xf numFmtId="4" fontId="63" fillId="0" borderId="1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0" fontId="38" fillId="0" borderId="1" xfId="0" applyFont="1" applyBorder="1" applyAlignment="1">
      <alignment vertical="center"/>
    </xf>
    <xf numFmtId="3" fontId="0" fillId="0" borderId="1" xfId="0" applyNumberFormat="1" applyFont="1" applyBorder="1" applyAlignment="1">
      <alignment horizontal="right" vertical="center"/>
    </xf>
    <xf numFmtId="4" fontId="0" fillId="0" borderId="1" xfId="0" applyNumberFormat="1" applyFont="1" applyBorder="1" applyAlignment="1">
      <alignment horizontal="right" vertical="center"/>
    </xf>
    <xf numFmtId="43" fontId="19" fillId="0" borderId="1" xfId="1" applyFont="1" applyBorder="1"/>
    <xf numFmtId="43" fontId="0" fillId="0" borderId="0" xfId="0" applyNumberFormat="1"/>
    <xf numFmtId="0" fontId="0" fillId="0" borderId="1" xfId="0" applyFont="1" applyBorder="1" applyAlignment="1">
      <alignment horizontal="right" vertical="center" wrapText="1"/>
    </xf>
    <xf numFmtId="0" fontId="39" fillId="8" borderId="1" xfId="0" applyFont="1" applyFill="1" applyBorder="1" applyAlignment="1">
      <alignment horizontal="center" vertical="center"/>
    </xf>
    <xf numFmtId="0" fontId="39" fillId="8" borderId="1" xfId="0" applyFont="1" applyFill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0" fontId="39" fillId="8" borderId="1" xfId="0" applyFont="1" applyFill="1" applyBorder="1" applyAlignment="1">
      <alignment horizontal="right" vertical="center"/>
    </xf>
    <xf numFmtId="0" fontId="39" fillId="8" borderId="1" xfId="0" applyFont="1" applyFill="1" applyBorder="1" applyAlignment="1">
      <alignment horizontal="right" vertical="center" wrapText="1"/>
    </xf>
    <xf numFmtId="0" fontId="0" fillId="8" borderId="1" xfId="0" applyFont="1" applyFill="1" applyBorder="1"/>
    <xf numFmtId="0" fontId="67" fillId="0" borderId="0" xfId="0" applyFont="1"/>
    <xf numFmtId="0" fontId="68" fillId="0" borderId="0" xfId="0" applyFont="1"/>
    <xf numFmtId="49" fontId="67" fillId="0" borderId="1" xfId="0" applyNumberFormat="1" applyFont="1" applyBorder="1" applyAlignment="1">
      <alignment horizontal="left" vertical="top"/>
    </xf>
    <xf numFmtId="172" fontId="67" fillId="0" borderId="1" xfId="0" applyNumberFormat="1" applyFont="1" applyBorder="1" applyAlignment="1">
      <alignment horizontal="left" vertical="top"/>
    </xf>
    <xf numFmtId="1" fontId="67" fillId="0" borderId="1" xfId="0" applyNumberFormat="1" applyFont="1" applyBorder="1" applyAlignment="1">
      <alignment horizontal="center" vertical="top"/>
    </xf>
    <xf numFmtId="49" fontId="67" fillId="0" borderId="1" xfId="0" applyNumberFormat="1" applyFont="1" applyBorder="1" applyAlignment="1">
      <alignment horizontal="center" vertical="top"/>
    </xf>
    <xf numFmtId="4" fontId="67" fillId="0" borderId="1" xfId="0" applyNumberFormat="1" applyFont="1" applyBorder="1" applyAlignment="1">
      <alignment horizontal="right" vertical="top"/>
    </xf>
    <xf numFmtId="3" fontId="67" fillId="0" borderId="1" xfId="0" applyNumberFormat="1" applyFont="1" applyBorder="1" applyAlignment="1">
      <alignment horizontal="left" vertical="top"/>
    </xf>
    <xf numFmtId="3" fontId="67" fillId="3" borderId="1" xfId="0" applyNumberFormat="1" applyFont="1" applyFill="1" applyBorder="1" applyAlignment="1">
      <alignment horizontal="left" vertical="top"/>
    </xf>
    <xf numFmtId="49" fontId="68" fillId="0" borderId="1" xfId="0" applyNumberFormat="1" applyFont="1" applyBorder="1" applyAlignment="1">
      <alignment horizontal="left" vertical="top"/>
    </xf>
    <xf numFmtId="172" fontId="68" fillId="0" borderId="1" xfId="0" applyNumberFormat="1" applyFont="1" applyBorder="1" applyAlignment="1">
      <alignment horizontal="left" vertical="top"/>
    </xf>
    <xf numFmtId="1" fontId="68" fillId="0" borderId="1" xfId="0" applyNumberFormat="1" applyFont="1" applyBorder="1" applyAlignment="1">
      <alignment horizontal="center" vertical="top"/>
    </xf>
    <xf numFmtId="49" fontId="68" fillId="0" borderId="1" xfId="0" applyNumberFormat="1" applyFont="1" applyBorder="1" applyAlignment="1">
      <alignment horizontal="center" vertical="top"/>
    </xf>
    <xf numFmtId="4" fontId="68" fillId="0" borderId="1" xfId="0" applyNumberFormat="1" applyFont="1" applyBorder="1" applyAlignment="1">
      <alignment horizontal="right" vertical="top"/>
    </xf>
    <xf numFmtId="3" fontId="68" fillId="0" borderId="1" xfId="0" applyNumberFormat="1" applyFont="1" applyBorder="1" applyAlignment="1">
      <alignment horizontal="left" vertical="top"/>
    </xf>
    <xf numFmtId="49" fontId="69" fillId="0" borderId="1" xfId="0" applyNumberFormat="1" applyFont="1" applyBorder="1" applyAlignment="1">
      <alignment horizontal="left" vertical="top"/>
    </xf>
    <xf numFmtId="0" fontId="0" fillId="0" borderId="2" xfId="0" applyFill="1" applyBorder="1"/>
    <xf numFmtId="43" fontId="0" fillId="0" borderId="1" xfId="1" applyFont="1" applyBorder="1" applyAlignment="1"/>
    <xf numFmtId="43" fontId="0" fillId="0" borderId="1" xfId="1" applyFont="1" applyBorder="1"/>
    <xf numFmtId="169" fontId="0" fillId="0" borderId="1" xfId="1" applyNumberFormat="1" applyFont="1" applyBorder="1" applyAlignment="1">
      <alignment horizontal="right"/>
    </xf>
    <xf numFmtId="3" fontId="30" fillId="0" borderId="1" xfId="0" applyNumberFormat="1" applyFont="1" applyFill="1" applyBorder="1" applyAlignment="1"/>
    <xf numFmtId="0" fontId="30" fillId="0" borderId="1" xfId="0" applyFont="1" applyFill="1" applyBorder="1" applyAlignment="1">
      <alignment horizontal="right"/>
    </xf>
    <xf numFmtId="164" fontId="30" fillId="0" borderId="1" xfId="0" applyNumberFormat="1" applyFont="1" applyFill="1" applyBorder="1" applyAlignment="1">
      <alignment vertical="center"/>
    </xf>
    <xf numFmtId="2" fontId="6" fillId="0" borderId="1" xfId="0" applyNumberFormat="1" applyFont="1" applyFill="1" applyBorder="1"/>
    <xf numFmtId="43" fontId="19" fillId="0" borderId="0" xfId="1" applyFont="1" applyBorder="1"/>
    <xf numFmtId="43" fontId="0" fillId="0" borderId="0" xfId="0" applyNumberFormat="1" applyBorder="1"/>
    <xf numFmtId="43" fontId="6" fillId="0" borderId="0" xfId="0" applyNumberFormat="1" applyFont="1"/>
    <xf numFmtId="0" fontId="9" fillId="0" borderId="1" xfId="0" applyFont="1" applyFill="1" applyBorder="1" applyAlignment="1"/>
    <xf numFmtId="0" fontId="9" fillId="0" borderId="0" xfId="0" applyFont="1" applyBorder="1"/>
    <xf numFmtId="0" fontId="0" fillId="16" borderId="1" xfId="0" applyFill="1" applyBorder="1"/>
    <xf numFmtId="0" fontId="0" fillId="16" borderId="0" xfId="0" applyFill="1"/>
    <xf numFmtId="43" fontId="0" fillId="16" borderId="0" xfId="0" applyNumberFormat="1" applyFill="1"/>
    <xf numFmtId="0" fontId="0" fillId="16" borderId="0" xfId="0" applyFill="1" applyBorder="1"/>
    <xf numFmtId="0" fontId="0" fillId="16" borderId="1" xfId="0" applyFill="1" applyBorder="1" applyAlignment="1">
      <alignment horizontal="left" vertical="center"/>
    </xf>
    <xf numFmtId="0" fontId="42" fillId="0" borderId="0" xfId="0" applyFont="1" applyBorder="1"/>
    <xf numFmtId="0" fontId="0" fillId="16" borderId="3" xfId="0" applyFill="1" applyBorder="1" applyAlignment="1">
      <alignment horizontal="left" vertical="center"/>
    </xf>
    <xf numFmtId="0" fontId="9" fillId="16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right"/>
    </xf>
    <xf numFmtId="0" fontId="30" fillId="16" borderId="1" xfId="0" applyFont="1" applyFill="1" applyBorder="1" applyAlignment="1">
      <alignment vertical="center" wrapText="1"/>
    </xf>
    <xf numFmtId="0" fontId="30" fillId="16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7" borderId="1" xfId="0" applyFont="1" applyFill="1" applyBorder="1"/>
    <xf numFmtId="0" fontId="0" fillId="7" borderId="0" xfId="0" applyFill="1"/>
    <xf numFmtId="0" fontId="30" fillId="7" borderId="1" xfId="0" applyFont="1" applyFill="1" applyBorder="1" applyAlignment="1">
      <alignment vertical="center"/>
    </xf>
    <xf numFmtId="0" fontId="6" fillId="0" borderId="1" xfId="0" applyFont="1" applyFill="1" applyBorder="1" applyAlignment="1"/>
    <xf numFmtId="0" fontId="28" fillId="0" borderId="1" xfId="0" applyFont="1" applyBorder="1" applyAlignment="1">
      <alignment horizontal="right" vertical="center" wrapText="1"/>
    </xf>
    <xf numFmtId="0" fontId="46" fillId="0" borderId="1" xfId="0" applyFont="1" applyBorder="1" applyAlignment="1">
      <alignment vertical="center"/>
    </xf>
    <xf numFmtId="0" fontId="0" fillId="0" borderId="1" xfId="0" applyFont="1" applyBorder="1" applyAlignment="1">
      <alignment horizontal="right" vertical="center" wrapText="1"/>
    </xf>
    <xf numFmtId="0" fontId="39" fillId="0" borderId="1" xfId="0" applyFont="1" applyBorder="1" applyAlignment="1">
      <alignment horizontal="right" vertical="center" wrapText="1"/>
    </xf>
    <xf numFmtId="0" fontId="39" fillId="0" borderId="1" xfId="0" applyFont="1" applyFill="1" applyBorder="1" applyAlignment="1">
      <alignment horizontal="right" vertical="center" wrapText="1"/>
    </xf>
    <xf numFmtId="0" fontId="19" fillId="1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39" fillId="0" borderId="0" xfId="0" applyFont="1" applyFill="1" applyBorder="1" applyAlignment="1">
      <alignment vertical="center"/>
    </xf>
    <xf numFmtId="0" fontId="32" fillId="0" borderId="0" xfId="0" applyFont="1" applyFill="1" applyBorder="1"/>
    <xf numFmtId="0" fontId="30" fillId="0" borderId="0" xfId="0" applyFont="1" applyBorder="1" applyAlignment="1">
      <alignment wrapText="1"/>
    </xf>
    <xf numFmtId="0" fontId="30" fillId="0" borderId="0" xfId="0" applyFont="1" applyBorder="1"/>
    <xf numFmtId="0" fontId="39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right" vertical="center"/>
    </xf>
    <xf numFmtId="0" fontId="39" fillId="0" borderId="0" xfId="0" applyFont="1" applyFill="1" applyBorder="1" applyAlignment="1">
      <alignment horizontal="righ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right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right" vertical="center"/>
    </xf>
    <xf numFmtId="0" fontId="7" fillId="8" borderId="1" xfId="0" applyFont="1" applyFill="1" applyBorder="1" applyAlignment="1">
      <alignment horizontal="right" vertical="center" wrapText="1"/>
    </xf>
    <xf numFmtId="0" fontId="6" fillId="8" borderId="1" xfId="0" applyFont="1" applyFill="1" applyBorder="1"/>
    <xf numFmtId="0" fontId="7" fillId="0" borderId="1" xfId="0" applyFont="1" applyFill="1" applyBorder="1" applyAlignment="1">
      <alignment horizontal="center" vertical="center" wrapText="1"/>
    </xf>
    <xf numFmtId="0" fontId="71" fillId="0" borderId="1" xfId="0" applyFont="1" applyBorder="1"/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  <xf numFmtId="173" fontId="34" fillId="0" borderId="1" xfId="1" applyNumberFormat="1" applyFont="1" applyBorder="1" applyAlignment="1">
      <alignment horizontal="right" vertical="center"/>
    </xf>
    <xf numFmtId="171" fontId="7" fillId="0" borderId="3" xfId="0" applyNumberFormat="1" applyFont="1" applyFill="1" applyBorder="1" applyAlignment="1">
      <alignment horizontal="right" vertical="center"/>
    </xf>
    <xf numFmtId="0" fontId="72" fillId="0" borderId="1" xfId="0" applyFont="1" applyFill="1" applyBorder="1" applyAlignment="1">
      <alignment vertical="center"/>
    </xf>
    <xf numFmtId="0" fontId="72" fillId="0" borderId="1" xfId="0" applyFont="1" applyFill="1" applyBorder="1" applyAlignment="1">
      <alignment vertical="center" wrapText="1"/>
    </xf>
    <xf numFmtId="0" fontId="73" fillId="0" borderId="0" xfId="0" applyFont="1"/>
    <xf numFmtId="0" fontId="71" fillId="0" borderId="0" xfId="0" applyFont="1"/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center" vertical="center" wrapText="1"/>
    </xf>
    <xf numFmtId="0" fontId="34" fillId="0" borderId="0" xfId="0" applyFont="1" applyBorder="1" applyAlignment="1">
      <alignment vertical="center" wrapText="1"/>
    </xf>
    <xf numFmtId="0" fontId="34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vertical="center" wrapText="1"/>
    </xf>
    <xf numFmtId="0" fontId="25" fillId="0" borderId="0" xfId="0" applyFont="1" applyBorder="1" applyAlignment="1">
      <alignment horizontal="center" vertical="center" wrapText="1"/>
    </xf>
    <xf numFmtId="0" fontId="34" fillId="0" borderId="0" xfId="0" applyFont="1" applyBorder="1" applyAlignment="1">
      <alignment vertical="center"/>
    </xf>
    <xf numFmtId="0" fontId="72" fillId="0" borderId="3" xfId="0" applyFont="1" applyFill="1" applyBorder="1" applyAlignment="1">
      <alignment vertical="center" wrapText="1"/>
    </xf>
    <xf numFmtId="0" fontId="0" fillId="0" borderId="3" xfId="0" applyBorder="1"/>
    <xf numFmtId="0" fontId="8" fillId="0" borderId="1" xfId="0" applyFont="1" applyFill="1" applyBorder="1" applyAlignment="1">
      <alignment horizontal="left" vertical="center" wrapText="1"/>
    </xf>
    <xf numFmtId="173" fontId="6" fillId="0" borderId="0" xfId="0" applyNumberFormat="1" applyFont="1"/>
    <xf numFmtId="4" fontId="7" fillId="0" borderId="3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/>
    </xf>
    <xf numFmtId="173" fontId="0" fillId="0" borderId="0" xfId="0" applyNumberFormat="1"/>
    <xf numFmtId="4" fontId="7" fillId="0" borderId="5" xfId="0" applyNumberFormat="1" applyFont="1" applyFill="1" applyBorder="1" applyAlignment="1">
      <alignment horizontal="right" vertical="center" wrapText="1"/>
    </xf>
    <xf numFmtId="4" fontId="7" fillId="0" borderId="1" xfId="0" applyNumberFormat="1" applyFont="1" applyFill="1" applyBorder="1" applyAlignment="1">
      <alignment horizontal="right" vertical="center" wrapText="1"/>
    </xf>
    <xf numFmtId="173" fontId="34" fillId="0" borderId="1" xfId="1" applyNumberFormat="1" applyFont="1" applyFill="1" applyBorder="1" applyAlignment="1">
      <alignment horizontal="right" vertical="center"/>
    </xf>
    <xf numFmtId="173" fontId="7" fillId="0" borderId="1" xfId="1" applyNumberFormat="1" applyFont="1" applyFill="1" applyBorder="1" applyAlignment="1">
      <alignment horizontal="right" vertical="center"/>
    </xf>
    <xf numFmtId="43" fontId="7" fillId="0" borderId="1" xfId="1" applyNumberFormat="1" applyFont="1" applyFill="1" applyBorder="1" applyAlignment="1">
      <alignment horizontal="right" vertical="center" wrapText="1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0" fontId="34" fillId="18" borderId="1" xfId="0" applyFont="1" applyFill="1" applyBorder="1" applyAlignment="1">
      <alignment vertical="center"/>
    </xf>
    <xf numFmtId="0" fontId="34" fillId="18" borderId="1" xfId="0" applyFont="1" applyFill="1" applyBorder="1" applyAlignment="1">
      <alignment vertical="center" wrapText="1"/>
    </xf>
    <xf numFmtId="0" fontId="74" fillId="0" borderId="1" xfId="0" applyFont="1" applyBorder="1" applyAlignment="1">
      <alignment vertical="center" wrapText="1"/>
    </xf>
    <xf numFmtId="0" fontId="74" fillId="18" borderId="1" xfId="0" applyFont="1" applyFill="1" applyBorder="1" applyAlignment="1">
      <alignment vertical="center" wrapText="1"/>
    </xf>
    <xf numFmtId="0" fontId="42" fillId="0" borderId="1" xfId="0" applyFont="1" applyBorder="1"/>
    <xf numFmtId="1" fontId="9" fillId="0" borderId="1" xfId="0" applyNumberFormat="1" applyFont="1" applyFill="1" applyBorder="1"/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wrapText="1"/>
    </xf>
    <xf numFmtId="1" fontId="9" fillId="0" borderId="0" xfId="0" applyNumberFormat="1" applyFont="1" applyBorder="1"/>
    <xf numFmtId="1" fontId="18" fillId="0" borderId="0" xfId="0" applyNumberFormat="1" applyFont="1" applyBorder="1"/>
    <xf numFmtId="169" fontId="30" fillId="0" borderId="1" xfId="1" applyNumberFormat="1" applyFont="1" applyBorder="1"/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0" fontId="0" fillId="0" borderId="1" xfId="0" applyFont="1" applyBorder="1" applyAlignment="1">
      <alignment horizontal="right" vertical="center" wrapText="1"/>
    </xf>
    <xf numFmtId="0" fontId="46" fillId="0" borderId="1" xfId="0" applyFont="1" applyBorder="1" applyAlignment="1">
      <alignment vertical="center"/>
    </xf>
    <xf numFmtId="0" fontId="19" fillId="12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right" vertical="center" wrapText="1"/>
    </xf>
    <xf numFmtId="0" fontId="39" fillId="0" borderId="1" xfId="0" applyFont="1" applyBorder="1" applyAlignment="1">
      <alignment horizontal="right" vertical="center" wrapText="1"/>
    </xf>
    <xf numFmtId="0" fontId="28" fillId="0" borderId="1" xfId="0" applyFont="1" applyBorder="1" applyAlignment="1">
      <alignment horizontal="right" vertical="center" wrapText="1"/>
    </xf>
    <xf numFmtId="0" fontId="0" fillId="0" borderId="1" xfId="0" applyFont="1" applyBorder="1" applyAlignment="1">
      <alignment vertical="center" wrapText="1"/>
    </xf>
    <xf numFmtId="0" fontId="75" fillId="0" borderId="0" xfId="0" applyFont="1"/>
    <xf numFmtId="3" fontId="7" fillId="0" borderId="1" xfId="0" applyNumberFormat="1" applyFont="1" applyFill="1" applyBorder="1" applyAlignment="1">
      <alignment horizontal="right" vertical="center" wrapText="1"/>
    </xf>
    <xf numFmtId="3" fontId="7" fillId="0" borderId="3" xfId="0" applyNumberFormat="1" applyFont="1" applyFill="1" applyBorder="1" applyAlignment="1">
      <alignment horizontal="right" vertical="center"/>
    </xf>
    <xf numFmtId="173" fontId="7" fillId="0" borderId="1" xfId="1" applyNumberFormat="1" applyFont="1" applyFill="1" applyBorder="1" applyAlignment="1">
      <alignment horizontal="right" vertical="center" wrapText="1"/>
    </xf>
    <xf numFmtId="3" fontId="7" fillId="0" borderId="1" xfId="0" applyNumberFormat="1" applyFont="1" applyFill="1" applyBorder="1" applyAlignment="1">
      <alignment horizontal="right" vertical="center"/>
    </xf>
    <xf numFmtId="0" fontId="7" fillId="0" borderId="5" xfId="0" applyFont="1" applyFill="1" applyBorder="1" applyAlignment="1">
      <alignment horizontal="right" vertical="center" wrapText="1"/>
    </xf>
    <xf numFmtId="174" fontId="0" fillId="0" borderId="0" xfId="0" applyNumberFormat="1"/>
    <xf numFmtId="0" fontId="76" fillId="19" borderId="0" xfId="0" applyFont="1" applyFill="1"/>
    <xf numFmtId="169" fontId="34" fillId="0" borderId="1" xfId="1" applyNumberFormat="1" applyFont="1" applyBorder="1" applyAlignment="1">
      <alignment horizontal="right" vertical="center"/>
    </xf>
    <xf numFmtId="3" fontId="7" fillId="0" borderId="1" xfId="1" applyNumberFormat="1" applyFont="1" applyFill="1" applyBorder="1" applyAlignment="1">
      <alignment horizontal="right" vertical="center" wrapText="1"/>
    </xf>
    <xf numFmtId="3" fontId="7" fillId="0" borderId="5" xfId="1" applyNumberFormat="1" applyFont="1" applyFill="1" applyBorder="1" applyAlignment="1">
      <alignment horizontal="right" vertical="center" wrapText="1"/>
    </xf>
    <xf numFmtId="3" fontId="7" fillId="0" borderId="5" xfId="0" applyNumberFormat="1" applyFont="1" applyFill="1" applyBorder="1" applyAlignment="1">
      <alignment horizontal="right" vertical="center" wrapText="1"/>
    </xf>
    <xf numFmtId="0" fontId="77" fillId="0" borderId="0" xfId="0" applyFont="1" applyFill="1"/>
    <xf numFmtId="0" fontId="7" fillId="19" borderId="1" xfId="0" applyFont="1" applyFill="1" applyBorder="1" applyAlignment="1">
      <alignment horizontal="center" vertical="center"/>
    </xf>
    <xf numFmtId="169" fontId="0" fillId="0" borderId="0" xfId="0" applyNumberFormat="1"/>
    <xf numFmtId="0" fontId="72" fillId="0" borderId="1" xfId="0" applyFont="1" applyBorder="1" applyAlignment="1">
      <alignment vertical="center"/>
    </xf>
    <xf numFmtId="0" fontId="72" fillId="0" borderId="1" xfId="0" applyFont="1" applyBorder="1" applyAlignment="1">
      <alignment vertical="center" wrapText="1"/>
    </xf>
    <xf numFmtId="0" fontId="72" fillId="18" borderId="1" xfId="0" applyFont="1" applyFill="1" applyBorder="1" applyAlignment="1">
      <alignment vertical="center"/>
    </xf>
    <xf numFmtId="0" fontId="72" fillId="18" borderId="1" xfId="0" applyFont="1" applyFill="1" applyBorder="1" applyAlignment="1">
      <alignment vertical="center" wrapText="1"/>
    </xf>
    <xf numFmtId="0" fontId="61" fillId="17" borderId="27" xfId="0" applyFont="1" applyFill="1" applyBorder="1" applyAlignment="1">
      <alignment vertical="center" wrapText="1"/>
    </xf>
    <xf numFmtId="1" fontId="51" fillId="0" borderId="6" xfId="0" applyNumberFormat="1" applyFont="1" applyBorder="1" applyAlignment="1">
      <alignment horizontal="center" vertical="center" wrapText="1"/>
    </xf>
    <xf numFmtId="173" fontId="30" fillId="0" borderId="1" xfId="1" applyNumberFormat="1" applyFont="1" applyBorder="1"/>
    <xf numFmtId="0" fontId="61" fillId="17" borderId="1" xfId="0" applyFont="1" applyFill="1" applyBorder="1" applyAlignment="1">
      <alignment vertical="center" wrapText="1"/>
    </xf>
    <xf numFmtId="0" fontId="50" fillId="0" borderId="0" xfId="0" applyFont="1" applyBorder="1"/>
    <xf numFmtId="170" fontId="61" fillId="17" borderId="28" xfId="0" applyNumberFormat="1" applyFont="1" applyFill="1" applyBorder="1" applyAlignment="1">
      <alignment vertical="center" wrapText="1"/>
    </xf>
    <xf numFmtId="0" fontId="61" fillId="17" borderId="19" xfId="0" applyFont="1" applyFill="1" applyBorder="1" applyAlignment="1">
      <alignment vertical="center" wrapText="1"/>
    </xf>
    <xf numFmtId="170" fontId="61" fillId="17" borderId="3" xfId="0" applyNumberFormat="1" applyFont="1" applyFill="1" applyBorder="1" applyAlignment="1">
      <alignment vertical="center" wrapText="1"/>
    </xf>
    <xf numFmtId="0" fontId="61" fillId="17" borderId="29" xfId="0" applyFont="1" applyFill="1" applyBorder="1" applyAlignment="1">
      <alignment vertical="center" wrapText="1"/>
    </xf>
    <xf numFmtId="0" fontId="51" fillId="0" borderId="1" xfId="0" applyFont="1" applyBorder="1" applyAlignment="1">
      <alignment horizontal="left" vertical="center" wrapText="1"/>
    </xf>
    <xf numFmtId="0" fontId="50" fillId="0" borderId="1" xfId="0" applyFont="1" applyBorder="1" applyAlignment="1">
      <alignment horizontal="left"/>
    </xf>
    <xf numFmtId="0" fontId="9" fillId="14" borderId="1" xfId="0" applyFont="1" applyFill="1" applyBorder="1" applyAlignment="1">
      <alignment horizontal="right"/>
    </xf>
    <xf numFmtId="0" fontId="9" fillId="14" borderId="1" xfId="0" applyFont="1" applyFill="1" applyBorder="1" applyAlignment="1">
      <alignment horizontal="left"/>
    </xf>
    <xf numFmtId="16" fontId="9" fillId="14" borderId="1" xfId="0" applyNumberFormat="1" applyFont="1" applyFill="1" applyBorder="1"/>
    <xf numFmtId="0" fontId="9" fillId="14" borderId="1" xfId="0" applyFont="1" applyFill="1" applyBorder="1"/>
    <xf numFmtId="0" fontId="9" fillId="12" borderId="1" xfId="0" applyFont="1" applyFill="1" applyBorder="1" applyAlignment="1">
      <alignment horizontal="right"/>
    </xf>
    <xf numFmtId="0" fontId="9" fillId="12" borderId="1" xfId="0" applyFont="1" applyFill="1" applyBorder="1" applyAlignment="1">
      <alignment horizontal="left"/>
    </xf>
    <xf numFmtId="16" fontId="9" fillId="12" borderId="1" xfId="0" applyNumberFormat="1" applyFont="1" applyFill="1" applyBorder="1"/>
    <xf numFmtId="0" fontId="9" fillId="14" borderId="4" xfId="0" applyFont="1" applyFill="1" applyBorder="1" applyAlignment="1">
      <alignment vertical="center"/>
    </xf>
    <xf numFmtId="0" fontId="78" fillId="21" borderId="1" xfId="0" applyFont="1" applyFill="1" applyBorder="1" applyAlignment="1">
      <alignment horizontal="center" vertical="center" wrapText="1"/>
    </xf>
    <xf numFmtId="0" fontId="80" fillId="22" borderId="1" xfId="0" applyFont="1" applyFill="1" applyBorder="1" applyAlignment="1">
      <alignment vertical="center" wrapText="1"/>
    </xf>
    <xf numFmtId="0" fontId="80" fillId="0" borderId="1" xfId="0" applyFont="1" applyBorder="1" applyAlignment="1">
      <alignment vertical="center" wrapText="1"/>
    </xf>
    <xf numFmtId="0" fontId="18" fillId="0" borderId="4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0" fontId="9" fillId="0" borderId="4" xfId="0" applyFont="1" applyFill="1" applyBorder="1" applyAlignment="1">
      <alignment horizontal="left" vertical="center" wrapText="1"/>
    </xf>
    <xf numFmtId="171" fontId="7" fillId="0" borderId="1" xfId="0" applyNumberFormat="1" applyFont="1" applyFill="1" applyBorder="1" applyAlignment="1">
      <alignment horizontal="right" vertical="center" wrapText="1"/>
    </xf>
    <xf numFmtId="3" fontId="6" fillId="0" borderId="1" xfId="0" applyNumberFormat="1" applyFont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3" fontId="7" fillId="0" borderId="1" xfId="0" applyNumberFormat="1" applyFont="1" applyFill="1" applyBorder="1" applyAlignment="1">
      <alignment horizontal="left" vertical="top" wrapText="1"/>
    </xf>
    <xf numFmtId="3" fontId="7" fillId="0" borderId="1" xfId="0" applyNumberFormat="1" applyFont="1" applyFill="1" applyBorder="1" applyAlignment="1">
      <alignment horizontal="right" vertical="top"/>
    </xf>
    <xf numFmtId="0" fontId="7" fillId="0" borderId="1" xfId="0" applyFont="1" applyFill="1" applyBorder="1" applyAlignment="1">
      <alignment horizontal="right" vertical="top" wrapText="1"/>
    </xf>
    <xf numFmtId="171" fontId="7" fillId="0" borderId="1" xfId="0" applyNumberFormat="1" applyFont="1" applyFill="1" applyBorder="1" applyAlignment="1">
      <alignment horizontal="right" vertical="top" wrapText="1"/>
    </xf>
    <xf numFmtId="0" fontId="6" fillId="0" borderId="1" xfId="0" applyFont="1" applyBorder="1" applyAlignment="1">
      <alignment horizontal="right" vertical="top"/>
    </xf>
    <xf numFmtId="173" fontId="6" fillId="0" borderId="1" xfId="1" applyNumberFormat="1" applyFont="1" applyBorder="1" applyAlignment="1">
      <alignment horizontal="right" vertical="top" wrapText="1"/>
    </xf>
    <xf numFmtId="171" fontId="7" fillId="0" borderId="5" xfId="0" applyNumberFormat="1" applyFont="1" applyFill="1" applyBorder="1" applyAlignment="1">
      <alignment horizontal="right" vertical="center" wrapText="1"/>
    </xf>
    <xf numFmtId="2" fontId="7" fillId="0" borderId="3" xfId="1" applyNumberFormat="1" applyFont="1" applyFill="1" applyBorder="1" applyAlignment="1">
      <alignment horizontal="left" vertical="top" wrapText="1"/>
    </xf>
    <xf numFmtId="169" fontId="26" fillId="0" borderId="0" xfId="1" applyNumberFormat="1" applyFont="1" applyBorder="1" applyAlignment="1">
      <alignment vertical="center" wrapText="1"/>
    </xf>
    <xf numFmtId="0" fontId="76" fillId="16" borderId="0" xfId="0" applyFont="1" applyFill="1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9" fillId="0" borderId="0" xfId="0" applyFont="1" applyAlignment="1">
      <alignment horizontal="right"/>
    </xf>
    <xf numFmtId="0" fontId="5" fillId="0" borderId="8" xfId="0" applyFont="1" applyFill="1" applyBorder="1" applyAlignment="1">
      <alignment horizontal="right"/>
    </xf>
    <xf numFmtId="4" fontId="5" fillId="0" borderId="0" xfId="0" applyNumberFormat="1" applyFont="1" applyBorder="1"/>
    <xf numFmtId="2" fontId="9" fillId="0" borderId="1" xfId="0" applyNumberFormat="1" applyFont="1" applyFill="1" applyBorder="1"/>
    <xf numFmtId="169" fontId="9" fillId="0" borderId="1" xfId="1" applyNumberFormat="1" applyFont="1" applyBorder="1"/>
    <xf numFmtId="0" fontId="5" fillId="0" borderId="1" xfId="0" applyFont="1" applyBorder="1" applyAlignment="1">
      <alignment horizontal="right"/>
    </xf>
    <xf numFmtId="171" fontId="30" fillId="0" borderId="1" xfId="0" applyNumberFormat="1" applyFont="1" applyFill="1" applyBorder="1" applyAlignment="1"/>
    <xf numFmtId="169" fontId="30" fillId="0" borderId="1" xfId="1" applyNumberFormat="1" applyFont="1" applyFill="1" applyBorder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69" fontId="6" fillId="0" borderId="1" xfId="1" applyNumberFormat="1" applyFont="1" applyBorder="1"/>
    <xf numFmtId="4" fontId="5" fillId="0" borderId="1" xfId="0" applyNumberFormat="1" applyFont="1" applyBorder="1" applyAlignment="1">
      <alignment horizontal="right"/>
    </xf>
    <xf numFmtId="169" fontId="6" fillId="0" borderId="1" xfId="1" applyNumberFormat="1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169" fontId="5" fillId="0" borderId="1" xfId="0" applyNumberFormat="1" applyFont="1" applyBorder="1"/>
    <xf numFmtId="4" fontId="5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18" fillId="0" borderId="0" xfId="0" applyFont="1" applyBorder="1" applyAlignment="1">
      <alignment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1" fontId="7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173" fontId="7" fillId="0" borderId="0" xfId="1" applyNumberFormat="1" applyFont="1" applyFill="1" applyBorder="1" applyAlignment="1">
      <alignment horizontal="right" vertical="center" wrapText="1"/>
    </xf>
    <xf numFmtId="171" fontId="7" fillId="0" borderId="0" xfId="0" applyNumberFormat="1" applyFont="1" applyFill="1" applyBorder="1" applyAlignment="1">
      <alignment horizontal="right" vertical="top" wrapText="1"/>
    </xf>
    <xf numFmtId="171" fontId="9" fillId="0" borderId="1" xfId="0" applyNumberFormat="1" applyFont="1" applyBorder="1" applyAlignment="1">
      <alignment vertical="center"/>
    </xf>
    <xf numFmtId="0" fontId="53" fillId="0" borderId="0" xfId="0" applyFont="1"/>
    <xf numFmtId="0" fontId="82" fillId="0" borderId="21" xfId="0" applyFont="1" applyBorder="1" applyAlignment="1">
      <alignment horizontal="center" vertical="center" wrapText="1"/>
    </xf>
    <xf numFmtId="0" fontId="82" fillId="0" borderId="30" xfId="0" applyFont="1" applyBorder="1" applyAlignment="1">
      <alignment horizontal="center" vertical="center" wrapText="1"/>
    </xf>
    <xf numFmtId="3" fontId="82" fillId="0" borderId="30" xfId="0" applyNumberFormat="1" applyFont="1" applyBorder="1" applyAlignment="1">
      <alignment horizontal="center" vertical="center" wrapText="1"/>
    </xf>
    <xf numFmtId="0" fontId="82" fillId="0" borderId="22" xfId="0" applyFont="1" applyBorder="1" applyAlignment="1">
      <alignment horizontal="center" vertical="center" wrapText="1"/>
    </xf>
    <xf numFmtId="0" fontId="82" fillId="0" borderId="20" xfId="0" applyFont="1" applyBorder="1" applyAlignment="1">
      <alignment horizontal="center" vertical="center" wrapText="1"/>
    </xf>
    <xf numFmtId="3" fontId="82" fillId="0" borderId="20" xfId="0" applyNumberFormat="1" applyFont="1" applyBorder="1" applyAlignment="1">
      <alignment horizontal="center" vertical="center" wrapText="1"/>
    </xf>
    <xf numFmtId="0" fontId="82" fillId="0" borderId="21" xfId="0" applyFont="1" applyBorder="1" applyAlignment="1">
      <alignment vertical="center" wrapText="1"/>
    </xf>
    <xf numFmtId="0" fontId="82" fillId="0" borderId="22" xfId="0" applyFont="1" applyBorder="1" applyAlignment="1">
      <alignment vertical="center" wrapText="1"/>
    </xf>
    <xf numFmtId="173" fontId="0" fillId="0" borderId="1" xfId="1" applyNumberFormat="1" applyFont="1" applyBorder="1"/>
    <xf numFmtId="9" fontId="47" fillId="0" borderId="0" xfId="0" applyNumberFormat="1" applyFont="1" applyBorder="1" applyAlignment="1">
      <alignment horizontal="right" vertical="center" wrapText="1"/>
    </xf>
    <xf numFmtId="9" fontId="50" fillId="0" borderId="0" xfId="0" applyNumberFormat="1" applyFont="1"/>
    <xf numFmtId="0" fontId="50" fillId="0" borderId="1" xfId="0" applyFont="1" applyBorder="1" applyAlignment="1">
      <alignment horizontal="center"/>
    </xf>
    <xf numFmtId="0" fontId="53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74" fillId="0" borderId="0" xfId="0" applyFont="1" applyBorder="1" applyAlignment="1">
      <alignment vertical="center" wrapText="1"/>
    </xf>
    <xf numFmtId="0" fontId="28" fillId="0" borderId="1" xfId="0" applyFont="1" applyBorder="1" applyAlignment="1">
      <alignment horizontal="right" vertical="center" wrapText="1"/>
    </xf>
    <xf numFmtId="0" fontId="19" fillId="1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46" fillId="0" borderId="1" xfId="0" applyFont="1" applyBorder="1" applyAlignment="1">
      <alignment vertical="center"/>
    </xf>
    <xf numFmtId="171" fontId="0" fillId="0" borderId="1" xfId="0" applyNumberFormat="1" applyFont="1" applyBorder="1" applyAlignment="1">
      <alignment horizontal="right" vertical="center"/>
    </xf>
    <xf numFmtId="4" fontId="39" fillId="0" borderId="1" xfId="0" applyNumberFormat="1" applyFont="1" applyBorder="1" applyAlignment="1">
      <alignment horizontal="right" vertical="center"/>
    </xf>
    <xf numFmtId="0" fontId="39" fillId="0" borderId="1" xfId="0" applyFont="1" applyFill="1" applyBorder="1" applyAlignment="1">
      <alignment horizontal="right" vertical="center"/>
    </xf>
    <xf numFmtId="0" fontId="18" fillId="0" borderId="5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0" fontId="18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/>
    </xf>
    <xf numFmtId="0" fontId="76" fillId="3" borderId="0" xfId="0" applyFont="1" applyFill="1"/>
    <xf numFmtId="0" fontId="76" fillId="0" borderId="0" xfId="0" applyFont="1" applyFill="1"/>
    <xf numFmtId="0" fontId="18" fillId="0" borderId="4" xfId="0" applyFont="1" applyBorder="1" applyAlignment="1">
      <alignment vertical="center"/>
    </xf>
    <xf numFmtId="171" fontId="6" fillId="0" borderId="1" xfId="0" applyNumberFormat="1" applyFont="1" applyBorder="1"/>
    <xf numFmtId="0" fontId="9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173" fontId="9" fillId="0" borderId="1" xfId="1" applyNumberFormat="1" applyFont="1" applyBorder="1" applyAlignment="1">
      <alignment horizontal="left" vertical="center"/>
    </xf>
    <xf numFmtId="173" fontId="6" fillId="0" borderId="1" xfId="1" applyNumberFormat="1" applyFont="1" applyBorder="1"/>
    <xf numFmtId="2" fontId="9" fillId="0" borderId="1" xfId="0" applyNumberFormat="1" applyFont="1" applyBorder="1"/>
    <xf numFmtId="173" fontId="6" fillId="0" borderId="1" xfId="1" applyNumberFormat="1" applyFont="1" applyBorder="1" applyAlignment="1">
      <alignment horizontal="left" vertical="center"/>
    </xf>
    <xf numFmtId="166" fontId="18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166" fontId="9" fillId="0" borderId="1" xfId="0" applyNumberFormat="1" applyFont="1" applyFill="1" applyBorder="1" applyAlignment="1">
      <alignment horizontal="center" vertical="center" wrapText="1"/>
    </xf>
    <xf numFmtId="3" fontId="9" fillId="0" borderId="1" xfId="0" applyNumberFormat="1" applyFont="1" applyFill="1" applyBorder="1" applyAlignment="1">
      <alignment horizontal="center" vertical="center" wrapText="1"/>
    </xf>
    <xf numFmtId="0" fontId="30" fillId="16" borderId="0" xfId="0" applyFont="1" applyFill="1"/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169" fontId="0" fillId="3" borderId="0" xfId="1" applyNumberFormat="1" applyFont="1" applyFill="1"/>
    <xf numFmtId="0" fontId="19" fillId="16" borderId="0" xfId="0" applyFont="1" applyFill="1"/>
    <xf numFmtId="169" fontId="0" fillId="0" borderId="1" xfId="1" applyNumberFormat="1" applyFont="1" applyBorder="1"/>
    <xf numFmtId="0" fontId="5" fillId="0" borderId="31" xfId="0" applyFont="1" applyBorder="1" applyAlignment="1">
      <alignment horizontal="center" vertical="center" wrapText="1"/>
    </xf>
    <xf numFmtId="0" fontId="6" fillId="0" borderId="31" xfId="0" applyFont="1" applyBorder="1" applyAlignment="1">
      <alignment wrapText="1"/>
    </xf>
    <xf numFmtId="0" fontId="18" fillId="0" borderId="1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83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left" vertical="center"/>
    </xf>
    <xf numFmtId="0" fontId="83" fillId="0" borderId="4" xfId="0" applyFont="1" applyBorder="1" applyAlignment="1">
      <alignment horizontal="left" vertical="center" wrapText="1"/>
    </xf>
    <xf numFmtId="0" fontId="9" fillId="0" borderId="4" xfId="0" applyFont="1" applyFill="1" applyBorder="1" applyAlignment="1">
      <alignment vertical="center" wrapText="1"/>
    </xf>
    <xf numFmtId="0" fontId="18" fillId="0" borderId="4" xfId="0" applyFont="1" applyBorder="1" applyAlignment="1">
      <alignment horizontal="left" vertical="center"/>
    </xf>
    <xf numFmtId="173" fontId="9" fillId="0" borderId="4" xfId="1" applyNumberFormat="1" applyFont="1" applyBorder="1" applyAlignment="1">
      <alignment horizontal="left" vertical="center"/>
    </xf>
    <xf numFmtId="169" fontId="9" fillId="0" borderId="1" xfId="1" applyNumberFormat="1" applyFont="1" applyBorder="1" applyAlignment="1">
      <alignment horizontal="left" vertical="center"/>
    </xf>
    <xf numFmtId="0" fontId="83" fillId="0" borderId="4" xfId="0" applyFont="1" applyBorder="1" applyAlignment="1">
      <alignment vertical="center" wrapText="1"/>
    </xf>
    <xf numFmtId="0" fontId="30" fillId="0" borderId="4" xfId="0" applyFont="1" applyFill="1" applyBorder="1"/>
    <xf numFmtId="0" fontId="30" fillId="0" borderId="4" xfId="0" applyFont="1" applyBorder="1" applyAlignment="1">
      <alignment horizontal="right"/>
    </xf>
    <xf numFmtId="0" fontId="7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9" fillId="0" borderId="1" xfId="0" applyFont="1" applyBorder="1" applyAlignment="1">
      <alignment horizontal="left"/>
    </xf>
    <xf numFmtId="173" fontId="9" fillId="0" borderId="1" xfId="1" applyNumberFormat="1" applyFont="1" applyBorder="1" applyAlignment="1">
      <alignment vertical="center"/>
    </xf>
    <xf numFmtId="174" fontId="30" fillId="0" borderId="0" xfId="0" applyNumberFormat="1" applyFont="1"/>
    <xf numFmtId="0" fontId="58" fillId="16" borderId="0" xfId="0" applyFont="1" applyFill="1"/>
    <xf numFmtId="173" fontId="9" fillId="0" borderId="1" xfId="1" applyNumberFormat="1" applyFont="1" applyBorder="1" applyAlignment="1">
      <alignment horizontal="center" vertical="center"/>
    </xf>
    <xf numFmtId="173" fontId="9" fillId="0" borderId="0" xfId="1" applyNumberFormat="1" applyFont="1" applyFill="1" applyBorder="1" applyAlignment="1">
      <alignment vertical="center"/>
    </xf>
    <xf numFmtId="177" fontId="0" fillId="0" borderId="0" xfId="0" applyNumberFormat="1"/>
    <xf numFmtId="0" fontId="18" fillId="6" borderId="1" xfId="0" applyFont="1" applyFill="1" applyBorder="1"/>
    <xf numFmtId="0" fontId="42" fillId="0" borderId="0" xfId="0" applyFont="1"/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169" fontId="30" fillId="0" borderId="0" xfId="1" applyNumberFormat="1" applyFont="1" applyFill="1" applyBorder="1" applyAlignment="1">
      <alignment horizontal="right"/>
    </xf>
    <xf numFmtId="173" fontId="0" fillId="0" borderId="0" xfId="1" applyNumberFormat="1" applyFont="1"/>
    <xf numFmtId="0" fontId="0" fillId="0" borderId="1" xfId="0" applyBorder="1" applyAlignment="1">
      <alignment horizontal="left"/>
    </xf>
    <xf numFmtId="0" fontId="58" fillId="3" borderId="0" xfId="0" applyFont="1" applyFill="1"/>
    <xf numFmtId="0" fontId="26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vertical="center" wrapText="1"/>
    </xf>
    <xf numFmtId="3" fontId="9" fillId="0" borderId="1" xfId="0" applyNumberFormat="1" applyFont="1" applyFill="1" applyBorder="1"/>
    <xf numFmtId="0" fontId="84" fillId="0" borderId="1" xfId="0" applyFont="1" applyBorder="1" applyAlignment="1">
      <alignment horizontal="center" vertical="center" wrapText="1"/>
    </xf>
    <xf numFmtId="169" fontId="0" fillId="0" borderId="1" xfId="0" applyNumberFormat="1" applyBorder="1"/>
    <xf numFmtId="169" fontId="19" fillId="0" borderId="1" xfId="0" applyNumberFormat="1" applyFont="1" applyBorder="1"/>
    <xf numFmtId="0" fontId="18" fillId="0" borderId="1" xfId="0" applyFont="1" applyBorder="1" applyAlignment="1">
      <alignment horizontal="center" vertical="center"/>
    </xf>
    <xf numFmtId="178" fontId="9" fillId="0" borderId="1" xfId="1" applyNumberFormat="1" applyFont="1" applyBorder="1" applyAlignment="1">
      <alignment vertical="center"/>
    </xf>
    <xf numFmtId="173" fontId="9" fillId="0" borderId="1" xfId="1" applyNumberFormat="1" applyFont="1" applyBorder="1" applyAlignment="1">
      <alignment horizontal="center" vertical="center"/>
    </xf>
    <xf numFmtId="178" fontId="0" fillId="0" borderId="0" xfId="0" applyNumberFormat="1"/>
    <xf numFmtId="178" fontId="0" fillId="0" borderId="1" xfId="0" applyNumberFormat="1" applyBorder="1"/>
    <xf numFmtId="0" fontId="9" fillId="0" borderId="1" xfId="0" applyFont="1" applyFill="1" applyBorder="1" applyAlignment="1">
      <alignment horizontal="left" vertical="center" wrapText="1"/>
    </xf>
    <xf numFmtId="1" fontId="51" fillId="0" borderId="1" xfId="0" applyNumberFormat="1" applyFont="1" applyFill="1" applyBorder="1" applyAlignment="1">
      <alignment horizontal="center" vertical="center" wrapText="1"/>
    </xf>
    <xf numFmtId="1" fontId="62" fillId="0" borderId="1" xfId="0" applyNumberFormat="1" applyFont="1" applyFill="1" applyBorder="1" applyAlignment="1">
      <alignment horizontal="center" vertical="center" wrapText="1"/>
    </xf>
    <xf numFmtId="1" fontId="51" fillId="0" borderId="6" xfId="0" applyNumberFormat="1" applyFont="1" applyFill="1" applyBorder="1" applyAlignment="1">
      <alignment horizontal="center" vertical="center" wrapText="1"/>
    </xf>
    <xf numFmtId="0" fontId="50" fillId="0" borderId="1" xfId="0" applyFont="1" applyFill="1" applyBorder="1" applyAlignment="1">
      <alignment horizontal="center"/>
    </xf>
    <xf numFmtId="9" fontId="0" fillId="0" borderId="0" xfId="0" applyNumberFormat="1" applyAlignment="1">
      <alignment horizontal="left"/>
    </xf>
    <xf numFmtId="0" fontId="40" fillId="0" borderId="1" xfId="0" applyFont="1" applyFill="1" applyBorder="1"/>
    <xf numFmtId="0" fontId="32" fillId="3" borderId="0" xfId="0" applyFont="1" applyFill="1"/>
    <xf numFmtId="9" fontId="53" fillId="0" borderId="1" xfId="0" applyNumberFormat="1" applyFont="1" applyBorder="1"/>
    <xf numFmtId="0" fontId="53" fillId="0" borderId="1" xfId="0" applyFont="1" applyFill="1" applyBorder="1"/>
    <xf numFmtId="0" fontId="18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37" fontId="30" fillId="0" borderId="1" xfId="1" applyNumberFormat="1" applyFont="1" applyFill="1" applyBorder="1"/>
    <xf numFmtId="178" fontId="6" fillId="0" borderId="1" xfId="0" applyNumberFormat="1" applyFont="1" applyBorder="1" applyAlignment="1">
      <alignment vertical="center"/>
    </xf>
    <xf numFmtId="0" fontId="54" fillId="0" borderId="0" xfId="0" applyFont="1"/>
    <xf numFmtId="0" fontId="4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30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5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179" fontId="9" fillId="0" borderId="1" xfId="1" applyNumberFormat="1" applyFont="1" applyBorder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173" fontId="6" fillId="0" borderId="1" xfId="0" applyNumberFormat="1" applyFont="1" applyBorder="1" applyAlignment="1">
      <alignment vertical="center"/>
    </xf>
    <xf numFmtId="0" fontId="18" fillId="0" borderId="0" xfId="0" applyFont="1" applyFill="1" applyAlignment="1">
      <alignment horizontal="center" vertical="center"/>
    </xf>
    <xf numFmtId="4" fontId="6" fillId="0" borderId="1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9" fillId="0" borderId="1" xfId="0" applyFont="1" applyFill="1" applyBorder="1" applyAlignment="1">
      <alignment horizontal="left" wrapText="1"/>
    </xf>
    <xf numFmtId="0" fontId="9" fillId="0" borderId="4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9" fillId="0" borderId="1" xfId="1" applyNumberFormat="1" applyFont="1" applyFill="1" applyBorder="1" applyAlignment="1">
      <alignment horizontal="left"/>
    </xf>
    <xf numFmtId="176" fontId="9" fillId="0" borderId="1" xfId="1" applyNumberFormat="1" applyFont="1" applyFill="1" applyBorder="1" applyAlignment="1">
      <alignment horizontal="left"/>
    </xf>
    <xf numFmtId="4" fontId="9" fillId="0" borderId="1" xfId="0" applyNumberFormat="1" applyFont="1" applyBorder="1" applyAlignment="1">
      <alignment horizontal="left"/>
    </xf>
    <xf numFmtId="164" fontId="30" fillId="7" borderId="1" xfId="0" applyNumberFormat="1" applyFont="1" applyFill="1" applyBorder="1" applyAlignment="1">
      <alignment horizontal="left" vertical="center"/>
    </xf>
    <xf numFmtId="0" fontId="30" fillId="7" borderId="1" xfId="0" applyFont="1" applyFill="1" applyBorder="1" applyAlignment="1">
      <alignment horizontal="left" vertical="center"/>
    </xf>
    <xf numFmtId="0" fontId="86" fillId="7" borderId="0" xfId="0" applyFont="1" applyFill="1" applyBorder="1" applyAlignment="1">
      <alignment horizontal="center" vertical="center"/>
    </xf>
    <xf numFmtId="0" fontId="85" fillId="8" borderId="1" xfId="0" applyFont="1" applyFill="1" applyBorder="1" applyAlignment="1">
      <alignment horizontal="center" vertical="center"/>
    </xf>
    <xf numFmtId="0" fontId="87" fillId="7" borderId="1" xfId="0" applyFont="1" applyFill="1" applyBorder="1" applyAlignment="1">
      <alignment vertical="center"/>
    </xf>
    <xf numFmtId="0" fontId="87" fillId="7" borderId="1" xfId="0" applyFont="1" applyFill="1" applyBorder="1" applyAlignment="1">
      <alignment vertical="center" wrapText="1"/>
    </xf>
    <xf numFmtId="0" fontId="86" fillId="7" borderId="1" xfId="0" applyFont="1" applyFill="1" applyBorder="1" applyAlignment="1">
      <alignment horizontal="left" vertical="center"/>
    </xf>
    <xf numFmtId="0" fontId="87" fillId="7" borderId="1" xfId="0" applyFont="1" applyFill="1" applyBorder="1" applyAlignment="1">
      <alignment horizontal="center" vertical="center"/>
    </xf>
    <xf numFmtId="15" fontId="86" fillId="7" borderId="1" xfId="0" applyNumberFormat="1" applyFont="1" applyFill="1" applyBorder="1" applyAlignment="1">
      <alignment horizontal="center" vertical="center"/>
    </xf>
    <xf numFmtId="0" fontId="86" fillId="7" borderId="1" xfId="0" applyFont="1" applyFill="1" applyBorder="1" applyAlignment="1">
      <alignment horizontal="center" vertical="center"/>
    </xf>
    <xf numFmtId="164" fontId="87" fillId="7" borderId="1" xfId="0" applyNumberFormat="1" applyFont="1" applyFill="1" applyBorder="1" applyAlignment="1">
      <alignment horizontal="center" vertical="center"/>
    </xf>
    <xf numFmtId="3" fontId="86" fillId="7" borderId="1" xfId="0" applyNumberFormat="1" applyFont="1" applyFill="1" applyBorder="1" applyAlignment="1">
      <alignment horizontal="center" vertical="center"/>
    </xf>
    <xf numFmtId="0" fontId="86" fillId="7" borderId="0" xfId="0" applyFont="1" applyFill="1" applyBorder="1" applyAlignment="1">
      <alignment horizontal="left" vertical="center"/>
    </xf>
    <xf numFmtId="0" fontId="86" fillId="7" borderId="1" xfId="0" applyFont="1" applyFill="1" applyBorder="1" applyAlignment="1">
      <alignment horizontal="center" vertical="center"/>
    </xf>
    <xf numFmtId="0" fontId="89" fillId="15" borderId="1" xfId="0" applyFont="1" applyFill="1" applyBorder="1" applyAlignment="1">
      <alignment horizontal="center"/>
    </xf>
    <xf numFmtId="0" fontId="89" fillId="15" borderId="1" xfId="0" applyFont="1" applyFill="1" applyBorder="1" applyAlignment="1">
      <alignment horizontal="center" wrapText="1"/>
    </xf>
    <xf numFmtId="0" fontId="89" fillId="0" borderId="0" xfId="0" applyFont="1" applyFill="1" applyAlignment="1">
      <alignment horizontal="center"/>
    </xf>
    <xf numFmtId="0" fontId="88" fillId="0" borderId="0" xfId="0" applyFont="1" applyFill="1"/>
    <xf numFmtId="17" fontId="20" fillId="0" borderId="1" xfId="0" applyNumberFormat="1" applyFont="1" applyFill="1" applyBorder="1"/>
    <xf numFmtId="0" fontId="20" fillId="0" borderId="1" xfId="0" applyFont="1" applyFill="1" applyBorder="1" applyAlignment="1">
      <alignment horizontal="left"/>
    </xf>
    <xf numFmtId="0" fontId="20" fillId="0" borderId="1" xfId="0" applyFont="1" applyFill="1" applyBorder="1"/>
    <xf numFmtId="0" fontId="23" fillId="4" borderId="1" xfId="0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/>
    </xf>
    <xf numFmtId="0" fontId="25" fillId="0" borderId="5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3" fillId="4" borderId="6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85" fillId="8" borderId="1" xfId="0" applyFont="1" applyFill="1" applyBorder="1" applyAlignment="1">
      <alignment horizontal="center" vertical="center"/>
    </xf>
    <xf numFmtId="0" fontId="85" fillId="8" borderId="1" xfId="0" applyFont="1" applyFill="1" applyBorder="1" applyAlignment="1">
      <alignment horizontal="center" vertical="center" wrapText="1"/>
    </xf>
    <xf numFmtId="0" fontId="79" fillId="22" borderId="1" xfId="0" applyFont="1" applyFill="1" applyBorder="1" applyAlignment="1">
      <alignment horizontal="center" vertical="center" wrapText="1"/>
    </xf>
    <xf numFmtId="0" fontId="32" fillId="20" borderId="1" xfId="0" applyFont="1" applyFill="1" applyBorder="1" applyAlignment="1">
      <alignment horizontal="center"/>
    </xf>
    <xf numFmtId="0" fontId="79" fillId="0" borderId="1" xfId="0" applyFont="1" applyBorder="1" applyAlignment="1">
      <alignment horizontal="center" vertical="center"/>
    </xf>
    <xf numFmtId="0" fontId="79" fillId="0" borderId="1" xfId="0" applyFont="1" applyBorder="1" applyAlignment="1">
      <alignment horizontal="center" vertical="center" wrapText="1"/>
    </xf>
    <xf numFmtId="0" fontId="59" fillId="15" borderId="1" xfId="0" applyFont="1" applyFill="1" applyBorder="1" applyAlignment="1">
      <alignment horizontal="center"/>
    </xf>
    <xf numFmtId="0" fontId="58" fillId="16" borderId="1" xfId="0" applyFont="1" applyFill="1" applyBorder="1" applyAlignment="1">
      <alignment horizontal="center"/>
    </xf>
    <xf numFmtId="0" fontId="60" fillId="16" borderId="6" xfId="0" applyFont="1" applyFill="1" applyBorder="1" applyAlignment="1">
      <alignment horizontal="center"/>
    </xf>
    <xf numFmtId="0" fontId="60" fillId="16" borderId="7" xfId="0" applyFont="1" applyFill="1" applyBorder="1" applyAlignment="1">
      <alignment horizontal="center"/>
    </xf>
    <xf numFmtId="0" fontId="60" fillId="16" borderId="5" xfId="0" applyFont="1" applyFill="1" applyBorder="1" applyAlignment="1">
      <alignment horizontal="center"/>
    </xf>
    <xf numFmtId="0" fontId="61" fillId="17" borderId="23" xfId="0" applyFont="1" applyFill="1" applyBorder="1" applyAlignment="1">
      <alignment vertical="center" wrapText="1"/>
    </xf>
    <xf numFmtId="0" fontId="61" fillId="17" borderId="24" xfId="0" applyFont="1" applyFill="1" applyBorder="1" applyAlignment="1">
      <alignment vertical="center" wrapText="1"/>
    </xf>
    <xf numFmtId="0" fontId="61" fillId="17" borderId="1" xfId="0" applyFont="1" applyFill="1" applyBorder="1" applyAlignment="1">
      <alignment vertical="center" wrapText="1"/>
    </xf>
    <xf numFmtId="0" fontId="61" fillId="0" borderId="1" xfId="0" applyFont="1" applyBorder="1" applyAlignment="1">
      <alignment horizontal="left" vertical="center" wrapText="1"/>
    </xf>
    <xf numFmtId="0" fontId="61" fillId="0" borderId="6" xfId="0" applyFont="1" applyBorder="1" applyAlignment="1">
      <alignment horizontal="left" vertical="center" wrapText="1"/>
    </xf>
    <xf numFmtId="0" fontId="61" fillId="0" borderId="7" xfId="0" applyFont="1" applyBorder="1" applyAlignment="1">
      <alignment horizontal="left" vertical="center" wrapText="1"/>
    </xf>
    <xf numFmtId="0" fontId="61" fillId="0" borderId="5" xfId="0" applyFont="1" applyBorder="1" applyAlignment="1">
      <alignment horizontal="left" vertical="center" wrapText="1"/>
    </xf>
    <xf numFmtId="170" fontId="58" fillId="16" borderId="1" xfId="0" applyNumberFormat="1" applyFont="1" applyFill="1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73" fontId="9" fillId="0" borderId="4" xfId="1" applyNumberFormat="1" applyFont="1" applyBorder="1" applyAlignment="1">
      <alignment horizontal="center" vertical="center"/>
    </xf>
    <xf numFmtId="173" fontId="9" fillId="0" borderId="2" xfId="1" applyNumberFormat="1" applyFont="1" applyBorder="1" applyAlignment="1">
      <alignment horizontal="center" vertical="center"/>
    </xf>
    <xf numFmtId="173" fontId="9" fillId="0" borderId="3" xfId="1" applyNumberFormat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0" fillId="0" borderId="4" xfId="0" applyFont="1" applyFill="1" applyBorder="1" applyAlignment="1">
      <alignment horizontal="left" vertical="center"/>
    </xf>
    <xf numFmtId="0" fontId="30" fillId="0" borderId="3" xfId="0" applyFont="1" applyFill="1" applyBorder="1" applyAlignment="1">
      <alignment horizontal="left" vertical="center"/>
    </xf>
    <xf numFmtId="0" fontId="30" fillId="0" borderId="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 wrapText="1"/>
    </xf>
    <xf numFmtId="173" fontId="9" fillId="0" borderId="1" xfId="1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0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1" fontId="5" fillId="0" borderId="4" xfId="0" applyNumberFormat="1" applyFont="1" applyBorder="1" applyAlignment="1">
      <alignment horizontal="center" vertical="center"/>
    </xf>
    <xf numFmtId="171" fontId="5" fillId="0" borderId="2" xfId="0" applyNumberFormat="1" applyFont="1" applyBorder="1" applyAlignment="1">
      <alignment horizontal="center" vertical="center"/>
    </xf>
    <xf numFmtId="171" fontId="5" fillId="0" borderId="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30" fillId="0" borderId="2" xfId="0" applyFont="1" applyFill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39" fillId="0" borderId="1" xfId="0" applyFont="1" applyFill="1" applyBorder="1" applyAlignment="1">
      <alignment horizontal="right" vertical="center"/>
    </xf>
    <xf numFmtId="4" fontId="39" fillId="0" borderId="1" xfId="0" applyNumberFormat="1" applyFont="1" applyBorder="1" applyAlignment="1">
      <alignment horizontal="right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171" fontId="7" fillId="0" borderId="4" xfId="0" applyNumberFormat="1" applyFont="1" applyFill="1" applyBorder="1" applyAlignment="1">
      <alignment horizontal="right" vertical="center" wrapText="1"/>
    </xf>
    <xf numFmtId="171" fontId="7" fillId="0" borderId="3" xfId="0" applyNumberFormat="1" applyFont="1" applyFill="1" applyBorder="1" applyAlignment="1">
      <alignment horizontal="right" vertical="center" wrapText="1"/>
    </xf>
    <xf numFmtId="0" fontId="7" fillId="19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43" fontId="6" fillId="0" borderId="4" xfId="1" applyNumberFormat="1" applyFont="1" applyFill="1" applyBorder="1" applyAlignment="1">
      <alignment vertical="center"/>
    </xf>
    <xf numFmtId="43" fontId="6" fillId="0" borderId="2" xfId="1" applyNumberFormat="1" applyFont="1" applyFill="1" applyBorder="1" applyAlignment="1">
      <alignment vertical="center"/>
    </xf>
    <xf numFmtId="43" fontId="6" fillId="0" borderId="3" xfId="1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39" fillId="0" borderId="1" xfId="0" applyFont="1" applyBorder="1" applyAlignment="1">
      <alignment horizontal="left" vertical="center"/>
    </xf>
    <xf numFmtId="0" fontId="30" fillId="0" borderId="1" xfId="0" applyFont="1" applyFill="1" applyBorder="1" applyAlignment="1">
      <alignment horizontal="left" vertical="center"/>
    </xf>
    <xf numFmtId="0" fontId="30" fillId="16" borderId="1" xfId="0" applyFont="1" applyFill="1" applyBorder="1" applyAlignment="1">
      <alignment horizontal="left" vertical="center"/>
    </xf>
    <xf numFmtId="0" fontId="30" fillId="16" borderId="2" xfId="0" applyFont="1" applyFill="1" applyBorder="1" applyAlignment="1">
      <alignment horizontal="left" vertical="center"/>
    </xf>
    <xf numFmtId="0" fontId="0" fillId="16" borderId="4" xfId="0" applyFill="1" applyBorder="1" applyAlignment="1">
      <alignment horizontal="left" vertical="center"/>
    </xf>
    <xf numFmtId="0" fontId="0" fillId="16" borderId="2" xfId="0" applyFill="1" applyBorder="1" applyAlignment="1">
      <alignment horizontal="left" vertical="center"/>
    </xf>
    <xf numFmtId="0" fontId="0" fillId="16" borderId="3" xfId="0" applyFill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16" borderId="1" xfId="0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39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12" borderId="9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37" fillId="0" borderId="4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1" xfId="0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13" borderId="1" xfId="0" applyFont="1" applyFill="1" applyBorder="1" applyAlignment="1">
      <alignment horizontal="left" vertical="center"/>
    </xf>
    <xf numFmtId="0" fontId="28" fillId="0" borderId="1" xfId="0" applyFont="1" applyBorder="1" applyAlignment="1">
      <alignment horizontal="right" vertical="center" wrapText="1"/>
    </xf>
    <xf numFmtId="0" fontId="36" fillId="0" borderId="0" xfId="0" applyFont="1" applyAlignment="1">
      <alignment horizontal="center"/>
    </xf>
    <xf numFmtId="0" fontId="19" fillId="1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5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43" fontId="0" fillId="0" borderId="1" xfId="1" applyFont="1" applyBorder="1" applyAlignment="1">
      <alignment horizontal="right" vertical="center"/>
    </xf>
    <xf numFmtId="43" fontId="0" fillId="0" borderId="1" xfId="1" applyNumberFormat="1" applyFont="1" applyBorder="1" applyAlignment="1">
      <alignment horizontal="right" vertical="center"/>
    </xf>
    <xf numFmtId="0" fontId="0" fillId="0" borderId="1" xfId="0" applyFont="1" applyBorder="1" applyAlignment="1">
      <alignment vertical="center" wrapText="1"/>
    </xf>
    <xf numFmtId="0" fontId="46" fillId="0" borderId="1" xfId="0" applyFont="1" applyBorder="1" applyAlignment="1">
      <alignment vertical="center"/>
    </xf>
    <xf numFmtId="171" fontId="0" fillId="0" borderId="1" xfId="0" applyNumberFormat="1" applyFont="1" applyBorder="1" applyAlignment="1">
      <alignment horizontal="right" vertical="center"/>
    </xf>
    <xf numFmtId="0" fontId="66" fillId="0" borderId="1" xfId="0" applyFont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3" fontId="6" fillId="12" borderId="1" xfId="0" applyNumberFormat="1" applyFont="1" applyFill="1" applyBorder="1" applyAlignment="1">
      <alignment horizontal="center"/>
    </xf>
    <xf numFmtId="0" fontId="66" fillId="0" borderId="1" xfId="0" applyFont="1" applyBorder="1" applyAlignment="1">
      <alignment horizontal="center" vertical="center"/>
    </xf>
    <xf numFmtId="43" fontId="0" fillId="0" borderId="1" xfId="1" applyFont="1" applyFill="1" applyBorder="1" applyAlignment="1">
      <alignment horizontal="right" vertical="center"/>
    </xf>
    <xf numFmtId="0" fontId="39" fillId="0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center"/>
    </xf>
    <xf numFmtId="43" fontId="39" fillId="0" borderId="1" xfId="1" applyFont="1" applyFill="1" applyBorder="1" applyAlignment="1">
      <alignment horizontal="right" vertical="center" wrapText="1"/>
    </xf>
    <xf numFmtId="0" fontId="39" fillId="0" borderId="1" xfId="0" applyFont="1" applyBorder="1" applyAlignment="1">
      <alignment horizontal="right" vertical="center" wrapText="1"/>
    </xf>
    <xf numFmtId="0" fontId="39" fillId="0" borderId="1" xfId="0" applyFont="1" applyFill="1" applyBorder="1" applyAlignment="1">
      <alignment horizontal="right" vertical="center" wrapText="1"/>
    </xf>
    <xf numFmtId="4" fontId="39" fillId="0" borderId="1" xfId="0" applyNumberFormat="1" applyFont="1" applyFill="1" applyBorder="1" applyAlignment="1">
      <alignment horizontal="right" vertical="center" wrapText="1"/>
    </xf>
    <xf numFmtId="0" fontId="39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right" vertical="center"/>
    </xf>
    <xf numFmtId="43" fontId="6" fillId="0" borderId="4" xfId="1" applyNumberFormat="1" applyFont="1" applyFill="1" applyBorder="1" applyAlignment="1">
      <alignment horizontal="center" vertical="center"/>
    </xf>
    <xf numFmtId="43" fontId="6" fillId="0" borderId="2" xfId="1" applyNumberFormat="1" applyFont="1" applyFill="1" applyBorder="1" applyAlignment="1">
      <alignment horizontal="center" vertical="center"/>
    </xf>
    <xf numFmtId="43" fontId="6" fillId="0" borderId="3" xfId="1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171" fontId="18" fillId="0" borderId="4" xfId="0" applyNumberFormat="1" applyFont="1" applyBorder="1" applyAlignment="1">
      <alignment horizontal="center" vertical="center"/>
    </xf>
    <xf numFmtId="171" fontId="18" fillId="0" borderId="2" xfId="0" applyNumberFormat="1" applyFont="1" applyBorder="1" applyAlignment="1">
      <alignment horizontal="center" vertical="center"/>
    </xf>
    <xf numFmtId="171" fontId="18" fillId="0" borderId="3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73" fontId="7" fillId="0" borderId="4" xfId="1" applyNumberFormat="1" applyFont="1" applyFill="1" applyBorder="1" applyAlignment="1">
      <alignment horizontal="center" vertical="center" wrapText="1"/>
    </xf>
    <xf numFmtId="173" fontId="7" fillId="0" borderId="3" xfId="1" applyNumberFormat="1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1" xfId="0" applyFont="1" applyFill="1" applyBorder="1" applyAlignment="1">
      <alignment horizontal="left" vertical="center" wrapText="1"/>
    </xf>
    <xf numFmtId="0" fontId="83" fillId="0" borderId="0" xfId="0" applyFont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2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178" fontId="0" fillId="0" borderId="4" xfId="0" applyNumberForma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9" fontId="6" fillId="0" borderId="4" xfId="0" applyNumberFormat="1" applyFont="1" applyBorder="1" applyAlignment="1">
      <alignment horizontal="right" vertical="center"/>
    </xf>
    <xf numFmtId="179" fontId="6" fillId="0" borderId="2" xfId="0" applyNumberFormat="1" applyFont="1" applyBorder="1" applyAlignment="1">
      <alignment horizontal="right" vertical="center"/>
    </xf>
    <xf numFmtId="179" fontId="6" fillId="0" borderId="3" xfId="0" applyNumberFormat="1" applyFont="1" applyBorder="1" applyAlignment="1">
      <alignment horizontal="right" vertical="center"/>
    </xf>
    <xf numFmtId="0" fontId="32" fillId="0" borderId="8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/>
    </xf>
    <xf numFmtId="0" fontId="6" fillId="0" borderId="4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90" fillId="0" borderId="21" xfId="0" applyFont="1" applyBorder="1" applyAlignment="1">
      <alignment horizontal="center" vertical="center"/>
    </xf>
    <xf numFmtId="0" fontId="90" fillId="0" borderId="30" xfId="0" applyFont="1" applyBorder="1" applyAlignment="1">
      <alignment horizontal="center" vertical="center"/>
    </xf>
    <xf numFmtId="0" fontId="90" fillId="0" borderId="30" xfId="0" applyFont="1" applyBorder="1" applyAlignment="1">
      <alignment vertical="center"/>
    </xf>
    <xf numFmtId="0" fontId="47" fillId="0" borderId="22" xfId="0" applyFont="1" applyBorder="1" applyAlignment="1">
      <alignment horizontal="center" vertical="center"/>
    </xf>
    <xf numFmtId="0" fontId="47" fillId="0" borderId="20" xfId="0" applyFont="1" applyBorder="1" applyAlignment="1">
      <alignment vertical="center"/>
    </xf>
    <xf numFmtId="0" fontId="47" fillId="0" borderId="20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7" xfId="2"/>
  </cellStyles>
  <dxfs count="0"/>
  <tableStyles count="0" defaultTableStyle="TableStyleMedium2" defaultPivotStyle="PivotStyleMedium9"/>
  <colors>
    <mruColors>
      <color rgb="FFFFFF99"/>
      <color rgb="FF0066FF"/>
      <color rgb="FFEEF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R142"/>
  <sheetViews>
    <sheetView topLeftCell="A76" zoomScale="90" zoomScaleNormal="90" workbookViewId="0">
      <selection activeCell="D130" sqref="D130"/>
    </sheetView>
  </sheetViews>
  <sheetFormatPr defaultRowHeight="12.75" x14ac:dyDescent="0.2"/>
  <cols>
    <col min="1" max="1" width="27" style="5" customWidth="1"/>
    <col min="2" max="2" width="25.85546875" style="5" customWidth="1"/>
    <col min="3" max="3" width="12.85546875" style="5" customWidth="1"/>
    <col min="4" max="4" width="47.42578125" style="5" customWidth="1"/>
    <col min="5" max="5" width="15" style="5" customWidth="1"/>
    <col min="6" max="6" width="16.140625" style="5" bestFit="1" customWidth="1"/>
    <col min="7" max="7" width="17.85546875" style="5" bestFit="1" customWidth="1"/>
    <col min="8" max="8" width="17.28515625" style="5" bestFit="1" customWidth="1"/>
    <col min="9" max="9" width="20.42578125" style="5" bestFit="1" customWidth="1"/>
    <col min="10" max="10" width="16.140625" style="5" bestFit="1" customWidth="1"/>
    <col min="11" max="11" width="16.28515625" style="5" bestFit="1" customWidth="1"/>
    <col min="12" max="12" width="14.85546875" style="5" bestFit="1" customWidth="1"/>
    <col min="13" max="13" width="16.42578125" style="5" bestFit="1" customWidth="1"/>
    <col min="14" max="14" width="11.140625" style="5" bestFit="1" customWidth="1"/>
    <col min="15" max="15" width="15.7109375" style="5" bestFit="1" customWidth="1"/>
    <col min="16" max="16" width="18.5703125" style="5" bestFit="1" customWidth="1"/>
    <col min="17" max="17" width="14.42578125" style="5" bestFit="1" customWidth="1"/>
    <col min="18" max="18" width="12.85546875" style="5" bestFit="1" customWidth="1"/>
    <col min="19" max="16384" width="9.140625" style="5"/>
  </cols>
  <sheetData>
    <row r="1" spans="1:10" hidden="1" x14ac:dyDescent="0.2"/>
    <row r="2" spans="1:10" hidden="1" x14ac:dyDescent="0.2">
      <c r="A2" s="2" t="s">
        <v>16</v>
      </c>
      <c r="B2" s="3" t="s">
        <v>1</v>
      </c>
      <c r="C2" s="3" t="s">
        <v>17</v>
      </c>
      <c r="D2" s="3" t="s">
        <v>36</v>
      </c>
      <c r="E2" s="3" t="s">
        <v>52</v>
      </c>
      <c r="F2" s="3" t="s">
        <v>42</v>
      </c>
      <c r="G2" s="3" t="s">
        <v>10</v>
      </c>
      <c r="H2" s="3" t="s">
        <v>11</v>
      </c>
      <c r="I2" s="3" t="s">
        <v>18</v>
      </c>
      <c r="J2" s="89"/>
    </row>
    <row r="3" spans="1:10" hidden="1" x14ac:dyDescent="0.2">
      <c r="A3" s="8">
        <v>1000064267</v>
      </c>
      <c r="B3" s="4" t="s">
        <v>19</v>
      </c>
      <c r="C3" s="4" t="s">
        <v>20</v>
      </c>
      <c r="D3" s="4" t="s">
        <v>37</v>
      </c>
      <c r="E3" s="4" t="s">
        <v>34</v>
      </c>
      <c r="F3" s="4" t="s">
        <v>21</v>
      </c>
      <c r="G3" s="6">
        <v>40716</v>
      </c>
      <c r="H3" s="6">
        <v>41639</v>
      </c>
      <c r="I3" s="4" t="s">
        <v>401</v>
      </c>
      <c r="J3" s="74"/>
    </row>
    <row r="4" spans="1:10" hidden="1" x14ac:dyDescent="0.2">
      <c r="A4" s="8">
        <v>1000079359</v>
      </c>
      <c r="B4" s="18" t="s">
        <v>24</v>
      </c>
      <c r="C4" s="4" t="s">
        <v>20</v>
      </c>
      <c r="D4" s="4" t="s">
        <v>37</v>
      </c>
      <c r="E4" s="4" t="s">
        <v>34</v>
      </c>
      <c r="F4" s="4" t="s">
        <v>21</v>
      </c>
      <c r="G4" s="6">
        <v>41092</v>
      </c>
      <c r="H4" s="6">
        <v>41639</v>
      </c>
      <c r="I4" s="4" t="s">
        <v>690</v>
      </c>
      <c r="J4" s="74"/>
    </row>
    <row r="5" spans="1:10" hidden="1" x14ac:dyDescent="0.2">
      <c r="A5" s="8">
        <v>1000095233</v>
      </c>
      <c r="B5" s="18" t="s">
        <v>14</v>
      </c>
      <c r="C5" s="4" t="s">
        <v>20</v>
      </c>
      <c r="D5" s="4" t="s">
        <v>37</v>
      </c>
      <c r="E5" s="4" t="s">
        <v>34</v>
      </c>
      <c r="F5" s="4" t="s">
        <v>21</v>
      </c>
      <c r="G5" s="6">
        <v>41429</v>
      </c>
      <c r="H5" s="6">
        <v>41517</v>
      </c>
      <c r="I5" s="4" t="s">
        <v>694</v>
      </c>
      <c r="J5" s="74"/>
    </row>
    <row r="6" spans="1:10" hidden="1" x14ac:dyDescent="0.2">
      <c r="A6" s="8">
        <v>1000090711</v>
      </c>
      <c r="B6" s="18" t="s">
        <v>31</v>
      </c>
      <c r="C6" s="4" t="s">
        <v>20</v>
      </c>
      <c r="D6" s="4" t="s">
        <v>37</v>
      </c>
      <c r="E6" s="4" t="s">
        <v>34</v>
      </c>
      <c r="F6" s="4" t="s">
        <v>21</v>
      </c>
      <c r="G6" s="6">
        <v>41347</v>
      </c>
      <c r="H6" s="6">
        <v>41517</v>
      </c>
      <c r="I6" s="4" t="s">
        <v>51</v>
      </c>
      <c r="J6" s="74"/>
    </row>
    <row r="7" spans="1:10" hidden="1" x14ac:dyDescent="0.2">
      <c r="A7" s="19">
        <v>1000095634</v>
      </c>
      <c r="B7" s="18" t="s">
        <v>273</v>
      </c>
      <c r="C7" s="4" t="s">
        <v>20</v>
      </c>
      <c r="D7" s="4" t="s">
        <v>37</v>
      </c>
      <c r="E7" s="4" t="s">
        <v>34</v>
      </c>
      <c r="F7" s="4" t="s">
        <v>21</v>
      </c>
      <c r="G7" s="6">
        <v>41438</v>
      </c>
      <c r="H7" s="6">
        <v>41807</v>
      </c>
      <c r="I7" s="4" t="s">
        <v>342</v>
      </c>
      <c r="J7" s="74"/>
    </row>
    <row r="8" spans="1:10" hidden="1" x14ac:dyDescent="0.2">
      <c r="A8" s="8">
        <v>1000101107</v>
      </c>
      <c r="B8" s="18" t="s">
        <v>796</v>
      </c>
      <c r="C8" s="4"/>
      <c r="D8" s="4"/>
      <c r="E8" s="4"/>
      <c r="F8" s="4"/>
      <c r="G8" s="4"/>
      <c r="H8" s="4"/>
      <c r="I8" s="4" t="s">
        <v>797</v>
      </c>
      <c r="J8" s="74"/>
    </row>
    <row r="9" spans="1:10" hidden="1" x14ac:dyDescent="0.2">
      <c r="A9" s="87"/>
      <c r="B9" s="18"/>
      <c r="C9" s="20"/>
      <c r="D9" s="20"/>
      <c r="E9" s="20"/>
      <c r="F9" s="20"/>
      <c r="G9" s="20"/>
      <c r="H9" s="20"/>
      <c r="I9" s="20"/>
      <c r="J9" s="74"/>
    </row>
    <row r="10" spans="1:10" hidden="1" x14ac:dyDescent="0.2">
      <c r="A10" s="8">
        <v>1000083056</v>
      </c>
      <c r="B10" s="18" t="s">
        <v>25</v>
      </c>
      <c r="C10" s="4" t="s">
        <v>26</v>
      </c>
      <c r="D10" s="4" t="s">
        <v>38</v>
      </c>
      <c r="E10" s="4" t="s">
        <v>35</v>
      </c>
      <c r="F10" s="4" t="s">
        <v>21</v>
      </c>
      <c r="G10" s="6">
        <v>41183</v>
      </c>
      <c r="H10" s="6">
        <v>41790</v>
      </c>
      <c r="I10" s="4" t="s">
        <v>691</v>
      </c>
      <c r="J10" s="74"/>
    </row>
    <row r="11" spans="1:10" hidden="1" x14ac:dyDescent="0.2">
      <c r="A11" s="8">
        <v>1000089366</v>
      </c>
      <c r="B11" s="18" t="s">
        <v>30</v>
      </c>
      <c r="C11" s="4" t="s">
        <v>26</v>
      </c>
      <c r="D11" s="4" t="s">
        <v>38</v>
      </c>
      <c r="E11" s="4" t="s">
        <v>35</v>
      </c>
      <c r="F11" s="4" t="s">
        <v>21</v>
      </c>
      <c r="G11" s="6">
        <v>41319</v>
      </c>
      <c r="H11" s="6">
        <v>41467</v>
      </c>
      <c r="I11" s="4" t="s">
        <v>50</v>
      </c>
      <c r="J11" s="74"/>
    </row>
    <row r="12" spans="1:10" hidden="1" x14ac:dyDescent="0.2">
      <c r="A12" s="8">
        <v>1000092572</v>
      </c>
      <c r="B12" s="18" t="s">
        <v>32</v>
      </c>
      <c r="C12" s="4" t="s">
        <v>26</v>
      </c>
      <c r="D12" s="4" t="s">
        <v>38</v>
      </c>
      <c r="E12" s="4" t="s">
        <v>35</v>
      </c>
      <c r="F12" s="4" t="s">
        <v>21</v>
      </c>
      <c r="G12" s="6">
        <v>41373</v>
      </c>
      <c r="H12" s="6">
        <v>41578</v>
      </c>
      <c r="I12" s="4" t="s">
        <v>692</v>
      </c>
      <c r="J12" s="74"/>
    </row>
    <row r="13" spans="1:10" hidden="1" x14ac:dyDescent="0.2">
      <c r="A13" s="8">
        <v>1000094194</v>
      </c>
      <c r="B13" s="18" t="s">
        <v>33</v>
      </c>
      <c r="C13" s="4" t="s">
        <v>26</v>
      </c>
      <c r="D13" s="4" t="s">
        <v>38</v>
      </c>
      <c r="E13" s="4" t="s">
        <v>35</v>
      </c>
      <c r="F13" s="4" t="s">
        <v>21</v>
      </c>
      <c r="G13" s="6">
        <v>41407</v>
      </c>
      <c r="H13" s="6">
        <v>41455</v>
      </c>
      <c r="I13" s="4" t="s">
        <v>693</v>
      </c>
      <c r="J13" s="74"/>
    </row>
    <row r="14" spans="1:10" hidden="1" x14ac:dyDescent="0.2">
      <c r="A14" s="8"/>
      <c r="B14" s="18"/>
      <c r="C14" s="4"/>
      <c r="D14" s="4"/>
      <c r="E14" s="4"/>
      <c r="F14" s="4"/>
      <c r="G14" s="4"/>
      <c r="H14" s="4"/>
      <c r="I14" s="4"/>
      <c r="J14" s="74"/>
    </row>
    <row r="15" spans="1:10" hidden="1" x14ac:dyDescent="0.2">
      <c r="A15" s="8">
        <v>1000079357</v>
      </c>
      <c r="B15" s="18" t="s">
        <v>22</v>
      </c>
      <c r="C15" s="4" t="s">
        <v>20</v>
      </c>
      <c r="D15" s="4"/>
      <c r="E15" s="4"/>
      <c r="F15" s="4" t="s">
        <v>23</v>
      </c>
      <c r="G15" s="4"/>
      <c r="H15" s="4"/>
      <c r="I15" s="4"/>
      <c r="J15" s="74"/>
    </row>
    <row r="16" spans="1:10" hidden="1" x14ac:dyDescent="0.2">
      <c r="A16" s="8">
        <v>1000083667</v>
      </c>
      <c r="B16" s="18" t="s">
        <v>27</v>
      </c>
      <c r="C16" s="4" t="s">
        <v>26</v>
      </c>
      <c r="D16" s="4"/>
      <c r="E16" s="4"/>
      <c r="F16" s="4" t="s">
        <v>23</v>
      </c>
      <c r="G16" s="4"/>
      <c r="H16" s="4"/>
      <c r="I16" s="4"/>
      <c r="J16" s="74"/>
    </row>
    <row r="17" spans="1:18" hidden="1" x14ac:dyDescent="0.2">
      <c r="A17" s="8">
        <v>1000083948</v>
      </c>
      <c r="B17" s="18" t="s">
        <v>28</v>
      </c>
      <c r="C17" s="4" t="s">
        <v>26</v>
      </c>
      <c r="D17" s="4"/>
      <c r="E17" s="4"/>
      <c r="F17" s="4" t="s">
        <v>23</v>
      </c>
      <c r="G17" s="4"/>
      <c r="H17" s="4"/>
      <c r="I17" s="4"/>
      <c r="J17" s="74"/>
    </row>
    <row r="18" spans="1:18" hidden="1" x14ac:dyDescent="0.2">
      <c r="A18" s="8">
        <v>1000087890</v>
      </c>
      <c r="B18" s="18" t="s">
        <v>29</v>
      </c>
      <c r="C18" s="4" t="s">
        <v>26</v>
      </c>
      <c r="D18" s="4"/>
      <c r="E18" s="4"/>
      <c r="F18" s="4" t="s">
        <v>23</v>
      </c>
      <c r="G18" s="4"/>
      <c r="H18" s="4"/>
      <c r="I18" s="4"/>
      <c r="J18" s="74"/>
    </row>
    <row r="19" spans="1:18" hidden="1" x14ac:dyDescent="0.2">
      <c r="A19" s="88"/>
      <c r="B19" s="73"/>
      <c r="C19" s="74"/>
      <c r="D19" s="74"/>
      <c r="E19" s="74"/>
      <c r="F19" s="74"/>
      <c r="G19" s="74"/>
      <c r="H19" s="74"/>
      <c r="I19" s="74"/>
      <c r="J19" s="74"/>
    </row>
    <row r="20" spans="1:18" hidden="1" x14ac:dyDescent="0.2">
      <c r="A20" s="88">
        <v>1000101195</v>
      </c>
      <c r="B20" s="73" t="s">
        <v>794</v>
      </c>
      <c r="C20" s="74">
        <v>1223373</v>
      </c>
      <c r="D20" s="74" t="s">
        <v>795</v>
      </c>
      <c r="E20" s="74"/>
      <c r="F20" s="74"/>
      <c r="G20" s="74"/>
      <c r="H20" s="74"/>
      <c r="I20" s="74"/>
      <c r="J20" s="74"/>
    </row>
    <row r="21" spans="1:18" hidden="1" x14ac:dyDescent="0.2"/>
    <row r="22" spans="1:18" hidden="1" x14ac:dyDescent="0.2"/>
    <row r="23" spans="1:18" hidden="1" x14ac:dyDescent="0.2">
      <c r="A23" s="789" t="s">
        <v>266</v>
      </c>
      <c r="B23" s="790" t="s">
        <v>281</v>
      </c>
      <c r="C23" s="790" t="s">
        <v>45</v>
      </c>
      <c r="D23" s="790" t="s">
        <v>44</v>
      </c>
      <c r="E23" s="790" t="s">
        <v>46</v>
      </c>
      <c r="F23" s="790" t="s">
        <v>1024</v>
      </c>
      <c r="G23" s="792" t="s">
        <v>282</v>
      </c>
      <c r="H23" s="793"/>
      <c r="I23" s="794"/>
      <c r="J23" s="792" t="s">
        <v>98</v>
      </c>
      <c r="K23" s="793"/>
      <c r="L23" s="794"/>
      <c r="M23" s="783" t="s">
        <v>283</v>
      </c>
      <c r="N23" s="783"/>
      <c r="O23" s="783"/>
      <c r="P23" s="783" t="s">
        <v>854</v>
      </c>
      <c r="Q23" s="783"/>
      <c r="R23" s="783"/>
    </row>
    <row r="24" spans="1:18" hidden="1" x14ac:dyDescent="0.2">
      <c r="A24" s="789"/>
      <c r="B24" s="790"/>
      <c r="C24" s="790"/>
      <c r="D24" s="790"/>
      <c r="E24" s="790"/>
      <c r="F24" s="790"/>
      <c r="G24" s="111" t="s">
        <v>272</v>
      </c>
      <c r="H24" s="111" t="s">
        <v>48</v>
      </c>
      <c r="I24" s="111" t="s">
        <v>47</v>
      </c>
      <c r="J24" s="111" t="s">
        <v>284</v>
      </c>
      <c r="K24" s="114" t="s">
        <v>852</v>
      </c>
      <c r="L24" s="114" t="s">
        <v>853</v>
      </c>
      <c r="M24" s="111" t="s">
        <v>1025</v>
      </c>
      <c r="N24" s="111" t="s">
        <v>1026</v>
      </c>
      <c r="O24" s="111" t="s">
        <v>508</v>
      </c>
      <c r="P24" s="111" t="s">
        <v>1027</v>
      </c>
      <c r="Q24" s="111" t="s">
        <v>1028</v>
      </c>
      <c r="R24" s="111" t="s">
        <v>1029</v>
      </c>
    </row>
    <row r="25" spans="1:18" hidden="1" x14ac:dyDescent="0.2">
      <c r="A25" s="78">
        <v>1</v>
      </c>
      <c r="B25" s="79" t="s">
        <v>285</v>
      </c>
      <c r="C25" s="112" t="s">
        <v>78</v>
      </c>
      <c r="D25" s="112" t="s">
        <v>304</v>
      </c>
      <c r="E25" s="784" t="s">
        <v>1030</v>
      </c>
      <c r="F25" s="785"/>
      <c r="G25" s="786" t="s">
        <v>6</v>
      </c>
      <c r="H25" s="786"/>
      <c r="I25" s="786"/>
      <c r="J25" s="784" t="s">
        <v>286</v>
      </c>
      <c r="K25" s="787"/>
      <c r="L25" s="787"/>
      <c r="M25" s="788" t="s">
        <v>287</v>
      </c>
      <c r="N25" s="788"/>
      <c r="O25" s="788"/>
      <c r="P25" s="788"/>
      <c r="Q25" s="788"/>
      <c r="R25" s="788"/>
    </row>
    <row r="26" spans="1:18" ht="25.5" hidden="1" x14ac:dyDescent="0.2">
      <c r="A26" s="78">
        <v>2</v>
      </c>
      <c r="B26" s="79" t="s">
        <v>279</v>
      </c>
      <c r="C26" s="112" t="s">
        <v>73</v>
      </c>
      <c r="D26" s="112" t="s">
        <v>83</v>
      </c>
      <c r="E26" s="112" t="s">
        <v>288</v>
      </c>
      <c r="F26" s="112" t="s">
        <v>1031</v>
      </c>
      <c r="G26" s="112" t="s">
        <v>63</v>
      </c>
      <c r="H26" s="112" t="s">
        <v>69</v>
      </c>
      <c r="I26" s="112" t="s">
        <v>66</v>
      </c>
      <c r="J26" s="80" t="s">
        <v>509</v>
      </c>
      <c r="K26" s="81" t="s">
        <v>1032</v>
      </c>
      <c r="L26" s="81" t="s">
        <v>1033</v>
      </c>
      <c r="M26" s="80" t="s">
        <v>510</v>
      </c>
      <c r="N26" s="80" t="s">
        <v>1034</v>
      </c>
      <c r="O26" s="112" t="s">
        <v>267</v>
      </c>
      <c r="P26" s="112" t="s">
        <v>1035</v>
      </c>
      <c r="Q26" s="112"/>
      <c r="R26" s="112" t="s">
        <v>1036</v>
      </c>
    </row>
    <row r="27" spans="1:18" ht="15" hidden="1" x14ac:dyDescent="0.25">
      <c r="A27" s="78">
        <v>3</v>
      </c>
      <c r="B27" s="79" t="s">
        <v>271</v>
      </c>
      <c r="C27" s="112" t="s">
        <v>57</v>
      </c>
      <c r="D27" s="112" t="s">
        <v>304</v>
      </c>
      <c r="E27" s="784" t="s">
        <v>76</v>
      </c>
      <c r="F27" s="785"/>
      <c r="G27" s="80" t="s">
        <v>86</v>
      </c>
      <c r="H27" s="112" t="s">
        <v>65</v>
      </c>
      <c r="I27" s="80" t="s">
        <v>86</v>
      </c>
      <c r="J27" s="112" t="s">
        <v>61</v>
      </c>
      <c r="K27" s="113" t="s">
        <v>7</v>
      </c>
      <c r="L27" s="115" t="s">
        <v>1037</v>
      </c>
      <c r="M27" s="112" t="s">
        <v>1076</v>
      </c>
      <c r="N27" s="112" t="s">
        <v>1038</v>
      </c>
      <c r="O27" s="112" t="s">
        <v>77</v>
      </c>
      <c r="P27" s="80" t="s">
        <v>58</v>
      </c>
      <c r="Q27" s="116" t="s">
        <v>1039</v>
      </c>
      <c r="R27" s="112"/>
    </row>
    <row r="28" spans="1:18" ht="25.5" hidden="1" x14ac:dyDescent="0.25">
      <c r="A28" s="78">
        <v>4</v>
      </c>
      <c r="B28" s="79" t="s">
        <v>289</v>
      </c>
      <c r="C28" s="112" t="s">
        <v>290</v>
      </c>
      <c r="D28" s="112" t="s">
        <v>75</v>
      </c>
      <c r="E28" s="112" t="s">
        <v>518</v>
      </c>
      <c r="F28" s="112" t="s">
        <v>1040</v>
      </c>
      <c r="G28" s="112" t="s">
        <v>59</v>
      </c>
      <c r="H28" s="112" t="s">
        <v>70</v>
      </c>
      <c r="I28" s="112" t="s">
        <v>60</v>
      </c>
      <c r="J28" s="80" t="s">
        <v>62</v>
      </c>
      <c r="K28" s="81" t="s">
        <v>295</v>
      </c>
      <c r="L28" s="81" t="s">
        <v>296</v>
      </c>
      <c r="M28" s="80" t="s">
        <v>79</v>
      </c>
      <c r="N28" s="117"/>
      <c r="O28" s="80" t="s">
        <v>304</v>
      </c>
      <c r="P28" s="80" t="s">
        <v>1041</v>
      </c>
      <c r="Q28" t="s">
        <v>1042</v>
      </c>
      <c r="R28" s="80" t="s">
        <v>1043</v>
      </c>
    </row>
    <row r="29" spans="1:18" ht="15" hidden="1" x14ac:dyDescent="0.25">
      <c r="A29" s="78">
        <v>5</v>
      </c>
      <c r="B29" s="79" t="s">
        <v>289</v>
      </c>
      <c r="C29" s="112" t="s">
        <v>291</v>
      </c>
      <c r="D29" s="112" t="s">
        <v>72</v>
      </c>
      <c r="E29" s="112" t="s">
        <v>293</v>
      </c>
      <c r="F29" s="112" t="s">
        <v>1044</v>
      </c>
      <c r="G29" s="112" t="s">
        <v>292</v>
      </c>
      <c r="H29" s="112" t="s">
        <v>82</v>
      </c>
      <c r="I29" s="112" t="s">
        <v>64</v>
      </c>
      <c r="J29" s="112" t="s">
        <v>53</v>
      </c>
      <c r="K29" s="113" t="s">
        <v>1045</v>
      </c>
      <c r="L29" s="81" t="s">
        <v>304</v>
      </c>
      <c r="M29" s="112" t="s">
        <v>85</v>
      </c>
      <c r="N29" s="117"/>
      <c r="O29" s="80" t="s">
        <v>304</v>
      </c>
      <c r="P29" t="s">
        <v>1046</v>
      </c>
      <c r="Q29"/>
      <c r="R29" s="117"/>
    </row>
    <row r="30" spans="1:18" hidden="1" x14ac:dyDescent="0.2">
      <c r="A30" s="78">
        <v>6</v>
      </c>
      <c r="B30" s="79" t="s">
        <v>289</v>
      </c>
      <c r="C30" s="112" t="s">
        <v>68</v>
      </c>
      <c r="D30" s="112" t="s">
        <v>81</v>
      </c>
      <c r="E30" s="118" t="s">
        <v>1047</v>
      </c>
      <c r="F30" s="118" t="s">
        <v>1048</v>
      </c>
      <c r="G30" s="112" t="s">
        <v>294</v>
      </c>
      <c r="H30" s="80" t="s">
        <v>1049</v>
      </c>
      <c r="I30" s="80" t="s">
        <v>84</v>
      </c>
      <c r="J30" s="112" t="s">
        <v>1050</v>
      </c>
      <c r="K30" s="118" t="s">
        <v>1051</v>
      </c>
      <c r="L30" s="81" t="s">
        <v>304</v>
      </c>
      <c r="M30" s="112" t="s">
        <v>511</v>
      </c>
      <c r="N30" s="117"/>
      <c r="O30" s="80" t="s">
        <v>304</v>
      </c>
      <c r="P30" s="117"/>
      <c r="Q30" s="117"/>
      <c r="R30" s="117"/>
    </row>
    <row r="31" spans="1:18" ht="15" hidden="1" x14ac:dyDescent="0.25">
      <c r="A31" s="78">
        <v>7</v>
      </c>
      <c r="B31" s="79" t="s">
        <v>297</v>
      </c>
      <c r="C31" s="112" t="s">
        <v>71</v>
      </c>
      <c r="D31" s="112" t="s">
        <v>55</v>
      </c>
      <c r="E31" s="112" t="s">
        <v>516</v>
      </c>
      <c r="F31" s="112" t="s">
        <v>74</v>
      </c>
      <c r="G31" s="112" t="s">
        <v>298</v>
      </c>
      <c r="H31" s="112" t="s">
        <v>512</v>
      </c>
      <c r="I31" s="112" t="s">
        <v>80</v>
      </c>
      <c r="J31" s="80" t="s">
        <v>301</v>
      </c>
      <c r="K31" s="81" t="s">
        <v>513</v>
      </c>
      <c r="L31" s="81" t="s">
        <v>1052</v>
      </c>
      <c r="M31" s="80" t="s">
        <v>56</v>
      </c>
      <c r="N31" s="80" t="s">
        <v>1053</v>
      </c>
      <c r="O31" s="80" t="s">
        <v>304</v>
      </c>
      <c r="P31" s="80" t="s">
        <v>1054</v>
      </c>
      <c r="Q31" s="110" t="s">
        <v>1055</v>
      </c>
      <c r="R31" s="117"/>
    </row>
    <row r="32" spans="1:18" ht="15" hidden="1" x14ac:dyDescent="0.25">
      <c r="A32" s="78">
        <v>8</v>
      </c>
      <c r="B32" s="79" t="s">
        <v>297</v>
      </c>
      <c r="C32" s="80" t="s">
        <v>514</v>
      </c>
      <c r="D32" s="80" t="s">
        <v>515</v>
      </c>
      <c r="E32" s="112" t="s">
        <v>1056</v>
      </c>
      <c r="F32" s="80" t="s">
        <v>1057</v>
      </c>
      <c r="G32" s="112" t="s">
        <v>299</v>
      </c>
      <c r="H32" s="112" t="s">
        <v>300</v>
      </c>
      <c r="I32" s="112" t="s">
        <v>445</v>
      </c>
      <c r="J32" s="80" t="s">
        <v>1058</v>
      </c>
      <c r="K32" s="80" t="s">
        <v>1059</v>
      </c>
      <c r="L32" s="81" t="s">
        <v>304</v>
      </c>
      <c r="M32" s="80" t="s">
        <v>517</v>
      </c>
      <c r="N32" s="80" t="s">
        <v>304</v>
      </c>
      <c r="O32" s="80" t="s">
        <v>304</v>
      </c>
      <c r="P32" s="80" t="s">
        <v>1060</v>
      </c>
      <c r="Q32" s="110" t="s">
        <v>1061</v>
      </c>
      <c r="R32" s="117"/>
    </row>
    <row r="33" spans="1:18" ht="15" hidden="1" x14ac:dyDescent="0.25">
      <c r="A33" s="78">
        <v>9</v>
      </c>
      <c r="B33" s="79" t="s">
        <v>297</v>
      </c>
      <c r="C33" s="117"/>
      <c r="D33" s="80" t="s">
        <v>304</v>
      </c>
      <c r="E33" s="80" t="s">
        <v>304</v>
      </c>
      <c r="F33" s="80" t="s">
        <v>304</v>
      </c>
      <c r="G33" s="80" t="s">
        <v>304</v>
      </c>
      <c r="H33" s="80" t="s">
        <v>304</v>
      </c>
      <c r="I33" s="80" t="s">
        <v>304</v>
      </c>
      <c r="J33" s="80" t="s">
        <v>304</v>
      </c>
      <c r="K33" s="80" t="s">
        <v>304</v>
      </c>
      <c r="L33" s="80" t="s">
        <v>304</v>
      </c>
      <c r="M33" s="80" t="s">
        <v>304</v>
      </c>
      <c r="N33" s="80" t="s">
        <v>304</v>
      </c>
      <c r="O33" s="80" t="s">
        <v>304</v>
      </c>
      <c r="P33" s="110" t="s">
        <v>1062</v>
      </c>
      <c r="Q33" s="110"/>
      <c r="R33" s="117"/>
    </row>
    <row r="34" spans="1:18" hidden="1" x14ac:dyDescent="0.2">
      <c r="A34" s="78">
        <v>10</v>
      </c>
      <c r="B34" s="79" t="s">
        <v>297</v>
      </c>
      <c r="C34" s="117"/>
      <c r="D34" s="80" t="s">
        <v>304</v>
      </c>
      <c r="E34" s="80" t="s">
        <v>304</v>
      </c>
      <c r="F34" s="80" t="s">
        <v>304</v>
      </c>
      <c r="G34" s="80" t="s">
        <v>304</v>
      </c>
      <c r="H34" s="80" t="s">
        <v>304</v>
      </c>
      <c r="I34" s="80" t="s">
        <v>304</v>
      </c>
      <c r="J34" s="80" t="s">
        <v>304</v>
      </c>
      <c r="K34" s="80" t="s">
        <v>304</v>
      </c>
      <c r="L34" s="80" t="s">
        <v>304</v>
      </c>
      <c r="M34" s="80" t="s">
        <v>304</v>
      </c>
      <c r="N34" s="80" t="s">
        <v>304</v>
      </c>
      <c r="O34" s="80" t="s">
        <v>304</v>
      </c>
      <c r="P34" s="119" t="s">
        <v>1063</v>
      </c>
      <c r="Q34" s="80"/>
      <c r="R34" s="117"/>
    </row>
    <row r="35" spans="1:18" hidden="1" x14ac:dyDescent="0.2">
      <c r="A35" s="78">
        <v>11</v>
      </c>
      <c r="B35" s="79" t="s">
        <v>303</v>
      </c>
      <c r="C35" s="120"/>
      <c r="D35" s="112" t="s">
        <v>304</v>
      </c>
      <c r="E35" s="112" t="s">
        <v>1064</v>
      </c>
      <c r="F35" s="118" t="s">
        <v>304</v>
      </c>
      <c r="G35" s="121"/>
      <c r="H35" s="121"/>
      <c r="I35" s="80" t="s">
        <v>54</v>
      </c>
      <c r="J35" s="121"/>
      <c r="K35" s="113" t="s">
        <v>1065</v>
      </c>
      <c r="L35" s="80" t="s">
        <v>304</v>
      </c>
      <c r="M35" s="80" t="s">
        <v>304</v>
      </c>
      <c r="N35" s="80" t="s">
        <v>304</v>
      </c>
      <c r="O35" s="80" t="s">
        <v>304</v>
      </c>
      <c r="P35" s="80" t="s">
        <v>1066</v>
      </c>
      <c r="Q35" s="80"/>
      <c r="R35" s="80" t="s">
        <v>304</v>
      </c>
    </row>
    <row r="36" spans="1:18" hidden="1" x14ac:dyDescent="0.2">
      <c r="A36" s="78">
        <v>12</v>
      </c>
      <c r="B36" s="79" t="s">
        <v>302</v>
      </c>
      <c r="C36" s="120"/>
      <c r="D36" s="112"/>
      <c r="E36" s="112"/>
      <c r="F36" s="112" t="s">
        <v>1067</v>
      </c>
      <c r="G36" s="121"/>
      <c r="H36" s="117"/>
      <c r="I36" s="117"/>
      <c r="J36" s="121"/>
      <c r="K36" s="113"/>
      <c r="L36" s="80"/>
      <c r="M36" s="80"/>
      <c r="N36" s="80"/>
      <c r="O36" s="80"/>
      <c r="P36" s="80" t="s">
        <v>1068</v>
      </c>
      <c r="Q36" s="80"/>
      <c r="R36" s="80"/>
    </row>
    <row r="37" spans="1:18" hidden="1" x14ac:dyDescent="0.2">
      <c r="A37" s="78">
        <v>13</v>
      </c>
      <c r="B37" s="79" t="s">
        <v>305</v>
      </c>
      <c r="C37" s="82" t="s">
        <v>67</v>
      </c>
      <c r="D37" s="122"/>
      <c r="E37" s="122"/>
      <c r="F37" s="122"/>
      <c r="G37" s="786" t="s">
        <v>1069</v>
      </c>
      <c r="H37" s="786"/>
      <c r="I37" s="786"/>
      <c r="J37" s="122"/>
      <c r="K37" s="122"/>
      <c r="L37" s="122"/>
      <c r="M37" s="122"/>
      <c r="N37" s="122"/>
      <c r="O37" s="122"/>
      <c r="P37" s="122"/>
      <c r="Q37" s="122"/>
      <c r="R37" s="123"/>
    </row>
    <row r="38" spans="1:18" hidden="1" x14ac:dyDescent="0.2"/>
    <row r="39" spans="1:18" hidden="1" x14ac:dyDescent="0.2"/>
    <row r="40" spans="1:18" hidden="1" x14ac:dyDescent="0.2"/>
    <row r="41" spans="1:18" hidden="1" x14ac:dyDescent="0.2">
      <c r="A41" s="9" t="s">
        <v>43</v>
      </c>
      <c r="C41" s="5" t="s">
        <v>171</v>
      </c>
      <c r="D41" s="5" t="s">
        <v>176</v>
      </c>
      <c r="E41" s="5" t="s">
        <v>171</v>
      </c>
      <c r="F41" s="791" t="s">
        <v>161</v>
      </c>
      <c r="G41" s="791"/>
      <c r="H41" s="791"/>
      <c r="I41" s="5" t="s">
        <v>176</v>
      </c>
      <c r="K41" s="5" t="s">
        <v>176</v>
      </c>
      <c r="L41" s="5" t="s">
        <v>323</v>
      </c>
    </row>
    <row r="42" spans="1:18" hidden="1" x14ac:dyDescent="0.2"/>
    <row r="43" spans="1:18" hidden="1" x14ac:dyDescent="0.2"/>
    <row r="44" spans="1:18" hidden="1" x14ac:dyDescent="0.2">
      <c r="B44" s="5" t="s">
        <v>324</v>
      </c>
      <c r="C44" s="5" t="s">
        <v>322</v>
      </c>
    </row>
    <row r="45" spans="1:18" hidden="1" x14ac:dyDescent="0.2">
      <c r="B45" s="5" t="s">
        <v>32</v>
      </c>
      <c r="C45" s="5" t="s">
        <v>136</v>
      </c>
    </row>
    <row r="46" spans="1:18" hidden="1" x14ac:dyDescent="0.2">
      <c r="B46" s="5" t="s">
        <v>31</v>
      </c>
      <c r="C46" s="5" t="s">
        <v>136</v>
      </c>
    </row>
    <row r="47" spans="1:18" hidden="1" x14ac:dyDescent="0.2">
      <c r="B47" s="5" t="s">
        <v>325</v>
      </c>
      <c r="C47" s="5" t="s">
        <v>322</v>
      </c>
    </row>
    <row r="48" spans="1:18" hidden="1" x14ac:dyDescent="0.2">
      <c r="B48" s="5" t="s">
        <v>330</v>
      </c>
      <c r="C48" s="5" t="s">
        <v>322</v>
      </c>
    </row>
    <row r="49" spans="1:6" hidden="1" x14ac:dyDescent="0.2"/>
    <row r="50" spans="1:6" hidden="1" x14ac:dyDescent="0.2"/>
    <row r="52" spans="1:6" x14ac:dyDescent="0.2">
      <c r="A52" s="9" t="s">
        <v>486</v>
      </c>
      <c r="B52" s="5" t="s">
        <v>491</v>
      </c>
    </row>
    <row r="53" spans="1:6" x14ac:dyDescent="0.2">
      <c r="A53" s="9" t="s">
        <v>487</v>
      </c>
      <c r="B53" s="5" t="s">
        <v>489</v>
      </c>
    </row>
    <row r="54" spans="1:6" x14ac:dyDescent="0.2">
      <c r="A54" s="9" t="s">
        <v>488</v>
      </c>
      <c r="B54" s="5" t="s">
        <v>490</v>
      </c>
    </row>
    <row r="56" spans="1:6" x14ac:dyDescent="0.2">
      <c r="F56" s="72"/>
    </row>
    <row r="57" spans="1:6" x14ac:dyDescent="0.2">
      <c r="F57" s="72"/>
    </row>
    <row r="58" spans="1:6" x14ac:dyDescent="0.2">
      <c r="A58" s="674" t="s">
        <v>3735</v>
      </c>
      <c r="B58" s="674" t="s">
        <v>3736</v>
      </c>
      <c r="C58" s="674" t="s">
        <v>2830</v>
      </c>
      <c r="F58" s="72"/>
    </row>
    <row r="59" spans="1:6" x14ac:dyDescent="0.2">
      <c r="A59" s="675" t="s">
        <v>931</v>
      </c>
      <c r="B59" s="675" t="s">
        <v>919</v>
      </c>
      <c r="C59" s="675">
        <v>119</v>
      </c>
      <c r="F59" s="72"/>
    </row>
    <row r="60" spans="1:6" x14ac:dyDescent="0.2">
      <c r="A60" s="675" t="s">
        <v>922</v>
      </c>
      <c r="B60" s="675" t="s">
        <v>919</v>
      </c>
      <c r="C60" s="675">
        <v>122</v>
      </c>
      <c r="F60" s="72"/>
    </row>
    <row r="61" spans="1:6" x14ac:dyDescent="0.2">
      <c r="A61" s="675" t="s">
        <v>920</v>
      </c>
      <c r="B61" s="675" t="s">
        <v>918</v>
      </c>
      <c r="C61" s="675">
        <v>131</v>
      </c>
      <c r="F61" s="72"/>
    </row>
    <row r="62" spans="1:6" x14ac:dyDescent="0.2">
      <c r="A62" s="675" t="s">
        <v>935</v>
      </c>
      <c r="B62" s="675" t="s">
        <v>919</v>
      </c>
      <c r="C62" s="675">
        <v>133</v>
      </c>
      <c r="F62" s="72"/>
    </row>
    <row r="63" spans="1:6" x14ac:dyDescent="0.2">
      <c r="A63" s="675" t="s">
        <v>3737</v>
      </c>
      <c r="B63" s="675" t="s">
        <v>919</v>
      </c>
      <c r="C63" s="675">
        <v>140</v>
      </c>
      <c r="F63" s="72"/>
    </row>
    <row r="64" spans="1:6" x14ac:dyDescent="0.2">
      <c r="A64" s="675" t="s">
        <v>271</v>
      </c>
      <c r="B64" s="675" t="s">
        <v>919</v>
      </c>
      <c r="C64" s="675">
        <v>146</v>
      </c>
      <c r="F64" s="72"/>
    </row>
    <row r="65" spans="1:6" x14ac:dyDescent="0.2">
      <c r="A65" s="675" t="s">
        <v>2899</v>
      </c>
      <c r="B65" s="675" t="s">
        <v>919</v>
      </c>
      <c r="C65" s="675">
        <v>150</v>
      </c>
      <c r="F65" s="72"/>
    </row>
    <row r="66" spans="1:6" ht="15" customHeight="1" x14ac:dyDescent="0.2">
      <c r="A66" s="675" t="s">
        <v>934</v>
      </c>
      <c r="B66" s="675" t="s">
        <v>919</v>
      </c>
      <c r="C66" s="675">
        <v>156</v>
      </c>
      <c r="F66" s="72"/>
    </row>
    <row r="67" spans="1:6" x14ac:dyDescent="0.2">
      <c r="A67" s="675" t="s">
        <v>929</v>
      </c>
      <c r="B67" s="675" t="s">
        <v>919</v>
      </c>
      <c r="C67" s="675">
        <v>158</v>
      </c>
      <c r="F67" s="72"/>
    </row>
    <row r="68" spans="1:6" x14ac:dyDescent="0.2">
      <c r="A68" s="675" t="s">
        <v>926</v>
      </c>
      <c r="B68" s="675" t="s">
        <v>918</v>
      </c>
      <c r="C68" s="675">
        <v>166</v>
      </c>
      <c r="F68" s="72"/>
    </row>
    <row r="69" spans="1:6" x14ac:dyDescent="0.2">
      <c r="A69" s="675" t="s">
        <v>930</v>
      </c>
      <c r="B69" s="675" t="s">
        <v>919</v>
      </c>
      <c r="C69" s="675">
        <v>168</v>
      </c>
      <c r="F69" s="72"/>
    </row>
    <row r="70" spans="1:6" x14ac:dyDescent="0.2">
      <c r="A70" s="675" t="s">
        <v>924</v>
      </c>
      <c r="B70" s="675" t="s">
        <v>919</v>
      </c>
      <c r="C70" s="675">
        <v>177</v>
      </c>
      <c r="F70" s="72"/>
    </row>
    <row r="71" spans="1:6" x14ac:dyDescent="0.2">
      <c r="A71" s="675" t="s">
        <v>925</v>
      </c>
      <c r="B71" s="675" t="s">
        <v>919</v>
      </c>
      <c r="C71" s="675">
        <v>179</v>
      </c>
      <c r="F71" s="72"/>
    </row>
    <row r="72" spans="1:6" x14ac:dyDescent="0.2">
      <c r="A72" s="675" t="s">
        <v>936</v>
      </c>
      <c r="B72" s="675" t="s">
        <v>919</v>
      </c>
      <c r="C72" s="675">
        <v>188</v>
      </c>
    </row>
    <row r="73" spans="1:6" x14ac:dyDescent="0.2">
      <c r="A73" s="675" t="s">
        <v>928</v>
      </c>
      <c r="B73" s="675" t="s">
        <v>919</v>
      </c>
      <c r="C73" s="675">
        <v>198</v>
      </c>
    </row>
    <row r="74" spans="1:6" x14ac:dyDescent="0.2">
      <c r="A74" s="675" t="s">
        <v>931</v>
      </c>
      <c r="B74" s="675" t="s">
        <v>923</v>
      </c>
      <c r="C74" s="675">
        <v>356</v>
      </c>
    </row>
    <row r="75" spans="1:6" x14ac:dyDescent="0.2">
      <c r="A75" s="675" t="s">
        <v>929</v>
      </c>
      <c r="B75" s="675" t="s">
        <v>923</v>
      </c>
      <c r="C75" s="675">
        <v>422</v>
      </c>
    </row>
    <row r="76" spans="1:6" x14ac:dyDescent="0.2">
      <c r="A76" s="675" t="s">
        <v>932</v>
      </c>
      <c r="B76" s="675" t="s">
        <v>923</v>
      </c>
      <c r="C76" s="675">
        <v>435</v>
      </c>
    </row>
    <row r="77" spans="1:6" x14ac:dyDescent="0.2">
      <c r="A77" s="675" t="s">
        <v>925</v>
      </c>
      <c r="B77" s="675" t="s">
        <v>923</v>
      </c>
      <c r="C77" s="675">
        <v>447</v>
      </c>
    </row>
    <row r="78" spans="1:6" x14ac:dyDescent="0.2">
      <c r="A78" s="675" t="s">
        <v>4621</v>
      </c>
      <c r="B78" s="675" t="s">
        <v>923</v>
      </c>
      <c r="C78" s="675">
        <v>453</v>
      </c>
    </row>
    <row r="79" spans="1:6" x14ac:dyDescent="0.2">
      <c r="A79" s="675" t="s">
        <v>927</v>
      </c>
      <c r="B79" s="675" t="s">
        <v>923</v>
      </c>
      <c r="C79" s="675">
        <v>463</v>
      </c>
    </row>
    <row r="80" spans="1:6" x14ac:dyDescent="0.2">
      <c r="A80" s="675" t="s">
        <v>930</v>
      </c>
      <c r="B80" s="675" t="s">
        <v>923</v>
      </c>
      <c r="C80" s="675">
        <v>471</v>
      </c>
    </row>
    <row r="81" spans="1:4" x14ac:dyDescent="0.2">
      <c r="A81" s="675" t="s">
        <v>933</v>
      </c>
      <c r="B81" s="675" t="s">
        <v>923</v>
      </c>
      <c r="C81" s="675">
        <v>472</v>
      </c>
    </row>
    <row r="82" spans="1:4" x14ac:dyDescent="0.2">
      <c r="A82" s="675" t="s">
        <v>921</v>
      </c>
      <c r="B82" s="675" t="s">
        <v>918</v>
      </c>
      <c r="C82" s="675">
        <v>479</v>
      </c>
    </row>
    <row r="83" spans="1:4" x14ac:dyDescent="0.2">
      <c r="A83" s="675" t="s">
        <v>922</v>
      </c>
      <c r="B83" s="675" t="s">
        <v>923</v>
      </c>
      <c r="C83" s="675">
        <v>488</v>
      </c>
    </row>
    <row r="84" spans="1:4" x14ac:dyDescent="0.2">
      <c r="A84" s="675" t="s">
        <v>934</v>
      </c>
      <c r="B84" s="675" t="s">
        <v>923</v>
      </c>
      <c r="C84" s="675">
        <v>489</v>
      </c>
    </row>
    <row r="85" spans="1:4" x14ac:dyDescent="0.2">
      <c r="A85" s="675" t="s">
        <v>4162</v>
      </c>
      <c r="B85" s="675" t="s">
        <v>923</v>
      </c>
      <c r="C85" s="675">
        <v>493</v>
      </c>
    </row>
    <row r="86" spans="1:4" x14ac:dyDescent="0.2">
      <c r="A86" s="675" t="s">
        <v>4163</v>
      </c>
      <c r="B86" s="675" t="s">
        <v>923</v>
      </c>
      <c r="C86" s="675">
        <v>514</v>
      </c>
    </row>
    <row r="87" spans="1:4" x14ac:dyDescent="0.2">
      <c r="A87" s="675" t="s">
        <v>924</v>
      </c>
      <c r="B87" s="675" t="s">
        <v>923</v>
      </c>
      <c r="C87" s="675">
        <v>539</v>
      </c>
    </row>
    <row r="88" spans="1:4" x14ac:dyDescent="0.2">
      <c r="A88" s="675" t="s">
        <v>928</v>
      </c>
      <c r="B88" s="675" t="s">
        <v>923</v>
      </c>
      <c r="C88" s="675">
        <v>559</v>
      </c>
    </row>
    <row r="89" spans="1:4" x14ac:dyDescent="0.2">
      <c r="A89" s="675" t="s">
        <v>937</v>
      </c>
      <c r="B89" s="675" t="s">
        <v>923</v>
      </c>
      <c r="C89" s="675">
        <v>575</v>
      </c>
    </row>
    <row r="90" spans="1:4" x14ac:dyDescent="0.2">
      <c r="A90" s="675" t="s">
        <v>4036</v>
      </c>
      <c r="B90" s="675" t="s">
        <v>923</v>
      </c>
      <c r="C90" s="675">
        <v>1000</v>
      </c>
    </row>
    <row r="91" spans="1:4" x14ac:dyDescent="0.2">
      <c r="A91" s="11"/>
      <c r="B91" s="11"/>
      <c r="C91" s="11"/>
    </row>
    <row r="92" spans="1:4" hidden="1" x14ac:dyDescent="0.2">
      <c r="A92" s="11"/>
      <c r="B92" s="11"/>
      <c r="C92" s="11"/>
    </row>
    <row r="93" spans="1:4" hidden="1" x14ac:dyDescent="0.2"/>
    <row r="94" spans="1:4" ht="15" hidden="1" x14ac:dyDescent="0.25">
      <c r="A94" s="518" t="s">
        <v>2881</v>
      </c>
      <c r="B94" s="518" t="s">
        <v>2879</v>
      </c>
      <c r="C94" s="518" t="s">
        <v>2880</v>
      </c>
      <c r="D94" s="518" t="s">
        <v>2322</v>
      </c>
    </row>
    <row r="95" spans="1:4" hidden="1" x14ac:dyDescent="0.2">
      <c r="A95" s="512" t="s">
        <v>2860</v>
      </c>
      <c r="B95" s="512" t="s">
        <v>2861</v>
      </c>
      <c r="C95" s="513" t="s">
        <v>2862</v>
      </c>
      <c r="D95" s="516" t="s">
        <v>2863</v>
      </c>
    </row>
    <row r="96" spans="1:4" ht="25.5" hidden="1" x14ac:dyDescent="0.2">
      <c r="A96" s="514" t="s">
        <v>2864</v>
      </c>
      <c r="B96" s="514" t="s">
        <v>2865</v>
      </c>
      <c r="C96" s="515" t="s">
        <v>2866</v>
      </c>
      <c r="D96" s="517" t="s">
        <v>2878</v>
      </c>
    </row>
    <row r="97" spans="1:5" hidden="1" x14ac:dyDescent="0.2">
      <c r="A97" s="512" t="s">
        <v>2867</v>
      </c>
      <c r="B97" s="512" t="s">
        <v>2868</v>
      </c>
      <c r="C97" s="513" t="s">
        <v>2869</v>
      </c>
      <c r="D97" s="516" t="s">
        <v>2870</v>
      </c>
      <c r="E97" s="5" t="s">
        <v>3016</v>
      </c>
    </row>
    <row r="98" spans="1:5" hidden="1" x14ac:dyDescent="0.2">
      <c r="A98" s="512" t="s">
        <v>2882</v>
      </c>
      <c r="B98" s="512" t="s">
        <v>2871</v>
      </c>
      <c r="C98" s="513" t="s">
        <v>2872</v>
      </c>
      <c r="D98" s="516" t="s">
        <v>2873</v>
      </c>
    </row>
    <row r="99" spans="1:5" hidden="1" x14ac:dyDescent="0.2">
      <c r="A99" s="512" t="s">
        <v>2874</v>
      </c>
      <c r="B99" s="512" t="s">
        <v>2875</v>
      </c>
      <c r="C99" s="513" t="s">
        <v>2876</v>
      </c>
      <c r="D99" s="516" t="s">
        <v>2877</v>
      </c>
    </row>
    <row r="100" spans="1:5" x14ac:dyDescent="0.2">
      <c r="A100" s="497"/>
      <c r="B100" s="497"/>
      <c r="C100" s="493"/>
      <c r="D100" s="637"/>
    </row>
    <row r="102" spans="1:5" x14ac:dyDescent="0.2">
      <c r="A102" s="9" t="s">
        <v>3015</v>
      </c>
    </row>
    <row r="103" spans="1:5" ht="15" x14ac:dyDescent="0.25">
      <c r="A103" s="518" t="s">
        <v>2881</v>
      </c>
      <c r="B103" s="518" t="s">
        <v>2879</v>
      </c>
      <c r="C103" s="518" t="s">
        <v>2880</v>
      </c>
      <c r="D103" s="518" t="s">
        <v>2322</v>
      </c>
    </row>
    <row r="104" spans="1:5" s="38" customFormat="1" x14ac:dyDescent="0.2">
      <c r="A104" s="551" t="s">
        <v>2860</v>
      </c>
      <c r="B104" s="551" t="s">
        <v>2861</v>
      </c>
      <c r="C104" s="552" t="s">
        <v>2862</v>
      </c>
      <c r="D104" s="552" t="s">
        <v>2863</v>
      </c>
    </row>
    <row r="105" spans="1:5" s="38" customFormat="1" ht="34.5" customHeight="1" x14ac:dyDescent="0.2">
      <c r="A105" s="553" t="s">
        <v>2864</v>
      </c>
      <c r="B105" s="485" t="s">
        <v>2865</v>
      </c>
      <c r="C105" s="554" t="s">
        <v>2866</v>
      </c>
      <c r="D105" s="554" t="s">
        <v>2878</v>
      </c>
    </row>
    <row r="106" spans="1:5" s="38" customFormat="1" x14ac:dyDescent="0.2">
      <c r="A106" s="551" t="s">
        <v>2867</v>
      </c>
      <c r="B106" s="551" t="s">
        <v>2868</v>
      </c>
      <c r="C106" s="513" t="s">
        <v>2869</v>
      </c>
      <c r="D106" s="552" t="s">
        <v>2870</v>
      </c>
    </row>
    <row r="107" spans="1:5" s="38" customFormat="1" x14ac:dyDescent="0.2">
      <c r="A107" s="551" t="s">
        <v>3013</v>
      </c>
      <c r="B107" s="551" t="s">
        <v>2871</v>
      </c>
      <c r="C107" s="23" t="s">
        <v>3018</v>
      </c>
      <c r="D107" s="552" t="s">
        <v>3175</v>
      </c>
    </row>
    <row r="108" spans="1:5" s="38" customFormat="1" x14ac:dyDescent="0.2">
      <c r="A108" s="485" t="s">
        <v>3014</v>
      </c>
      <c r="B108" s="551" t="s">
        <v>3017</v>
      </c>
      <c r="C108" s="23"/>
      <c r="D108" s="23" t="s">
        <v>3020</v>
      </c>
    </row>
    <row r="109" spans="1:5" s="38" customFormat="1" x14ac:dyDescent="0.2">
      <c r="A109" s="551" t="s">
        <v>2874</v>
      </c>
      <c r="B109" s="551" t="s">
        <v>2875</v>
      </c>
      <c r="C109" s="513" t="s">
        <v>2876</v>
      </c>
      <c r="D109" s="552" t="s">
        <v>2877</v>
      </c>
    </row>
    <row r="115" spans="1:2" ht="15" x14ac:dyDescent="0.25">
      <c r="A115" s="333" t="s">
        <v>3383</v>
      </c>
      <c r="B115" s="635" t="s">
        <v>795</v>
      </c>
    </row>
    <row r="116" spans="1:2" ht="15" x14ac:dyDescent="0.25">
      <c r="A116" s="333" t="s">
        <v>3384</v>
      </c>
      <c r="B116" s="736">
        <v>1222303</v>
      </c>
    </row>
    <row r="117" spans="1:2" ht="15" x14ac:dyDescent="0.25">
      <c r="A117" s="333" t="s">
        <v>1812</v>
      </c>
      <c r="B117" s="636" t="s">
        <v>3385</v>
      </c>
    </row>
    <row r="118" spans="1:2" ht="15" x14ac:dyDescent="0.25">
      <c r="A118" s="333" t="s">
        <v>3386</v>
      </c>
      <c r="B118" s="636" t="s">
        <v>3387</v>
      </c>
    </row>
    <row r="119" spans="1:2" ht="15" x14ac:dyDescent="0.25">
      <c r="A119" s="333"/>
      <c r="B119" s="110"/>
    </row>
    <row r="120" spans="1:2" ht="15" x14ac:dyDescent="0.25">
      <c r="A120" s="333" t="s">
        <v>3388</v>
      </c>
      <c r="B120" s="110"/>
    </row>
    <row r="121" spans="1:2" ht="30" x14ac:dyDescent="0.25">
      <c r="A121" s="110">
        <v>1</v>
      </c>
      <c r="B121" s="337" t="s">
        <v>3389</v>
      </c>
    </row>
    <row r="122" spans="1:2" ht="30" x14ac:dyDescent="0.25">
      <c r="A122" s="110">
        <v>2</v>
      </c>
      <c r="B122" s="337" t="s">
        <v>3390</v>
      </c>
    </row>
    <row r="123" spans="1:2" ht="30" x14ac:dyDescent="0.25">
      <c r="A123" s="110">
        <v>3</v>
      </c>
      <c r="B123" s="337" t="s">
        <v>3391</v>
      </c>
    </row>
    <row r="124" spans="1:2" ht="30" x14ac:dyDescent="0.25">
      <c r="A124" s="110">
        <v>4</v>
      </c>
      <c r="B124" s="337" t="s">
        <v>3392</v>
      </c>
    </row>
    <row r="125" spans="1:2" ht="30" x14ac:dyDescent="0.25">
      <c r="A125" s="110">
        <v>5</v>
      </c>
      <c r="B125" s="337" t="s">
        <v>3393</v>
      </c>
    </row>
    <row r="126" spans="1:2" ht="30" x14ac:dyDescent="0.25">
      <c r="A126" s="110">
        <v>6</v>
      </c>
      <c r="B126" s="337" t="s">
        <v>3394</v>
      </c>
    </row>
    <row r="127" spans="1:2" ht="14.25" customHeight="1" x14ac:dyDescent="0.25">
      <c r="A127" s="10">
        <v>7</v>
      </c>
      <c r="B127" s="337" t="s">
        <v>4593</v>
      </c>
    </row>
    <row r="128" spans="1:2" x14ac:dyDescent="0.2">
      <c r="A128" s="10">
        <v>8</v>
      </c>
      <c r="B128" s="10" t="s">
        <v>4594</v>
      </c>
    </row>
    <row r="129" spans="1:3" x14ac:dyDescent="0.2">
      <c r="A129" s="10">
        <v>9</v>
      </c>
      <c r="B129" s="10" t="s">
        <v>4595</v>
      </c>
    </row>
    <row r="137" spans="1:3" x14ac:dyDescent="0.2">
      <c r="A137" s="32" t="s">
        <v>4596</v>
      </c>
      <c r="B137" s="32" t="s">
        <v>4601</v>
      </c>
    </row>
    <row r="138" spans="1:3" x14ac:dyDescent="0.2">
      <c r="A138" s="10" t="s">
        <v>4597</v>
      </c>
      <c r="B138" s="10" t="s">
        <v>4602</v>
      </c>
      <c r="C138" s="5" t="s">
        <v>4619</v>
      </c>
    </row>
    <row r="139" spans="1:3" x14ac:dyDescent="0.2">
      <c r="A139" s="10" t="s">
        <v>4598</v>
      </c>
      <c r="B139" s="10" t="s">
        <v>4603</v>
      </c>
      <c r="C139" s="5" t="s">
        <v>4619</v>
      </c>
    </row>
    <row r="140" spans="1:3" x14ac:dyDescent="0.2">
      <c r="A140" s="10" t="s">
        <v>4599</v>
      </c>
      <c r="B140" s="10" t="s">
        <v>4604</v>
      </c>
      <c r="C140" s="5" t="s">
        <v>4619</v>
      </c>
    </row>
    <row r="141" spans="1:3" x14ac:dyDescent="0.2">
      <c r="A141" s="10" t="s">
        <v>4600</v>
      </c>
      <c r="B141" s="10" t="s">
        <v>4605</v>
      </c>
      <c r="C141" s="5" t="s">
        <v>4619</v>
      </c>
    </row>
    <row r="142" spans="1:3" x14ac:dyDescent="0.2">
      <c r="A142" s="10" t="s">
        <v>4606</v>
      </c>
      <c r="B142" s="10" t="s">
        <v>4607</v>
      </c>
      <c r="C142" s="5" t="s">
        <v>4620</v>
      </c>
    </row>
  </sheetData>
  <sortState ref="A62:C88">
    <sortCondition ref="C62:C88"/>
  </sortState>
  <mergeCells count="17">
    <mergeCell ref="F41:H41"/>
    <mergeCell ref="F23:F24"/>
    <mergeCell ref="G23:I23"/>
    <mergeCell ref="J23:L23"/>
    <mergeCell ref="M23:O23"/>
    <mergeCell ref="E27:F27"/>
    <mergeCell ref="G37:I37"/>
    <mergeCell ref="A23:A24"/>
    <mergeCell ref="B23:B24"/>
    <mergeCell ref="C23:C24"/>
    <mergeCell ref="D23:D24"/>
    <mergeCell ref="E23:E24"/>
    <mergeCell ref="P23:R23"/>
    <mergeCell ref="E25:F25"/>
    <mergeCell ref="G25:I25"/>
    <mergeCell ref="J25:L25"/>
    <mergeCell ref="M25:R25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M23"/>
  <sheetViews>
    <sheetView workbookViewId="0">
      <pane ySplit="1" topLeftCell="A2" activePane="bottomLeft" state="frozen"/>
      <selection pane="bottomLeft" activeCell="B13" sqref="B13"/>
    </sheetView>
  </sheetViews>
  <sheetFormatPr defaultRowHeight="12.75" x14ac:dyDescent="0.2"/>
  <cols>
    <col min="1" max="1" width="12.28515625" style="11" bestFit="1" customWidth="1"/>
    <col min="2" max="2" width="27" style="11" customWidth="1"/>
    <col min="3" max="3" width="15.7109375" style="11" bestFit="1" customWidth="1"/>
    <col min="4" max="4" width="6.28515625" style="11" bestFit="1" customWidth="1"/>
    <col min="5" max="5" width="6" style="11" bestFit="1" customWidth="1"/>
    <col min="6" max="6" width="6.28515625" style="11" bestFit="1" customWidth="1"/>
    <col min="7" max="7" width="9.5703125" style="11" bestFit="1" customWidth="1"/>
    <col min="8" max="8" width="6.28515625" style="11" bestFit="1" customWidth="1"/>
    <col min="9" max="9" width="6.7109375" style="11" bestFit="1" customWidth="1"/>
    <col min="10" max="10" width="6" style="11" bestFit="1" customWidth="1"/>
    <col min="11" max="11" width="5.42578125" style="11" bestFit="1" customWidth="1"/>
    <col min="12" max="12" width="9.5703125" style="11" bestFit="1" customWidth="1"/>
    <col min="13" max="13" width="9.28515625" style="11" bestFit="1" customWidth="1"/>
    <col min="14" max="16384" width="9.140625" style="11"/>
  </cols>
  <sheetData>
    <row r="1" spans="1:13" x14ac:dyDescent="0.2">
      <c r="A1" s="32" t="s">
        <v>2287</v>
      </c>
      <c r="B1" s="32" t="s">
        <v>0</v>
      </c>
      <c r="C1" s="32" t="s">
        <v>485</v>
      </c>
      <c r="D1" s="32" t="s">
        <v>1495</v>
      </c>
      <c r="E1" s="32" t="s">
        <v>2282</v>
      </c>
      <c r="F1" s="32" t="s">
        <v>2329</v>
      </c>
      <c r="G1" s="32" t="s">
        <v>1548</v>
      </c>
      <c r="H1" s="32" t="s">
        <v>2330</v>
      </c>
      <c r="I1" s="32" t="s">
        <v>2331</v>
      </c>
      <c r="J1" s="32" t="s">
        <v>2840</v>
      </c>
      <c r="K1" s="32" t="s">
        <v>2841</v>
      </c>
      <c r="L1" s="32" t="s">
        <v>2332</v>
      </c>
      <c r="M1" s="32" t="s">
        <v>2842</v>
      </c>
    </row>
    <row r="2" spans="1:13" s="27" customFormat="1" x14ac:dyDescent="0.2">
      <c r="A2" s="969" t="s">
        <v>2843</v>
      </c>
      <c r="B2" s="29" t="s">
        <v>5</v>
      </c>
      <c r="C2" s="130" t="s">
        <v>2027</v>
      </c>
      <c r="D2" s="372">
        <f>471*20</f>
        <v>9420</v>
      </c>
      <c r="E2" s="372">
        <f>471*20</f>
        <v>9420</v>
      </c>
      <c r="F2" s="372">
        <f>471*10</f>
        <v>4710</v>
      </c>
      <c r="G2" s="372"/>
      <c r="H2" s="372"/>
      <c r="I2" s="372"/>
      <c r="J2" s="372"/>
      <c r="K2" s="372"/>
      <c r="L2" s="372"/>
      <c r="M2" s="372">
        <f>SUM(D2:L2)</f>
        <v>23550</v>
      </c>
    </row>
    <row r="3" spans="1:13" s="27" customFormat="1" x14ac:dyDescent="0.2">
      <c r="A3" s="969"/>
      <c r="B3" s="29" t="s">
        <v>2903</v>
      </c>
      <c r="C3" s="130" t="s">
        <v>2037</v>
      </c>
      <c r="D3" s="372">
        <f>539*20</f>
        <v>10780</v>
      </c>
      <c r="E3" s="372">
        <f>539*3</f>
        <v>1617</v>
      </c>
      <c r="F3" s="372"/>
      <c r="G3" s="372"/>
      <c r="H3" s="372"/>
      <c r="I3" s="372"/>
      <c r="J3" s="372"/>
      <c r="K3" s="372"/>
      <c r="L3" s="372"/>
      <c r="M3" s="372">
        <f t="shared" ref="M3:M21" si="0">SUM(D3:L3)</f>
        <v>12397</v>
      </c>
    </row>
    <row r="4" spans="1:13" s="27" customFormat="1" x14ac:dyDescent="0.2">
      <c r="A4" s="969"/>
      <c r="B4" s="29" t="s">
        <v>1383</v>
      </c>
      <c r="C4" s="29" t="s">
        <v>2237</v>
      </c>
      <c r="D4" s="372">
        <f>539*20</f>
        <v>10780</v>
      </c>
      <c r="E4" s="372">
        <f>539*3</f>
        <v>1617</v>
      </c>
      <c r="F4" s="372"/>
      <c r="G4" s="372"/>
      <c r="H4" s="372"/>
      <c r="I4" s="372"/>
      <c r="J4" s="372"/>
      <c r="K4" s="372"/>
      <c r="L4" s="372"/>
      <c r="M4" s="372">
        <f t="shared" si="0"/>
        <v>12397</v>
      </c>
    </row>
    <row r="5" spans="1:13" s="27" customFormat="1" x14ac:dyDescent="0.2">
      <c r="A5" s="969"/>
      <c r="B5" s="29" t="s">
        <v>77</v>
      </c>
      <c r="C5" s="29" t="s">
        <v>2855</v>
      </c>
      <c r="D5" s="372">
        <f>488*20</f>
        <v>9760</v>
      </c>
      <c r="E5" s="372">
        <f>488*5</f>
        <v>2440</v>
      </c>
      <c r="F5" s="372"/>
      <c r="G5" s="372"/>
      <c r="H5" s="372"/>
      <c r="I5" s="372"/>
      <c r="J5" s="372"/>
      <c r="K5" s="372"/>
      <c r="L5" s="372"/>
      <c r="M5" s="372">
        <f t="shared" si="0"/>
        <v>12200</v>
      </c>
    </row>
    <row r="6" spans="1:13" s="27" customFormat="1" x14ac:dyDescent="0.2">
      <c r="A6" s="969"/>
      <c r="B6" s="29" t="s">
        <v>2904</v>
      </c>
      <c r="C6" s="29" t="s">
        <v>2884</v>
      </c>
      <c r="D6" s="372">
        <f>2515*4</f>
        <v>10060</v>
      </c>
      <c r="E6" s="372">
        <f>2515*4</f>
        <v>10060</v>
      </c>
      <c r="F6" s="372">
        <f>2515*1</f>
        <v>2515</v>
      </c>
      <c r="G6" s="372"/>
      <c r="H6" s="372"/>
      <c r="I6" s="372"/>
      <c r="J6" s="372"/>
      <c r="K6" s="372"/>
      <c r="L6" s="372"/>
      <c r="M6" s="372">
        <f t="shared" si="0"/>
        <v>22635</v>
      </c>
    </row>
    <row r="7" spans="1:13" s="27" customFormat="1" x14ac:dyDescent="0.2">
      <c r="A7" s="969"/>
      <c r="B7" s="29" t="s">
        <v>2238</v>
      </c>
      <c r="C7" s="29" t="s">
        <v>2236</v>
      </c>
      <c r="D7" s="372">
        <f>488*20</f>
        <v>9760</v>
      </c>
      <c r="E7" s="372">
        <f>488*3</f>
        <v>1464</v>
      </c>
      <c r="F7" s="372"/>
      <c r="G7" s="372"/>
      <c r="H7" s="372"/>
      <c r="I7" s="372"/>
      <c r="J7" s="372"/>
      <c r="K7" s="372"/>
      <c r="L7" s="372"/>
      <c r="M7" s="372">
        <f t="shared" si="0"/>
        <v>11224</v>
      </c>
    </row>
    <row r="8" spans="1:13" x14ac:dyDescent="0.2">
      <c r="A8" s="969"/>
      <c r="B8" s="29" t="s">
        <v>881</v>
      </c>
      <c r="C8" s="29" t="s">
        <v>2070</v>
      </c>
      <c r="D8" s="372">
        <f>(119+150+188/4)*20</f>
        <v>6320</v>
      </c>
      <c r="E8" s="372">
        <f>(119+150+188/4)*20</f>
        <v>6320</v>
      </c>
      <c r="F8" s="372">
        <f>(119+150+188/4)*25</f>
        <v>7900</v>
      </c>
      <c r="G8" s="372">
        <f>(119+150+188/4)*20</f>
        <v>6320</v>
      </c>
      <c r="H8" s="372">
        <f>(119+150+188/4)*20</f>
        <v>6320</v>
      </c>
      <c r="I8" s="372">
        <f>(119+150+188/4)*25</f>
        <v>7900</v>
      </c>
      <c r="J8" s="372">
        <f>(119+150+188/4)*20</f>
        <v>6320</v>
      </c>
      <c r="K8" s="372">
        <f>(119+150+188/4)*20</f>
        <v>6320</v>
      </c>
      <c r="L8" s="372">
        <f>(119+150+188/4)*25</f>
        <v>7900</v>
      </c>
      <c r="M8" s="372">
        <f t="shared" si="0"/>
        <v>61620</v>
      </c>
    </row>
    <row r="9" spans="1:13" x14ac:dyDescent="0.2">
      <c r="A9" s="969"/>
      <c r="B9" s="29" t="s">
        <v>277</v>
      </c>
      <c r="C9" s="29" t="s">
        <v>2316</v>
      </c>
      <c r="D9" s="372">
        <f>(471+156)*20</f>
        <v>12540</v>
      </c>
      <c r="E9" s="372">
        <f>(471+156)*20</f>
        <v>12540</v>
      </c>
      <c r="F9" s="372">
        <f>(471+156)*25</f>
        <v>15675</v>
      </c>
      <c r="G9" s="372">
        <f>(471+156)*20</f>
        <v>12540</v>
      </c>
      <c r="H9" s="372">
        <f>(471+156)*2</f>
        <v>1254</v>
      </c>
      <c r="I9" s="372"/>
      <c r="J9" s="372"/>
      <c r="K9" s="372"/>
      <c r="L9" s="372"/>
      <c r="M9" s="372">
        <f t="shared" si="0"/>
        <v>54549</v>
      </c>
    </row>
    <row r="10" spans="1:13" ht="12.75" customHeight="1" x14ac:dyDescent="0.2">
      <c r="A10" s="970" t="s">
        <v>1260</v>
      </c>
      <c r="B10" s="520" t="s">
        <v>2905</v>
      </c>
      <c r="C10" s="23" t="s">
        <v>2677</v>
      </c>
      <c r="D10" s="372">
        <f>(198+179*3)*20</f>
        <v>14700</v>
      </c>
      <c r="E10" s="372">
        <f>(198+179*3)*15</f>
        <v>11025</v>
      </c>
      <c r="F10" s="372"/>
      <c r="G10" s="372"/>
      <c r="H10" s="372"/>
      <c r="I10" s="372"/>
      <c r="J10" s="372"/>
      <c r="K10" s="372"/>
      <c r="L10" s="372"/>
      <c r="M10" s="372">
        <f t="shared" si="0"/>
        <v>25725</v>
      </c>
    </row>
    <row r="11" spans="1:13" ht="12.75" customHeight="1" x14ac:dyDescent="0.2">
      <c r="A11" s="972"/>
      <c r="B11" s="520" t="s">
        <v>483</v>
      </c>
      <c r="C11" s="23" t="s">
        <v>2856</v>
      </c>
      <c r="D11" s="372">
        <f>179*5</f>
        <v>895</v>
      </c>
      <c r="E11" s="372"/>
      <c r="F11" s="372"/>
      <c r="G11" s="372"/>
      <c r="H11" s="372"/>
      <c r="I11" s="372"/>
      <c r="J11" s="372"/>
      <c r="K11" s="372"/>
      <c r="L11" s="372"/>
      <c r="M11" s="372">
        <f t="shared" si="0"/>
        <v>895</v>
      </c>
    </row>
    <row r="12" spans="1:13" ht="12.75" customHeight="1" x14ac:dyDescent="0.2">
      <c r="A12" s="970" t="s">
        <v>1261</v>
      </c>
      <c r="B12" s="23" t="s">
        <v>2781</v>
      </c>
      <c r="C12" s="23" t="s">
        <v>2035</v>
      </c>
      <c r="D12" s="372">
        <f>6221*4</f>
        <v>24884</v>
      </c>
      <c r="E12" s="372">
        <f>6221*4</f>
        <v>24884</v>
      </c>
      <c r="F12" s="372">
        <f>6221*1</f>
        <v>6221</v>
      </c>
      <c r="G12" s="372"/>
      <c r="H12" s="372"/>
      <c r="I12" s="372"/>
      <c r="J12" s="372"/>
      <c r="K12" s="372"/>
      <c r="L12" s="372"/>
      <c r="M12" s="372">
        <f t="shared" si="0"/>
        <v>55989</v>
      </c>
    </row>
    <row r="13" spans="1:13" x14ac:dyDescent="0.2">
      <c r="A13" s="971"/>
      <c r="B13" s="23" t="s">
        <v>2782</v>
      </c>
      <c r="C13" s="23" t="s">
        <v>2036</v>
      </c>
      <c r="D13" s="372">
        <f>6221*2</f>
        <v>12442</v>
      </c>
      <c r="E13" s="372"/>
      <c r="F13" s="372"/>
      <c r="G13" s="372"/>
      <c r="H13" s="372"/>
      <c r="I13" s="372"/>
      <c r="J13" s="372"/>
      <c r="K13" s="372"/>
      <c r="L13" s="372"/>
      <c r="M13" s="372">
        <f t="shared" si="0"/>
        <v>12442</v>
      </c>
    </row>
    <row r="14" spans="1:13" x14ac:dyDescent="0.2">
      <c r="A14" s="971"/>
      <c r="B14" s="23" t="s">
        <v>2790</v>
      </c>
      <c r="C14" s="23" t="s">
        <v>2069</v>
      </c>
      <c r="D14" s="372">
        <f>6768.5*4</f>
        <v>27074</v>
      </c>
      <c r="E14" s="372">
        <f>6768.5*4</f>
        <v>27074</v>
      </c>
      <c r="F14" s="372">
        <f>6768.5*5</f>
        <v>33842.5</v>
      </c>
      <c r="G14" s="372"/>
      <c r="H14" s="372"/>
      <c r="I14" s="372"/>
      <c r="J14" s="372"/>
      <c r="K14" s="372"/>
      <c r="L14" s="372"/>
      <c r="M14" s="372">
        <f t="shared" si="0"/>
        <v>87990.5</v>
      </c>
    </row>
    <row r="15" spans="1:13" x14ac:dyDescent="0.2">
      <c r="A15" s="971"/>
      <c r="B15" s="23" t="s">
        <v>2900</v>
      </c>
      <c r="C15" s="23" t="s">
        <v>2885</v>
      </c>
      <c r="D15" s="372">
        <f>12544*4</f>
        <v>50176</v>
      </c>
      <c r="E15" s="372">
        <f>12544*4</f>
        <v>50176</v>
      </c>
      <c r="F15" s="372">
        <f>12544*5</f>
        <v>62720</v>
      </c>
      <c r="G15" s="372">
        <f>12544*1</f>
        <v>12544</v>
      </c>
      <c r="H15" s="372"/>
      <c r="I15" s="372"/>
      <c r="J15" s="372"/>
      <c r="K15" s="372"/>
      <c r="L15" s="372"/>
      <c r="M15" s="372">
        <f t="shared" si="0"/>
        <v>175616</v>
      </c>
    </row>
    <row r="16" spans="1:13" ht="12.75" customHeight="1" x14ac:dyDescent="0.2">
      <c r="A16" s="970" t="s">
        <v>1503</v>
      </c>
      <c r="B16" s="29" t="s">
        <v>8</v>
      </c>
      <c r="C16" s="29" t="s">
        <v>2660</v>
      </c>
      <c r="D16" s="372">
        <f>(471*20)*0.93</f>
        <v>8760.6</v>
      </c>
      <c r="E16" s="372">
        <f>(471*20)*0.93</f>
        <v>8760.6</v>
      </c>
      <c r="F16" s="372">
        <f>(471*25)*0.93</f>
        <v>10950.75</v>
      </c>
      <c r="G16" s="372">
        <f>(471*20)*0.93</f>
        <v>8760.6</v>
      </c>
      <c r="H16" s="372">
        <f>(471*5)*0.93</f>
        <v>2190.15</v>
      </c>
      <c r="I16" s="372"/>
      <c r="J16" s="372"/>
      <c r="K16" s="372"/>
      <c r="L16" s="372"/>
      <c r="M16" s="372">
        <f t="shared" si="0"/>
        <v>39422.700000000004</v>
      </c>
    </row>
    <row r="17" spans="1:13" x14ac:dyDescent="0.2">
      <c r="A17" s="971"/>
      <c r="B17" s="29" t="s">
        <v>71</v>
      </c>
      <c r="C17" s="29" t="s">
        <v>2661</v>
      </c>
      <c r="D17" s="372">
        <f>447*20*0.93</f>
        <v>8314.2000000000007</v>
      </c>
      <c r="E17" s="372">
        <f>447*20*0.93</f>
        <v>8314.2000000000007</v>
      </c>
      <c r="F17" s="372">
        <f>447*25*0.93</f>
        <v>10392.75</v>
      </c>
      <c r="G17" s="372">
        <f>447*20*0.93</f>
        <v>8314.2000000000007</v>
      </c>
      <c r="H17" s="372">
        <f>447*5*0.93</f>
        <v>2078.5500000000002</v>
      </c>
      <c r="I17" s="372"/>
      <c r="J17" s="372"/>
      <c r="K17" s="372"/>
      <c r="L17" s="372"/>
      <c r="M17" s="372">
        <f t="shared" si="0"/>
        <v>37413.900000000009</v>
      </c>
    </row>
    <row r="18" spans="1:13" x14ac:dyDescent="0.2">
      <c r="A18" s="971"/>
      <c r="B18" s="29" t="s">
        <v>268</v>
      </c>
      <c r="C18" s="29" t="s">
        <v>2662</v>
      </c>
      <c r="D18" s="372">
        <f>(471*20)*0.93</f>
        <v>8760.6</v>
      </c>
      <c r="E18" s="372">
        <f>(471*20)*0.93</f>
        <v>8760.6</v>
      </c>
      <c r="F18" s="372">
        <f>(471*25)*0.93</f>
        <v>10950.75</v>
      </c>
      <c r="G18" s="372">
        <f>(471*20)*0.93</f>
        <v>8760.6</v>
      </c>
      <c r="H18" s="372">
        <f>(471*5)*0.93</f>
        <v>2190.15</v>
      </c>
      <c r="I18" s="372"/>
      <c r="J18" s="372"/>
      <c r="K18" s="372"/>
      <c r="L18" s="372"/>
      <c r="M18" s="372">
        <f t="shared" si="0"/>
        <v>39422.700000000004</v>
      </c>
    </row>
    <row r="19" spans="1:13" x14ac:dyDescent="0.2">
      <c r="A19" s="971"/>
      <c r="B19" s="29" t="s">
        <v>2672</v>
      </c>
      <c r="C19" s="29" t="s">
        <v>2675</v>
      </c>
      <c r="D19" s="519">
        <f>488*20*0.93</f>
        <v>9076.8000000000011</v>
      </c>
      <c r="E19" s="519">
        <f t="shared" ref="E19:H20" si="1">488*20*0.93</f>
        <v>9076.8000000000011</v>
      </c>
      <c r="F19" s="519">
        <f>488*25*0.93</f>
        <v>11346</v>
      </c>
      <c r="G19" s="519">
        <f t="shared" si="1"/>
        <v>9076.8000000000011</v>
      </c>
      <c r="H19" s="519">
        <f t="shared" si="1"/>
        <v>9076.8000000000011</v>
      </c>
      <c r="I19" s="519">
        <f>488*5*0.93</f>
        <v>2269.2000000000003</v>
      </c>
      <c r="J19" s="372"/>
      <c r="K19" s="372"/>
      <c r="L19" s="372"/>
      <c r="M19" s="372">
        <f t="shared" si="0"/>
        <v>49922.400000000001</v>
      </c>
    </row>
    <row r="20" spans="1:13" x14ac:dyDescent="0.2">
      <c r="A20" s="972"/>
      <c r="B20" s="29" t="s">
        <v>2673</v>
      </c>
      <c r="C20" s="29" t="s">
        <v>2674</v>
      </c>
      <c r="D20" s="519">
        <f>488*20*0.93</f>
        <v>9076.8000000000011</v>
      </c>
      <c r="E20" s="519">
        <f t="shared" si="1"/>
        <v>9076.8000000000011</v>
      </c>
      <c r="F20" s="519">
        <f>488*25*0.93</f>
        <v>11346</v>
      </c>
      <c r="G20" s="519">
        <f t="shared" si="1"/>
        <v>9076.8000000000011</v>
      </c>
      <c r="H20" s="519">
        <f t="shared" si="1"/>
        <v>9076.8000000000011</v>
      </c>
      <c r="I20" s="519">
        <f>488*25*0.93</f>
        <v>11346</v>
      </c>
      <c r="J20" s="372"/>
      <c r="K20" s="372"/>
      <c r="L20" s="372"/>
      <c r="M20" s="372">
        <f t="shared" si="0"/>
        <v>58999.200000000004</v>
      </c>
    </row>
    <row r="21" spans="1:13" x14ac:dyDescent="0.2">
      <c r="A21" s="521" t="s">
        <v>2906</v>
      </c>
      <c r="B21" s="15" t="s">
        <v>2309</v>
      </c>
      <c r="C21" s="23" t="s">
        <v>2071</v>
      </c>
      <c r="D21" s="372">
        <f>(179+168)*20</f>
        <v>6940</v>
      </c>
      <c r="E21" s="372">
        <f>(179+168)*20</f>
        <v>6940</v>
      </c>
      <c r="F21" s="372">
        <f>(179+168)*25</f>
        <v>8675</v>
      </c>
      <c r="G21" s="372">
        <f>(179+168)*20</f>
        <v>6940</v>
      </c>
      <c r="H21" s="372">
        <f>(179+168)*20</f>
        <v>6940</v>
      </c>
      <c r="I21" s="372">
        <f>(179+168)*25</f>
        <v>8675</v>
      </c>
      <c r="J21" s="372">
        <f>(179+168)*20</f>
        <v>6940</v>
      </c>
      <c r="K21" s="372">
        <f>(179+168)*20</f>
        <v>6940</v>
      </c>
      <c r="L21" s="372">
        <f>(179+168)*25</f>
        <v>8675</v>
      </c>
      <c r="M21" s="372">
        <f t="shared" si="0"/>
        <v>67665</v>
      </c>
    </row>
    <row r="22" spans="1:13" x14ac:dyDescent="0.2">
      <c r="A22" s="437"/>
      <c r="B22" s="437"/>
      <c r="C22" s="437"/>
      <c r="D22" s="522"/>
      <c r="E22" s="522"/>
      <c r="F22" s="522"/>
      <c r="G22" s="523"/>
      <c r="H22" s="522"/>
      <c r="I22" s="522"/>
      <c r="J22" s="522"/>
      <c r="K22" s="522"/>
      <c r="L22" s="523" t="s">
        <v>2901</v>
      </c>
      <c r="M22" s="523">
        <f>SUM(M2:M21)</f>
        <v>862075.39999999991</v>
      </c>
    </row>
    <row r="23" spans="1:13" x14ac:dyDescent="0.2">
      <c r="A23" s="437"/>
      <c r="B23" s="437"/>
      <c r="C23" s="437"/>
      <c r="D23" s="522"/>
      <c r="E23" s="522"/>
      <c r="F23" s="522"/>
      <c r="G23" s="523"/>
      <c r="H23" s="522"/>
      <c r="I23" s="522"/>
      <c r="J23" s="522"/>
      <c r="K23" s="522"/>
      <c r="L23" s="523" t="s">
        <v>2902</v>
      </c>
      <c r="M23" s="523">
        <f>M22*1.6</f>
        <v>1379320.64</v>
      </c>
    </row>
  </sheetData>
  <mergeCells count="4">
    <mergeCell ref="A2:A9"/>
    <mergeCell ref="A16:A20"/>
    <mergeCell ref="A10:A11"/>
    <mergeCell ref="A12:A15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S255"/>
  <sheetViews>
    <sheetView workbookViewId="0">
      <selection activeCell="E17" sqref="E17"/>
    </sheetView>
  </sheetViews>
  <sheetFormatPr defaultRowHeight="15" x14ac:dyDescent="0.25"/>
  <cols>
    <col min="1" max="1" width="29" customWidth="1"/>
    <col min="2" max="2" width="14.85546875" customWidth="1"/>
    <col min="3" max="3" width="10.140625" bestFit="1" customWidth="1"/>
    <col min="4" max="4" width="13" customWidth="1"/>
    <col min="5" max="5" width="26" bestFit="1" customWidth="1"/>
    <col min="6" max="6" width="16" bestFit="1" customWidth="1"/>
    <col min="7" max="7" width="10.42578125" customWidth="1"/>
    <col min="8" max="8" width="22.7109375" bestFit="1" customWidth="1"/>
    <col min="9" max="9" width="12.42578125" bestFit="1" customWidth="1"/>
    <col min="10" max="10" width="7.42578125" bestFit="1" customWidth="1"/>
    <col min="11" max="11" width="7.85546875" bestFit="1" customWidth="1"/>
    <col min="12" max="12" width="14" bestFit="1" customWidth="1"/>
    <col min="13" max="13" width="40.7109375" bestFit="1" customWidth="1"/>
    <col min="14" max="14" width="10.140625" bestFit="1" customWidth="1"/>
    <col min="15" max="15" width="19.28515625" bestFit="1" customWidth="1"/>
    <col min="16" max="16" width="8.140625" bestFit="1" customWidth="1"/>
    <col min="17" max="17" width="15.5703125" bestFit="1" customWidth="1"/>
    <col min="18" max="18" width="31" bestFit="1" customWidth="1"/>
    <col min="19" max="19" width="36.5703125" bestFit="1" customWidth="1"/>
  </cols>
  <sheetData>
    <row r="1" spans="1:11" ht="15.75" thickBot="1" x14ac:dyDescent="0.3"/>
    <row r="2" spans="1:11" ht="38.25" x14ac:dyDescent="0.25">
      <c r="A2" s="58" t="s">
        <v>41</v>
      </c>
      <c r="B2" s="59" t="s">
        <v>478</v>
      </c>
      <c r="C2" s="60" t="s">
        <v>46</v>
      </c>
      <c r="D2" s="61" t="s">
        <v>479</v>
      </c>
      <c r="E2" s="59" t="s">
        <v>462</v>
      </c>
      <c r="F2" s="60" t="s">
        <v>45</v>
      </c>
      <c r="G2" s="62" t="s">
        <v>44</v>
      </c>
      <c r="H2" s="59" t="s">
        <v>480</v>
      </c>
      <c r="I2" s="62" t="s">
        <v>481</v>
      </c>
      <c r="J2" s="59" t="s">
        <v>482</v>
      </c>
      <c r="K2" s="62" t="s">
        <v>331</v>
      </c>
    </row>
    <row r="3" spans="1:11" x14ac:dyDescent="0.25">
      <c r="A3" s="63" t="s">
        <v>463</v>
      </c>
      <c r="B3" s="64"/>
      <c r="C3" s="57"/>
      <c r="D3" s="65"/>
      <c r="E3" s="64"/>
      <c r="F3" s="973">
        <v>55560</v>
      </c>
      <c r="G3" s="974"/>
      <c r="H3" s="64"/>
      <c r="I3" s="65"/>
      <c r="J3" s="64"/>
      <c r="K3" s="65"/>
    </row>
    <row r="4" spans="1:11" x14ac:dyDescent="0.25">
      <c r="A4" s="63" t="s">
        <v>464</v>
      </c>
      <c r="B4" s="64"/>
      <c r="C4" s="57"/>
      <c r="D4" s="65"/>
      <c r="E4" s="64"/>
      <c r="F4" s="973">
        <v>55560</v>
      </c>
      <c r="G4" s="974"/>
      <c r="H4" s="64"/>
      <c r="I4" s="65"/>
      <c r="J4" s="64"/>
      <c r="K4" s="65"/>
    </row>
    <row r="5" spans="1:11" x14ac:dyDescent="0.25">
      <c r="A5" s="63" t="s">
        <v>465</v>
      </c>
      <c r="B5" s="64"/>
      <c r="C5" s="57"/>
      <c r="D5" s="65"/>
      <c r="E5" s="64"/>
      <c r="F5" s="973">
        <v>55560</v>
      </c>
      <c r="G5" s="974"/>
      <c r="H5" s="64"/>
      <c r="I5" s="65"/>
      <c r="J5" s="64"/>
      <c r="K5" s="65"/>
    </row>
    <row r="6" spans="1:11" x14ac:dyDescent="0.25">
      <c r="A6" s="63" t="s">
        <v>466</v>
      </c>
      <c r="B6" s="64"/>
      <c r="C6" s="57"/>
      <c r="D6" s="65"/>
      <c r="E6" s="64"/>
      <c r="F6" s="973">
        <v>69450</v>
      </c>
      <c r="G6" s="974"/>
      <c r="H6" s="64"/>
      <c r="I6" s="65"/>
      <c r="J6" s="64"/>
      <c r="K6" s="65"/>
    </row>
    <row r="7" spans="1:11" x14ac:dyDescent="0.25">
      <c r="A7" s="63" t="s">
        <v>152</v>
      </c>
      <c r="B7" s="64">
        <v>2</v>
      </c>
      <c r="C7" s="57">
        <v>13240</v>
      </c>
      <c r="D7" s="65">
        <v>19915</v>
      </c>
      <c r="E7" s="64"/>
      <c r="F7" s="973">
        <v>55560</v>
      </c>
      <c r="G7" s="974"/>
      <c r="H7" s="64"/>
      <c r="I7" s="65"/>
      <c r="J7" s="64"/>
      <c r="K7" s="65"/>
    </row>
    <row r="8" spans="1:11" x14ac:dyDescent="0.25">
      <c r="A8" s="63" t="s">
        <v>458</v>
      </c>
      <c r="B8" s="64">
        <v>4</v>
      </c>
      <c r="C8" s="57">
        <v>26480</v>
      </c>
      <c r="D8" s="65">
        <v>84550</v>
      </c>
      <c r="E8" s="64"/>
      <c r="F8" s="973">
        <v>55560</v>
      </c>
      <c r="G8" s="974"/>
      <c r="H8" s="64"/>
      <c r="I8" s="65"/>
      <c r="J8" s="64"/>
      <c r="K8" s="65"/>
    </row>
    <row r="9" spans="1:11" x14ac:dyDescent="0.25">
      <c r="A9" s="63" t="s">
        <v>467</v>
      </c>
      <c r="B9" s="64">
        <v>5</v>
      </c>
      <c r="C9" s="57">
        <v>33100</v>
      </c>
      <c r="D9" s="65">
        <v>105687.5</v>
      </c>
      <c r="E9" s="64">
        <v>4</v>
      </c>
      <c r="F9" s="57">
        <v>28956</v>
      </c>
      <c r="G9" s="65">
        <v>28956</v>
      </c>
      <c r="H9" s="64"/>
      <c r="I9" s="65"/>
      <c r="J9" s="64"/>
      <c r="K9" s="65"/>
    </row>
    <row r="10" spans="1:11" x14ac:dyDescent="0.25">
      <c r="A10" s="63" t="s">
        <v>140</v>
      </c>
      <c r="B10" s="64">
        <v>4</v>
      </c>
      <c r="C10" s="57">
        <v>26480</v>
      </c>
      <c r="D10" s="65">
        <v>84550</v>
      </c>
      <c r="E10" s="64">
        <v>4</v>
      </c>
      <c r="F10" s="57">
        <v>28956</v>
      </c>
      <c r="G10" s="65">
        <v>28956</v>
      </c>
      <c r="H10" s="64">
        <v>3</v>
      </c>
      <c r="I10" s="65">
        <v>17175</v>
      </c>
      <c r="J10" s="64"/>
      <c r="K10" s="65"/>
    </row>
    <row r="11" spans="1:11" x14ac:dyDescent="0.25">
      <c r="A11" s="66" t="s">
        <v>468</v>
      </c>
      <c r="B11" s="67">
        <v>4</v>
      </c>
      <c r="C11" s="55">
        <v>26480</v>
      </c>
      <c r="D11" s="65">
        <v>84550</v>
      </c>
      <c r="E11" s="64">
        <v>5</v>
      </c>
      <c r="F11" s="57">
        <v>36195</v>
      </c>
      <c r="G11" s="65">
        <v>36195</v>
      </c>
      <c r="H11" s="64">
        <v>4</v>
      </c>
      <c r="I11" s="65">
        <v>22900</v>
      </c>
      <c r="J11" s="64"/>
      <c r="K11" s="65"/>
    </row>
    <row r="12" spans="1:11" x14ac:dyDescent="0.25">
      <c r="A12" s="66" t="s">
        <v>469</v>
      </c>
      <c r="B12" s="67">
        <v>5</v>
      </c>
      <c r="C12" s="55">
        <v>33100</v>
      </c>
      <c r="D12" s="65">
        <v>105687.5</v>
      </c>
      <c r="E12" s="64">
        <v>4</v>
      </c>
      <c r="F12" s="57">
        <v>28956</v>
      </c>
      <c r="G12" s="65">
        <v>28956</v>
      </c>
      <c r="H12" s="64">
        <v>5</v>
      </c>
      <c r="I12" s="65">
        <v>28625</v>
      </c>
      <c r="J12" s="64">
        <v>4</v>
      </c>
      <c r="K12" s="65">
        <v>26480</v>
      </c>
    </row>
    <row r="13" spans="1:11" x14ac:dyDescent="0.25">
      <c r="A13" s="66" t="s">
        <v>470</v>
      </c>
      <c r="B13" s="67">
        <v>4</v>
      </c>
      <c r="C13" s="55">
        <v>26480</v>
      </c>
      <c r="D13" s="65">
        <v>84550</v>
      </c>
      <c r="E13" s="64">
        <v>4</v>
      </c>
      <c r="F13" s="57">
        <v>28956</v>
      </c>
      <c r="G13" s="65">
        <v>28956</v>
      </c>
      <c r="H13" s="64">
        <v>4</v>
      </c>
      <c r="I13" s="65">
        <v>22900</v>
      </c>
      <c r="J13" s="64">
        <v>5</v>
      </c>
      <c r="K13" s="65">
        <v>33100</v>
      </c>
    </row>
    <row r="14" spans="1:11" x14ac:dyDescent="0.25">
      <c r="A14" s="66" t="s">
        <v>471</v>
      </c>
      <c r="B14" s="67">
        <v>4</v>
      </c>
      <c r="C14" s="55">
        <v>26480</v>
      </c>
      <c r="D14" s="65">
        <v>84550</v>
      </c>
      <c r="E14" s="64">
        <v>5</v>
      </c>
      <c r="F14" s="57">
        <v>36195</v>
      </c>
      <c r="G14" s="65">
        <v>36195</v>
      </c>
      <c r="H14" s="64">
        <v>4</v>
      </c>
      <c r="I14" s="65">
        <v>22900</v>
      </c>
      <c r="J14" s="64">
        <v>4</v>
      </c>
      <c r="K14" s="65">
        <v>26480</v>
      </c>
    </row>
    <row r="15" spans="1:11" x14ac:dyDescent="0.25">
      <c r="A15" s="66" t="s">
        <v>472</v>
      </c>
      <c r="B15" s="67">
        <v>5</v>
      </c>
      <c r="C15" s="55">
        <v>33100</v>
      </c>
      <c r="D15" s="65">
        <v>105687.5</v>
      </c>
      <c r="E15" s="64">
        <v>4</v>
      </c>
      <c r="F15" s="57">
        <v>28956</v>
      </c>
      <c r="G15" s="65">
        <v>28956</v>
      </c>
      <c r="H15" s="64">
        <v>5</v>
      </c>
      <c r="I15" s="65">
        <v>28625</v>
      </c>
      <c r="J15" s="64">
        <v>4</v>
      </c>
      <c r="K15" s="65">
        <v>26480</v>
      </c>
    </row>
    <row r="16" spans="1:11" x14ac:dyDescent="0.25">
      <c r="A16" s="66" t="s">
        <v>473</v>
      </c>
      <c r="B16" s="67">
        <v>4</v>
      </c>
      <c r="C16" s="55">
        <v>26480</v>
      </c>
      <c r="D16" s="65">
        <v>84550</v>
      </c>
      <c r="E16" s="64">
        <v>4</v>
      </c>
      <c r="F16" s="57">
        <v>28956</v>
      </c>
      <c r="G16" s="65">
        <v>28956</v>
      </c>
      <c r="H16" s="64">
        <v>4</v>
      </c>
      <c r="I16" s="65">
        <v>22900</v>
      </c>
      <c r="J16" s="64">
        <v>5</v>
      </c>
      <c r="K16" s="65">
        <v>33100</v>
      </c>
    </row>
    <row r="17" spans="1:18" x14ac:dyDescent="0.25">
      <c r="A17" s="66" t="s">
        <v>474</v>
      </c>
      <c r="B17" s="67">
        <v>4</v>
      </c>
      <c r="C17" s="55">
        <v>26480</v>
      </c>
      <c r="D17" s="65">
        <v>84550</v>
      </c>
      <c r="E17" s="64">
        <v>5</v>
      </c>
      <c r="F17" s="57">
        <v>36195</v>
      </c>
      <c r="G17" s="65">
        <v>36195</v>
      </c>
      <c r="H17" s="64">
        <v>4</v>
      </c>
      <c r="I17" s="65">
        <v>22900</v>
      </c>
      <c r="J17" s="64">
        <v>4</v>
      </c>
      <c r="K17" s="65">
        <v>26480</v>
      </c>
    </row>
    <row r="18" spans="1:18" x14ac:dyDescent="0.25">
      <c r="A18" s="66" t="s">
        <v>475</v>
      </c>
      <c r="B18" s="67">
        <v>5</v>
      </c>
      <c r="C18" s="55">
        <v>33100</v>
      </c>
      <c r="D18" s="65">
        <v>105687.5</v>
      </c>
      <c r="E18" s="64">
        <v>4</v>
      </c>
      <c r="F18" s="57">
        <v>28956</v>
      </c>
      <c r="G18" s="65">
        <v>28956</v>
      </c>
      <c r="H18" s="64"/>
      <c r="I18" s="65"/>
      <c r="J18" s="64"/>
      <c r="K18" s="65"/>
    </row>
    <row r="19" spans="1:18" x14ac:dyDescent="0.25">
      <c r="A19" s="66" t="s">
        <v>476</v>
      </c>
      <c r="B19" s="67">
        <v>2</v>
      </c>
      <c r="C19" s="55">
        <v>13240</v>
      </c>
      <c r="D19" s="65">
        <v>42275</v>
      </c>
      <c r="E19" s="64">
        <v>4</v>
      </c>
      <c r="F19" s="57">
        <v>28956</v>
      </c>
      <c r="G19" s="65">
        <v>28956</v>
      </c>
      <c r="H19" s="64"/>
      <c r="I19" s="65"/>
      <c r="J19" s="64"/>
      <c r="K19" s="65"/>
    </row>
    <row r="20" spans="1:18" ht="15.75" thickBot="1" x14ac:dyDescent="0.3">
      <c r="A20" s="63" t="s">
        <v>477</v>
      </c>
      <c r="B20" s="68"/>
      <c r="C20" s="69"/>
      <c r="D20" s="70"/>
      <c r="E20" s="68">
        <v>5</v>
      </c>
      <c r="F20" s="69">
        <v>36195</v>
      </c>
      <c r="G20" s="70">
        <v>36195</v>
      </c>
      <c r="H20" s="68"/>
      <c r="I20" s="70"/>
      <c r="J20" s="68"/>
      <c r="K20" s="70"/>
    </row>
    <row r="25" spans="1:18" s="5" customFormat="1" ht="12.75" x14ac:dyDescent="0.2">
      <c r="A25" s="30" t="s">
        <v>133</v>
      </c>
      <c r="L25" s="30" t="s">
        <v>367</v>
      </c>
    </row>
    <row r="26" spans="1:18" s="5" customFormat="1" ht="38.25" x14ac:dyDescent="0.2">
      <c r="A26" s="1" t="s">
        <v>128</v>
      </c>
      <c r="B26" s="1" t="s">
        <v>87</v>
      </c>
      <c r="C26" s="1" t="s">
        <v>129</v>
      </c>
      <c r="D26" s="1" t="s">
        <v>88</v>
      </c>
      <c r="E26" s="1" t="s">
        <v>89</v>
      </c>
      <c r="F26" s="1" t="s">
        <v>90</v>
      </c>
      <c r="G26" s="1" t="s">
        <v>233</v>
      </c>
      <c r="H26" s="1" t="s">
        <v>91</v>
      </c>
      <c r="I26" s="33"/>
      <c r="L26" s="40" t="s">
        <v>266</v>
      </c>
      <c r="M26" s="41" t="s">
        <v>87</v>
      </c>
      <c r="N26" s="40" t="s">
        <v>88</v>
      </c>
      <c r="O26" s="40" t="s">
        <v>89</v>
      </c>
      <c r="P26" s="40" t="s">
        <v>90</v>
      </c>
      <c r="Q26" s="40" t="s">
        <v>368</v>
      </c>
      <c r="R26" s="40" t="s">
        <v>91</v>
      </c>
    </row>
    <row r="27" spans="1:18" s="5" customFormat="1" ht="12.75" x14ac:dyDescent="0.2">
      <c r="A27" s="10">
        <v>1</v>
      </c>
      <c r="B27" s="23" t="s">
        <v>45</v>
      </c>
      <c r="C27" s="10"/>
      <c r="D27" s="10" t="s">
        <v>92</v>
      </c>
      <c r="E27" s="10" t="s">
        <v>93</v>
      </c>
      <c r="F27" s="10" t="s">
        <v>92</v>
      </c>
      <c r="G27" s="10">
        <v>36195</v>
      </c>
      <c r="H27" s="10" t="s">
        <v>94</v>
      </c>
      <c r="I27" s="10"/>
      <c r="L27" s="102">
        <v>1</v>
      </c>
      <c r="M27" s="29" t="s">
        <v>45</v>
      </c>
      <c r="N27" s="29" t="s">
        <v>92</v>
      </c>
      <c r="O27" s="29" t="s">
        <v>93</v>
      </c>
      <c r="P27" s="42" t="s">
        <v>92</v>
      </c>
      <c r="Q27" s="29">
        <v>36195</v>
      </c>
      <c r="R27" s="36" t="s">
        <v>94</v>
      </c>
    </row>
    <row r="28" spans="1:18" s="5" customFormat="1" ht="12.75" x14ac:dyDescent="0.2">
      <c r="A28" s="10">
        <v>2</v>
      </c>
      <c r="B28" s="23" t="s">
        <v>44</v>
      </c>
      <c r="C28" s="10"/>
      <c r="D28" s="10" t="s">
        <v>92</v>
      </c>
      <c r="E28" s="10" t="s">
        <v>93</v>
      </c>
      <c r="F28" s="10" t="s">
        <v>92</v>
      </c>
      <c r="G28" s="10">
        <v>36195</v>
      </c>
      <c r="H28" s="10" t="s">
        <v>94</v>
      </c>
      <c r="I28" s="10"/>
      <c r="L28" s="102">
        <v>2</v>
      </c>
      <c r="M28" s="43" t="s">
        <v>44</v>
      </c>
      <c r="N28" s="29" t="s">
        <v>92</v>
      </c>
      <c r="O28" s="29" t="s">
        <v>93</v>
      </c>
      <c r="P28" s="42" t="s">
        <v>92</v>
      </c>
      <c r="Q28" s="29">
        <v>36195</v>
      </c>
      <c r="R28" s="36" t="s">
        <v>94</v>
      </c>
    </row>
    <row r="29" spans="1:18" s="5" customFormat="1" ht="12.75" x14ac:dyDescent="0.2">
      <c r="A29" s="10">
        <v>3</v>
      </c>
      <c r="B29" s="23" t="s">
        <v>95</v>
      </c>
      <c r="C29" s="10"/>
      <c r="D29" s="10" t="s">
        <v>92</v>
      </c>
      <c r="E29" s="10" t="s">
        <v>93</v>
      </c>
      <c r="F29" s="10" t="s">
        <v>92</v>
      </c>
      <c r="G29" s="10">
        <v>26480</v>
      </c>
      <c r="H29" s="10" t="s">
        <v>96</v>
      </c>
      <c r="I29" s="10"/>
      <c r="L29" s="102">
        <v>3</v>
      </c>
      <c r="M29" s="101" t="s">
        <v>95</v>
      </c>
      <c r="N29" s="36" t="s">
        <v>92</v>
      </c>
      <c r="O29" s="29" t="s">
        <v>93</v>
      </c>
      <c r="P29" s="42" t="s">
        <v>92</v>
      </c>
      <c r="Q29" s="29">
        <f>6620*4</f>
        <v>26480</v>
      </c>
      <c r="R29" s="36" t="s">
        <v>96</v>
      </c>
    </row>
    <row r="30" spans="1:18" s="5" customFormat="1" ht="12.75" x14ac:dyDescent="0.2">
      <c r="A30" s="10">
        <v>4</v>
      </c>
      <c r="B30" s="23" t="s">
        <v>97</v>
      </c>
      <c r="C30" s="10"/>
      <c r="D30" s="10" t="s">
        <v>92</v>
      </c>
      <c r="E30" s="10" t="s">
        <v>93</v>
      </c>
      <c r="F30" s="10" t="s">
        <v>92</v>
      </c>
      <c r="G30" s="10">
        <v>84550</v>
      </c>
      <c r="H30" s="10" t="s">
        <v>96</v>
      </c>
      <c r="I30" s="10"/>
      <c r="L30" s="102">
        <v>4</v>
      </c>
      <c r="M30" s="101" t="s">
        <v>97</v>
      </c>
      <c r="N30" s="36" t="s">
        <v>92</v>
      </c>
      <c r="O30" s="29" t="s">
        <v>93</v>
      </c>
      <c r="P30" s="42" t="s">
        <v>92</v>
      </c>
      <c r="Q30" s="29">
        <f>39830+((5590*4)*2)</f>
        <v>84550</v>
      </c>
      <c r="R30" s="36" t="s">
        <v>96</v>
      </c>
    </row>
    <row r="31" spans="1:18" s="5" customFormat="1" ht="12.75" x14ac:dyDescent="0.2">
      <c r="A31" s="10">
        <v>5</v>
      </c>
      <c r="B31" s="23" t="s">
        <v>366</v>
      </c>
      <c r="C31" s="10"/>
      <c r="D31" s="10" t="s">
        <v>92</v>
      </c>
      <c r="E31" s="10" t="s">
        <v>93</v>
      </c>
      <c r="F31" s="10" t="s">
        <v>92</v>
      </c>
      <c r="G31" s="10">
        <v>22900</v>
      </c>
      <c r="H31" s="10" t="s">
        <v>96</v>
      </c>
      <c r="I31" s="10"/>
      <c r="L31" s="95">
        <v>5</v>
      </c>
      <c r="M31" s="100" t="s">
        <v>452</v>
      </c>
      <c r="N31" s="36" t="s">
        <v>92</v>
      </c>
      <c r="O31" s="29" t="s">
        <v>93</v>
      </c>
      <c r="P31" s="42" t="s">
        <v>92</v>
      </c>
      <c r="Q31" s="29">
        <v>22900</v>
      </c>
      <c r="R31" s="36" t="s">
        <v>96</v>
      </c>
    </row>
    <row r="32" spans="1:18" s="5" customFormat="1" ht="12.75" x14ac:dyDescent="0.2">
      <c r="A32" s="851">
        <v>6</v>
      </c>
      <c r="B32" s="952" t="s">
        <v>99</v>
      </c>
      <c r="C32" s="10"/>
      <c r="D32" s="23" t="s">
        <v>100</v>
      </c>
      <c r="E32" s="10" t="s">
        <v>101</v>
      </c>
      <c r="F32" s="10">
        <v>447</v>
      </c>
      <c r="G32" s="10">
        <v>11175</v>
      </c>
      <c r="H32" s="10" t="s">
        <v>102</v>
      </c>
      <c r="I32" s="10"/>
      <c r="L32" s="979">
        <v>6</v>
      </c>
      <c r="M32" s="979" t="s">
        <v>99</v>
      </c>
      <c r="N32" s="54" t="s">
        <v>100</v>
      </c>
      <c r="O32" s="29" t="s">
        <v>101</v>
      </c>
      <c r="P32" s="29">
        <v>447</v>
      </c>
      <c r="Q32" s="29">
        <f>P32*25</f>
        <v>11175</v>
      </c>
      <c r="R32" s="29" t="s">
        <v>102</v>
      </c>
    </row>
    <row r="33" spans="1:19" s="5" customFormat="1" ht="12.75" x14ac:dyDescent="0.2">
      <c r="A33" s="852"/>
      <c r="B33" s="978"/>
      <c r="C33" s="10"/>
      <c r="D33" s="23" t="s">
        <v>103</v>
      </c>
      <c r="E33" s="10" t="s">
        <v>101</v>
      </c>
      <c r="F33" s="10">
        <v>471</v>
      </c>
      <c r="G33" s="10">
        <f>F33*20</f>
        <v>9420</v>
      </c>
      <c r="H33" s="10" t="s">
        <v>104</v>
      </c>
      <c r="I33" s="10"/>
      <c r="L33" s="975"/>
      <c r="M33" s="975"/>
      <c r="N33" s="54" t="s">
        <v>103</v>
      </c>
      <c r="O33" s="29" t="s">
        <v>101</v>
      </c>
      <c r="P33" s="29">
        <v>471</v>
      </c>
      <c r="Q33" s="29">
        <f>P33*19</f>
        <v>8949</v>
      </c>
      <c r="R33" s="29" t="s">
        <v>439</v>
      </c>
    </row>
    <row r="34" spans="1:19" s="5" customFormat="1" ht="12.75" x14ac:dyDescent="0.2">
      <c r="A34" s="852"/>
      <c r="B34" s="978"/>
      <c r="C34" s="10"/>
      <c r="D34" s="29" t="s">
        <v>105</v>
      </c>
      <c r="E34" s="10" t="s">
        <v>101</v>
      </c>
      <c r="F34" s="10">
        <v>471</v>
      </c>
      <c r="G34" s="10">
        <f>F34*19</f>
        <v>8949</v>
      </c>
      <c r="H34" s="10" t="s">
        <v>104</v>
      </c>
      <c r="I34" s="10"/>
      <c r="L34" s="975"/>
      <c r="M34" s="975"/>
      <c r="N34" s="54" t="s">
        <v>105</v>
      </c>
      <c r="O34" s="29" t="s">
        <v>101</v>
      </c>
      <c r="P34" s="29">
        <v>471</v>
      </c>
      <c r="Q34" s="29">
        <f>P34*19</f>
        <v>8949</v>
      </c>
      <c r="R34" s="29" t="s">
        <v>439</v>
      </c>
    </row>
    <row r="35" spans="1:19" s="5" customFormat="1" ht="12.75" x14ac:dyDescent="0.2">
      <c r="A35" s="852"/>
      <c r="B35" s="978"/>
      <c r="C35" s="10"/>
      <c r="D35" s="23" t="s">
        <v>106</v>
      </c>
      <c r="E35" s="10" t="s">
        <v>101</v>
      </c>
      <c r="F35" s="10">
        <v>447</v>
      </c>
      <c r="G35" s="10">
        <f>F35*25</f>
        <v>11175</v>
      </c>
      <c r="H35" s="10" t="s">
        <v>94</v>
      </c>
      <c r="I35" s="10"/>
      <c r="L35" s="975"/>
      <c r="M35" s="975"/>
      <c r="N35" s="54" t="s">
        <v>106</v>
      </c>
      <c r="O35" s="29" t="s">
        <v>101</v>
      </c>
      <c r="P35" s="29">
        <v>447</v>
      </c>
      <c r="Q35" s="29">
        <f>P35*25</f>
        <v>11175</v>
      </c>
      <c r="R35" s="29" t="s">
        <v>94</v>
      </c>
    </row>
    <row r="36" spans="1:19" s="5" customFormat="1" ht="12.75" x14ac:dyDescent="0.2">
      <c r="A36" s="852"/>
      <c r="B36" s="978"/>
      <c r="C36" s="10"/>
      <c r="D36" s="23" t="s">
        <v>9</v>
      </c>
      <c r="E36" s="10" t="s">
        <v>101</v>
      </c>
      <c r="F36" s="10">
        <v>488</v>
      </c>
      <c r="G36" s="10">
        <v>9760</v>
      </c>
      <c r="H36" s="10" t="s">
        <v>104</v>
      </c>
      <c r="I36" s="10"/>
      <c r="L36" s="975"/>
      <c r="M36" s="975"/>
      <c r="N36" s="54" t="s">
        <v>9</v>
      </c>
      <c r="O36" s="29" t="s">
        <v>101</v>
      </c>
      <c r="P36" s="29">
        <v>488</v>
      </c>
      <c r="Q36" s="29">
        <f>P36*20</f>
        <v>9760</v>
      </c>
      <c r="R36" s="29" t="s">
        <v>104</v>
      </c>
    </row>
    <row r="37" spans="1:19" s="5" customFormat="1" ht="12.75" x14ac:dyDescent="0.2">
      <c r="A37" s="852"/>
      <c r="B37" s="978"/>
      <c r="C37" s="10"/>
      <c r="D37" s="23" t="s">
        <v>107</v>
      </c>
      <c r="E37" s="10" t="s">
        <v>108</v>
      </c>
      <c r="F37" s="10">
        <v>447</v>
      </c>
      <c r="G37" s="10">
        <v>6705</v>
      </c>
      <c r="H37" s="10" t="s">
        <v>109</v>
      </c>
      <c r="I37" s="10"/>
      <c r="L37" s="975"/>
      <c r="M37" s="975"/>
      <c r="N37" s="54" t="s">
        <v>107</v>
      </c>
      <c r="O37" s="29" t="s">
        <v>108</v>
      </c>
      <c r="P37" s="29">
        <v>447</v>
      </c>
      <c r="Q37" s="29">
        <f>P37*15</f>
        <v>6705</v>
      </c>
      <c r="R37" s="29" t="s">
        <v>109</v>
      </c>
    </row>
    <row r="38" spans="1:19" s="5" customFormat="1" ht="12.75" x14ac:dyDescent="0.2">
      <c r="A38" s="852"/>
      <c r="B38" s="978"/>
      <c r="C38" s="10"/>
      <c r="D38" s="23" t="s">
        <v>307</v>
      </c>
      <c r="E38" s="10" t="s">
        <v>108</v>
      </c>
      <c r="F38" s="10">
        <v>478</v>
      </c>
      <c r="G38" s="10">
        <v>7170</v>
      </c>
      <c r="H38" s="10" t="s">
        <v>109</v>
      </c>
      <c r="I38" s="10"/>
      <c r="L38" s="975"/>
      <c r="M38" s="975"/>
      <c r="N38" s="54" t="s">
        <v>348</v>
      </c>
      <c r="O38" s="29" t="s">
        <v>108</v>
      </c>
      <c r="P38" s="29">
        <v>422</v>
      </c>
      <c r="Q38" s="29">
        <f>P38*15</f>
        <v>6330</v>
      </c>
      <c r="R38" s="29" t="s">
        <v>109</v>
      </c>
    </row>
    <row r="39" spans="1:19" s="5" customFormat="1" ht="12.75" x14ac:dyDescent="0.2">
      <c r="A39" s="853"/>
      <c r="B39" s="953"/>
      <c r="C39" s="10"/>
      <c r="D39" s="23" t="s">
        <v>110</v>
      </c>
      <c r="E39" s="10" t="s">
        <v>111</v>
      </c>
      <c r="F39" s="10">
        <v>488</v>
      </c>
      <c r="G39" s="10">
        <v>4880</v>
      </c>
      <c r="H39" s="10" t="s">
        <v>112</v>
      </c>
      <c r="I39" s="10"/>
      <c r="L39" s="976"/>
      <c r="M39" s="976"/>
      <c r="N39" s="54" t="s">
        <v>110</v>
      </c>
      <c r="O39" s="29" t="s">
        <v>111</v>
      </c>
      <c r="P39" s="29">
        <v>488</v>
      </c>
      <c r="Q39" s="29">
        <f>P39*10</f>
        <v>4880</v>
      </c>
      <c r="R39" s="29" t="s">
        <v>112</v>
      </c>
    </row>
    <row r="40" spans="1:19" s="5" customFormat="1" ht="12.75" x14ac:dyDescent="0.2">
      <c r="A40" s="851">
        <v>7</v>
      </c>
      <c r="B40" s="980" t="s">
        <v>309</v>
      </c>
      <c r="C40" s="10"/>
      <c r="D40" s="29" t="s">
        <v>4</v>
      </c>
      <c r="E40" s="10" t="s">
        <v>101</v>
      </c>
      <c r="F40" s="10">
        <v>156</v>
      </c>
      <c r="G40" s="10">
        <f>F40*19</f>
        <v>2964</v>
      </c>
      <c r="H40" s="10" t="s">
        <v>104</v>
      </c>
      <c r="I40" s="10"/>
      <c r="L40" s="979">
        <v>7</v>
      </c>
      <c r="M40" s="981" t="s">
        <v>350</v>
      </c>
      <c r="N40" s="53" t="s">
        <v>4</v>
      </c>
      <c r="O40" s="29" t="s">
        <v>101</v>
      </c>
      <c r="P40" s="29">
        <v>156</v>
      </c>
      <c r="Q40" s="29">
        <f>P40*19</f>
        <v>2964</v>
      </c>
      <c r="R40" s="29" t="s">
        <v>439</v>
      </c>
    </row>
    <row r="41" spans="1:19" s="5" customFormat="1" ht="12.75" x14ac:dyDescent="0.2">
      <c r="A41" s="852"/>
      <c r="B41" s="978"/>
      <c r="C41" s="10"/>
      <c r="D41" s="29" t="s">
        <v>113</v>
      </c>
      <c r="E41" s="10" t="s">
        <v>101</v>
      </c>
      <c r="F41" s="10">
        <v>156</v>
      </c>
      <c r="G41" s="10">
        <f>F41*19</f>
        <v>2964</v>
      </c>
      <c r="H41" s="10" t="s">
        <v>104</v>
      </c>
      <c r="I41" s="10"/>
      <c r="L41" s="975"/>
      <c r="M41" s="839"/>
      <c r="N41" s="53" t="s">
        <v>113</v>
      </c>
      <c r="O41" s="29" t="s">
        <v>101</v>
      </c>
      <c r="P41" s="29">
        <v>156</v>
      </c>
      <c r="Q41" s="29">
        <f>P41*19</f>
        <v>2964</v>
      </c>
      <c r="R41" s="29" t="s">
        <v>439</v>
      </c>
    </row>
    <row r="42" spans="1:19" s="5" customFormat="1" ht="25.5" x14ac:dyDescent="0.2">
      <c r="A42" s="852"/>
      <c r="B42" s="978"/>
      <c r="C42" s="10"/>
      <c r="D42" s="29" t="s">
        <v>3</v>
      </c>
      <c r="E42" s="10" t="s">
        <v>101</v>
      </c>
      <c r="F42" s="10">
        <v>156</v>
      </c>
      <c r="G42" s="10">
        <f>F42*19</f>
        <v>2964</v>
      </c>
      <c r="H42" s="10" t="s">
        <v>104</v>
      </c>
      <c r="I42" s="10"/>
      <c r="L42" s="975"/>
      <c r="M42" s="839"/>
      <c r="N42" s="53" t="s">
        <v>3</v>
      </c>
      <c r="O42" s="29" t="s">
        <v>101</v>
      </c>
      <c r="P42" s="29">
        <v>156</v>
      </c>
      <c r="Q42" s="29">
        <f>P42*19</f>
        <v>2964</v>
      </c>
      <c r="R42" s="29" t="s">
        <v>439</v>
      </c>
    </row>
    <row r="43" spans="1:19" s="5" customFormat="1" ht="12.75" x14ac:dyDescent="0.2">
      <c r="A43" s="853"/>
      <c r="B43" s="953"/>
      <c r="C43" s="10"/>
      <c r="D43" s="23" t="s">
        <v>114</v>
      </c>
      <c r="E43" s="10" t="s">
        <v>101</v>
      </c>
      <c r="F43" s="10">
        <v>156</v>
      </c>
      <c r="G43" s="10">
        <v>3120</v>
      </c>
      <c r="H43" s="10" t="s">
        <v>104</v>
      </c>
      <c r="I43" s="10"/>
      <c r="L43" s="976"/>
      <c r="M43" s="982"/>
      <c r="N43" s="53" t="s">
        <v>114</v>
      </c>
      <c r="O43" s="29" t="s">
        <v>101</v>
      </c>
      <c r="P43" s="29">
        <v>156</v>
      </c>
      <c r="Q43" s="29">
        <f>P43*20</f>
        <v>3120</v>
      </c>
      <c r="R43" s="29" t="s">
        <v>104</v>
      </c>
    </row>
    <row r="44" spans="1:19" s="5" customFormat="1" ht="12.75" x14ac:dyDescent="0.2">
      <c r="A44" s="10">
        <v>8</v>
      </c>
      <c r="B44" s="23" t="s">
        <v>115</v>
      </c>
      <c r="C44" s="10"/>
      <c r="D44" s="23" t="s">
        <v>116</v>
      </c>
      <c r="E44" s="10" t="s">
        <v>101</v>
      </c>
      <c r="F44" s="10">
        <v>177</v>
      </c>
      <c r="G44" s="10">
        <v>3540</v>
      </c>
      <c r="H44" s="10" t="s">
        <v>104</v>
      </c>
      <c r="I44" s="10"/>
      <c r="L44" s="96">
        <v>8</v>
      </c>
      <c r="M44" s="101" t="s">
        <v>115</v>
      </c>
      <c r="N44" s="53" t="s">
        <v>116</v>
      </c>
      <c r="O44" s="29" t="s">
        <v>101</v>
      </c>
      <c r="P44" s="29">
        <v>177</v>
      </c>
      <c r="Q44" s="29">
        <f>P44*19</f>
        <v>3363</v>
      </c>
      <c r="R44" s="29" t="s">
        <v>439</v>
      </c>
    </row>
    <row r="45" spans="1:19" s="5" customFormat="1" ht="25.5" x14ac:dyDescent="0.2">
      <c r="A45" s="10">
        <v>9</v>
      </c>
      <c r="B45" s="23" t="s">
        <v>308</v>
      </c>
      <c r="C45" s="10"/>
      <c r="D45" s="23" t="s">
        <v>117</v>
      </c>
      <c r="E45" s="10" t="s">
        <v>101</v>
      </c>
      <c r="F45" s="10">
        <v>539</v>
      </c>
      <c r="G45" s="10">
        <v>10780</v>
      </c>
      <c r="H45" s="10" t="s">
        <v>96</v>
      </c>
      <c r="I45" s="10"/>
      <c r="L45" s="102">
        <v>9</v>
      </c>
      <c r="M45" s="101" t="s">
        <v>353</v>
      </c>
      <c r="N45" s="53" t="s">
        <v>117</v>
      </c>
      <c r="O45" s="29" t="s">
        <v>101</v>
      </c>
      <c r="P45" s="29">
        <v>539</v>
      </c>
      <c r="Q45" s="29">
        <f>(P45*20)</f>
        <v>10780</v>
      </c>
      <c r="R45" s="36" t="s">
        <v>96</v>
      </c>
    </row>
    <row r="46" spans="1:19" s="5" customFormat="1" ht="12.75" x14ac:dyDescent="0.2">
      <c r="A46" s="10">
        <v>11</v>
      </c>
      <c r="B46" s="978"/>
      <c r="C46" s="10"/>
      <c r="D46" s="24" t="s">
        <v>118</v>
      </c>
      <c r="E46" s="10" t="s">
        <v>101</v>
      </c>
      <c r="F46" s="10">
        <v>156</v>
      </c>
      <c r="G46" s="10">
        <v>3120</v>
      </c>
      <c r="H46" s="10" t="s">
        <v>104</v>
      </c>
      <c r="I46" s="10"/>
      <c r="L46" s="96">
        <v>11</v>
      </c>
      <c r="M46" s="817" t="s">
        <v>31</v>
      </c>
      <c r="N46" s="53" t="s">
        <v>375</v>
      </c>
      <c r="O46" s="29" t="s">
        <v>101</v>
      </c>
      <c r="P46" s="29">
        <v>156</v>
      </c>
      <c r="Q46" s="29">
        <f>(P46*17)</f>
        <v>2652</v>
      </c>
      <c r="R46" s="29" t="s">
        <v>455</v>
      </c>
      <c r="S46" s="977" t="s">
        <v>371</v>
      </c>
    </row>
    <row r="47" spans="1:19" s="5" customFormat="1" ht="13.5" customHeight="1" x14ac:dyDescent="0.2">
      <c r="A47" s="10"/>
      <c r="B47" s="978"/>
      <c r="C47" s="10"/>
      <c r="D47" s="24"/>
      <c r="E47" s="10"/>
      <c r="F47" s="10"/>
      <c r="G47" s="10"/>
      <c r="H47" s="10"/>
      <c r="I47" s="10"/>
      <c r="L47" s="96"/>
      <c r="M47" s="817"/>
      <c r="N47" s="53" t="s">
        <v>13</v>
      </c>
      <c r="O47" s="29"/>
      <c r="P47" s="29">
        <v>156</v>
      </c>
      <c r="Q47" s="29">
        <f>(P47*19)</f>
        <v>2964</v>
      </c>
      <c r="R47" s="29" t="s">
        <v>439</v>
      </c>
      <c r="S47" s="977"/>
    </row>
    <row r="48" spans="1:19" s="5" customFormat="1" ht="12.75" x14ac:dyDescent="0.2">
      <c r="A48" s="10"/>
      <c r="B48" s="978"/>
      <c r="C48" s="10"/>
      <c r="D48" s="24"/>
      <c r="E48" s="10"/>
      <c r="F48" s="10"/>
      <c r="G48" s="10"/>
      <c r="H48" s="10"/>
      <c r="I48" s="10"/>
      <c r="L48" s="96"/>
      <c r="M48" s="817"/>
      <c r="N48" s="53" t="s">
        <v>370</v>
      </c>
      <c r="O48" s="29"/>
      <c r="P48" s="29">
        <v>156</v>
      </c>
      <c r="Q48" s="29">
        <f>(P48*19)</f>
        <v>2964</v>
      </c>
      <c r="R48" s="29" t="s">
        <v>439</v>
      </c>
      <c r="S48" s="977"/>
    </row>
    <row r="49" spans="1:19" s="5" customFormat="1" ht="12.75" x14ac:dyDescent="0.2">
      <c r="A49" s="10">
        <v>12</v>
      </c>
      <c r="B49" s="978"/>
      <c r="C49" s="10"/>
      <c r="D49" s="24" t="s">
        <v>12</v>
      </c>
      <c r="E49" s="10" t="s">
        <v>101</v>
      </c>
      <c r="F49" s="10">
        <v>156</v>
      </c>
      <c r="G49" s="10">
        <v>3120</v>
      </c>
      <c r="H49" s="10" t="s">
        <v>104</v>
      </c>
      <c r="I49" s="10"/>
      <c r="L49" s="96">
        <v>12</v>
      </c>
      <c r="M49" s="817"/>
      <c r="N49" s="53" t="s">
        <v>12</v>
      </c>
      <c r="O49" s="29" t="s">
        <v>101</v>
      </c>
      <c r="P49" s="29">
        <v>156</v>
      </c>
      <c r="Q49" s="29">
        <f>P49*19</f>
        <v>2964</v>
      </c>
      <c r="R49" s="29" t="s">
        <v>439</v>
      </c>
      <c r="S49" s="977" t="s">
        <v>369</v>
      </c>
    </row>
    <row r="50" spans="1:19" s="5" customFormat="1" ht="12.75" x14ac:dyDescent="0.2">
      <c r="A50" s="10">
        <v>13</v>
      </c>
      <c r="B50" s="978"/>
      <c r="C50" s="10"/>
      <c r="D50" s="24" t="s">
        <v>119</v>
      </c>
      <c r="E50" s="10" t="s">
        <v>101</v>
      </c>
      <c r="F50" s="10">
        <v>156</v>
      </c>
      <c r="G50" s="10">
        <v>3120</v>
      </c>
      <c r="H50" s="10" t="s">
        <v>104</v>
      </c>
      <c r="I50" s="10"/>
      <c r="L50" s="96">
        <v>13</v>
      </c>
      <c r="M50" s="817"/>
      <c r="N50" s="53" t="s">
        <v>119</v>
      </c>
      <c r="O50" s="29" t="s">
        <v>101</v>
      </c>
      <c r="P50" s="29">
        <v>156</v>
      </c>
      <c r="Q50" s="29">
        <f>P50*18</f>
        <v>2808</v>
      </c>
      <c r="R50" s="29" t="s">
        <v>456</v>
      </c>
      <c r="S50" s="977"/>
    </row>
    <row r="51" spans="1:19" s="5" customFormat="1" ht="12.75" x14ac:dyDescent="0.2">
      <c r="A51" s="10"/>
      <c r="B51" s="978"/>
      <c r="C51" s="10"/>
      <c r="D51" s="24"/>
      <c r="E51" s="10"/>
      <c r="F51" s="10"/>
      <c r="G51" s="10"/>
      <c r="H51" s="10"/>
      <c r="I51" s="10"/>
      <c r="L51" s="96"/>
      <c r="M51" s="817"/>
      <c r="N51" s="53" t="s">
        <v>120</v>
      </c>
      <c r="O51" s="29" t="s">
        <v>101</v>
      </c>
      <c r="P51" s="29">
        <v>156</v>
      </c>
      <c r="Q51" s="29">
        <f>P51*19</f>
        <v>2964</v>
      </c>
      <c r="R51" s="29" t="s">
        <v>439</v>
      </c>
      <c r="S51" s="977"/>
    </row>
    <row r="52" spans="1:19" s="5" customFormat="1" ht="12.75" x14ac:dyDescent="0.2">
      <c r="A52" s="10"/>
      <c r="B52" s="978"/>
      <c r="C52" s="10"/>
      <c r="D52" s="24"/>
      <c r="E52" s="10"/>
      <c r="F52" s="10"/>
      <c r="G52" s="10"/>
      <c r="H52" s="10"/>
      <c r="I52" s="10"/>
      <c r="L52" s="96"/>
      <c r="M52" s="817"/>
      <c r="N52" s="53" t="s">
        <v>372</v>
      </c>
      <c r="O52" s="29" t="s">
        <v>373</v>
      </c>
      <c r="P52" s="29">
        <v>179</v>
      </c>
      <c r="Q52" s="29">
        <f>P52*5</f>
        <v>895</v>
      </c>
      <c r="R52" s="29" t="s">
        <v>374</v>
      </c>
      <c r="S52" s="977" t="s">
        <v>376</v>
      </c>
    </row>
    <row r="53" spans="1:19" s="5" customFormat="1" ht="12.75" x14ac:dyDescent="0.2">
      <c r="A53" s="10"/>
      <c r="B53" s="978"/>
      <c r="C53" s="10"/>
      <c r="D53" s="24"/>
      <c r="E53" s="10"/>
      <c r="F53" s="10"/>
      <c r="G53" s="10"/>
      <c r="H53" s="10"/>
      <c r="I53" s="10"/>
      <c r="L53" s="96"/>
      <c r="M53" s="817"/>
      <c r="N53" s="53" t="s">
        <v>339</v>
      </c>
      <c r="O53" s="29" t="s">
        <v>373</v>
      </c>
      <c r="P53" s="29">
        <v>179</v>
      </c>
      <c r="Q53" s="29">
        <f>P53*5</f>
        <v>895</v>
      </c>
      <c r="R53" s="29" t="s">
        <v>374</v>
      </c>
      <c r="S53" s="977"/>
    </row>
    <row r="54" spans="1:19" s="5" customFormat="1" ht="12.75" x14ac:dyDescent="0.2">
      <c r="A54" s="10"/>
      <c r="B54" s="97"/>
      <c r="C54" s="10"/>
      <c r="D54" s="24"/>
      <c r="E54" s="10"/>
      <c r="F54" s="10"/>
      <c r="G54" s="10"/>
      <c r="H54" s="10"/>
      <c r="I54" s="10"/>
      <c r="L54" s="96"/>
      <c r="M54" s="975" t="s">
        <v>360</v>
      </c>
      <c r="N54" s="53" t="s">
        <v>361</v>
      </c>
      <c r="O54" s="29" t="s">
        <v>108</v>
      </c>
      <c r="P54" s="29">
        <v>168</v>
      </c>
      <c r="Q54" s="29">
        <f>P54*15</f>
        <v>2520</v>
      </c>
      <c r="R54" s="29" t="s">
        <v>109</v>
      </c>
      <c r="S54" s="977" t="s">
        <v>377</v>
      </c>
    </row>
    <row r="55" spans="1:19" s="5" customFormat="1" ht="12.75" x14ac:dyDescent="0.2">
      <c r="A55" s="10"/>
      <c r="B55" s="97"/>
      <c r="C55" s="10"/>
      <c r="D55" s="24"/>
      <c r="E55" s="10"/>
      <c r="F55" s="10"/>
      <c r="G55" s="10"/>
      <c r="H55" s="10"/>
      <c r="I55" s="10"/>
      <c r="L55" s="96"/>
      <c r="M55" s="975"/>
      <c r="N55" s="53" t="s">
        <v>345</v>
      </c>
      <c r="O55" s="29" t="s">
        <v>108</v>
      </c>
      <c r="P55" s="29">
        <v>168</v>
      </c>
      <c r="Q55" s="29">
        <f>P55*11</f>
        <v>1848</v>
      </c>
      <c r="R55" s="29" t="s">
        <v>438</v>
      </c>
      <c r="S55" s="977"/>
    </row>
    <row r="56" spans="1:19" s="5" customFormat="1" ht="12.75" x14ac:dyDescent="0.2">
      <c r="A56" s="10"/>
      <c r="B56" s="97"/>
      <c r="C56" s="10"/>
      <c r="D56" s="24"/>
      <c r="E56" s="10"/>
      <c r="F56" s="10"/>
      <c r="G56" s="10"/>
      <c r="H56" s="10"/>
      <c r="I56" s="10"/>
      <c r="L56" s="96"/>
      <c r="M56" s="975"/>
      <c r="N56" s="53" t="s">
        <v>332</v>
      </c>
      <c r="O56" s="29" t="s">
        <v>373</v>
      </c>
      <c r="P56" s="29">
        <v>179</v>
      </c>
      <c r="Q56" s="29">
        <f>P56*5</f>
        <v>895</v>
      </c>
      <c r="R56" s="29" t="s">
        <v>374</v>
      </c>
      <c r="S56" s="35" t="s">
        <v>376</v>
      </c>
    </row>
    <row r="57" spans="1:19" s="5" customFormat="1" ht="12.75" x14ac:dyDescent="0.2">
      <c r="A57" s="10"/>
      <c r="B57" s="97"/>
      <c r="C57" s="10"/>
      <c r="D57" s="24"/>
      <c r="E57" s="10"/>
      <c r="F57" s="10"/>
      <c r="G57" s="10"/>
      <c r="H57" s="10"/>
      <c r="I57" s="10"/>
      <c r="L57" s="96"/>
      <c r="M57" s="975"/>
      <c r="N57" s="53" t="s">
        <v>334</v>
      </c>
      <c r="O57" s="29" t="s">
        <v>373</v>
      </c>
      <c r="P57" s="29">
        <v>179</v>
      </c>
      <c r="Q57" s="29">
        <f>P57*5</f>
        <v>895</v>
      </c>
      <c r="R57" s="29" t="s">
        <v>374</v>
      </c>
      <c r="S57" s="977" t="s">
        <v>380</v>
      </c>
    </row>
    <row r="58" spans="1:19" s="5" customFormat="1" ht="12.75" x14ac:dyDescent="0.2">
      <c r="A58" s="10"/>
      <c r="B58" s="97"/>
      <c r="C58" s="10"/>
      <c r="D58" s="24"/>
      <c r="E58" s="10"/>
      <c r="F58" s="10"/>
      <c r="G58" s="10"/>
      <c r="H58" s="10"/>
      <c r="I58" s="10"/>
      <c r="L58" s="96"/>
      <c r="M58" s="976"/>
      <c r="N58" s="53" t="s">
        <v>333</v>
      </c>
      <c r="O58" s="29" t="s">
        <v>373</v>
      </c>
      <c r="P58" s="29">
        <v>179</v>
      </c>
      <c r="Q58" s="29">
        <f>P58*5</f>
        <v>895</v>
      </c>
      <c r="R58" s="29" t="s">
        <v>374</v>
      </c>
      <c r="S58" s="977"/>
    </row>
    <row r="59" spans="1:19" s="5" customFormat="1" ht="12.75" x14ac:dyDescent="0.2">
      <c r="A59" s="10">
        <v>15</v>
      </c>
      <c r="B59" s="23" t="s">
        <v>121</v>
      </c>
      <c r="C59" s="10"/>
      <c r="D59" s="10"/>
      <c r="E59" s="10" t="s">
        <v>93</v>
      </c>
      <c r="F59" s="10" t="s">
        <v>92</v>
      </c>
      <c r="G59" s="10">
        <v>25000</v>
      </c>
      <c r="H59" s="10"/>
      <c r="I59" s="10"/>
      <c r="L59" s="96">
        <v>15</v>
      </c>
      <c r="M59" s="44" t="s">
        <v>453</v>
      </c>
      <c r="N59" s="36"/>
      <c r="O59" s="29" t="s">
        <v>93</v>
      </c>
      <c r="P59" s="29" t="s">
        <v>92</v>
      </c>
      <c r="Q59" s="29">
        <v>25000</v>
      </c>
      <c r="R59" s="36"/>
    </row>
    <row r="60" spans="1:19" s="5" customFormat="1" ht="12.75" x14ac:dyDescent="0.2">
      <c r="A60" s="10">
        <v>16</v>
      </c>
      <c r="B60" s="23" t="s">
        <v>32</v>
      </c>
      <c r="C60" s="10"/>
      <c r="D60" s="10"/>
      <c r="E60" s="10" t="s">
        <v>93</v>
      </c>
      <c r="F60" s="10" t="s">
        <v>92</v>
      </c>
      <c r="G60" s="10">
        <v>50376</v>
      </c>
      <c r="H60" s="10"/>
      <c r="I60" s="10"/>
      <c r="L60" s="96">
        <v>16</v>
      </c>
      <c r="M60" s="29" t="s">
        <v>32</v>
      </c>
      <c r="N60" s="36"/>
      <c r="O60" s="29" t="s">
        <v>93</v>
      </c>
      <c r="P60" s="29" t="s">
        <v>92</v>
      </c>
      <c r="Q60" s="29">
        <v>50376</v>
      </c>
      <c r="R60" s="36"/>
    </row>
    <row r="61" spans="1:19" s="5" customFormat="1" ht="12.75" x14ac:dyDescent="0.2">
      <c r="A61" s="10">
        <v>17</v>
      </c>
      <c r="B61" s="23" t="s">
        <v>122</v>
      </c>
      <c r="C61" s="10"/>
      <c r="D61" s="10"/>
      <c r="E61" s="10"/>
      <c r="F61" s="10" t="s">
        <v>92</v>
      </c>
      <c r="G61" s="10">
        <v>8600</v>
      </c>
      <c r="H61" s="10"/>
      <c r="I61" s="10"/>
      <c r="L61" s="29">
        <v>17</v>
      </c>
      <c r="M61" s="29" t="s">
        <v>122</v>
      </c>
      <c r="N61" s="29"/>
      <c r="O61" s="29"/>
      <c r="P61" s="29" t="s">
        <v>92</v>
      </c>
      <c r="Q61" s="29">
        <v>8600</v>
      </c>
      <c r="R61" s="29"/>
    </row>
    <row r="62" spans="1:19" s="5" customFormat="1" ht="12.75" x14ac:dyDescent="0.2">
      <c r="A62" s="10"/>
      <c r="B62" s="23"/>
      <c r="C62" s="10"/>
      <c r="D62" s="10"/>
      <c r="E62" s="10"/>
      <c r="F62" s="10"/>
      <c r="G62" s="10"/>
      <c r="H62" s="10"/>
      <c r="I62" s="10"/>
      <c r="L62" s="29">
        <v>18</v>
      </c>
      <c r="M62" s="29" t="s">
        <v>312</v>
      </c>
      <c r="N62" s="29"/>
      <c r="O62" s="29" t="s">
        <v>93</v>
      </c>
      <c r="P62" s="29" t="s">
        <v>92</v>
      </c>
      <c r="Q62" s="29">
        <v>9840</v>
      </c>
      <c r="R62" s="29"/>
    </row>
    <row r="63" spans="1:19" s="5" customFormat="1" ht="12.75" x14ac:dyDescent="0.2">
      <c r="A63" s="10">
        <v>18</v>
      </c>
      <c r="B63" s="23" t="s">
        <v>123</v>
      </c>
      <c r="C63" s="10"/>
      <c r="D63" s="10"/>
      <c r="E63" s="10"/>
      <c r="F63" s="10" t="s">
        <v>92</v>
      </c>
      <c r="G63" s="10">
        <v>7300</v>
      </c>
      <c r="H63" s="10"/>
      <c r="I63" s="10"/>
      <c r="L63" s="29">
        <v>19</v>
      </c>
      <c r="M63" s="29" t="s">
        <v>123</v>
      </c>
      <c r="N63" s="29"/>
      <c r="O63" s="29"/>
      <c r="P63" s="29" t="s">
        <v>92</v>
      </c>
      <c r="Q63" s="29">
        <v>7300</v>
      </c>
      <c r="R63" s="29"/>
    </row>
    <row r="64" spans="1:19" s="5" customFormat="1" ht="12.75" x14ac:dyDescent="0.2">
      <c r="A64" s="10">
        <v>19</v>
      </c>
      <c r="B64" s="23" t="s">
        <v>124</v>
      </c>
      <c r="C64" s="10"/>
      <c r="D64" s="10"/>
      <c r="E64" s="10" t="s">
        <v>93</v>
      </c>
      <c r="F64" s="10" t="s">
        <v>92</v>
      </c>
      <c r="G64" s="10">
        <v>3925</v>
      </c>
      <c r="H64" s="10"/>
      <c r="I64" s="10"/>
      <c r="L64" s="29">
        <v>20</v>
      </c>
      <c r="M64" s="29" t="s">
        <v>454</v>
      </c>
      <c r="N64" s="29"/>
      <c r="O64" s="29" t="s">
        <v>93</v>
      </c>
      <c r="P64" s="29" t="s">
        <v>92</v>
      </c>
      <c r="Q64" s="29">
        <v>3540</v>
      </c>
      <c r="R64" s="45"/>
    </row>
    <row r="65" spans="1:17" s="5" customFormat="1" ht="12.75" x14ac:dyDescent="0.2">
      <c r="A65" s="10">
        <v>20</v>
      </c>
      <c r="B65" s="23" t="s">
        <v>312</v>
      </c>
      <c r="C65" s="10"/>
      <c r="D65" s="10"/>
      <c r="E65" s="10" t="s">
        <v>93</v>
      </c>
      <c r="F65" s="10" t="s">
        <v>92</v>
      </c>
      <c r="G65" s="10">
        <v>9840</v>
      </c>
      <c r="H65" s="10"/>
      <c r="I65" s="10"/>
      <c r="L65" s="986" t="s">
        <v>125</v>
      </c>
      <c r="M65" s="986"/>
      <c r="N65" s="986"/>
      <c r="O65" s="986"/>
      <c r="P65" s="986"/>
      <c r="Q65" s="32">
        <f>SUM(Q27:Q64)</f>
        <v>431213</v>
      </c>
    </row>
    <row r="66" spans="1:17" s="5" customFormat="1" ht="12.75" x14ac:dyDescent="0.2">
      <c r="A66" s="10">
        <v>21</v>
      </c>
      <c r="B66" s="23" t="s">
        <v>341</v>
      </c>
      <c r="C66" s="10"/>
      <c r="D66" s="10"/>
      <c r="E66" s="10"/>
      <c r="F66" s="10"/>
      <c r="G66" s="10">
        <f>5040+2685</f>
        <v>7725</v>
      </c>
      <c r="H66" s="10"/>
      <c r="I66" s="10"/>
      <c r="L66" s="986" t="s">
        <v>126</v>
      </c>
      <c r="M66" s="986"/>
      <c r="N66" s="986"/>
      <c r="O66" s="986"/>
      <c r="P66" s="986"/>
      <c r="Q66" s="34">
        <f>Q65*1.5227</f>
        <v>656608.03509999998</v>
      </c>
    </row>
    <row r="67" spans="1:17" s="5" customFormat="1" ht="12.75" x14ac:dyDescent="0.2">
      <c r="A67" s="11"/>
      <c r="B67" s="27"/>
      <c r="C67" s="11"/>
      <c r="D67" s="11"/>
      <c r="E67" s="11"/>
      <c r="F67" s="11"/>
      <c r="G67" s="11"/>
      <c r="H67" s="11"/>
      <c r="I67" s="11"/>
      <c r="L67" s="986" t="s">
        <v>127</v>
      </c>
      <c r="M67" s="986"/>
      <c r="N67" s="986"/>
      <c r="O67" s="986"/>
      <c r="P67" s="986"/>
      <c r="Q67" s="34">
        <f>Q66/2</f>
        <v>328304.01754999999</v>
      </c>
    </row>
    <row r="68" spans="1:17" s="5" customFormat="1" ht="12.75" x14ac:dyDescent="0.2">
      <c r="E68" s="9" t="s">
        <v>125</v>
      </c>
      <c r="F68" s="9"/>
      <c r="G68" s="9">
        <f>SUM(G27:G65)</f>
        <v>416287</v>
      </c>
      <c r="H68" s="5">
        <f>SUM(G27:G66)</f>
        <v>424012</v>
      </c>
    </row>
    <row r="69" spans="1:17" s="5" customFormat="1" ht="12.75" x14ac:dyDescent="0.2">
      <c r="E69" s="9" t="s">
        <v>126</v>
      </c>
      <c r="F69" s="9"/>
      <c r="G69" s="9">
        <f>G68*1.52</f>
        <v>632756.24</v>
      </c>
      <c r="H69" s="5">
        <f>H68*1.52</f>
        <v>644498.24</v>
      </c>
    </row>
    <row r="70" spans="1:17" s="31" customFormat="1" x14ac:dyDescent="0.25">
      <c r="A70" s="5"/>
      <c r="B70" s="5"/>
      <c r="C70" s="5"/>
      <c r="D70" s="5"/>
      <c r="E70" s="5"/>
      <c r="F70" s="5"/>
      <c r="G70" s="5"/>
    </row>
    <row r="73" spans="1:17" x14ac:dyDescent="0.25">
      <c r="A73" s="30" t="s">
        <v>403</v>
      </c>
    </row>
    <row r="74" spans="1:17" s="31" customFormat="1" x14ac:dyDescent="0.25">
      <c r="A74" s="47" t="s">
        <v>266</v>
      </c>
      <c r="B74" s="48" t="s">
        <v>87</v>
      </c>
      <c r="C74" s="47" t="s">
        <v>88</v>
      </c>
      <c r="D74" s="47" t="s">
        <v>89</v>
      </c>
      <c r="E74" s="47" t="s">
        <v>90</v>
      </c>
      <c r="F74" s="47" t="s">
        <v>408</v>
      </c>
      <c r="G74" s="47" t="s">
        <v>91</v>
      </c>
      <c r="L74" s="31" t="s">
        <v>267</v>
      </c>
      <c r="M74" s="31" t="s">
        <v>442</v>
      </c>
      <c r="N74" s="56" t="s">
        <v>459</v>
      </c>
    </row>
    <row r="75" spans="1:17" s="31" customFormat="1" x14ac:dyDescent="0.25">
      <c r="A75" s="94">
        <v>1</v>
      </c>
      <c r="B75" s="10" t="s">
        <v>45</v>
      </c>
      <c r="C75" s="10" t="s">
        <v>92</v>
      </c>
      <c r="D75" s="10" t="s">
        <v>93</v>
      </c>
      <c r="E75" s="7" t="s">
        <v>92</v>
      </c>
      <c r="F75" s="75">
        <v>28956</v>
      </c>
      <c r="G75" s="76" t="s">
        <v>96</v>
      </c>
      <c r="M75" s="31" t="s">
        <v>443</v>
      </c>
      <c r="N75" s="31" t="s">
        <v>460</v>
      </c>
      <c r="O75" s="31" t="s">
        <v>461</v>
      </c>
    </row>
    <row r="76" spans="1:17" s="31" customFormat="1" x14ac:dyDescent="0.25">
      <c r="A76" s="94">
        <v>2</v>
      </c>
      <c r="B76" s="49" t="s">
        <v>44</v>
      </c>
      <c r="C76" s="10" t="s">
        <v>92</v>
      </c>
      <c r="D76" s="10" t="s">
        <v>93</v>
      </c>
      <c r="E76" s="7" t="s">
        <v>92</v>
      </c>
      <c r="F76" s="75">
        <v>28956</v>
      </c>
      <c r="G76" s="76" t="s">
        <v>96</v>
      </c>
      <c r="L76" s="31" t="s">
        <v>444</v>
      </c>
      <c r="M76" s="31" t="s">
        <v>443</v>
      </c>
    </row>
    <row r="77" spans="1:17" s="31" customFormat="1" x14ac:dyDescent="0.25">
      <c r="A77" s="94">
        <v>3</v>
      </c>
      <c r="B77" s="50" t="s">
        <v>95</v>
      </c>
      <c r="C77" s="76"/>
      <c r="D77" s="10" t="s">
        <v>93</v>
      </c>
      <c r="E77" s="7" t="s">
        <v>92</v>
      </c>
      <c r="F77" s="10">
        <v>33100</v>
      </c>
      <c r="G77" s="76" t="s">
        <v>94</v>
      </c>
      <c r="L77" s="31" t="s">
        <v>445</v>
      </c>
      <c r="M77" s="31" t="s">
        <v>446</v>
      </c>
    </row>
    <row r="78" spans="1:17" s="31" customFormat="1" ht="38.25" x14ac:dyDescent="0.25">
      <c r="A78" s="94">
        <v>4</v>
      </c>
      <c r="B78" s="50" t="s">
        <v>97</v>
      </c>
      <c r="C78" s="76" t="s">
        <v>92</v>
      </c>
      <c r="D78" s="10" t="s">
        <v>93</v>
      </c>
      <c r="E78" s="7" t="s">
        <v>92</v>
      </c>
      <c r="F78" s="51">
        <f>21137.5*5</f>
        <v>105687.5</v>
      </c>
      <c r="G78" s="76" t="s">
        <v>94</v>
      </c>
      <c r="L78" s="31" t="s">
        <v>447</v>
      </c>
      <c r="M78" s="31" t="s">
        <v>448</v>
      </c>
    </row>
    <row r="79" spans="1:17" s="31" customFormat="1" ht="25.5" x14ac:dyDescent="0.25">
      <c r="A79" s="94">
        <v>5</v>
      </c>
      <c r="B79" s="52" t="s">
        <v>98</v>
      </c>
      <c r="C79" s="76" t="s">
        <v>92</v>
      </c>
      <c r="D79" s="10" t="s">
        <v>93</v>
      </c>
      <c r="E79" s="7" t="s">
        <v>92</v>
      </c>
      <c r="F79" s="51">
        <v>28625</v>
      </c>
      <c r="G79" s="76" t="s">
        <v>94</v>
      </c>
      <c r="L79" s="31" t="s">
        <v>276</v>
      </c>
      <c r="M79" s="31" t="s">
        <v>449</v>
      </c>
    </row>
    <row r="80" spans="1:17" s="31" customFormat="1" x14ac:dyDescent="0.25">
      <c r="A80" s="94">
        <v>6</v>
      </c>
      <c r="B80" s="987" t="s">
        <v>99</v>
      </c>
      <c r="C80" s="10" t="s">
        <v>103</v>
      </c>
      <c r="D80" s="10" t="s">
        <v>346</v>
      </c>
      <c r="E80" s="10">
        <v>471</v>
      </c>
      <c r="F80" s="10">
        <f>E80*20</f>
        <v>9420</v>
      </c>
      <c r="G80" s="10" t="s">
        <v>104</v>
      </c>
      <c r="L80" s="31" t="s">
        <v>450</v>
      </c>
      <c r="M80" s="31" t="s">
        <v>451</v>
      </c>
    </row>
    <row r="81" spans="1:7" s="31" customFormat="1" x14ac:dyDescent="0.25">
      <c r="A81" s="94">
        <v>7</v>
      </c>
      <c r="B81" s="988"/>
      <c r="C81" s="10" t="s">
        <v>105</v>
      </c>
      <c r="D81" s="10" t="s">
        <v>346</v>
      </c>
      <c r="E81" s="10">
        <v>471</v>
      </c>
      <c r="F81" s="10">
        <f>E81*20</f>
        <v>9420</v>
      </c>
      <c r="G81" s="10" t="s">
        <v>104</v>
      </c>
    </row>
    <row r="82" spans="1:7" s="31" customFormat="1" x14ac:dyDescent="0.25">
      <c r="A82" s="94">
        <v>8</v>
      </c>
      <c r="B82" s="988"/>
      <c r="C82" s="10" t="s">
        <v>9</v>
      </c>
      <c r="D82" s="10" t="s">
        <v>346</v>
      </c>
      <c r="E82" s="10">
        <v>488</v>
      </c>
      <c r="F82" s="10">
        <f>E82*20</f>
        <v>9760</v>
      </c>
      <c r="G82" s="10" t="s">
        <v>104</v>
      </c>
    </row>
    <row r="83" spans="1:7" s="31" customFormat="1" x14ac:dyDescent="0.25">
      <c r="A83" s="94">
        <v>9</v>
      </c>
      <c r="B83" s="988"/>
      <c r="C83" s="10" t="s">
        <v>107</v>
      </c>
      <c r="D83" s="10" t="s">
        <v>346</v>
      </c>
      <c r="E83" s="10">
        <v>447</v>
      </c>
      <c r="F83" s="10">
        <f>E83*20</f>
        <v>8940</v>
      </c>
      <c r="G83" s="10" t="s">
        <v>104</v>
      </c>
    </row>
    <row r="84" spans="1:7" s="31" customFormat="1" x14ac:dyDescent="0.25">
      <c r="A84" s="94">
        <v>10</v>
      </c>
      <c r="B84" s="988"/>
      <c r="C84" s="10" t="s">
        <v>110</v>
      </c>
      <c r="D84" s="10" t="s">
        <v>346</v>
      </c>
      <c r="E84" s="10">
        <v>488</v>
      </c>
      <c r="F84" s="10">
        <f>E84*20</f>
        <v>9760</v>
      </c>
      <c r="G84" s="10" t="s">
        <v>104</v>
      </c>
    </row>
    <row r="85" spans="1:7" s="31" customFormat="1" x14ac:dyDescent="0.25">
      <c r="A85" s="94">
        <v>11</v>
      </c>
      <c r="B85" s="988"/>
      <c r="C85" s="10" t="s">
        <v>100</v>
      </c>
      <c r="D85" s="10" t="s">
        <v>346</v>
      </c>
      <c r="E85" s="10">
        <v>447</v>
      </c>
      <c r="F85" s="10">
        <f>(E85/8)*160</f>
        <v>8940</v>
      </c>
      <c r="G85" s="10" t="s">
        <v>347</v>
      </c>
    </row>
    <row r="86" spans="1:7" s="31" customFormat="1" x14ac:dyDescent="0.25">
      <c r="A86" s="94">
        <v>12</v>
      </c>
      <c r="B86" s="988"/>
      <c r="C86" s="10" t="s">
        <v>343</v>
      </c>
      <c r="D86" s="10" t="s">
        <v>346</v>
      </c>
      <c r="E86" s="10">
        <v>488</v>
      </c>
      <c r="F86" s="10">
        <f>E86*20</f>
        <v>9760</v>
      </c>
      <c r="G86" s="10" t="s">
        <v>104</v>
      </c>
    </row>
    <row r="87" spans="1:7" s="31" customFormat="1" x14ac:dyDescent="0.25">
      <c r="A87" s="94">
        <v>13</v>
      </c>
      <c r="B87" s="988"/>
      <c r="C87" s="10" t="s">
        <v>348</v>
      </c>
      <c r="D87" s="10" t="s">
        <v>346</v>
      </c>
      <c r="E87" s="10">
        <v>422</v>
      </c>
      <c r="F87" s="10">
        <f>E87*20</f>
        <v>8440</v>
      </c>
      <c r="G87" s="10" t="s">
        <v>104</v>
      </c>
    </row>
    <row r="88" spans="1:7" s="31" customFormat="1" x14ac:dyDescent="0.25">
      <c r="A88" s="94">
        <v>14</v>
      </c>
      <c r="B88" s="989"/>
      <c r="C88" s="10" t="s">
        <v>106</v>
      </c>
      <c r="D88" s="10" t="s">
        <v>346</v>
      </c>
      <c r="E88" s="10">
        <v>447</v>
      </c>
      <c r="F88" s="10">
        <f>(E88/8)*160</f>
        <v>8940</v>
      </c>
      <c r="G88" s="10" t="s">
        <v>347</v>
      </c>
    </row>
    <row r="89" spans="1:7" s="31" customFormat="1" x14ac:dyDescent="0.25">
      <c r="A89" s="94">
        <v>15</v>
      </c>
      <c r="B89" s="99" t="s">
        <v>349</v>
      </c>
      <c r="C89" s="10" t="s">
        <v>116</v>
      </c>
      <c r="D89" s="10" t="s">
        <v>346</v>
      </c>
      <c r="E89" s="10">
        <v>177</v>
      </c>
      <c r="F89" s="10">
        <f>E89*20</f>
        <v>3540</v>
      </c>
      <c r="G89" s="10" t="s">
        <v>104</v>
      </c>
    </row>
    <row r="90" spans="1:7" s="31" customFormat="1" x14ac:dyDescent="0.25">
      <c r="A90" s="94">
        <v>16</v>
      </c>
      <c r="B90" s="983" t="s">
        <v>350</v>
      </c>
      <c r="C90" s="76" t="s">
        <v>4</v>
      </c>
      <c r="D90" s="10" t="s">
        <v>346</v>
      </c>
      <c r="E90" s="10">
        <v>156</v>
      </c>
      <c r="F90" s="10">
        <f>E90*20</f>
        <v>3120</v>
      </c>
      <c r="G90" s="10" t="s">
        <v>104</v>
      </c>
    </row>
    <row r="91" spans="1:7" s="31" customFormat="1" x14ac:dyDescent="0.25">
      <c r="A91" s="94">
        <v>17</v>
      </c>
      <c r="B91" s="984"/>
      <c r="C91" s="76" t="s">
        <v>113</v>
      </c>
      <c r="D91" s="10" t="s">
        <v>346</v>
      </c>
      <c r="E91" s="10">
        <v>156</v>
      </c>
      <c r="F91" s="10">
        <f>E91*20</f>
        <v>3120</v>
      </c>
      <c r="G91" s="10" t="s">
        <v>104</v>
      </c>
    </row>
    <row r="92" spans="1:7" s="31" customFormat="1" ht="26.25" x14ac:dyDescent="0.25">
      <c r="A92" s="94">
        <v>18</v>
      </c>
      <c r="B92" s="984"/>
      <c r="C92" s="76" t="s">
        <v>3</v>
      </c>
      <c r="D92" s="10" t="s">
        <v>346</v>
      </c>
      <c r="E92" s="10">
        <v>156</v>
      </c>
      <c r="F92" s="10">
        <f>E92*20</f>
        <v>3120</v>
      </c>
      <c r="G92" s="10" t="s">
        <v>104</v>
      </c>
    </row>
    <row r="93" spans="1:7" s="31" customFormat="1" x14ac:dyDescent="0.25">
      <c r="A93" s="94">
        <v>19</v>
      </c>
      <c r="B93" s="984"/>
      <c r="C93" s="76" t="s">
        <v>114</v>
      </c>
      <c r="D93" s="10" t="s">
        <v>346</v>
      </c>
      <c r="E93" s="10">
        <v>156</v>
      </c>
      <c r="F93" s="10">
        <f>E93*20</f>
        <v>3120</v>
      </c>
      <c r="G93" s="10" t="s">
        <v>104</v>
      </c>
    </row>
    <row r="94" spans="1:7" s="31" customFormat="1" ht="26.25" x14ac:dyDescent="0.25">
      <c r="A94" s="94">
        <v>20</v>
      </c>
      <c r="B94" s="985"/>
      <c r="C94" s="76" t="s">
        <v>344</v>
      </c>
      <c r="D94" s="10" t="s">
        <v>351</v>
      </c>
      <c r="E94" s="10">
        <v>156</v>
      </c>
      <c r="F94" s="10">
        <f>E94*18</f>
        <v>2808</v>
      </c>
      <c r="G94" s="10" t="s">
        <v>352</v>
      </c>
    </row>
    <row r="95" spans="1:7" s="31" customFormat="1" ht="26.25" x14ac:dyDescent="0.25">
      <c r="A95" s="94">
        <v>21</v>
      </c>
      <c r="B95" s="50" t="s">
        <v>353</v>
      </c>
      <c r="C95" s="76" t="s">
        <v>117</v>
      </c>
      <c r="D95" s="10" t="s">
        <v>346</v>
      </c>
      <c r="E95" s="10">
        <v>539</v>
      </c>
      <c r="F95" s="10">
        <f>(E95*20)</f>
        <v>10780</v>
      </c>
      <c r="G95" s="10" t="s">
        <v>104</v>
      </c>
    </row>
    <row r="96" spans="1:7" s="31" customFormat="1" ht="25.5" x14ac:dyDescent="0.25">
      <c r="A96" s="94">
        <v>22</v>
      </c>
      <c r="B96" s="50" t="s">
        <v>353</v>
      </c>
      <c r="C96" s="76" t="s">
        <v>267</v>
      </c>
      <c r="D96" s="10" t="s">
        <v>354</v>
      </c>
      <c r="E96" s="10">
        <v>539</v>
      </c>
      <c r="F96" s="10">
        <f>E96*8</f>
        <v>4312</v>
      </c>
      <c r="G96" s="10" t="s">
        <v>355</v>
      </c>
    </row>
    <row r="97" spans="1:7" s="31" customFormat="1" ht="25.5" x14ac:dyDescent="0.25">
      <c r="A97" s="94">
        <v>23</v>
      </c>
      <c r="B97" s="50" t="s">
        <v>353</v>
      </c>
      <c r="C97" s="76" t="s">
        <v>267</v>
      </c>
      <c r="D97" s="10" t="s">
        <v>356</v>
      </c>
      <c r="E97" s="10">
        <v>177</v>
      </c>
      <c r="F97" s="10">
        <f>E97*10</f>
        <v>1770</v>
      </c>
      <c r="G97" s="10" t="s">
        <v>357</v>
      </c>
    </row>
    <row r="98" spans="1:7" s="31" customFormat="1" x14ac:dyDescent="0.25">
      <c r="A98" s="94">
        <v>24</v>
      </c>
      <c r="B98" s="990" t="s">
        <v>358</v>
      </c>
      <c r="C98" s="76" t="s">
        <v>359</v>
      </c>
      <c r="D98" s="10" t="s">
        <v>346</v>
      </c>
      <c r="E98" s="10">
        <v>156</v>
      </c>
      <c r="F98" s="10">
        <f>(E98*20)</f>
        <v>3120</v>
      </c>
      <c r="G98" s="10" t="s">
        <v>104</v>
      </c>
    </row>
    <row r="99" spans="1:7" s="31" customFormat="1" ht="26.25" x14ac:dyDescent="0.25">
      <c r="A99" s="94">
        <v>25</v>
      </c>
      <c r="B99" s="991"/>
      <c r="C99" s="76" t="s">
        <v>118</v>
      </c>
      <c r="D99" s="10" t="s">
        <v>346</v>
      </c>
      <c r="E99" s="10">
        <v>156</v>
      </c>
      <c r="F99" s="10">
        <f>(E99*20)</f>
        <v>3120</v>
      </c>
      <c r="G99" s="10" t="s">
        <v>104</v>
      </c>
    </row>
    <row r="100" spans="1:7" s="31" customFormat="1" x14ac:dyDescent="0.25">
      <c r="A100" s="94">
        <v>26</v>
      </c>
      <c r="B100" s="991"/>
      <c r="C100" s="76" t="s">
        <v>12</v>
      </c>
      <c r="D100" s="10" t="s">
        <v>346</v>
      </c>
      <c r="E100" s="10">
        <v>156</v>
      </c>
      <c r="F100" s="10">
        <f>E100*20</f>
        <v>3120</v>
      </c>
      <c r="G100" s="10" t="s">
        <v>104</v>
      </c>
    </row>
    <row r="101" spans="1:7" s="31" customFormat="1" x14ac:dyDescent="0.25">
      <c r="A101" s="94">
        <v>27</v>
      </c>
      <c r="B101" s="991"/>
      <c r="C101" s="76" t="s">
        <v>119</v>
      </c>
      <c r="D101" s="10" t="s">
        <v>346</v>
      </c>
      <c r="E101" s="10">
        <v>156</v>
      </c>
      <c r="F101" s="10">
        <f>E101*20</f>
        <v>3120</v>
      </c>
      <c r="G101" s="10" t="s">
        <v>104</v>
      </c>
    </row>
    <row r="102" spans="1:7" s="31" customFormat="1" x14ac:dyDescent="0.25">
      <c r="A102" s="94">
        <v>28</v>
      </c>
      <c r="B102" s="991"/>
      <c r="C102" s="76" t="s">
        <v>120</v>
      </c>
      <c r="D102" s="10" t="s">
        <v>346</v>
      </c>
      <c r="E102" s="10">
        <v>156</v>
      </c>
      <c r="F102" s="10">
        <f>E102*20</f>
        <v>3120</v>
      </c>
      <c r="G102" s="10" t="s">
        <v>104</v>
      </c>
    </row>
    <row r="103" spans="1:7" s="31" customFormat="1" x14ac:dyDescent="0.25">
      <c r="A103" s="94">
        <v>29</v>
      </c>
      <c r="B103" s="991"/>
      <c r="C103" s="76" t="s">
        <v>39</v>
      </c>
      <c r="D103" s="10" t="s">
        <v>346</v>
      </c>
      <c r="E103" s="16">
        <v>179</v>
      </c>
      <c r="F103" s="10">
        <f>E103*10</f>
        <v>1790</v>
      </c>
      <c r="G103" s="10" t="s">
        <v>112</v>
      </c>
    </row>
    <row r="104" spans="1:7" s="31" customFormat="1" x14ac:dyDescent="0.25">
      <c r="A104" s="94">
        <v>30</v>
      </c>
      <c r="B104" s="991"/>
      <c r="C104" s="76" t="s">
        <v>340</v>
      </c>
      <c r="D104" s="10" t="s">
        <v>346</v>
      </c>
      <c r="E104" s="16">
        <v>156</v>
      </c>
      <c r="F104" s="10">
        <f t="shared" ref="F104:F111" si="0">E104*20</f>
        <v>3120</v>
      </c>
      <c r="G104" s="10" t="s">
        <v>104</v>
      </c>
    </row>
    <row r="105" spans="1:7" s="31" customFormat="1" x14ac:dyDescent="0.25">
      <c r="A105" s="94">
        <v>31</v>
      </c>
      <c r="B105" s="991"/>
      <c r="C105" s="76" t="s">
        <v>13</v>
      </c>
      <c r="D105" s="10" t="s">
        <v>346</v>
      </c>
      <c r="E105" s="16">
        <v>156</v>
      </c>
      <c r="F105" s="10">
        <f t="shared" si="0"/>
        <v>3120</v>
      </c>
      <c r="G105" s="10" t="s">
        <v>104</v>
      </c>
    </row>
    <row r="106" spans="1:7" s="31" customFormat="1" x14ac:dyDescent="0.25">
      <c r="A106" s="94">
        <v>32</v>
      </c>
      <c r="B106" s="992"/>
      <c r="C106" s="76" t="s">
        <v>339</v>
      </c>
      <c r="D106" s="10" t="s">
        <v>346</v>
      </c>
      <c r="E106" s="16">
        <v>179</v>
      </c>
      <c r="F106" s="10">
        <f t="shared" si="0"/>
        <v>3580</v>
      </c>
      <c r="G106" s="10" t="s">
        <v>104</v>
      </c>
    </row>
    <row r="107" spans="1:7" s="31" customFormat="1" x14ac:dyDescent="0.25">
      <c r="A107" s="94">
        <v>33</v>
      </c>
      <c r="B107" s="993" t="s">
        <v>360</v>
      </c>
      <c r="C107" s="76" t="s">
        <v>332</v>
      </c>
      <c r="D107" s="10" t="s">
        <v>346</v>
      </c>
      <c r="E107" s="10">
        <v>179</v>
      </c>
      <c r="F107" s="10">
        <f t="shared" si="0"/>
        <v>3580</v>
      </c>
      <c r="G107" s="10" t="s">
        <v>104</v>
      </c>
    </row>
    <row r="108" spans="1:7" s="31" customFormat="1" x14ac:dyDescent="0.25">
      <c r="A108" s="94">
        <v>34</v>
      </c>
      <c r="B108" s="993"/>
      <c r="C108" s="76" t="s">
        <v>333</v>
      </c>
      <c r="D108" s="10" t="s">
        <v>346</v>
      </c>
      <c r="E108" s="10">
        <v>179</v>
      </c>
      <c r="F108" s="10">
        <f t="shared" si="0"/>
        <v>3580</v>
      </c>
      <c r="G108" s="10" t="s">
        <v>104</v>
      </c>
    </row>
    <row r="109" spans="1:7" s="31" customFormat="1" x14ac:dyDescent="0.25">
      <c r="A109" s="94">
        <v>35</v>
      </c>
      <c r="B109" s="993"/>
      <c r="C109" s="76" t="s">
        <v>334</v>
      </c>
      <c r="D109" s="10" t="s">
        <v>346</v>
      </c>
      <c r="E109" s="10">
        <v>179</v>
      </c>
      <c r="F109" s="10">
        <f t="shared" si="0"/>
        <v>3580</v>
      </c>
      <c r="G109" s="10" t="s">
        <v>104</v>
      </c>
    </row>
    <row r="110" spans="1:7" s="31" customFormat="1" x14ac:dyDescent="0.25">
      <c r="A110" s="94">
        <v>36</v>
      </c>
      <c r="B110" s="993"/>
      <c r="C110" s="76" t="s">
        <v>361</v>
      </c>
      <c r="D110" s="10" t="s">
        <v>346</v>
      </c>
      <c r="E110" s="10">
        <v>168</v>
      </c>
      <c r="F110" s="10">
        <f t="shared" si="0"/>
        <v>3360</v>
      </c>
      <c r="G110" s="10" t="s">
        <v>104</v>
      </c>
    </row>
    <row r="111" spans="1:7" s="31" customFormat="1" x14ac:dyDescent="0.25">
      <c r="A111" s="94">
        <v>37</v>
      </c>
      <c r="B111" s="993"/>
      <c r="C111" s="76" t="s">
        <v>345</v>
      </c>
      <c r="D111" s="10" t="s">
        <v>346</v>
      </c>
      <c r="E111" s="10">
        <v>168</v>
      </c>
      <c r="F111" s="10">
        <f t="shared" si="0"/>
        <v>3360</v>
      </c>
      <c r="G111" s="10" t="s">
        <v>104</v>
      </c>
    </row>
    <row r="112" spans="1:7" s="31" customFormat="1" x14ac:dyDescent="0.25">
      <c r="A112" s="94">
        <v>38</v>
      </c>
      <c r="B112" s="98" t="s">
        <v>362</v>
      </c>
      <c r="C112" s="76" t="s">
        <v>363</v>
      </c>
      <c r="D112" s="10" t="s">
        <v>92</v>
      </c>
      <c r="E112" s="10" t="s">
        <v>92</v>
      </c>
      <c r="F112" s="10">
        <v>8600</v>
      </c>
      <c r="G112" s="10"/>
    </row>
    <row r="113" spans="1:7" s="31" customFormat="1" x14ac:dyDescent="0.25">
      <c r="A113" s="994" t="s">
        <v>364</v>
      </c>
      <c r="B113" s="995"/>
      <c r="C113" s="995"/>
      <c r="D113" s="995"/>
      <c r="E113" s="996"/>
      <c r="F113" s="32">
        <f>SUM(F75:F112)</f>
        <v>397664.5</v>
      </c>
      <c r="G113" s="5"/>
    </row>
    <row r="114" spans="1:7" s="31" customFormat="1" x14ac:dyDescent="0.25">
      <c r="A114" s="994" t="s">
        <v>365</v>
      </c>
      <c r="B114" s="995"/>
      <c r="C114" s="995"/>
      <c r="D114" s="995"/>
      <c r="E114" s="996"/>
      <c r="F114" s="32">
        <f>F113*1.6</f>
        <v>636263.20000000007</v>
      </c>
      <c r="G114" s="5"/>
    </row>
    <row r="115" spans="1:7" s="31" customFormat="1" x14ac:dyDescent="0.25">
      <c r="A115" s="994" t="s">
        <v>127</v>
      </c>
      <c r="B115" s="995"/>
      <c r="C115" s="995"/>
      <c r="D115" s="995"/>
      <c r="E115" s="996"/>
      <c r="F115" s="32">
        <f>F114/2</f>
        <v>318131.60000000003</v>
      </c>
      <c r="G115" s="5"/>
    </row>
    <row r="116" spans="1:7" x14ac:dyDescent="0.25">
      <c r="A116" s="46"/>
      <c r="B116" s="46"/>
      <c r="C116" s="46"/>
      <c r="D116" s="46"/>
      <c r="E116" s="46"/>
      <c r="F116" s="46"/>
      <c r="G116" s="46"/>
    </row>
    <row r="117" spans="1:7" hidden="1" x14ac:dyDescent="0.25">
      <c r="A117" s="46"/>
      <c r="B117" s="46"/>
      <c r="C117" s="46"/>
      <c r="D117" s="46" t="s">
        <v>404</v>
      </c>
      <c r="E117" s="46"/>
      <c r="F117" s="46">
        <f>(6380*4)</f>
        <v>25520</v>
      </c>
      <c r="G117" s="46"/>
    </row>
    <row r="118" spans="1:7" hidden="1" x14ac:dyDescent="0.25">
      <c r="A118" s="46"/>
      <c r="B118" s="46"/>
      <c r="C118" s="46"/>
      <c r="D118" s="46" t="s">
        <v>405</v>
      </c>
      <c r="E118" s="46"/>
      <c r="F118" s="46">
        <f>885*4</f>
        <v>3540</v>
      </c>
      <c r="G118" s="46"/>
    </row>
    <row r="119" spans="1:7" hidden="1" x14ac:dyDescent="0.25">
      <c r="A119" s="46"/>
      <c r="B119" s="46"/>
      <c r="C119" s="46"/>
      <c r="D119" s="46" t="s">
        <v>406</v>
      </c>
      <c r="E119" s="46"/>
      <c r="F119" s="46">
        <f>2445*4</f>
        <v>9780</v>
      </c>
      <c r="G119" s="46"/>
    </row>
    <row r="120" spans="1:7" hidden="1" x14ac:dyDescent="0.25">
      <c r="A120" s="46"/>
      <c r="B120" s="46"/>
      <c r="C120" s="46"/>
      <c r="D120" s="46" t="s">
        <v>407</v>
      </c>
      <c r="E120" s="46"/>
      <c r="F120" s="46">
        <f>247.5*4</f>
        <v>990</v>
      </c>
      <c r="G120" s="46"/>
    </row>
    <row r="121" spans="1:7" hidden="1" x14ac:dyDescent="0.25">
      <c r="A121" s="46"/>
      <c r="B121" s="46"/>
      <c r="C121" s="46"/>
      <c r="D121" s="46"/>
      <c r="E121" s="46"/>
      <c r="F121" s="46">
        <f>SUM(F117:F120)</f>
        <v>39830</v>
      </c>
      <c r="G121" s="46"/>
    </row>
    <row r="122" spans="1:7" hidden="1" x14ac:dyDescent="0.25">
      <c r="A122" s="46"/>
      <c r="B122" s="46"/>
      <c r="C122" s="46"/>
      <c r="D122" s="46"/>
      <c r="E122" s="46"/>
      <c r="F122" s="46"/>
      <c r="G122" s="46"/>
    </row>
    <row r="123" spans="1:7" hidden="1" x14ac:dyDescent="0.25">
      <c r="A123" s="46"/>
      <c r="B123" s="46"/>
      <c r="C123" s="46"/>
      <c r="D123" s="46"/>
      <c r="E123" s="46"/>
      <c r="F123" s="46"/>
      <c r="G123" s="46"/>
    </row>
    <row r="124" spans="1:7" hidden="1" x14ac:dyDescent="0.25">
      <c r="A124" s="46"/>
      <c r="B124" s="46"/>
      <c r="C124" s="46"/>
      <c r="D124" s="46"/>
      <c r="E124" s="46"/>
      <c r="F124" s="46">
        <f>5590*4</f>
        <v>22360</v>
      </c>
      <c r="G124" s="46"/>
    </row>
    <row r="127" spans="1:7" x14ac:dyDescent="0.25">
      <c r="A127" s="30" t="s">
        <v>409</v>
      </c>
    </row>
    <row r="128" spans="1:7" x14ac:dyDescent="0.25">
      <c r="A128" s="47" t="s">
        <v>266</v>
      </c>
      <c r="B128" s="48" t="s">
        <v>87</v>
      </c>
      <c r="C128" s="47" t="s">
        <v>88</v>
      </c>
      <c r="D128" s="47" t="s">
        <v>89</v>
      </c>
      <c r="E128" s="47" t="s">
        <v>90</v>
      </c>
      <c r="F128" s="47" t="s">
        <v>408</v>
      </c>
      <c r="G128" s="47" t="s">
        <v>91</v>
      </c>
    </row>
    <row r="129" spans="1:7" x14ac:dyDescent="0.25">
      <c r="A129" s="94">
        <v>1</v>
      </c>
      <c r="B129" s="987" t="s">
        <v>99</v>
      </c>
      <c r="C129" s="10" t="s">
        <v>103</v>
      </c>
      <c r="D129" s="10" t="s">
        <v>411</v>
      </c>
      <c r="E129" s="10">
        <v>471</v>
      </c>
      <c r="F129" s="10">
        <f>E129*25</f>
        <v>11775</v>
      </c>
      <c r="G129" s="10" t="s">
        <v>410</v>
      </c>
    </row>
    <row r="130" spans="1:7" x14ac:dyDescent="0.25">
      <c r="A130" s="94">
        <v>2</v>
      </c>
      <c r="B130" s="988"/>
      <c r="C130" s="10" t="s">
        <v>105</v>
      </c>
      <c r="D130" s="10" t="s">
        <v>411</v>
      </c>
      <c r="E130" s="10">
        <v>471</v>
      </c>
      <c r="F130" s="10">
        <f>E130*25</f>
        <v>11775</v>
      </c>
      <c r="G130" s="10" t="s">
        <v>410</v>
      </c>
    </row>
    <row r="131" spans="1:7" x14ac:dyDescent="0.25">
      <c r="A131" s="94">
        <v>3</v>
      </c>
      <c r="B131" s="988"/>
      <c r="C131" s="10" t="s">
        <v>9</v>
      </c>
      <c r="D131" s="10" t="s">
        <v>411</v>
      </c>
      <c r="E131" s="10">
        <v>488</v>
      </c>
      <c r="F131" s="10">
        <f>E131*25</f>
        <v>12200</v>
      </c>
      <c r="G131" s="10" t="s">
        <v>410</v>
      </c>
    </row>
    <row r="132" spans="1:7" x14ac:dyDescent="0.25">
      <c r="A132" s="94">
        <v>4</v>
      </c>
      <c r="B132" s="988"/>
      <c r="C132" s="10" t="s">
        <v>107</v>
      </c>
      <c r="D132" s="10" t="s">
        <v>411</v>
      </c>
      <c r="E132" s="10">
        <v>447</v>
      </c>
      <c r="F132" s="10">
        <f>E132*25</f>
        <v>11175</v>
      </c>
      <c r="G132" s="10" t="s">
        <v>410</v>
      </c>
    </row>
    <row r="133" spans="1:7" x14ac:dyDescent="0.25">
      <c r="A133" s="94">
        <v>5</v>
      </c>
      <c r="B133" s="988"/>
      <c r="C133" s="10" t="s">
        <v>110</v>
      </c>
      <c r="D133" s="10" t="s">
        <v>411</v>
      </c>
      <c r="E133" s="10">
        <v>488</v>
      </c>
      <c r="F133" s="10">
        <f>E133*25</f>
        <v>12200</v>
      </c>
      <c r="G133" s="10" t="s">
        <v>410</v>
      </c>
    </row>
    <row r="134" spans="1:7" x14ac:dyDescent="0.25">
      <c r="A134" s="94">
        <v>6</v>
      </c>
      <c r="B134" s="988"/>
      <c r="C134" s="10" t="s">
        <v>100</v>
      </c>
      <c r="D134" s="10" t="s">
        <v>411</v>
      </c>
      <c r="E134" s="10">
        <v>447</v>
      </c>
      <c r="F134" s="10">
        <f>E134*20</f>
        <v>8940</v>
      </c>
      <c r="G134" s="10" t="s">
        <v>347</v>
      </c>
    </row>
    <row r="135" spans="1:7" x14ac:dyDescent="0.25">
      <c r="A135" s="94">
        <v>7</v>
      </c>
      <c r="B135" s="988"/>
      <c r="C135" s="10" t="s">
        <v>343</v>
      </c>
      <c r="D135" s="10" t="s">
        <v>411</v>
      </c>
      <c r="E135" s="10">
        <v>488</v>
      </c>
      <c r="F135" s="10">
        <f>E135*25</f>
        <v>12200</v>
      </c>
      <c r="G135" s="10" t="s">
        <v>410</v>
      </c>
    </row>
    <row r="136" spans="1:7" x14ac:dyDescent="0.25">
      <c r="A136" s="94">
        <v>8</v>
      </c>
      <c r="B136" s="988"/>
      <c r="C136" s="10" t="s">
        <v>348</v>
      </c>
      <c r="D136" s="10" t="s">
        <v>411</v>
      </c>
      <c r="E136" s="10">
        <v>422</v>
      </c>
      <c r="F136" s="10">
        <f>E136*25</f>
        <v>10550</v>
      </c>
      <c r="G136" s="10" t="s">
        <v>410</v>
      </c>
    </row>
    <row r="137" spans="1:7" x14ac:dyDescent="0.25">
      <c r="A137" s="94">
        <v>9</v>
      </c>
      <c r="B137" s="989"/>
      <c r="C137" s="10" t="s">
        <v>106</v>
      </c>
      <c r="D137" s="10" t="s">
        <v>411</v>
      </c>
      <c r="E137" s="10">
        <v>447</v>
      </c>
      <c r="F137" s="10">
        <f>E137*20</f>
        <v>8940</v>
      </c>
      <c r="G137" s="10" t="s">
        <v>347</v>
      </c>
    </row>
    <row r="138" spans="1:7" x14ac:dyDescent="0.25">
      <c r="A138" s="94">
        <v>10</v>
      </c>
      <c r="B138" s="99" t="s">
        <v>349</v>
      </c>
      <c r="C138" s="10" t="s">
        <v>116</v>
      </c>
      <c r="D138" s="10" t="s">
        <v>411</v>
      </c>
      <c r="E138" s="10">
        <v>177</v>
      </c>
      <c r="F138" s="10">
        <f t="shared" ref="F138:F143" si="1">E138*25</f>
        <v>4425</v>
      </c>
      <c r="G138" s="10" t="s">
        <v>410</v>
      </c>
    </row>
    <row r="139" spans="1:7" x14ac:dyDescent="0.25">
      <c r="A139" s="94">
        <v>11</v>
      </c>
      <c r="B139" s="983" t="s">
        <v>350</v>
      </c>
      <c r="C139" s="76" t="s">
        <v>4</v>
      </c>
      <c r="D139" s="10" t="s">
        <v>411</v>
      </c>
      <c r="E139" s="10">
        <v>156</v>
      </c>
      <c r="F139" s="10">
        <f t="shared" si="1"/>
        <v>3900</v>
      </c>
      <c r="G139" s="10" t="s">
        <v>410</v>
      </c>
    </row>
    <row r="140" spans="1:7" x14ac:dyDescent="0.25">
      <c r="A140" s="94">
        <v>12</v>
      </c>
      <c r="B140" s="984"/>
      <c r="C140" s="76" t="s">
        <v>113</v>
      </c>
      <c r="D140" s="10" t="s">
        <v>411</v>
      </c>
      <c r="E140" s="10">
        <v>156</v>
      </c>
      <c r="F140" s="10">
        <f t="shared" si="1"/>
        <v>3900</v>
      </c>
      <c r="G140" s="10" t="s">
        <v>410</v>
      </c>
    </row>
    <row r="141" spans="1:7" ht="26.25" x14ac:dyDescent="0.25">
      <c r="A141" s="94">
        <v>13</v>
      </c>
      <c r="B141" s="984"/>
      <c r="C141" s="76" t="s">
        <v>3</v>
      </c>
      <c r="D141" s="10" t="s">
        <v>411</v>
      </c>
      <c r="E141" s="10">
        <v>156</v>
      </c>
      <c r="F141" s="10">
        <f t="shared" si="1"/>
        <v>3900</v>
      </c>
      <c r="G141" s="10" t="s">
        <v>410</v>
      </c>
    </row>
    <row r="142" spans="1:7" x14ac:dyDescent="0.25">
      <c r="A142" s="94">
        <v>1</v>
      </c>
      <c r="B142" s="984"/>
      <c r="C142" s="76" t="s">
        <v>114</v>
      </c>
      <c r="D142" s="10" t="s">
        <v>411</v>
      </c>
      <c r="E142" s="10">
        <v>156</v>
      </c>
      <c r="F142" s="10">
        <f t="shared" si="1"/>
        <v>3900</v>
      </c>
      <c r="G142" s="10" t="s">
        <v>410</v>
      </c>
    </row>
    <row r="143" spans="1:7" ht="26.25" x14ac:dyDescent="0.25">
      <c r="A143" s="94">
        <v>20</v>
      </c>
      <c r="B143" s="985"/>
      <c r="C143" s="76" t="s">
        <v>344</v>
      </c>
      <c r="D143" s="10" t="s">
        <v>411</v>
      </c>
      <c r="E143" s="10">
        <v>156</v>
      </c>
      <c r="F143" s="10">
        <f t="shared" si="1"/>
        <v>3900</v>
      </c>
      <c r="G143" s="10" t="s">
        <v>410</v>
      </c>
    </row>
    <row r="144" spans="1:7" ht="26.25" x14ac:dyDescent="0.25">
      <c r="A144" s="94">
        <v>21</v>
      </c>
      <c r="B144" s="50" t="s">
        <v>353</v>
      </c>
      <c r="C144" s="76" t="s">
        <v>117</v>
      </c>
      <c r="D144" s="10" t="s">
        <v>411</v>
      </c>
      <c r="E144" s="10">
        <v>539</v>
      </c>
      <c r="F144" s="10">
        <f>(E144*25)</f>
        <v>13475</v>
      </c>
      <c r="G144" s="10" t="s">
        <v>410</v>
      </c>
    </row>
    <row r="145" spans="1:7" ht="25.5" x14ac:dyDescent="0.25">
      <c r="A145" s="94">
        <v>22</v>
      </c>
      <c r="B145" s="50" t="s">
        <v>353</v>
      </c>
      <c r="C145" s="76" t="s">
        <v>267</v>
      </c>
      <c r="D145" s="10" t="s">
        <v>411</v>
      </c>
      <c r="E145" s="10">
        <v>539</v>
      </c>
      <c r="F145" s="10">
        <f>E145*25</f>
        <v>13475</v>
      </c>
      <c r="G145" s="10" t="s">
        <v>410</v>
      </c>
    </row>
    <row r="146" spans="1:7" x14ac:dyDescent="0.25">
      <c r="A146" s="94">
        <v>24</v>
      </c>
      <c r="B146" s="990" t="s">
        <v>358</v>
      </c>
      <c r="C146" s="76" t="s">
        <v>359</v>
      </c>
      <c r="D146" s="10" t="s">
        <v>411</v>
      </c>
      <c r="E146" s="10">
        <v>156</v>
      </c>
      <c r="F146" s="10">
        <f>(E146*25)</f>
        <v>3900</v>
      </c>
      <c r="G146" s="10" t="s">
        <v>410</v>
      </c>
    </row>
    <row r="147" spans="1:7" ht="26.25" x14ac:dyDescent="0.25">
      <c r="A147" s="94">
        <v>25</v>
      </c>
      <c r="B147" s="991"/>
      <c r="C147" s="76" t="s">
        <v>118</v>
      </c>
      <c r="D147" s="10" t="s">
        <v>411</v>
      </c>
      <c r="E147" s="10">
        <v>156</v>
      </c>
      <c r="F147" s="10">
        <f>(E147*25)</f>
        <v>3900</v>
      </c>
      <c r="G147" s="10" t="s">
        <v>410</v>
      </c>
    </row>
    <row r="148" spans="1:7" x14ac:dyDescent="0.25">
      <c r="A148" s="94">
        <v>26</v>
      </c>
      <c r="B148" s="991"/>
      <c r="C148" s="76" t="s">
        <v>12</v>
      </c>
      <c r="D148" s="10" t="s">
        <v>411</v>
      </c>
      <c r="E148" s="10">
        <v>156</v>
      </c>
      <c r="F148" s="10">
        <f>E148*0</f>
        <v>0</v>
      </c>
      <c r="G148" s="10" t="s">
        <v>412</v>
      </c>
    </row>
    <row r="149" spans="1:7" x14ac:dyDescent="0.25">
      <c r="A149" s="94">
        <v>27</v>
      </c>
      <c r="B149" s="991"/>
      <c r="C149" s="76" t="s">
        <v>119</v>
      </c>
      <c r="D149" s="10" t="s">
        <v>411</v>
      </c>
      <c r="E149" s="10">
        <v>156</v>
      </c>
      <c r="F149" s="10">
        <f>E149*0</f>
        <v>0</v>
      </c>
      <c r="G149" s="10" t="s">
        <v>412</v>
      </c>
    </row>
    <row r="150" spans="1:7" x14ac:dyDescent="0.25">
      <c r="A150" s="94">
        <v>28</v>
      </c>
      <c r="B150" s="991"/>
      <c r="C150" s="76" t="s">
        <v>120</v>
      </c>
      <c r="D150" s="10" t="s">
        <v>411</v>
      </c>
      <c r="E150" s="10">
        <v>156</v>
      </c>
      <c r="F150" s="10">
        <f>E150*0</f>
        <v>0</v>
      </c>
      <c r="G150" s="10" t="s">
        <v>412</v>
      </c>
    </row>
    <row r="151" spans="1:7" x14ac:dyDescent="0.25">
      <c r="A151" s="94">
        <v>29</v>
      </c>
      <c r="B151" s="991"/>
      <c r="C151" s="76" t="s">
        <v>39</v>
      </c>
      <c r="D151" s="10" t="s">
        <v>411</v>
      </c>
      <c r="E151" s="16">
        <v>179</v>
      </c>
      <c r="F151" s="10">
        <f>E151*5</f>
        <v>895</v>
      </c>
      <c r="G151" s="10" t="s">
        <v>413</v>
      </c>
    </row>
    <row r="152" spans="1:7" x14ac:dyDescent="0.25">
      <c r="A152" s="94">
        <v>30</v>
      </c>
      <c r="B152" s="991"/>
      <c r="C152" s="76" t="s">
        <v>340</v>
      </c>
      <c r="D152" s="10" t="s">
        <v>411</v>
      </c>
      <c r="E152" s="16">
        <v>156</v>
      </c>
      <c r="F152" s="10">
        <f>E152*20</f>
        <v>3120</v>
      </c>
      <c r="G152" s="10" t="s">
        <v>104</v>
      </c>
    </row>
    <row r="153" spans="1:7" x14ac:dyDescent="0.25">
      <c r="A153" s="94">
        <v>31</v>
      </c>
      <c r="B153" s="991"/>
      <c r="C153" s="76" t="s">
        <v>13</v>
      </c>
      <c r="D153" s="10" t="s">
        <v>411</v>
      </c>
      <c r="E153" s="16">
        <v>156</v>
      </c>
      <c r="F153" s="10">
        <f>E153*25</f>
        <v>3900</v>
      </c>
      <c r="G153" s="10" t="s">
        <v>410</v>
      </c>
    </row>
    <row r="154" spans="1:7" x14ac:dyDescent="0.25">
      <c r="A154" s="94">
        <v>32</v>
      </c>
      <c r="B154" s="992"/>
      <c r="C154" s="76" t="s">
        <v>339</v>
      </c>
      <c r="D154" s="10" t="s">
        <v>411</v>
      </c>
      <c r="E154" s="16">
        <v>179</v>
      </c>
      <c r="F154" s="10">
        <f>E154*25</f>
        <v>4475</v>
      </c>
      <c r="G154" s="10" t="s">
        <v>410</v>
      </c>
    </row>
    <row r="155" spans="1:7" x14ac:dyDescent="0.25">
      <c r="A155" s="94">
        <v>33</v>
      </c>
      <c r="B155" s="993" t="s">
        <v>360</v>
      </c>
      <c r="C155" s="76" t="s">
        <v>332</v>
      </c>
      <c r="D155" s="10" t="s">
        <v>411</v>
      </c>
      <c r="E155" s="10">
        <v>179</v>
      </c>
      <c r="F155" s="10">
        <f>E155*25</f>
        <v>4475</v>
      </c>
      <c r="G155" s="10" t="s">
        <v>410</v>
      </c>
    </row>
    <row r="156" spans="1:7" x14ac:dyDescent="0.25">
      <c r="A156" s="94">
        <v>34</v>
      </c>
      <c r="B156" s="993"/>
      <c r="C156" s="76" t="s">
        <v>333</v>
      </c>
      <c r="D156" s="10" t="s">
        <v>414</v>
      </c>
      <c r="E156" s="10">
        <v>179</v>
      </c>
      <c r="F156" s="10">
        <f>E156*12</f>
        <v>2148</v>
      </c>
      <c r="G156" s="10" t="s">
        <v>415</v>
      </c>
    </row>
    <row r="157" spans="1:7" x14ac:dyDescent="0.25">
      <c r="A157" s="94">
        <v>35</v>
      </c>
      <c r="B157" s="993"/>
      <c r="C157" s="76" t="s">
        <v>334</v>
      </c>
      <c r="D157" s="10" t="s">
        <v>414</v>
      </c>
      <c r="E157" s="10">
        <v>179</v>
      </c>
      <c r="F157" s="10">
        <f>E157*12</f>
        <v>2148</v>
      </c>
      <c r="G157" s="10" t="s">
        <v>415</v>
      </c>
    </row>
    <row r="158" spans="1:7" x14ac:dyDescent="0.25">
      <c r="A158" s="94">
        <v>36</v>
      </c>
      <c r="B158" s="993"/>
      <c r="C158" s="76" t="s">
        <v>361</v>
      </c>
      <c r="D158" s="10" t="s">
        <v>411</v>
      </c>
      <c r="E158" s="10">
        <v>168</v>
      </c>
      <c r="F158" s="10">
        <f>E158*25</f>
        <v>4200</v>
      </c>
      <c r="G158" s="10" t="s">
        <v>410</v>
      </c>
    </row>
    <row r="159" spans="1:7" x14ac:dyDescent="0.25">
      <c r="A159" s="94">
        <v>37</v>
      </c>
      <c r="B159" s="993"/>
      <c r="C159" s="76" t="s">
        <v>345</v>
      </c>
      <c r="D159" s="10" t="s">
        <v>411</v>
      </c>
      <c r="E159" s="10">
        <v>168</v>
      </c>
      <c r="F159" s="10">
        <f>E159*25</f>
        <v>4200</v>
      </c>
      <c r="G159" s="10" t="s">
        <v>410</v>
      </c>
    </row>
    <row r="160" spans="1:7" x14ac:dyDescent="0.25">
      <c r="A160" s="994" t="s">
        <v>364</v>
      </c>
      <c r="B160" s="995"/>
      <c r="C160" s="995"/>
      <c r="D160" s="995"/>
      <c r="E160" s="996"/>
      <c r="F160" s="32">
        <f>SUM(F129:F159)</f>
        <v>187991</v>
      </c>
      <c r="G160" s="5"/>
    </row>
    <row r="161" spans="1:7" x14ac:dyDescent="0.25">
      <c r="A161" s="994" t="s">
        <v>365</v>
      </c>
      <c r="B161" s="995"/>
      <c r="C161" s="995"/>
      <c r="D161" s="995"/>
      <c r="E161" s="996"/>
      <c r="F161" s="32">
        <f>F160*1.5226</f>
        <v>286235.09659999999</v>
      </c>
      <c r="G161" s="5"/>
    </row>
    <row r="162" spans="1:7" x14ac:dyDescent="0.25">
      <c r="A162" s="994" t="s">
        <v>127</v>
      </c>
      <c r="B162" s="995"/>
      <c r="C162" s="995"/>
      <c r="D162" s="995"/>
      <c r="E162" s="996"/>
      <c r="F162" s="32">
        <f>F161/2</f>
        <v>143117.54829999999</v>
      </c>
      <c r="G162" s="5"/>
    </row>
    <row r="166" spans="1:7" x14ac:dyDescent="0.25">
      <c r="A166" s="30" t="s">
        <v>416</v>
      </c>
    </row>
    <row r="167" spans="1:7" x14ac:dyDescent="0.25">
      <c r="A167" s="47" t="s">
        <v>266</v>
      </c>
      <c r="B167" s="48" t="s">
        <v>87</v>
      </c>
      <c r="C167" s="47" t="s">
        <v>88</v>
      </c>
      <c r="D167" s="47" t="s">
        <v>89</v>
      </c>
      <c r="E167" s="47" t="s">
        <v>90</v>
      </c>
      <c r="F167" s="47" t="s">
        <v>408</v>
      </c>
      <c r="G167" s="47" t="s">
        <v>91</v>
      </c>
    </row>
    <row r="168" spans="1:7" x14ac:dyDescent="0.25">
      <c r="A168" s="94">
        <v>1</v>
      </c>
      <c r="B168" s="987" t="s">
        <v>99</v>
      </c>
      <c r="C168" s="10" t="s">
        <v>103</v>
      </c>
      <c r="D168" s="10" t="s">
        <v>417</v>
      </c>
      <c r="E168" s="10">
        <v>471</v>
      </c>
      <c r="F168" s="10">
        <f>E168*20</f>
        <v>9420</v>
      </c>
      <c r="G168" s="10" t="s">
        <v>104</v>
      </c>
    </row>
    <row r="169" spans="1:7" x14ac:dyDescent="0.25">
      <c r="A169" s="94">
        <v>2</v>
      </c>
      <c r="B169" s="988"/>
      <c r="C169" s="10" t="s">
        <v>105</v>
      </c>
      <c r="D169" s="10" t="s">
        <v>417</v>
      </c>
      <c r="E169" s="10">
        <v>471</v>
      </c>
      <c r="F169" s="10">
        <f>E169*20</f>
        <v>9420</v>
      </c>
      <c r="G169" s="10" t="s">
        <v>104</v>
      </c>
    </row>
    <row r="170" spans="1:7" x14ac:dyDescent="0.25">
      <c r="A170" s="94">
        <v>3</v>
      </c>
      <c r="B170" s="988"/>
      <c r="C170" s="10" t="s">
        <v>9</v>
      </c>
      <c r="D170" s="10" t="s">
        <v>417</v>
      </c>
      <c r="E170" s="10">
        <v>488</v>
      </c>
      <c r="F170" s="10">
        <f>E170*20</f>
        <v>9760</v>
      </c>
      <c r="G170" s="10" t="s">
        <v>104</v>
      </c>
    </row>
    <row r="171" spans="1:7" x14ac:dyDescent="0.25">
      <c r="A171" s="94">
        <v>4</v>
      </c>
      <c r="B171" s="988"/>
      <c r="C171" s="10" t="s">
        <v>107</v>
      </c>
      <c r="D171" s="10" t="s">
        <v>417</v>
      </c>
      <c r="E171" s="10">
        <v>447</v>
      </c>
      <c r="F171" s="10">
        <f>E171*20</f>
        <v>8940</v>
      </c>
      <c r="G171" s="10" t="s">
        <v>104</v>
      </c>
    </row>
    <row r="172" spans="1:7" x14ac:dyDescent="0.25">
      <c r="A172" s="94">
        <v>5</v>
      </c>
      <c r="B172" s="988"/>
      <c r="C172" s="10" t="s">
        <v>110</v>
      </c>
      <c r="D172" s="10" t="s">
        <v>417</v>
      </c>
      <c r="E172" s="10">
        <v>488</v>
      </c>
      <c r="F172" s="10">
        <f>E172*20</f>
        <v>9760</v>
      </c>
      <c r="G172" s="10" t="s">
        <v>104</v>
      </c>
    </row>
    <row r="173" spans="1:7" x14ac:dyDescent="0.25">
      <c r="A173" s="94">
        <v>6</v>
      </c>
      <c r="B173" s="988"/>
      <c r="C173" s="10" t="s">
        <v>100</v>
      </c>
      <c r="D173" s="10" t="s">
        <v>417</v>
      </c>
      <c r="E173" s="10">
        <v>447</v>
      </c>
      <c r="F173" s="10">
        <f>E173*25</f>
        <v>11175</v>
      </c>
      <c r="G173" s="10" t="s">
        <v>418</v>
      </c>
    </row>
    <row r="174" spans="1:7" x14ac:dyDescent="0.25">
      <c r="A174" s="94">
        <v>7</v>
      </c>
      <c r="B174" s="988"/>
      <c r="C174" s="10" t="s">
        <v>343</v>
      </c>
      <c r="D174" s="10" t="s">
        <v>417</v>
      </c>
      <c r="E174" s="10">
        <v>488</v>
      </c>
      <c r="F174" s="10">
        <f>E174*20</f>
        <v>9760</v>
      </c>
      <c r="G174" s="10" t="s">
        <v>410</v>
      </c>
    </row>
    <row r="175" spans="1:7" x14ac:dyDescent="0.25">
      <c r="A175" s="94">
        <v>8</v>
      </c>
      <c r="B175" s="988"/>
      <c r="C175" s="10" t="s">
        <v>348</v>
      </c>
      <c r="D175" s="10" t="s">
        <v>419</v>
      </c>
      <c r="E175" s="10">
        <v>422</v>
      </c>
      <c r="F175" s="10">
        <f>E175*7</f>
        <v>2954</v>
      </c>
      <c r="G175" s="10" t="s">
        <v>421</v>
      </c>
    </row>
    <row r="176" spans="1:7" x14ac:dyDescent="0.25">
      <c r="A176" s="94"/>
      <c r="B176" s="988"/>
      <c r="C176" s="10" t="s">
        <v>348</v>
      </c>
      <c r="D176" s="10" t="s">
        <v>420</v>
      </c>
      <c r="E176" s="10">
        <v>177</v>
      </c>
      <c r="F176" s="10">
        <f>E176*14</f>
        <v>2478</v>
      </c>
      <c r="G176" s="10" t="s">
        <v>422</v>
      </c>
    </row>
    <row r="177" spans="1:7" x14ac:dyDescent="0.25">
      <c r="A177" s="94">
        <v>9</v>
      </c>
      <c r="B177" s="989"/>
      <c r="C177" s="10" t="s">
        <v>106</v>
      </c>
      <c r="D177" s="10" t="s">
        <v>417</v>
      </c>
      <c r="E177" s="10">
        <v>447</v>
      </c>
      <c r="F177" s="10">
        <f>E177*25</f>
        <v>11175</v>
      </c>
      <c r="G177" s="10" t="s">
        <v>418</v>
      </c>
    </row>
    <row r="178" spans="1:7" x14ac:dyDescent="0.25">
      <c r="A178" s="94">
        <v>10</v>
      </c>
      <c r="B178" s="99" t="s">
        <v>349</v>
      </c>
      <c r="C178" s="10" t="s">
        <v>116</v>
      </c>
      <c r="D178" s="10" t="s">
        <v>417</v>
      </c>
      <c r="E178" s="10">
        <v>177</v>
      </c>
      <c r="F178" s="10">
        <f t="shared" ref="F178:F183" si="2">E178*20</f>
        <v>3540</v>
      </c>
      <c r="G178" s="10" t="s">
        <v>104</v>
      </c>
    </row>
    <row r="179" spans="1:7" x14ac:dyDescent="0.25">
      <c r="A179" s="94">
        <v>11</v>
      </c>
      <c r="B179" s="983" t="s">
        <v>350</v>
      </c>
      <c r="C179" s="76" t="s">
        <v>4</v>
      </c>
      <c r="D179" s="10" t="s">
        <v>423</v>
      </c>
      <c r="E179" s="10">
        <v>156</v>
      </c>
      <c r="F179" s="10">
        <f t="shared" si="2"/>
        <v>3120</v>
      </c>
      <c r="G179" s="10" t="s">
        <v>424</v>
      </c>
    </row>
    <row r="180" spans="1:7" x14ac:dyDescent="0.25">
      <c r="A180" s="94">
        <v>12</v>
      </c>
      <c r="B180" s="984"/>
      <c r="C180" s="76" t="s">
        <v>113</v>
      </c>
      <c r="D180" s="10" t="s">
        <v>417</v>
      </c>
      <c r="E180" s="10">
        <v>156</v>
      </c>
      <c r="F180" s="10">
        <f t="shared" si="2"/>
        <v>3120</v>
      </c>
      <c r="G180" s="10" t="s">
        <v>424</v>
      </c>
    </row>
    <row r="181" spans="1:7" ht="26.25" x14ac:dyDescent="0.25">
      <c r="A181" s="94">
        <v>13</v>
      </c>
      <c r="B181" s="984"/>
      <c r="C181" s="76" t="s">
        <v>3</v>
      </c>
      <c r="D181" s="10" t="s">
        <v>417</v>
      </c>
      <c r="E181" s="10">
        <v>156</v>
      </c>
      <c r="F181" s="10">
        <f t="shared" si="2"/>
        <v>3120</v>
      </c>
      <c r="G181" s="10" t="s">
        <v>424</v>
      </c>
    </row>
    <row r="182" spans="1:7" x14ac:dyDescent="0.25">
      <c r="A182" s="94">
        <v>1</v>
      </c>
      <c r="B182" s="984"/>
      <c r="C182" s="76" t="s">
        <v>114</v>
      </c>
      <c r="D182" s="10" t="s">
        <v>417</v>
      </c>
      <c r="E182" s="10">
        <v>156</v>
      </c>
      <c r="F182" s="10">
        <f t="shared" si="2"/>
        <v>3120</v>
      </c>
      <c r="G182" s="10" t="s">
        <v>424</v>
      </c>
    </row>
    <row r="183" spans="1:7" ht="26.25" x14ac:dyDescent="0.25">
      <c r="A183" s="94">
        <v>20</v>
      </c>
      <c r="B183" s="985"/>
      <c r="C183" s="76" t="s">
        <v>344</v>
      </c>
      <c r="D183" s="10" t="s">
        <v>417</v>
      </c>
      <c r="E183" s="10">
        <v>156</v>
      </c>
      <c r="F183" s="10">
        <f t="shared" si="2"/>
        <v>3120</v>
      </c>
      <c r="G183" s="10" t="s">
        <v>424</v>
      </c>
    </row>
    <row r="184" spans="1:7" ht="26.25" x14ac:dyDescent="0.25">
      <c r="A184" s="94">
        <v>21</v>
      </c>
      <c r="B184" s="50" t="s">
        <v>353</v>
      </c>
      <c r="C184" s="76" t="s">
        <v>117</v>
      </c>
      <c r="D184" s="10" t="s">
        <v>417</v>
      </c>
      <c r="E184" s="10">
        <v>539</v>
      </c>
      <c r="F184" s="10">
        <f>(E184*20)</f>
        <v>10780</v>
      </c>
      <c r="G184" s="10" t="s">
        <v>104</v>
      </c>
    </row>
    <row r="185" spans="1:7" ht="25.5" x14ac:dyDescent="0.25">
      <c r="A185" s="94">
        <v>22</v>
      </c>
      <c r="B185" s="50" t="s">
        <v>353</v>
      </c>
      <c r="C185" s="76" t="s">
        <v>267</v>
      </c>
      <c r="D185" s="10" t="s">
        <v>417</v>
      </c>
      <c r="E185" s="10">
        <v>539</v>
      </c>
      <c r="F185" s="10">
        <f>E185*20</f>
        <v>10780</v>
      </c>
      <c r="G185" s="10" t="s">
        <v>104</v>
      </c>
    </row>
    <row r="186" spans="1:7" x14ac:dyDescent="0.25">
      <c r="A186" s="94">
        <v>24</v>
      </c>
      <c r="B186" s="990" t="s">
        <v>358</v>
      </c>
      <c r="C186" s="76" t="s">
        <v>359</v>
      </c>
      <c r="D186" s="10" t="s">
        <v>417</v>
      </c>
      <c r="E186" s="10">
        <v>156</v>
      </c>
      <c r="F186" s="10">
        <v>0</v>
      </c>
      <c r="G186" s="10" t="s">
        <v>425</v>
      </c>
    </row>
    <row r="187" spans="1:7" ht="26.25" x14ac:dyDescent="0.25">
      <c r="A187" s="94">
        <v>25</v>
      </c>
      <c r="B187" s="991"/>
      <c r="C187" s="76" t="s">
        <v>118</v>
      </c>
      <c r="D187" s="10" t="s">
        <v>417</v>
      </c>
      <c r="E187" s="10">
        <v>156</v>
      </c>
      <c r="F187" s="10">
        <v>0</v>
      </c>
      <c r="G187" s="10" t="s">
        <v>425</v>
      </c>
    </row>
    <row r="188" spans="1:7" x14ac:dyDescent="0.25">
      <c r="A188" s="94">
        <v>29</v>
      </c>
      <c r="B188" s="991"/>
      <c r="C188" s="76" t="s">
        <v>39</v>
      </c>
      <c r="D188" s="10" t="s">
        <v>417</v>
      </c>
      <c r="E188" s="16">
        <v>179</v>
      </c>
      <c r="F188" s="10">
        <v>0</v>
      </c>
      <c r="G188" s="10" t="s">
        <v>425</v>
      </c>
    </row>
    <row r="189" spans="1:7" x14ac:dyDescent="0.25">
      <c r="A189" s="94">
        <v>30</v>
      </c>
      <c r="B189" s="991"/>
      <c r="C189" s="76" t="s">
        <v>340</v>
      </c>
      <c r="D189" s="10" t="s">
        <v>417</v>
      </c>
      <c r="E189" s="16">
        <v>156</v>
      </c>
      <c r="F189" s="10">
        <v>0</v>
      </c>
      <c r="G189" s="10" t="s">
        <v>425</v>
      </c>
    </row>
    <row r="190" spans="1:7" x14ac:dyDescent="0.25">
      <c r="A190" s="94">
        <v>31</v>
      </c>
      <c r="B190" s="991"/>
      <c r="C190" s="76" t="s">
        <v>13</v>
      </c>
      <c r="D190" s="10" t="s">
        <v>417</v>
      </c>
      <c r="E190" s="16">
        <v>156</v>
      </c>
      <c r="F190" s="10">
        <v>0</v>
      </c>
      <c r="G190" s="10" t="s">
        <v>425</v>
      </c>
    </row>
    <row r="191" spans="1:7" x14ac:dyDescent="0.25">
      <c r="A191" s="94">
        <v>32</v>
      </c>
      <c r="B191" s="992"/>
      <c r="C191" s="76" t="s">
        <v>339</v>
      </c>
      <c r="D191" s="10" t="s">
        <v>417</v>
      </c>
      <c r="E191" s="16">
        <v>179</v>
      </c>
      <c r="F191" s="10">
        <f>E191*25</f>
        <v>4475</v>
      </c>
      <c r="G191" s="10" t="s">
        <v>425</v>
      </c>
    </row>
    <row r="192" spans="1:7" x14ac:dyDescent="0.25">
      <c r="A192" s="94">
        <v>33</v>
      </c>
      <c r="B192" s="993" t="s">
        <v>360</v>
      </c>
      <c r="C192" s="76" t="s">
        <v>332</v>
      </c>
      <c r="D192" s="10" t="s">
        <v>411</v>
      </c>
      <c r="E192" s="10">
        <v>179</v>
      </c>
      <c r="F192" s="10">
        <v>0</v>
      </c>
      <c r="G192" s="10" t="s">
        <v>425</v>
      </c>
    </row>
    <row r="193" spans="1:15" x14ac:dyDescent="0.25">
      <c r="A193" s="94">
        <v>34</v>
      </c>
      <c r="B193" s="993"/>
      <c r="C193" s="76" t="s">
        <v>333</v>
      </c>
      <c r="D193" s="10" t="s">
        <v>414</v>
      </c>
      <c r="E193" s="10">
        <v>179</v>
      </c>
      <c r="F193" s="10">
        <v>0</v>
      </c>
      <c r="G193" s="10" t="s">
        <v>426</v>
      </c>
    </row>
    <row r="194" spans="1:15" x14ac:dyDescent="0.25">
      <c r="A194" s="94">
        <v>35</v>
      </c>
      <c r="B194" s="993"/>
      <c r="C194" s="76" t="s">
        <v>334</v>
      </c>
      <c r="D194" s="10" t="s">
        <v>414</v>
      </c>
      <c r="E194" s="10">
        <v>179</v>
      </c>
      <c r="F194" s="10">
        <v>0</v>
      </c>
      <c r="G194" s="10" t="s">
        <v>426</v>
      </c>
    </row>
    <row r="195" spans="1:15" x14ac:dyDescent="0.25">
      <c r="A195" s="94">
        <v>36</v>
      </c>
      <c r="B195" s="993"/>
      <c r="C195" s="76" t="s">
        <v>361</v>
      </c>
      <c r="D195" s="10" t="s">
        <v>411</v>
      </c>
      <c r="E195" s="10">
        <v>168</v>
      </c>
      <c r="F195" s="10">
        <v>0</v>
      </c>
      <c r="G195" s="10" t="s">
        <v>425</v>
      </c>
    </row>
    <row r="196" spans="1:15" x14ac:dyDescent="0.25">
      <c r="A196" s="94">
        <v>37</v>
      </c>
      <c r="B196" s="993"/>
      <c r="C196" s="76" t="s">
        <v>345</v>
      </c>
      <c r="D196" s="10" t="s">
        <v>411</v>
      </c>
      <c r="E196" s="10">
        <v>168</v>
      </c>
      <c r="F196" s="10">
        <v>0</v>
      </c>
      <c r="G196" s="10" t="s">
        <v>425</v>
      </c>
    </row>
    <row r="197" spans="1:15" x14ac:dyDescent="0.25">
      <c r="A197" s="994" t="s">
        <v>364</v>
      </c>
      <c r="B197" s="995"/>
      <c r="C197" s="995"/>
      <c r="D197" s="995"/>
      <c r="E197" s="996"/>
      <c r="F197" s="32">
        <f>SUM(F168:F196)</f>
        <v>130017</v>
      </c>
      <c r="G197" s="5"/>
    </row>
    <row r="198" spans="1:15" x14ac:dyDescent="0.25">
      <c r="A198" s="994" t="s">
        <v>365</v>
      </c>
      <c r="B198" s="995"/>
      <c r="C198" s="995"/>
      <c r="D198" s="995"/>
      <c r="E198" s="996"/>
      <c r="F198" s="32">
        <f>F197*1.5226</f>
        <v>197963.8842</v>
      </c>
      <c r="G198" s="5"/>
    </row>
    <row r="199" spans="1:15" x14ac:dyDescent="0.25">
      <c r="A199" s="994" t="s">
        <v>127</v>
      </c>
      <c r="B199" s="995"/>
      <c r="C199" s="995"/>
      <c r="D199" s="995"/>
      <c r="E199" s="996"/>
      <c r="F199" s="32">
        <f>F198/2</f>
        <v>98981.9421</v>
      </c>
      <c r="G199" s="5"/>
    </row>
    <row r="203" spans="1:15" s="409" customFormat="1" ht="11.25" customHeight="1" x14ac:dyDescent="0.2">
      <c r="A203" s="411"/>
      <c r="B203" s="412"/>
      <c r="C203" s="412"/>
      <c r="D203" s="413"/>
      <c r="E203" s="413"/>
      <c r="F203" s="414"/>
      <c r="G203" s="415"/>
      <c r="H203" s="415"/>
      <c r="I203" s="415"/>
      <c r="J203" s="416"/>
      <c r="K203" s="417"/>
      <c r="L203" s="411"/>
      <c r="M203" s="411"/>
      <c r="N203" s="411"/>
      <c r="O203" s="411"/>
    </row>
    <row r="204" spans="1:15" s="410" customFormat="1" ht="11.25" customHeight="1" x14ac:dyDescent="0.2">
      <c r="A204" s="424"/>
      <c r="B204" s="419"/>
      <c r="C204" s="419"/>
      <c r="D204" s="420"/>
      <c r="E204" s="420"/>
      <c r="F204" s="421"/>
      <c r="G204" s="422"/>
      <c r="H204" s="422"/>
      <c r="I204" s="422"/>
      <c r="J204" s="423"/>
      <c r="K204" s="423"/>
      <c r="L204" s="418"/>
      <c r="M204" s="418"/>
      <c r="N204" s="418"/>
      <c r="O204" s="418"/>
    </row>
    <row r="205" spans="1:15" s="410" customFormat="1" ht="11.25" customHeight="1" x14ac:dyDescent="0.2">
      <c r="A205" s="418"/>
      <c r="B205" s="419"/>
      <c r="C205" s="419"/>
      <c r="D205" s="420"/>
      <c r="E205" s="420"/>
      <c r="F205" s="421"/>
      <c r="G205" s="422"/>
      <c r="H205" s="422"/>
      <c r="I205" s="422"/>
      <c r="J205" s="423"/>
      <c r="K205" s="423"/>
      <c r="L205" s="418"/>
      <c r="M205" s="418"/>
      <c r="N205" s="418"/>
      <c r="O205" s="418"/>
    </row>
    <row r="206" spans="1:15" s="410" customFormat="1" ht="11.25" customHeight="1" x14ac:dyDescent="0.2">
      <c r="A206" s="418"/>
      <c r="B206" s="419"/>
      <c r="C206" s="419"/>
      <c r="D206" s="420"/>
      <c r="E206" s="420"/>
      <c r="F206" s="421"/>
      <c r="G206" s="422"/>
      <c r="H206" s="422"/>
      <c r="I206" s="422"/>
      <c r="J206" s="423"/>
      <c r="K206" s="423"/>
      <c r="L206" s="418"/>
      <c r="M206" s="418"/>
      <c r="N206" s="418"/>
      <c r="O206" s="418"/>
    </row>
    <row r="207" spans="1:15" s="410" customFormat="1" ht="11.25" customHeight="1" x14ac:dyDescent="0.2">
      <c r="A207" s="418"/>
      <c r="B207" s="419"/>
      <c r="C207" s="419"/>
      <c r="D207" s="420"/>
      <c r="E207" s="420"/>
      <c r="F207" s="421"/>
      <c r="G207" s="422"/>
      <c r="H207" s="422"/>
      <c r="I207" s="422"/>
      <c r="J207" s="423"/>
      <c r="K207" s="423"/>
      <c r="L207" s="418"/>
      <c r="M207" s="418"/>
      <c r="N207" s="418"/>
      <c r="O207" s="418"/>
    </row>
    <row r="208" spans="1:15" s="410" customFormat="1" ht="11.25" customHeight="1" x14ac:dyDescent="0.2">
      <c r="A208" s="418"/>
      <c r="B208" s="419"/>
      <c r="C208" s="419"/>
      <c r="D208" s="420"/>
      <c r="E208" s="420"/>
      <c r="F208" s="421"/>
      <c r="G208" s="422"/>
      <c r="H208" s="422"/>
      <c r="I208" s="422"/>
      <c r="J208" s="423"/>
      <c r="K208" s="423"/>
      <c r="L208" s="418"/>
      <c r="M208" s="418"/>
      <c r="N208" s="418"/>
      <c r="O208" s="418"/>
    </row>
    <row r="209" spans="1:15" s="410" customFormat="1" ht="11.25" customHeight="1" x14ac:dyDescent="0.2">
      <c r="A209" s="418"/>
      <c r="B209" s="419"/>
      <c r="C209" s="419"/>
      <c r="D209" s="420"/>
      <c r="E209" s="420"/>
      <c r="F209" s="421"/>
      <c r="G209" s="422"/>
      <c r="H209" s="422"/>
      <c r="I209" s="422"/>
      <c r="J209" s="423"/>
      <c r="K209" s="423"/>
      <c r="L209" s="418"/>
      <c r="M209" s="418"/>
      <c r="N209" s="418"/>
      <c r="O209" s="418"/>
    </row>
    <row r="210" spans="1:15" s="410" customFormat="1" ht="11.25" customHeight="1" x14ac:dyDescent="0.2">
      <c r="A210" s="418"/>
      <c r="B210" s="419"/>
      <c r="C210" s="419"/>
      <c r="D210" s="420"/>
      <c r="E210" s="420"/>
      <c r="F210" s="421"/>
      <c r="G210" s="422"/>
      <c r="H210" s="422"/>
      <c r="I210" s="422"/>
      <c r="J210" s="423"/>
      <c r="K210" s="423"/>
      <c r="L210" s="418"/>
      <c r="M210" s="418"/>
      <c r="N210" s="418"/>
      <c r="O210" s="418"/>
    </row>
    <row r="211" spans="1:15" s="410" customFormat="1" ht="11.25" customHeight="1" x14ac:dyDescent="0.2">
      <c r="A211" s="418"/>
      <c r="B211" s="419"/>
      <c r="C211" s="419"/>
      <c r="D211" s="420"/>
      <c r="E211" s="420"/>
      <c r="F211" s="421"/>
      <c r="G211" s="422"/>
      <c r="H211" s="422"/>
      <c r="I211" s="422"/>
      <c r="J211" s="423"/>
      <c r="K211" s="423"/>
      <c r="L211" s="418"/>
      <c r="M211" s="418"/>
      <c r="N211" s="418"/>
      <c r="O211" s="418"/>
    </row>
    <row r="212" spans="1:15" s="410" customFormat="1" ht="11.25" customHeight="1" x14ac:dyDescent="0.2">
      <c r="A212" s="418"/>
      <c r="B212" s="419"/>
      <c r="C212" s="419"/>
      <c r="D212" s="420"/>
      <c r="E212" s="420"/>
      <c r="F212" s="421"/>
      <c r="G212" s="422"/>
      <c r="H212" s="422"/>
      <c r="I212" s="422"/>
      <c r="J212" s="423"/>
      <c r="K212" s="423"/>
      <c r="L212" s="418"/>
      <c r="M212" s="418"/>
      <c r="N212" s="418"/>
      <c r="O212" s="418"/>
    </row>
    <row r="213" spans="1:15" s="410" customFormat="1" ht="11.25" customHeight="1" x14ac:dyDescent="0.2">
      <c r="A213" s="418"/>
      <c r="B213" s="419"/>
      <c r="C213" s="419"/>
      <c r="D213" s="420"/>
      <c r="E213" s="420"/>
      <c r="F213" s="421"/>
      <c r="G213" s="422"/>
      <c r="H213" s="422"/>
      <c r="I213" s="422"/>
      <c r="J213" s="423"/>
      <c r="K213" s="423"/>
      <c r="L213" s="418"/>
      <c r="M213" s="418"/>
      <c r="N213" s="418"/>
      <c r="O213" s="418"/>
    </row>
    <row r="214" spans="1:15" s="410" customFormat="1" ht="11.25" customHeight="1" x14ac:dyDescent="0.2">
      <c r="A214" s="418"/>
      <c r="B214" s="419"/>
      <c r="C214" s="419"/>
      <c r="D214" s="420"/>
      <c r="E214" s="420"/>
      <c r="F214" s="421"/>
      <c r="G214" s="422"/>
      <c r="H214" s="422"/>
      <c r="I214" s="422"/>
      <c r="J214" s="423"/>
      <c r="K214" s="423"/>
      <c r="L214" s="418"/>
      <c r="M214" s="418"/>
      <c r="N214" s="418"/>
      <c r="O214" s="418"/>
    </row>
    <row r="215" spans="1:15" s="410" customFormat="1" ht="11.25" customHeight="1" x14ac:dyDescent="0.2">
      <c r="A215" s="418"/>
      <c r="B215" s="419"/>
      <c r="C215" s="419"/>
      <c r="D215" s="420"/>
      <c r="E215" s="420"/>
      <c r="F215" s="421"/>
      <c r="G215" s="422"/>
      <c r="H215" s="422"/>
      <c r="I215" s="422"/>
      <c r="J215" s="423"/>
      <c r="K215" s="423"/>
      <c r="L215" s="418"/>
      <c r="M215" s="418"/>
      <c r="N215" s="418"/>
      <c r="O215" s="418"/>
    </row>
    <row r="216" spans="1:15" s="410" customFormat="1" ht="11.25" customHeight="1" x14ac:dyDescent="0.2">
      <c r="A216" s="418"/>
      <c r="B216" s="419"/>
      <c r="C216" s="419"/>
      <c r="D216" s="420"/>
      <c r="E216" s="420"/>
      <c r="F216" s="421"/>
      <c r="G216" s="422"/>
      <c r="H216" s="422"/>
      <c r="I216" s="422"/>
      <c r="J216" s="423"/>
      <c r="K216" s="423"/>
      <c r="L216" s="418"/>
      <c r="M216" s="418"/>
      <c r="N216" s="418"/>
      <c r="O216" s="418"/>
    </row>
    <row r="217" spans="1:15" s="410" customFormat="1" ht="11.25" customHeight="1" x14ac:dyDescent="0.2">
      <c r="A217" s="418"/>
      <c r="B217" s="419"/>
      <c r="C217" s="419"/>
      <c r="D217" s="420"/>
      <c r="E217" s="420"/>
      <c r="F217" s="421"/>
      <c r="G217" s="422"/>
      <c r="H217" s="422"/>
      <c r="I217" s="422"/>
      <c r="J217" s="423"/>
      <c r="K217" s="423"/>
      <c r="L217" s="418"/>
      <c r="M217" s="418"/>
      <c r="N217" s="418"/>
      <c r="O217" s="418"/>
    </row>
    <row r="218" spans="1:15" s="410" customFormat="1" ht="11.25" customHeight="1" x14ac:dyDescent="0.2">
      <c r="A218" s="418"/>
      <c r="B218" s="419"/>
      <c r="C218" s="419"/>
      <c r="D218" s="420"/>
      <c r="E218" s="420"/>
      <c r="F218" s="421"/>
      <c r="G218" s="422"/>
      <c r="H218" s="422"/>
      <c r="I218" s="422"/>
      <c r="J218" s="423"/>
      <c r="K218" s="423"/>
      <c r="L218" s="418"/>
      <c r="M218" s="418"/>
      <c r="N218" s="418"/>
      <c r="O218" s="418"/>
    </row>
    <row r="219" spans="1:15" s="410" customFormat="1" ht="11.25" customHeight="1" x14ac:dyDescent="0.2">
      <c r="A219" s="418"/>
      <c r="B219" s="419"/>
      <c r="C219" s="419"/>
      <c r="D219" s="420"/>
      <c r="E219" s="420"/>
      <c r="F219" s="421"/>
      <c r="G219" s="422"/>
      <c r="H219" s="422"/>
      <c r="I219" s="422"/>
      <c r="J219" s="423"/>
      <c r="K219" s="423"/>
      <c r="L219" s="418"/>
      <c r="M219" s="418"/>
      <c r="N219" s="418"/>
      <c r="O219" s="418"/>
    </row>
    <row r="220" spans="1:15" s="410" customFormat="1" ht="11.25" customHeight="1" x14ac:dyDescent="0.2">
      <c r="A220" s="418"/>
      <c r="B220" s="419"/>
      <c r="C220" s="419"/>
      <c r="D220" s="420"/>
      <c r="E220" s="420"/>
      <c r="F220" s="421"/>
      <c r="G220" s="422"/>
      <c r="H220" s="422"/>
      <c r="I220" s="422"/>
      <c r="J220" s="423"/>
      <c r="K220" s="423"/>
      <c r="L220" s="418"/>
      <c r="M220" s="418"/>
      <c r="N220" s="418"/>
      <c r="O220" s="418"/>
    </row>
    <row r="221" spans="1:15" s="410" customFormat="1" ht="11.25" customHeight="1" x14ac:dyDescent="0.2">
      <c r="A221" s="418"/>
      <c r="B221" s="419"/>
      <c r="C221" s="419"/>
      <c r="D221" s="420"/>
      <c r="E221" s="420"/>
      <c r="F221" s="421"/>
      <c r="G221" s="422"/>
      <c r="H221" s="422"/>
      <c r="I221" s="422"/>
      <c r="J221" s="423"/>
      <c r="K221" s="423"/>
      <c r="L221" s="418"/>
      <c r="M221" s="418"/>
      <c r="N221" s="418"/>
      <c r="O221" s="418"/>
    </row>
    <row r="222" spans="1:15" s="410" customFormat="1" ht="11.25" customHeight="1" x14ac:dyDescent="0.2">
      <c r="A222" s="418"/>
      <c r="B222" s="419"/>
      <c r="C222" s="419"/>
      <c r="D222" s="420"/>
      <c r="E222" s="420"/>
      <c r="F222" s="421"/>
      <c r="G222" s="422"/>
      <c r="H222" s="422"/>
      <c r="I222" s="422"/>
      <c r="J222" s="423"/>
      <c r="K222" s="423"/>
      <c r="L222" s="418"/>
      <c r="M222" s="418"/>
      <c r="N222" s="418"/>
      <c r="O222" s="418"/>
    </row>
    <row r="223" spans="1:15" s="410" customFormat="1" ht="11.25" customHeight="1" x14ac:dyDescent="0.2">
      <c r="A223" s="418"/>
      <c r="B223" s="419"/>
      <c r="C223" s="419"/>
      <c r="D223" s="420"/>
      <c r="E223" s="420"/>
      <c r="F223" s="421"/>
      <c r="G223" s="422"/>
      <c r="H223" s="422"/>
      <c r="I223" s="422"/>
      <c r="J223" s="423"/>
      <c r="K223" s="423"/>
      <c r="L223" s="418"/>
      <c r="M223" s="418"/>
      <c r="N223" s="418"/>
      <c r="O223" s="418"/>
    </row>
    <row r="224" spans="1:15" s="410" customFormat="1" ht="11.25" customHeight="1" x14ac:dyDescent="0.2">
      <c r="A224" s="418"/>
      <c r="B224" s="419"/>
      <c r="C224" s="419"/>
      <c r="D224" s="420"/>
      <c r="E224" s="420"/>
      <c r="F224" s="421"/>
      <c r="G224" s="422"/>
      <c r="H224" s="422"/>
      <c r="I224" s="422"/>
      <c r="J224" s="423"/>
      <c r="K224" s="423"/>
      <c r="L224" s="418"/>
      <c r="M224" s="418"/>
      <c r="N224" s="418"/>
      <c r="O224" s="418"/>
    </row>
    <row r="225" spans="1:15" s="410" customFormat="1" ht="11.25" customHeight="1" x14ac:dyDescent="0.2">
      <c r="A225" s="418"/>
      <c r="B225" s="419"/>
      <c r="C225" s="419"/>
      <c r="D225" s="420"/>
      <c r="E225" s="420"/>
      <c r="F225" s="421"/>
      <c r="G225" s="422"/>
      <c r="H225" s="422"/>
      <c r="I225" s="422"/>
      <c r="J225" s="423"/>
      <c r="K225" s="423"/>
      <c r="L225" s="418"/>
      <c r="M225" s="418"/>
      <c r="N225" s="418"/>
      <c r="O225" s="418"/>
    </row>
    <row r="226" spans="1:15" s="410" customFormat="1" ht="11.25" customHeight="1" x14ac:dyDescent="0.2">
      <c r="A226" s="418"/>
      <c r="B226" s="419"/>
      <c r="C226" s="419"/>
      <c r="D226" s="420"/>
      <c r="E226" s="420"/>
      <c r="F226" s="421"/>
      <c r="G226" s="422"/>
      <c r="H226" s="422"/>
      <c r="I226" s="422"/>
      <c r="J226" s="423"/>
      <c r="K226" s="423"/>
      <c r="L226" s="418"/>
      <c r="M226" s="418"/>
      <c r="N226" s="418"/>
      <c r="O226" s="418"/>
    </row>
    <row r="229" spans="1:15" x14ac:dyDescent="0.25">
      <c r="A229" s="147" t="s">
        <v>0</v>
      </c>
      <c r="B229" s="147" t="s">
        <v>132</v>
      </c>
      <c r="C229" s="147" t="s">
        <v>130</v>
      </c>
      <c r="D229" s="147" t="s">
        <v>131</v>
      </c>
    </row>
    <row r="230" spans="1:15" x14ac:dyDescent="0.25">
      <c r="A230" s="110" t="s">
        <v>2849</v>
      </c>
      <c r="B230" s="110">
        <v>488</v>
      </c>
      <c r="C230" s="215">
        <v>41680</v>
      </c>
      <c r="D230" s="215">
        <v>41838</v>
      </c>
    </row>
    <row r="231" spans="1:15" x14ac:dyDescent="0.25">
      <c r="A231" s="110" t="s">
        <v>2849</v>
      </c>
      <c r="B231" s="110">
        <v>488</v>
      </c>
      <c r="C231" s="215">
        <v>41841</v>
      </c>
      <c r="D231" s="215">
        <v>41912</v>
      </c>
    </row>
    <row r="233" spans="1:15" x14ac:dyDescent="0.25">
      <c r="A233" t="s">
        <v>2850</v>
      </c>
      <c r="B233">
        <v>5</v>
      </c>
      <c r="C233">
        <f>B233*$B$230</f>
        <v>2440</v>
      </c>
    </row>
    <row r="234" spans="1:15" x14ac:dyDescent="0.25">
      <c r="A234" t="s">
        <v>2851</v>
      </c>
      <c r="B234">
        <v>20</v>
      </c>
      <c r="C234">
        <f t="shared" ref="C234:C240" si="3">B234*$B$230</f>
        <v>9760</v>
      </c>
    </row>
    <row r="235" spans="1:15" x14ac:dyDescent="0.25">
      <c r="A235" t="s">
        <v>1505</v>
      </c>
      <c r="B235">
        <v>20</v>
      </c>
      <c r="C235">
        <f t="shared" si="3"/>
        <v>9760</v>
      </c>
    </row>
    <row r="236" spans="1:15" x14ac:dyDescent="0.25">
      <c r="A236" t="s">
        <v>1485</v>
      </c>
      <c r="B236">
        <v>25</v>
      </c>
      <c r="C236">
        <f t="shared" si="3"/>
        <v>12200</v>
      </c>
    </row>
    <row r="237" spans="1:15" x14ac:dyDescent="0.25">
      <c r="A237" t="s">
        <v>1486</v>
      </c>
      <c r="B237">
        <v>20</v>
      </c>
      <c r="C237">
        <f t="shared" si="3"/>
        <v>9760</v>
      </c>
    </row>
    <row r="238" spans="1:15" x14ac:dyDescent="0.25">
      <c r="A238" t="s">
        <v>1508</v>
      </c>
      <c r="B238">
        <v>20</v>
      </c>
      <c r="C238">
        <f t="shared" si="3"/>
        <v>9760</v>
      </c>
    </row>
    <row r="239" spans="1:15" x14ac:dyDescent="0.25">
      <c r="A239" t="s">
        <v>1509</v>
      </c>
      <c r="B239">
        <v>25</v>
      </c>
      <c r="C239">
        <f t="shared" si="3"/>
        <v>12200</v>
      </c>
    </row>
    <row r="240" spans="1:15" x14ac:dyDescent="0.25">
      <c r="A240" t="s">
        <v>2852</v>
      </c>
      <c r="B240">
        <v>20</v>
      </c>
      <c r="C240">
        <f t="shared" si="3"/>
        <v>9760</v>
      </c>
    </row>
    <row r="241" spans="1:8" x14ac:dyDescent="0.25">
      <c r="C241">
        <f>SUM(C233:C240)</f>
        <v>75640</v>
      </c>
      <c r="D241">
        <f>C241*1.68</f>
        <v>127075.2</v>
      </c>
    </row>
    <row r="253" spans="1:8" x14ac:dyDescent="0.25">
      <c r="A253" s="147" t="s">
        <v>0</v>
      </c>
      <c r="B253" s="147" t="s">
        <v>485</v>
      </c>
      <c r="C253" s="147" t="s">
        <v>1642</v>
      </c>
      <c r="D253" s="147" t="s">
        <v>230</v>
      </c>
      <c r="E253" s="147" t="s">
        <v>1631</v>
      </c>
      <c r="F253" s="147" t="s">
        <v>1510</v>
      </c>
      <c r="G253" s="147" t="s">
        <v>1632</v>
      </c>
      <c r="H253" s="147" t="s">
        <v>1484</v>
      </c>
    </row>
    <row r="254" spans="1:8" x14ac:dyDescent="0.25">
      <c r="A254" s="29" t="s">
        <v>1384</v>
      </c>
      <c r="B254" s="130" t="s">
        <v>1386</v>
      </c>
      <c r="C254" s="29" t="s">
        <v>2</v>
      </c>
      <c r="D254" s="130">
        <v>60133914</v>
      </c>
      <c r="E254" s="26">
        <v>41729</v>
      </c>
      <c r="F254" s="167">
        <v>41789</v>
      </c>
      <c r="G254" s="23">
        <v>12127.5</v>
      </c>
      <c r="H254" s="23">
        <v>12127.5</v>
      </c>
    </row>
    <row r="255" spans="1:8" x14ac:dyDescent="0.25">
      <c r="A255" s="29" t="s">
        <v>1383</v>
      </c>
      <c r="B255" s="130" t="s">
        <v>1376</v>
      </c>
      <c r="C255" s="20" t="s">
        <v>2</v>
      </c>
      <c r="D255" s="130">
        <v>60133912</v>
      </c>
      <c r="E255" s="26">
        <v>41701</v>
      </c>
      <c r="F255" s="167">
        <v>41789</v>
      </c>
      <c r="G255" s="10">
        <v>17517</v>
      </c>
      <c r="H255" s="10">
        <v>17517</v>
      </c>
    </row>
  </sheetData>
  <mergeCells count="46">
    <mergeCell ref="A199:E199"/>
    <mergeCell ref="B146:B154"/>
    <mergeCell ref="B155:B159"/>
    <mergeCell ref="A160:E160"/>
    <mergeCell ref="A161:E161"/>
    <mergeCell ref="A162:E162"/>
    <mergeCell ref="B168:B177"/>
    <mergeCell ref="B179:B183"/>
    <mergeCell ref="B186:B191"/>
    <mergeCell ref="B192:B196"/>
    <mergeCell ref="A197:E197"/>
    <mergeCell ref="A198:E198"/>
    <mergeCell ref="B139:B143"/>
    <mergeCell ref="L65:P65"/>
    <mergeCell ref="L66:P66"/>
    <mergeCell ref="L67:P67"/>
    <mergeCell ref="B80:B88"/>
    <mergeCell ref="B90:B94"/>
    <mergeCell ref="B98:B106"/>
    <mergeCell ref="B107:B111"/>
    <mergeCell ref="A113:E113"/>
    <mergeCell ref="A114:E114"/>
    <mergeCell ref="A115:E115"/>
    <mergeCell ref="B129:B137"/>
    <mergeCell ref="M54:M58"/>
    <mergeCell ref="S54:S55"/>
    <mergeCell ref="S57:S58"/>
    <mergeCell ref="A32:A39"/>
    <mergeCell ref="B32:B39"/>
    <mergeCell ref="L32:L39"/>
    <mergeCell ref="M32:M39"/>
    <mergeCell ref="A40:A43"/>
    <mergeCell ref="B40:B43"/>
    <mergeCell ref="L40:L43"/>
    <mergeCell ref="M40:M43"/>
    <mergeCell ref="B46:B53"/>
    <mergeCell ref="M46:M53"/>
    <mergeCell ref="S46:S48"/>
    <mergeCell ref="S49:S51"/>
    <mergeCell ref="S52:S53"/>
    <mergeCell ref="F8:G8"/>
    <mergeCell ref="F3:G3"/>
    <mergeCell ref="F4:G4"/>
    <mergeCell ref="F5:G5"/>
    <mergeCell ref="F6:G6"/>
    <mergeCell ref="F7:G7"/>
  </mergeCell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2" sqref="D2"/>
    </sheetView>
  </sheetViews>
  <sheetFormatPr defaultRowHeight="15" x14ac:dyDescent="0.25"/>
  <cols>
    <col min="2" max="2" width="12.42578125" bestFit="1" customWidth="1"/>
    <col min="3" max="3" width="26" bestFit="1" customWidth="1"/>
    <col min="4" max="4" width="12" bestFit="1" customWidth="1"/>
    <col min="5" max="5" width="22" bestFit="1" customWidth="1"/>
    <col min="10" max="16384" width="9.140625" style="108"/>
  </cols>
  <sheetData>
    <row r="1" spans="1:9" s="778" customFormat="1" ht="25.5" x14ac:dyDescent="0.2">
      <c r="A1" s="776" t="s">
        <v>41</v>
      </c>
      <c r="B1" s="776" t="s">
        <v>16</v>
      </c>
      <c r="C1" s="776" t="s">
        <v>2287</v>
      </c>
      <c r="D1" s="776" t="s">
        <v>88</v>
      </c>
      <c r="E1" s="776" t="s">
        <v>5109</v>
      </c>
      <c r="F1" s="776" t="s">
        <v>132</v>
      </c>
      <c r="G1" s="777" t="s">
        <v>459</v>
      </c>
      <c r="H1" s="777" t="s">
        <v>5110</v>
      </c>
      <c r="I1" s="777" t="s">
        <v>5111</v>
      </c>
    </row>
    <row r="2" spans="1:9" s="779" customFormat="1" ht="14.25" x14ac:dyDescent="0.2">
      <c r="A2" s="780">
        <v>42491</v>
      </c>
      <c r="B2" s="781">
        <v>1000079359</v>
      </c>
      <c r="C2" s="782" t="s">
        <v>24</v>
      </c>
      <c r="D2" s="782" t="s">
        <v>5106</v>
      </c>
      <c r="E2" s="782" t="s">
        <v>5107</v>
      </c>
      <c r="F2" s="782">
        <v>156</v>
      </c>
      <c r="G2" s="782">
        <v>0</v>
      </c>
      <c r="H2" s="782">
        <v>24</v>
      </c>
      <c r="I2" s="782">
        <f t="shared" ref="I2:I9" si="0">F2*H2</f>
        <v>3744</v>
      </c>
    </row>
    <row r="3" spans="1:9" s="779" customFormat="1" ht="14.25" x14ac:dyDescent="0.2">
      <c r="A3" s="780">
        <v>42491</v>
      </c>
      <c r="B3" s="781">
        <v>1000079359</v>
      </c>
      <c r="C3" s="782" t="s">
        <v>24</v>
      </c>
      <c r="D3" s="782" t="s">
        <v>5108</v>
      </c>
      <c r="E3" s="782" t="s">
        <v>5107</v>
      </c>
      <c r="F3" s="782">
        <v>156</v>
      </c>
      <c r="G3" s="782">
        <v>0</v>
      </c>
      <c r="H3" s="782">
        <v>24</v>
      </c>
      <c r="I3" s="782">
        <f t="shared" si="0"/>
        <v>3744</v>
      </c>
    </row>
    <row r="4" spans="1:9" x14ac:dyDescent="0.25">
      <c r="A4" s="780">
        <v>42491</v>
      </c>
      <c r="B4" s="781">
        <v>1000079359</v>
      </c>
      <c r="C4" s="782" t="s">
        <v>24</v>
      </c>
      <c r="D4" s="782" t="s">
        <v>5112</v>
      </c>
      <c r="E4" s="782" t="s">
        <v>5107</v>
      </c>
      <c r="F4" s="782">
        <v>447</v>
      </c>
      <c r="G4" s="782">
        <v>0</v>
      </c>
      <c r="H4" s="782">
        <v>24</v>
      </c>
      <c r="I4" s="782">
        <f t="shared" si="0"/>
        <v>10728</v>
      </c>
    </row>
    <row r="5" spans="1:9" x14ac:dyDescent="0.25">
      <c r="A5" s="780">
        <v>42491</v>
      </c>
      <c r="B5" s="781">
        <v>1000079359</v>
      </c>
      <c r="C5" s="782" t="s">
        <v>24</v>
      </c>
      <c r="D5" s="782" t="s">
        <v>5113</v>
      </c>
      <c r="E5" s="782" t="s">
        <v>5107</v>
      </c>
      <c r="F5" s="782">
        <v>471</v>
      </c>
      <c r="G5" s="782">
        <v>0</v>
      </c>
      <c r="H5" s="782">
        <v>24</v>
      </c>
      <c r="I5" s="782">
        <f t="shared" si="0"/>
        <v>11304</v>
      </c>
    </row>
    <row r="6" spans="1:9" x14ac:dyDescent="0.25">
      <c r="A6" s="780">
        <v>42522</v>
      </c>
      <c r="B6" s="781">
        <v>1000079359</v>
      </c>
      <c r="C6" s="782" t="s">
        <v>24</v>
      </c>
      <c r="D6" s="782" t="s">
        <v>5106</v>
      </c>
      <c r="E6" s="782" t="s">
        <v>5107</v>
      </c>
      <c r="F6" s="782">
        <v>156</v>
      </c>
      <c r="G6" s="782">
        <v>0</v>
      </c>
      <c r="H6" s="782">
        <v>24</v>
      </c>
      <c r="I6" s="782">
        <f t="shared" si="0"/>
        <v>3744</v>
      </c>
    </row>
    <row r="7" spans="1:9" x14ac:dyDescent="0.25">
      <c r="A7" s="780">
        <v>42522</v>
      </c>
      <c r="B7" s="781">
        <v>1000079359</v>
      </c>
      <c r="C7" s="782" t="s">
        <v>24</v>
      </c>
      <c r="D7" s="782" t="s">
        <v>5108</v>
      </c>
      <c r="E7" s="782" t="s">
        <v>5107</v>
      </c>
      <c r="F7" s="782">
        <v>156</v>
      </c>
      <c r="G7" s="782">
        <v>0</v>
      </c>
      <c r="H7" s="782">
        <v>24</v>
      </c>
      <c r="I7" s="782">
        <f t="shared" si="0"/>
        <v>3744</v>
      </c>
    </row>
    <row r="8" spans="1:9" x14ac:dyDescent="0.25">
      <c r="A8" s="780">
        <v>42522</v>
      </c>
      <c r="B8" s="781">
        <v>1000079359</v>
      </c>
      <c r="C8" s="782" t="s">
        <v>24</v>
      </c>
      <c r="D8" s="782" t="s">
        <v>5112</v>
      </c>
      <c r="E8" s="782" t="s">
        <v>5107</v>
      </c>
      <c r="F8" s="782">
        <v>447</v>
      </c>
      <c r="G8" s="782">
        <v>0</v>
      </c>
      <c r="H8" s="782">
        <v>24</v>
      </c>
      <c r="I8" s="782">
        <f t="shared" si="0"/>
        <v>10728</v>
      </c>
    </row>
    <row r="9" spans="1:9" x14ac:dyDescent="0.25">
      <c r="A9" s="780">
        <v>42522</v>
      </c>
      <c r="B9" s="781">
        <v>1000079359</v>
      </c>
      <c r="C9" s="782" t="s">
        <v>24</v>
      </c>
      <c r="D9" s="782" t="s">
        <v>5113</v>
      </c>
      <c r="E9" s="782" t="s">
        <v>5107</v>
      </c>
      <c r="F9" s="782">
        <v>471</v>
      </c>
      <c r="G9" s="782">
        <v>0</v>
      </c>
      <c r="H9" s="782">
        <v>24</v>
      </c>
      <c r="I9" s="782">
        <f t="shared" si="0"/>
        <v>11304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21" sqref="D21"/>
    </sheetView>
  </sheetViews>
  <sheetFormatPr defaultRowHeight="15" x14ac:dyDescent="0.25"/>
  <sheetData>
    <row r="1" spans="1:4" ht="15.75" thickBot="1" x14ac:dyDescent="0.3">
      <c r="A1" s="997" t="s">
        <v>266</v>
      </c>
      <c r="B1" s="998" t="s">
        <v>41</v>
      </c>
      <c r="C1" s="998" t="s">
        <v>5115</v>
      </c>
      <c r="D1" s="999" t="s">
        <v>5116</v>
      </c>
    </row>
    <row r="2" spans="1:4" ht="15.75" thickBot="1" x14ac:dyDescent="0.3">
      <c r="A2" s="1000">
        <v>1</v>
      </c>
      <c r="B2" s="1001" t="s">
        <v>2852</v>
      </c>
      <c r="C2" s="1002">
        <v>4</v>
      </c>
      <c r="D2" s="1002">
        <v>20</v>
      </c>
    </row>
    <row r="3" spans="1:4" ht="15.75" thickBot="1" x14ac:dyDescent="0.3">
      <c r="A3" s="1000">
        <v>2</v>
      </c>
      <c r="B3" s="1001" t="s">
        <v>1847</v>
      </c>
      <c r="C3" s="1002">
        <v>4</v>
      </c>
      <c r="D3" s="1002">
        <v>20</v>
      </c>
    </row>
    <row r="4" spans="1:4" ht="15.75" thickBot="1" x14ac:dyDescent="0.3">
      <c r="A4" s="1000">
        <v>3</v>
      </c>
      <c r="B4" s="1001" t="s">
        <v>5117</v>
      </c>
      <c r="C4" s="1002">
        <v>5</v>
      </c>
      <c r="D4" s="1002">
        <v>25</v>
      </c>
    </row>
    <row r="5" spans="1:4" ht="15.75" thickBot="1" x14ac:dyDescent="0.3">
      <c r="A5" s="1000">
        <v>4</v>
      </c>
      <c r="B5" s="1001" t="s">
        <v>5118</v>
      </c>
      <c r="C5" s="1002">
        <v>4</v>
      </c>
      <c r="D5" s="1002">
        <v>20</v>
      </c>
    </row>
    <row r="6" spans="1:4" ht="15.75" thickBot="1" x14ac:dyDescent="0.3">
      <c r="A6" s="1000">
        <v>5</v>
      </c>
      <c r="B6" s="1001" t="s">
        <v>1673</v>
      </c>
      <c r="C6" s="1002">
        <v>4</v>
      </c>
      <c r="D6" s="1002">
        <v>20</v>
      </c>
    </row>
    <row r="7" spans="1:4" ht="15.75" thickBot="1" x14ac:dyDescent="0.3">
      <c r="A7" s="1000">
        <v>6</v>
      </c>
      <c r="B7" s="1001" t="s">
        <v>2850</v>
      </c>
      <c r="C7" s="1002">
        <v>5</v>
      </c>
      <c r="D7" s="1002">
        <v>25</v>
      </c>
    </row>
    <row r="8" spans="1:4" ht="15.75" thickBot="1" x14ac:dyDescent="0.3">
      <c r="A8" s="1000">
        <v>7</v>
      </c>
      <c r="B8" s="1001" t="s">
        <v>2851</v>
      </c>
      <c r="C8" s="1002">
        <v>4</v>
      </c>
      <c r="D8" s="1002">
        <v>20</v>
      </c>
    </row>
    <row r="9" spans="1:4" ht="15.75" thickBot="1" x14ac:dyDescent="0.3">
      <c r="A9" s="1000">
        <v>8</v>
      </c>
      <c r="B9" s="1001" t="s">
        <v>1505</v>
      </c>
      <c r="C9" s="1002">
        <v>4</v>
      </c>
      <c r="D9" s="1002">
        <v>20</v>
      </c>
    </row>
    <row r="10" spans="1:4" ht="15.75" thickBot="1" x14ac:dyDescent="0.3">
      <c r="A10" s="1000">
        <v>9</v>
      </c>
      <c r="B10" s="1001" t="s">
        <v>1485</v>
      </c>
      <c r="C10" s="1002">
        <v>5</v>
      </c>
      <c r="D10" s="1002">
        <v>25</v>
      </c>
    </row>
    <row r="11" spans="1:4" ht="15.75" thickBot="1" x14ac:dyDescent="0.3">
      <c r="A11" s="1000">
        <v>10</v>
      </c>
      <c r="B11" s="1001" t="s">
        <v>5119</v>
      </c>
      <c r="C11" s="1002">
        <v>4</v>
      </c>
      <c r="D11" s="1002">
        <v>20</v>
      </c>
    </row>
    <row r="12" spans="1:4" ht="15.75" thickBot="1" x14ac:dyDescent="0.3">
      <c r="A12" s="1000">
        <v>11</v>
      </c>
      <c r="B12" s="1001" t="s">
        <v>5120</v>
      </c>
      <c r="C12" s="1002">
        <v>4</v>
      </c>
      <c r="D12" s="1002">
        <v>20</v>
      </c>
    </row>
    <row r="13" spans="1:4" ht="15.75" thickBot="1" x14ac:dyDescent="0.3">
      <c r="A13" s="1000">
        <v>12</v>
      </c>
      <c r="B13" s="1001" t="s">
        <v>1509</v>
      </c>
      <c r="C13" s="1002">
        <v>5</v>
      </c>
      <c r="D13" s="1002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7" sqref="C7"/>
    </sheetView>
  </sheetViews>
  <sheetFormatPr defaultRowHeight="12" x14ac:dyDescent="0.25"/>
  <cols>
    <col min="1" max="1" width="9.5703125" style="764" bestFit="1" customWidth="1"/>
    <col min="2" max="2" width="17.42578125" style="764" bestFit="1" customWidth="1"/>
    <col min="3" max="3" width="49.140625" style="774" bestFit="1" customWidth="1"/>
    <col min="4" max="4" width="17.85546875" style="764" bestFit="1" customWidth="1"/>
    <col min="5" max="5" width="11.140625" style="764" bestFit="1" customWidth="1"/>
    <col min="6" max="6" width="10.7109375" style="764" bestFit="1" customWidth="1"/>
    <col min="7" max="7" width="11.85546875" style="764" bestFit="1" customWidth="1"/>
    <col min="8" max="8" width="11.42578125" style="764" bestFit="1" customWidth="1"/>
    <col min="9" max="9" width="8.7109375" style="764" bestFit="1" customWidth="1"/>
    <col min="10" max="10" width="8.7109375" style="764" customWidth="1"/>
    <col min="11" max="11" width="6.7109375" style="764" customWidth="1"/>
    <col min="12" max="12" width="10.28515625" style="764" bestFit="1" customWidth="1"/>
    <col min="13" max="13" width="42.42578125" style="764" bestFit="1" customWidth="1"/>
    <col min="14" max="16384" width="9.140625" style="764"/>
  </cols>
  <sheetData>
    <row r="1" spans="1:13" x14ac:dyDescent="0.25">
      <c r="A1" s="796" t="s">
        <v>4355</v>
      </c>
      <c r="B1" s="795" t="s">
        <v>1</v>
      </c>
      <c r="C1" s="795" t="s">
        <v>0</v>
      </c>
      <c r="D1" s="795" t="s">
        <v>485</v>
      </c>
      <c r="E1" s="796" t="s">
        <v>4157</v>
      </c>
      <c r="F1" s="795" t="s">
        <v>49</v>
      </c>
      <c r="G1" s="796" t="s">
        <v>4158</v>
      </c>
      <c r="H1" s="796" t="s">
        <v>4159</v>
      </c>
      <c r="I1" s="795" t="s">
        <v>132</v>
      </c>
      <c r="J1" s="795" t="s">
        <v>1264</v>
      </c>
      <c r="K1" s="795"/>
      <c r="L1" s="795" t="s">
        <v>1259</v>
      </c>
      <c r="M1" s="795" t="s">
        <v>699</v>
      </c>
    </row>
    <row r="2" spans="1:13" x14ac:dyDescent="0.25">
      <c r="A2" s="795"/>
      <c r="B2" s="795"/>
      <c r="C2" s="795"/>
      <c r="D2" s="795"/>
      <c r="E2" s="795"/>
      <c r="F2" s="795"/>
      <c r="G2" s="795"/>
      <c r="H2" s="795"/>
      <c r="I2" s="795"/>
      <c r="J2" s="765" t="s">
        <v>1262</v>
      </c>
      <c r="K2" s="765" t="s">
        <v>1263</v>
      </c>
      <c r="L2" s="795"/>
      <c r="M2" s="795"/>
    </row>
    <row r="3" spans="1:13" ht="12.75" customHeight="1" x14ac:dyDescent="0.25">
      <c r="A3" s="766">
        <v>1000079359</v>
      </c>
      <c r="B3" s="767" t="s">
        <v>3450</v>
      </c>
      <c r="C3" s="768" t="s">
        <v>5106</v>
      </c>
      <c r="D3" s="769" t="s">
        <v>4958</v>
      </c>
      <c r="E3" s="769" t="s">
        <v>5105</v>
      </c>
      <c r="F3" s="769" t="s">
        <v>1266</v>
      </c>
      <c r="G3" s="770">
        <v>42401</v>
      </c>
      <c r="H3" s="770">
        <v>42517</v>
      </c>
      <c r="I3" s="775">
        <v>156</v>
      </c>
      <c r="J3" s="771">
        <v>30615</v>
      </c>
      <c r="K3" s="771"/>
      <c r="L3" s="771"/>
      <c r="M3" s="771"/>
    </row>
    <row r="4" spans="1:13" x14ac:dyDescent="0.25">
      <c r="A4" s="766">
        <v>1000079359</v>
      </c>
      <c r="B4" s="767" t="s">
        <v>3450</v>
      </c>
      <c r="C4" s="768" t="s">
        <v>5108</v>
      </c>
      <c r="D4" s="769" t="s">
        <v>4959</v>
      </c>
      <c r="E4" s="769" t="s">
        <v>5105</v>
      </c>
      <c r="F4" s="769" t="s">
        <v>1266</v>
      </c>
      <c r="G4" s="770">
        <v>42401</v>
      </c>
      <c r="H4" s="770">
        <v>42517</v>
      </c>
      <c r="I4" s="775">
        <v>156</v>
      </c>
      <c r="J4" s="773">
        <v>26345</v>
      </c>
      <c r="K4" s="771"/>
      <c r="L4" s="771"/>
      <c r="M4" s="771"/>
    </row>
    <row r="5" spans="1:13" x14ac:dyDescent="0.25">
      <c r="A5" s="766">
        <v>1000079359</v>
      </c>
      <c r="B5" s="767" t="s">
        <v>3450</v>
      </c>
      <c r="C5" s="768" t="s">
        <v>5112</v>
      </c>
      <c r="D5" s="769" t="s">
        <v>4960</v>
      </c>
      <c r="E5" s="769" t="s">
        <v>5105</v>
      </c>
      <c r="F5" s="769" t="s">
        <v>1266</v>
      </c>
      <c r="G5" s="772">
        <v>42401</v>
      </c>
      <c r="H5" s="772">
        <v>42608</v>
      </c>
      <c r="I5" s="771">
        <v>453</v>
      </c>
      <c r="J5" s="773">
        <v>67950</v>
      </c>
      <c r="K5" s="771"/>
      <c r="L5" s="771"/>
      <c r="M5" s="771"/>
    </row>
    <row r="6" spans="1:13" x14ac:dyDescent="0.25">
      <c r="A6" s="766">
        <v>1000079359</v>
      </c>
      <c r="B6" s="767" t="s">
        <v>3450</v>
      </c>
      <c r="C6" s="768" t="s">
        <v>5114</v>
      </c>
      <c r="D6" s="769" t="s">
        <v>4961</v>
      </c>
      <c r="E6" s="769" t="s">
        <v>5105</v>
      </c>
      <c r="F6" s="769" t="s">
        <v>1266</v>
      </c>
      <c r="G6" s="772">
        <v>42401</v>
      </c>
      <c r="H6" s="772">
        <v>42608</v>
      </c>
      <c r="I6" s="771">
        <v>488</v>
      </c>
      <c r="J6" s="773">
        <v>73200</v>
      </c>
      <c r="K6" s="771"/>
      <c r="L6" s="771"/>
      <c r="M6" s="771"/>
    </row>
  </sheetData>
  <autoFilter ref="A2:M6"/>
  <mergeCells count="12">
    <mergeCell ref="M1:M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K1"/>
    <mergeCell ref="L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"/>
  <sheetViews>
    <sheetView workbookViewId="0">
      <selection activeCell="F20" sqref="F20"/>
    </sheetView>
  </sheetViews>
  <sheetFormatPr defaultRowHeight="15" x14ac:dyDescent="0.25"/>
  <cols>
    <col min="1" max="3" width="15.7109375" bestFit="1" customWidth="1"/>
    <col min="4" max="4" width="4" bestFit="1" customWidth="1"/>
    <col min="5" max="5" width="12.42578125" bestFit="1" customWidth="1"/>
    <col min="6" max="6" width="8.7109375" bestFit="1" customWidth="1"/>
    <col min="7" max="7" width="9.7109375" bestFit="1" customWidth="1"/>
  </cols>
  <sheetData>
    <row r="2" spans="2:7" x14ac:dyDescent="0.25">
      <c r="B2" s="763" t="s">
        <v>8</v>
      </c>
      <c r="C2" s="763" t="s">
        <v>4032</v>
      </c>
      <c r="D2" s="763" t="s">
        <v>2</v>
      </c>
      <c r="E2" s="763" t="s">
        <v>5101</v>
      </c>
      <c r="F2" s="762">
        <v>42254</v>
      </c>
      <c r="G2" s="762">
        <v>42426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2:J1777"/>
  <sheetViews>
    <sheetView zoomScaleNormal="100" workbookViewId="0">
      <selection activeCell="D11" sqref="D11"/>
    </sheetView>
  </sheetViews>
  <sheetFormatPr defaultRowHeight="12.75" x14ac:dyDescent="0.2"/>
  <cols>
    <col min="1" max="1" width="26.85546875" style="5" customWidth="1"/>
    <col min="2" max="2" width="13" style="5" customWidth="1"/>
    <col min="3" max="3" width="9" style="5" customWidth="1"/>
    <col min="4" max="4" width="87.42578125" style="5" bestFit="1" customWidth="1"/>
    <col min="5" max="5" width="15.28515625" style="5" customWidth="1"/>
    <col min="6" max="6" width="15.28515625" style="751" customWidth="1"/>
    <col min="7" max="7" width="10.42578125" style="5" bestFit="1" customWidth="1"/>
    <col min="8" max="8" width="15.42578125" style="5" bestFit="1" customWidth="1"/>
    <col min="9" max="9" width="25.28515625" style="5" bestFit="1" customWidth="1"/>
    <col min="10" max="16384" width="9.140625" style="5"/>
  </cols>
  <sheetData>
    <row r="2" spans="1:9" ht="25.5" x14ac:dyDescent="0.2">
      <c r="A2" s="1" t="s">
        <v>40</v>
      </c>
      <c r="B2" s="1" t="s">
        <v>15</v>
      </c>
      <c r="C2" s="1" t="s">
        <v>41</v>
      </c>
      <c r="D2" s="1" t="s">
        <v>1</v>
      </c>
      <c r="E2" s="1" t="s">
        <v>265</v>
      </c>
      <c r="F2" s="595" t="s">
        <v>230</v>
      </c>
      <c r="G2" s="1" t="s">
        <v>42</v>
      </c>
      <c r="H2" s="1" t="s">
        <v>2853</v>
      </c>
      <c r="I2" s="1" t="s">
        <v>1803</v>
      </c>
    </row>
    <row r="3" spans="1:9" s="22" customFormat="1" ht="12.75" customHeight="1" x14ac:dyDescent="0.2">
      <c r="A3" s="33"/>
      <c r="B3" s="10">
        <v>1000079359</v>
      </c>
      <c r="C3" s="10" t="s">
        <v>466</v>
      </c>
      <c r="D3" s="17" t="s">
        <v>688</v>
      </c>
      <c r="E3" s="13">
        <v>10191.6</v>
      </c>
      <c r="F3" s="129">
        <v>60107873</v>
      </c>
      <c r="G3" s="33"/>
      <c r="H3" s="33"/>
      <c r="I3" s="33"/>
    </row>
    <row r="4" spans="1:9" s="22" customFormat="1" ht="12.75" customHeight="1" x14ac:dyDescent="0.2">
      <c r="A4" s="33"/>
      <c r="B4" s="10">
        <v>1000079359</v>
      </c>
      <c r="C4" s="10" t="s">
        <v>466</v>
      </c>
      <c r="D4" s="17" t="s">
        <v>689</v>
      </c>
      <c r="E4" s="13">
        <v>10728</v>
      </c>
      <c r="F4" s="129">
        <v>60107874</v>
      </c>
      <c r="G4" s="33"/>
      <c r="H4" s="33"/>
      <c r="I4" s="33"/>
    </row>
    <row r="5" spans="1:9" ht="12.75" customHeight="1" x14ac:dyDescent="0.2">
      <c r="A5" s="10" t="s">
        <v>134</v>
      </c>
      <c r="B5" s="10">
        <v>1000090711</v>
      </c>
      <c r="C5" s="10" t="s">
        <v>458</v>
      </c>
      <c r="D5" s="17" t="s">
        <v>135</v>
      </c>
      <c r="E5" s="13">
        <v>3744</v>
      </c>
      <c r="F5" s="129">
        <v>60112196</v>
      </c>
      <c r="G5" s="10"/>
      <c r="H5" s="10" t="s">
        <v>136</v>
      </c>
      <c r="I5" s="10"/>
    </row>
    <row r="6" spans="1:9" ht="12.75" customHeight="1" x14ac:dyDescent="0.2">
      <c r="A6" s="10" t="s">
        <v>137</v>
      </c>
      <c r="B6" s="10">
        <v>1000090711</v>
      </c>
      <c r="C6" s="10" t="s">
        <v>467</v>
      </c>
      <c r="D6" s="17" t="s">
        <v>135</v>
      </c>
      <c r="E6" s="13">
        <v>7113.6</v>
      </c>
      <c r="F6" s="129">
        <v>60112196</v>
      </c>
      <c r="G6" s="10"/>
      <c r="H6" s="10" t="s">
        <v>136</v>
      </c>
      <c r="I6" s="10"/>
    </row>
    <row r="7" spans="1:9" ht="12.75" customHeight="1" x14ac:dyDescent="0.2">
      <c r="A7" s="10" t="s">
        <v>138</v>
      </c>
      <c r="B7" s="10">
        <v>1000090711</v>
      </c>
      <c r="C7" s="10" t="s">
        <v>140</v>
      </c>
      <c r="D7" s="17" t="s">
        <v>141</v>
      </c>
      <c r="E7" s="13">
        <v>13104</v>
      </c>
      <c r="F7" s="129">
        <v>60112196</v>
      </c>
      <c r="G7" s="10" t="s">
        <v>280</v>
      </c>
      <c r="H7" s="10" t="s">
        <v>136</v>
      </c>
      <c r="I7" s="10"/>
    </row>
    <row r="8" spans="1:9" ht="12.75" customHeight="1" x14ac:dyDescent="0.2">
      <c r="A8" s="10" t="s">
        <v>139</v>
      </c>
      <c r="B8" s="10">
        <v>1000090711</v>
      </c>
      <c r="C8" s="10" t="s">
        <v>140</v>
      </c>
      <c r="D8" s="449" t="s">
        <v>142</v>
      </c>
      <c r="E8" s="13">
        <v>6552</v>
      </c>
      <c r="F8" s="129">
        <v>60116375</v>
      </c>
      <c r="G8" s="10" t="s">
        <v>280</v>
      </c>
      <c r="H8" s="10" t="s">
        <v>136</v>
      </c>
      <c r="I8" s="10"/>
    </row>
    <row r="9" spans="1:9" ht="12.75" customHeight="1" x14ac:dyDescent="0.2">
      <c r="A9" s="10" t="s">
        <v>143</v>
      </c>
      <c r="B9" s="10">
        <v>1000087890</v>
      </c>
      <c r="C9" s="10" t="s">
        <v>458</v>
      </c>
      <c r="D9" s="17" t="s">
        <v>145</v>
      </c>
      <c r="E9" s="13">
        <v>7800</v>
      </c>
      <c r="F9" s="129">
        <v>60111108</v>
      </c>
      <c r="G9" s="10"/>
      <c r="H9" s="10" t="s">
        <v>146</v>
      </c>
      <c r="I9" s="10"/>
    </row>
    <row r="10" spans="1:9" ht="12.75" customHeight="1" x14ac:dyDescent="0.2">
      <c r="A10" s="10" t="s">
        <v>144</v>
      </c>
      <c r="B10" s="10">
        <v>1000087890</v>
      </c>
      <c r="C10" s="10" t="s">
        <v>458</v>
      </c>
      <c r="D10" s="17" t="s">
        <v>147</v>
      </c>
      <c r="E10" s="13">
        <v>2340</v>
      </c>
      <c r="F10" s="129">
        <v>60111096</v>
      </c>
      <c r="G10" s="10"/>
      <c r="H10" s="10" t="s">
        <v>146</v>
      </c>
      <c r="I10" s="10"/>
    </row>
    <row r="11" spans="1:9" ht="12.75" customHeight="1" x14ac:dyDescent="0.2">
      <c r="A11" s="10" t="s">
        <v>148</v>
      </c>
      <c r="B11" s="10">
        <v>1000083056</v>
      </c>
      <c r="C11" s="10" t="s">
        <v>152</v>
      </c>
      <c r="D11" s="17" t="s">
        <v>153</v>
      </c>
      <c r="E11" s="13">
        <v>15888</v>
      </c>
      <c r="F11" s="129"/>
      <c r="G11" s="10"/>
      <c r="H11" s="10" t="s">
        <v>146</v>
      </c>
      <c r="I11" s="10" t="s">
        <v>95</v>
      </c>
    </row>
    <row r="12" spans="1:9" ht="12.75" customHeight="1" x14ac:dyDescent="0.2">
      <c r="A12" s="23" t="s">
        <v>149</v>
      </c>
      <c r="B12" s="10">
        <v>1000083056</v>
      </c>
      <c r="C12" s="10" t="s">
        <v>152</v>
      </c>
      <c r="D12" s="17" t="s">
        <v>154</v>
      </c>
      <c r="E12" s="13">
        <v>23898</v>
      </c>
      <c r="F12" s="129">
        <v>60110560</v>
      </c>
      <c r="G12" s="10"/>
      <c r="H12" s="10" t="s">
        <v>146</v>
      </c>
      <c r="I12" s="10"/>
    </row>
    <row r="13" spans="1:9" ht="12.75" customHeight="1" x14ac:dyDescent="0.2">
      <c r="A13" s="10" t="s">
        <v>150</v>
      </c>
      <c r="B13" s="10">
        <v>1000083056</v>
      </c>
      <c r="C13" s="10" t="s">
        <v>152</v>
      </c>
      <c r="D13" s="17" t="s">
        <v>155</v>
      </c>
      <c r="E13" s="13">
        <v>66672</v>
      </c>
      <c r="F13" s="129">
        <v>60104760</v>
      </c>
      <c r="G13" s="10"/>
      <c r="H13" s="10" t="s">
        <v>146</v>
      </c>
      <c r="I13" s="10"/>
    </row>
    <row r="14" spans="1:9" ht="12.75" customHeight="1" x14ac:dyDescent="0.2">
      <c r="A14" s="10" t="s">
        <v>151</v>
      </c>
      <c r="B14" s="10">
        <v>1000083056</v>
      </c>
      <c r="C14" s="10" t="s">
        <v>152</v>
      </c>
      <c r="D14" s="17" t="s">
        <v>156</v>
      </c>
      <c r="E14" s="13">
        <v>10320</v>
      </c>
      <c r="F14" s="129">
        <v>60107184</v>
      </c>
      <c r="G14" s="10"/>
      <c r="H14" s="10" t="s">
        <v>146</v>
      </c>
      <c r="I14" s="10"/>
    </row>
    <row r="15" spans="1:9" ht="12.75" customHeight="1" x14ac:dyDescent="0.2">
      <c r="A15" s="10" t="s">
        <v>157</v>
      </c>
      <c r="B15" s="10">
        <v>1000083056</v>
      </c>
      <c r="C15" s="10" t="s">
        <v>458</v>
      </c>
      <c r="D15" s="17" t="s">
        <v>160</v>
      </c>
      <c r="E15" s="13">
        <v>66672</v>
      </c>
      <c r="F15" s="129">
        <v>60107184</v>
      </c>
      <c r="G15" s="10"/>
      <c r="H15" s="10" t="s">
        <v>161</v>
      </c>
      <c r="I15" s="10"/>
    </row>
    <row r="16" spans="1:9" ht="12.75" customHeight="1" x14ac:dyDescent="0.2">
      <c r="A16" s="10" t="s">
        <v>158</v>
      </c>
      <c r="B16" s="10">
        <v>1000083056</v>
      </c>
      <c r="C16" s="10" t="s">
        <v>458</v>
      </c>
      <c r="D16" s="17" t="s">
        <v>162</v>
      </c>
      <c r="E16" s="13">
        <v>31776</v>
      </c>
      <c r="F16" s="129">
        <v>60110563</v>
      </c>
      <c r="G16" s="10"/>
      <c r="H16" s="10" t="s">
        <v>161</v>
      </c>
      <c r="I16" s="10" t="s">
        <v>95</v>
      </c>
    </row>
    <row r="17" spans="1:9" ht="12.75" customHeight="1" x14ac:dyDescent="0.2">
      <c r="A17" s="23" t="s">
        <v>159</v>
      </c>
      <c r="B17" s="10">
        <v>1000083056</v>
      </c>
      <c r="C17" s="10" t="s">
        <v>458</v>
      </c>
      <c r="D17" s="17" t="s">
        <v>163</v>
      </c>
      <c r="E17" s="13">
        <v>101460</v>
      </c>
      <c r="F17" s="129">
        <v>60110560</v>
      </c>
      <c r="G17" s="10"/>
      <c r="H17" s="10" t="s">
        <v>161</v>
      </c>
      <c r="I17" s="10"/>
    </row>
    <row r="18" spans="1:9" ht="12.75" customHeight="1" x14ac:dyDescent="0.2">
      <c r="A18" s="10" t="s">
        <v>164</v>
      </c>
      <c r="B18" s="10">
        <v>1000083056</v>
      </c>
      <c r="C18" s="10" t="s">
        <v>467</v>
      </c>
      <c r="D18" s="17" t="s">
        <v>170</v>
      </c>
      <c r="E18" s="13">
        <v>39720</v>
      </c>
      <c r="F18" s="129">
        <v>60110563</v>
      </c>
      <c r="G18" s="10" t="s">
        <v>280</v>
      </c>
      <c r="H18" s="10" t="s">
        <v>171</v>
      </c>
      <c r="I18" s="10" t="s">
        <v>95</v>
      </c>
    </row>
    <row r="19" spans="1:9" ht="12.75" customHeight="1" x14ac:dyDescent="0.2">
      <c r="A19" s="23" t="s">
        <v>165</v>
      </c>
      <c r="B19" s="10">
        <v>1000083056</v>
      </c>
      <c r="C19" s="10" t="s">
        <v>467</v>
      </c>
      <c r="D19" s="17" t="s">
        <v>172</v>
      </c>
      <c r="E19" s="13">
        <v>126825.60000000001</v>
      </c>
      <c r="F19" s="129">
        <v>60110560</v>
      </c>
      <c r="G19" s="10"/>
      <c r="H19" s="10" t="s">
        <v>161</v>
      </c>
      <c r="I19" s="10"/>
    </row>
    <row r="20" spans="1:9" ht="12.75" customHeight="1" x14ac:dyDescent="0.2">
      <c r="A20" s="10" t="s">
        <v>166</v>
      </c>
      <c r="B20" s="10">
        <v>1000083056</v>
      </c>
      <c r="C20" s="10" t="s">
        <v>467</v>
      </c>
      <c r="D20" s="17" t="s">
        <v>173</v>
      </c>
      <c r="E20" s="13">
        <v>34747</v>
      </c>
      <c r="F20" s="129">
        <v>60113305</v>
      </c>
      <c r="G20" s="10"/>
      <c r="H20" s="10" t="s">
        <v>171</v>
      </c>
      <c r="I20" s="10" t="s">
        <v>174</v>
      </c>
    </row>
    <row r="21" spans="1:9" ht="12.75" customHeight="1" x14ac:dyDescent="0.2">
      <c r="A21" s="10" t="s">
        <v>167</v>
      </c>
      <c r="B21" s="10">
        <v>1000083056</v>
      </c>
      <c r="C21" s="10" t="s">
        <v>467</v>
      </c>
      <c r="D21" s="17" t="s">
        <v>175</v>
      </c>
      <c r="E21" s="13">
        <v>34747</v>
      </c>
      <c r="F21" s="129">
        <v>60113270</v>
      </c>
      <c r="G21" s="10"/>
      <c r="H21" s="10" t="s">
        <v>176</v>
      </c>
      <c r="I21" s="10" t="s">
        <v>177</v>
      </c>
    </row>
    <row r="22" spans="1:9" ht="12.75" customHeight="1" x14ac:dyDescent="0.2">
      <c r="A22" s="10" t="s">
        <v>168</v>
      </c>
      <c r="B22" s="10">
        <v>1000083056</v>
      </c>
      <c r="C22" s="10" t="s">
        <v>467</v>
      </c>
      <c r="D22" s="17" t="s">
        <v>178</v>
      </c>
      <c r="E22" s="13">
        <v>3720</v>
      </c>
      <c r="F22" s="129">
        <v>60112441</v>
      </c>
      <c r="G22" s="10" t="s">
        <v>280</v>
      </c>
      <c r="H22" s="10" t="s">
        <v>171</v>
      </c>
      <c r="I22" s="10"/>
    </row>
    <row r="23" spans="1:9" ht="12.75" customHeight="1" x14ac:dyDescent="0.2">
      <c r="A23" s="10" t="s">
        <v>169</v>
      </c>
      <c r="B23" s="10">
        <v>1000083056</v>
      </c>
      <c r="C23" s="10" t="s">
        <v>467</v>
      </c>
      <c r="D23" s="17" t="s">
        <v>179</v>
      </c>
      <c r="E23" s="13">
        <v>3720</v>
      </c>
      <c r="F23" s="129">
        <v>60112617</v>
      </c>
      <c r="G23" s="10"/>
      <c r="H23" s="10" t="s">
        <v>176</v>
      </c>
      <c r="I23" s="10"/>
    </row>
    <row r="24" spans="1:9" ht="12.75" customHeight="1" x14ac:dyDescent="0.2">
      <c r="A24" s="10" t="s">
        <v>180</v>
      </c>
      <c r="B24" s="10">
        <v>1000083056</v>
      </c>
      <c r="C24" s="10" t="s">
        <v>140</v>
      </c>
      <c r="D24" s="29" t="s">
        <v>185</v>
      </c>
      <c r="E24" s="13">
        <v>31776</v>
      </c>
      <c r="F24" s="129">
        <v>60110563</v>
      </c>
      <c r="G24" s="10" t="s">
        <v>280</v>
      </c>
      <c r="H24" s="10" t="s">
        <v>171</v>
      </c>
      <c r="I24" s="10" t="s">
        <v>95</v>
      </c>
    </row>
    <row r="25" spans="1:9" ht="38.25" customHeight="1" x14ac:dyDescent="0.2">
      <c r="A25" s="23" t="s">
        <v>181</v>
      </c>
      <c r="B25" s="10">
        <v>1000083056</v>
      </c>
      <c r="C25" s="10" t="s">
        <v>140</v>
      </c>
      <c r="D25" s="36" t="s">
        <v>186</v>
      </c>
      <c r="E25" s="13">
        <v>101460</v>
      </c>
      <c r="F25" s="129">
        <v>60110560</v>
      </c>
      <c r="G25" s="10" t="s">
        <v>280</v>
      </c>
      <c r="H25" s="10" t="s">
        <v>161</v>
      </c>
      <c r="I25" s="10"/>
    </row>
    <row r="26" spans="1:9" ht="12.75" customHeight="1" x14ac:dyDescent="0.2">
      <c r="A26" s="10" t="s">
        <v>182</v>
      </c>
      <c r="B26" s="10">
        <v>1000083056</v>
      </c>
      <c r="C26" s="10" t="s">
        <v>140</v>
      </c>
      <c r="D26" s="29" t="s">
        <v>187</v>
      </c>
      <c r="E26" s="13">
        <v>34747.199999999997</v>
      </c>
      <c r="F26" s="129">
        <v>60113270</v>
      </c>
      <c r="G26" s="10" t="s">
        <v>280</v>
      </c>
      <c r="H26" s="10" t="s">
        <v>176</v>
      </c>
      <c r="I26" s="10" t="s">
        <v>177</v>
      </c>
    </row>
    <row r="27" spans="1:9" ht="12.75" customHeight="1" x14ac:dyDescent="0.2">
      <c r="A27" s="10" t="s">
        <v>183</v>
      </c>
      <c r="B27" s="10">
        <v>1000083056</v>
      </c>
      <c r="C27" s="10" t="s">
        <v>140</v>
      </c>
      <c r="D27" s="29" t="s">
        <v>188</v>
      </c>
      <c r="E27" s="13">
        <v>34747.199999999997</v>
      </c>
      <c r="F27" s="129">
        <v>60107184</v>
      </c>
      <c r="G27" s="10" t="s">
        <v>280</v>
      </c>
      <c r="H27" s="10" t="s">
        <v>171</v>
      </c>
      <c r="I27" s="10" t="s">
        <v>174</v>
      </c>
    </row>
    <row r="28" spans="1:9" ht="12.75" customHeight="1" x14ac:dyDescent="0.2">
      <c r="A28" s="23" t="s">
        <v>184</v>
      </c>
      <c r="B28" s="10">
        <v>1000083056</v>
      </c>
      <c r="C28" s="10" t="s">
        <v>140</v>
      </c>
      <c r="D28" s="29" t="s">
        <v>189</v>
      </c>
      <c r="E28" s="13">
        <v>20610</v>
      </c>
      <c r="F28" s="129">
        <v>60114494</v>
      </c>
      <c r="G28" s="10" t="s">
        <v>280</v>
      </c>
      <c r="H28" s="10" t="s">
        <v>176</v>
      </c>
      <c r="I28" s="10"/>
    </row>
    <row r="29" spans="1:9" ht="12.75" customHeight="1" x14ac:dyDescent="0.2">
      <c r="A29" s="17" t="s">
        <v>190</v>
      </c>
      <c r="B29" s="10">
        <v>1000089366</v>
      </c>
      <c r="C29" s="10" t="s">
        <v>458</v>
      </c>
      <c r="D29" s="17" t="s">
        <v>191</v>
      </c>
      <c r="E29" s="13">
        <v>30000</v>
      </c>
      <c r="F29" s="129">
        <v>60109586</v>
      </c>
      <c r="G29" s="10"/>
      <c r="H29" s="10" t="s">
        <v>146</v>
      </c>
      <c r="I29" s="10" t="s">
        <v>192</v>
      </c>
    </row>
    <row r="30" spans="1:9" ht="12.75" customHeight="1" x14ac:dyDescent="0.2">
      <c r="A30" s="10" t="s">
        <v>193</v>
      </c>
      <c r="B30" s="10">
        <v>1000079359</v>
      </c>
      <c r="C30" s="10" t="s">
        <v>152</v>
      </c>
      <c r="D30" s="29" t="s">
        <v>210</v>
      </c>
      <c r="E30" s="13">
        <v>10440</v>
      </c>
      <c r="F30" s="129">
        <v>60103528</v>
      </c>
      <c r="G30" s="10"/>
      <c r="H30" s="10" t="s">
        <v>211</v>
      </c>
      <c r="I30" s="10"/>
    </row>
    <row r="31" spans="1:9" ht="12.75" customHeight="1" x14ac:dyDescent="0.2">
      <c r="A31" s="10" t="s">
        <v>194</v>
      </c>
      <c r="B31" s="10">
        <v>1000079359</v>
      </c>
      <c r="C31" s="10" t="s">
        <v>152</v>
      </c>
      <c r="D31" s="17" t="s">
        <v>212</v>
      </c>
      <c r="E31" s="13">
        <v>2124</v>
      </c>
      <c r="F31" s="129"/>
      <c r="G31" s="10"/>
      <c r="H31" s="10" t="s">
        <v>213</v>
      </c>
      <c r="I31" s="10"/>
    </row>
    <row r="32" spans="1:9" ht="12.75" customHeight="1" x14ac:dyDescent="0.2">
      <c r="A32" s="10" t="s">
        <v>195</v>
      </c>
      <c r="B32" s="10">
        <v>1000079359</v>
      </c>
      <c r="C32" s="10" t="s">
        <v>152</v>
      </c>
      <c r="D32" s="17" t="s">
        <v>214</v>
      </c>
      <c r="E32" s="13">
        <v>10191.6</v>
      </c>
      <c r="F32" s="129"/>
      <c r="G32" s="10"/>
      <c r="H32" s="10" t="s">
        <v>216</v>
      </c>
      <c r="I32" s="10" t="s">
        <v>215</v>
      </c>
    </row>
    <row r="33" spans="1:9" ht="12.75" customHeight="1" x14ac:dyDescent="0.2">
      <c r="A33" s="10" t="s">
        <v>196</v>
      </c>
      <c r="B33" s="10">
        <v>1000079359</v>
      </c>
      <c r="C33" s="10" t="s">
        <v>152</v>
      </c>
      <c r="D33" s="17" t="s">
        <v>217</v>
      </c>
      <c r="E33" s="13">
        <v>10728</v>
      </c>
      <c r="F33" s="129">
        <v>60107873</v>
      </c>
      <c r="G33" s="10"/>
      <c r="H33" s="10" t="s">
        <v>211</v>
      </c>
      <c r="I33" s="10" t="s">
        <v>215</v>
      </c>
    </row>
    <row r="34" spans="1:9" ht="12.75" customHeight="1" x14ac:dyDescent="0.2">
      <c r="A34" s="10" t="s">
        <v>197</v>
      </c>
      <c r="B34" s="10">
        <v>1000079359</v>
      </c>
      <c r="C34" s="10" t="s">
        <v>152</v>
      </c>
      <c r="D34" s="17" t="s">
        <v>218</v>
      </c>
      <c r="E34" s="13">
        <v>10728</v>
      </c>
      <c r="F34" s="129">
        <v>60107874</v>
      </c>
      <c r="G34" s="10"/>
      <c r="H34" s="10" t="s">
        <v>211</v>
      </c>
      <c r="I34" s="10" t="s">
        <v>215</v>
      </c>
    </row>
    <row r="35" spans="1:9" ht="12.75" customHeight="1" x14ac:dyDescent="0.2">
      <c r="A35" s="10" t="s">
        <v>198</v>
      </c>
      <c r="B35" s="10">
        <v>1000079359</v>
      </c>
      <c r="C35" s="10" t="s">
        <v>152</v>
      </c>
      <c r="D35" s="17" t="s">
        <v>219</v>
      </c>
      <c r="E35" s="13">
        <v>1123.2</v>
      </c>
      <c r="F35" s="129">
        <v>60110561</v>
      </c>
      <c r="G35" s="10"/>
      <c r="H35" s="10" t="s">
        <v>176</v>
      </c>
      <c r="I35" s="10" t="s">
        <v>220</v>
      </c>
    </row>
    <row r="36" spans="1:9" ht="12.75" customHeight="1" x14ac:dyDescent="0.2">
      <c r="A36" s="10" t="s">
        <v>199</v>
      </c>
      <c r="B36" s="10">
        <v>1000079359</v>
      </c>
      <c r="C36" s="10" t="s">
        <v>152</v>
      </c>
      <c r="D36" s="17" t="s">
        <v>221</v>
      </c>
      <c r="E36" s="13">
        <v>11736</v>
      </c>
      <c r="F36" s="129">
        <v>60107950</v>
      </c>
      <c r="G36" s="10"/>
      <c r="H36" s="10" t="s">
        <v>211</v>
      </c>
      <c r="I36" s="10" t="s">
        <v>215</v>
      </c>
    </row>
    <row r="37" spans="1:9" ht="12.75" customHeight="1" x14ac:dyDescent="0.2">
      <c r="A37" s="10" t="s">
        <v>200</v>
      </c>
      <c r="B37" s="10">
        <v>1000079359</v>
      </c>
      <c r="C37" s="10" t="s">
        <v>152</v>
      </c>
      <c r="D37" s="29" t="s">
        <v>222</v>
      </c>
      <c r="E37" s="13">
        <v>11328</v>
      </c>
      <c r="F37" s="129">
        <v>60107951</v>
      </c>
      <c r="G37" s="10"/>
      <c r="H37" s="10" t="s">
        <v>211</v>
      </c>
      <c r="I37" s="10" t="s">
        <v>215</v>
      </c>
    </row>
    <row r="38" spans="1:9" ht="12.75" customHeight="1" x14ac:dyDescent="0.2">
      <c r="A38" s="10" t="s">
        <v>201</v>
      </c>
      <c r="B38" s="10">
        <v>1000079359</v>
      </c>
      <c r="C38" s="10" t="s">
        <v>458</v>
      </c>
      <c r="D38" s="29" t="s">
        <v>223</v>
      </c>
      <c r="E38" s="13">
        <v>7827.6</v>
      </c>
      <c r="F38" s="129">
        <v>60103528</v>
      </c>
      <c r="G38" s="10"/>
      <c r="H38" s="10" t="s">
        <v>211</v>
      </c>
      <c r="I38" s="10"/>
    </row>
    <row r="39" spans="1:9" ht="12.75" customHeight="1" x14ac:dyDescent="0.2">
      <c r="A39" s="10" t="s">
        <v>202</v>
      </c>
      <c r="B39" s="10">
        <v>1000079359</v>
      </c>
      <c r="C39" s="10" t="s">
        <v>458</v>
      </c>
      <c r="D39" s="29" t="s">
        <v>224</v>
      </c>
      <c r="E39" s="13">
        <v>14414.4</v>
      </c>
      <c r="F39" s="129">
        <v>60110561</v>
      </c>
      <c r="G39" s="10"/>
      <c r="H39" s="10" t="s">
        <v>176</v>
      </c>
      <c r="I39" s="10" t="s">
        <v>220</v>
      </c>
    </row>
    <row r="40" spans="1:9" ht="12.75" customHeight="1" x14ac:dyDescent="0.2">
      <c r="A40" s="10" t="s">
        <v>203</v>
      </c>
      <c r="B40" s="10">
        <v>1000079359</v>
      </c>
      <c r="C40" s="10" t="s">
        <v>458</v>
      </c>
      <c r="D40" s="29" t="s">
        <v>225</v>
      </c>
      <c r="E40" s="13">
        <v>11800.8</v>
      </c>
      <c r="F40" s="129">
        <v>60107873</v>
      </c>
      <c r="G40" s="10"/>
      <c r="H40" s="10" t="s">
        <v>211</v>
      </c>
      <c r="I40" s="10" t="s">
        <v>215</v>
      </c>
    </row>
    <row r="41" spans="1:9" ht="12.75" customHeight="1" x14ac:dyDescent="0.2">
      <c r="A41" s="10" t="s">
        <v>204</v>
      </c>
      <c r="B41" s="10">
        <v>1000079359</v>
      </c>
      <c r="C41" s="10" t="s">
        <v>458</v>
      </c>
      <c r="D41" s="29" t="s">
        <v>226</v>
      </c>
      <c r="E41" s="13">
        <v>11800.8</v>
      </c>
      <c r="F41" s="129">
        <v>60107874</v>
      </c>
      <c r="G41" s="10"/>
      <c r="H41" s="10" t="s">
        <v>211</v>
      </c>
      <c r="I41" s="10" t="s">
        <v>215</v>
      </c>
    </row>
    <row r="42" spans="1:9" ht="12.75" customHeight="1" x14ac:dyDescent="0.2">
      <c r="A42" s="10" t="s">
        <v>205</v>
      </c>
      <c r="B42" s="10">
        <v>1000079359</v>
      </c>
      <c r="C42" s="10" t="s">
        <v>458</v>
      </c>
      <c r="D42" s="29" t="s">
        <v>227</v>
      </c>
      <c r="E42" s="13">
        <v>2934</v>
      </c>
      <c r="F42" s="129">
        <v>60107950</v>
      </c>
      <c r="G42" s="10"/>
      <c r="H42" s="10" t="s">
        <v>211</v>
      </c>
      <c r="I42" s="10" t="s">
        <v>215</v>
      </c>
    </row>
    <row r="43" spans="1:9" ht="12.75" customHeight="1" x14ac:dyDescent="0.2">
      <c r="A43" s="10" t="s">
        <v>206</v>
      </c>
      <c r="B43" s="10">
        <v>1000079359</v>
      </c>
      <c r="C43" s="10" t="s">
        <v>458</v>
      </c>
      <c r="D43" s="29" t="s">
        <v>228</v>
      </c>
      <c r="E43" s="13">
        <v>11328</v>
      </c>
      <c r="F43" s="129">
        <v>60107951</v>
      </c>
      <c r="G43" s="10"/>
      <c r="H43" s="10" t="s">
        <v>211</v>
      </c>
      <c r="I43" s="10" t="s">
        <v>215</v>
      </c>
    </row>
    <row r="44" spans="1:9" ht="12.75" customHeight="1" x14ac:dyDescent="0.2">
      <c r="A44" s="10" t="s">
        <v>207</v>
      </c>
      <c r="B44" s="10">
        <v>1000079359</v>
      </c>
      <c r="C44" s="10" t="s">
        <v>458</v>
      </c>
      <c r="D44" s="29" t="s">
        <v>229</v>
      </c>
      <c r="E44" s="13">
        <v>10329.6</v>
      </c>
      <c r="F44" s="129">
        <v>60110562</v>
      </c>
      <c r="G44" s="10"/>
      <c r="H44" s="10" t="s">
        <v>176</v>
      </c>
      <c r="I44" s="10" t="s">
        <v>215</v>
      </c>
    </row>
    <row r="45" spans="1:9" ht="12.75" customHeight="1" x14ac:dyDescent="0.2">
      <c r="A45" s="10" t="s">
        <v>208</v>
      </c>
      <c r="B45" s="10">
        <v>1000079359</v>
      </c>
      <c r="C45" s="10" t="s">
        <v>458</v>
      </c>
      <c r="D45" s="29" t="s">
        <v>231</v>
      </c>
      <c r="E45" s="13">
        <v>7912.8</v>
      </c>
      <c r="F45" s="129">
        <v>60107951</v>
      </c>
      <c r="G45" s="10"/>
      <c r="H45" s="10" t="s">
        <v>216</v>
      </c>
      <c r="I45" s="10" t="s">
        <v>215</v>
      </c>
    </row>
    <row r="46" spans="1:9" ht="12.75" customHeight="1" x14ac:dyDescent="0.2">
      <c r="A46" s="10" t="s">
        <v>209</v>
      </c>
      <c r="B46" s="10">
        <v>1000079359</v>
      </c>
      <c r="C46" s="10" t="s">
        <v>458</v>
      </c>
      <c r="D46" s="29" t="s">
        <v>232</v>
      </c>
      <c r="E46" s="13">
        <v>11304</v>
      </c>
      <c r="F46" s="129">
        <v>60110556</v>
      </c>
      <c r="G46" s="10"/>
      <c r="H46" s="10" t="s">
        <v>216</v>
      </c>
      <c r="I46" s="10" t="s">
        <v>215</v>
      </c>
    </row>
    <row r="47" spans="1:9" ht="12.75" customHeight="1" x14ac:dyDescent="0.2">
      <c r="A47" s="10" t="s">
        <v>234</v>
      </c>
      <c r="B47" s="10">
        <v>1000079359</v>
      </c>
      <c r="C47" s="10" t="s">
        <v>467</v>
      </c>
      <c r="D47" s="29" t="s">
        <v>241</v>
      </c>
      <c r="E47" s="13">
        <v>11304</v>
      </c>
      <c r="F47" s="129">
        <v>60111411</v>
      </c>
      <c r="G47" s="10"/>
      <c r="H47" s="10" t="s">
        <v>216</v>
      </c>
      <c r="I47" s="10" t="s">
        <v>215</v>
      </c>
    </row>
    <row r="48" spans="1:9" ht="12.75" customHeight="1" x14ac:dyDescent="0.2">
      <c r="A48" s="10" t="s">
        <v>235</v>
      </c>
      <c r="B48" s="10">
        <v>1000079359</v>
      </c>
      <c r="C48" s="10" t="s">
        <v>467</v>
      </c>
      <c r="D48" s="29" t="s">
        <v>242</v>
      </c>
      <c r="E48" s="13">
        <v>12936</v>
      </c>
      <c r="F48" s="129">
        <v>60110562</v>
      </c>
      <c r="G48" s="10"/>
      <c r="H48" s="10" t="s">
        <v>176</v>
      </c>
      <c r="I48" s="10" t="s">
        <v>215</v>
      </c>
    </row>
    <row r="49" spans="1:9" ht="12.75" customHeight="1" x14ac:dyDescent="0.2">
      <c r="A49" s="10" t="s">
        <v>236</v>
      </c>
      <c r="B49" s="10">
        <v>1000079359</v>
      </c>
      <c r="C49" s="10" t="s">
        <v>467</v>
      </c>
      <c r="D49" s="29" t="s">
        <v>243</v>
      </c>
      <c r="E49" s="13">
        <v>5652</v>
      </c>
      <c r="F49" s="129">
        <v>60110556</v>
      </c>
      <c r="G49" s="10"/>
      <c r="H49" s="10" t="s">
        <v>216</v>
      </c>
      <c r="I49" s="10" t="s">
        <v>215</v>
      </c>
    </row>
    <row r="50" spans="1:9" ht="12.75" customHeight="1" x14ac:dyDescent="0.2">
      <c r="A50" s="10" t="s">
        <v>237</v>
      </c>
      <c r="B50" s="10">
        <v>1000079359</v>
      </c>
      <c r="C50" s="10" t="s">
        <v>467</v>
      </c>
      <c r="D50" s="29" t="s">
        <v>244</v>
      </c>
      <c r="E50" s="13">
        <v>10728</v>
      </c>
      <c r="F50" s="129">
        <v>60107873</v>
      </c>
      <c r="G50" s="10"/>
      <c r="H50" s="10" t="s">
        <v>211</v>
      </c>
      <c r="I50" s="10" t="s">
        <v>215</v>
      </c>
    </row>
    <row r="51" spans="1:9" ht="12.75" customHeight="1" x14ac:dyDescent="0.2">
      <c r="A51" s="10" t="s">
        <v>238</v>
      </c>
      <c r="B51" s="10">
        <v>1000079359</v>
      </c>
      <c r="C51" s="10" t="s">
        <v>467</v>
      </c>
      <c r="D51" s="29" t="s">
        <v>245</v>
      </c>
      <c r="E51" s="13">
        <v>10728</v>
      </c>
      <c r="F51" s="129">
        <v>60107874</v>
      </c>
      <c r="G51" s="10"/>
      <c r="H51" s="10" t="s">
        <v>211</v>
      </c>
      <c r="I51" s="10" t="s">
        <v>215</v>
      </c>
    </row>
    <row r="52" spans="1:9" ht="12.75" customHeight="1" x14ac:dyDescent="0.2">
      <c r="A52" s="17" t="s">
        <v>239</v>
      </c>
      <c r="B52" s="10">
        <v>1000079359</v>
      </c>
      <c r="C52" s="10" t="s">
        <v>467</v>
      </c>
      <c r="D52" s="29" t="s">
        <v>246</v>
      </c>
      <c r="E52" s="13">
        <v>7930</v>
      </c>
      <c r="F52" s="129">
        <v>60107951</v>
      </c>
      <c r="G52" s="10" t="s">
        <v>280</v>
      </c>
      <c r="H52" s="10" t="s">
        <v>211</v>
      </c>
      <c r="I52" s="10" t="s">
        <v>215</v>
      </c>
    </row>
    <row r="53" spans="1:9" ht="12.75" customHeight="1" x14ac:dyDescent="0.2">
      <c r="A53" s="10" t="s">
        <v>240</v>
      </c>
      <c r="B53" s="10">
        <v>1000079359</v>
      </c>
      <c r="C53" s="10" t="s">
        <v>467</v>
      </c>
      <c r="D53" s="29" t="s">
        <v>247</v>
      </c>
      <c r="E53" s="13">
        <v>14789</v>
      </c>
      <c r="F53" s="129">
        <v>60110561</v>
      </c>
      <c r="G53" s="10" t="s">
        <v>280</v>
      </c>
      <c r="H53" s="10" t="s">
        <v>176</v>
      </c>
      <c r="I53" s="10" t="s">
        <v>220</v>
      </c>
    </row>
    <row r="54" spans="1:9" ht="25.5" customHeight="1" x14ac:dyDescent="0.2">
      <c r="A54" s="17" t="s">
        <v>248</v>
      </c>
      <c r="B54" s="10">
        <v>1000079359</v>
      </c>
      <c r="C54" s="10" t="s">
        <v>140</v>
      </c>
      <c r="D54" s="17" t="s">
        <v>256</v>
      </c>
      <c r="E54" s="13">
        <v>3186</v>
      </c>
      <c r="F54" s="752" t="s">
        <v>484</v>
      </c>
      <c r="G54" s="10" t="s">
        <v>280</v>
      </c>
      <c r="H54" s="10" t="s">
        <v>161</v>
      </c>
      <c r="I54" s="10" t="s">
        <v>220</v>
      </c>
    </row>
    <row r="55" spans="1:9" ht="12.75" customHeight="1" x14ac:dyDescent="0.2">
      <c r="A55" s="10" t="s">
        <v>249</v>
      </c>
      <c r="B55" s="10">
        <v>1000079359</v>
      </c>
      <c r="C55" s="10" t="s">
        <v>140</v>
      </c>
      <c r="D55" s="17" t="s">
        <v>257</v>
      </c>
      <c r="E55" s="13">
        <v>12999.6</v>
      </c>
      <c r="F55" s="129">
        <v>60111411</v>
      </c>
      <c r="G55" s="10" t="s">
        <v>280</v>
      </c>
      <c r="H55" s="10" t="s">
        <v>216</v>
      </c>
      <c r="I55" s="10" t="s">
        <v>215</v>
      </c>
    </row>
    <row r="56" spans="1:9" ht="12.75" customHeight="1" x14ac:dyDescent="0.2">
      <c r="A56" s="10" t="s">
        <v>250</v>
      </c>
      <c r="B56" s="10">
        <v>1000079359</v>
      </c>
      <c r="C56" s="10" t="s">
        <v>140</v>
      </c>
      <c r="D56" s="17" t="s">
        <v>258</v>
      </c>
      <c r="E56" s="13">
        <v>14876.4</v>
      </c>
      <c r="F56" s="129">
        <v>60110562</v>
      </c>
      <c r="G56" s="10" t="s">
        <v>280</v>
      </c>
      <c r="H56" s="10" t="s">
        <v>176</v>
      </c>
      <c r="I56" s="10" t="s">
        <v>215</v>
      </c>
    </row>
    <row r="57" spans="1:9" ht="25.5" customHeight="1" x14ac:dyDescent="0.2">
      <c r="A57" s="10" t="s">
        <v>251</v>
      </c>
      <c r="B57" s="10">
        <v>1000079359</v>
      </c>
      <c r="C57" s="10" t="s">
        <v>140</v>
      </c>
      <c r="D57" s="17" t="s">
        <v>259</v>
      </c>
      <c r="E57" s="13">
        <v>12999.6</v>
      </c>
      <c r="F57" s="752" t="s">
        <v>274</v>
      </c>
      <c r="G57" s="10" t="s">
        <v>280</v>
      </c>
      <c r="H57" s="10" t="s">
        <v>216</v>
      </c>
      <c r="I57" s="10" t="s">
        <v>215</v>
      </c>
    </row>
    <row r="58" spans="1:9" ht="12.75" customHeight="1" x14ac:dyDescent="0.2">
      <c r="A58" s="10" t="s">
        <v>252</v>
      </c>
      <c r="B58" s="10">
        <v>1000079359</v>
      </c>
      <c r="C58" s="10" t="s">
        <v>140</v>
      </c>
      <c r="D58" s="17" t="s">
        <v>260</v>
      </c>
      <c r="E58" s="13">
        <v>5270.4</v>
      </c>
      <c r="F58" s="129">
        <v>60114493</v>
      </c>
      <c r="G58" s="10" t="s">
        <v>280</v>
      </c>
      <c r="H58" s="10" t="s">
        <v>176</v>
      </c>
      <c r="I58" s="10" t="s">
        <v>215</v>
      </c>
    </row>
    <row r="59" spans="1:9" ht="12.75" customHeight="1" x14ac:dyDescent="0.2">
      <c r="A59" s="10" t="s">
        <v>253</v>
      </c>
      <c r="B59" s="10">
        <v>1000079359</v>
      </c>
      <c r="C59" s="10" t="s">
        <v>140</v>
      </c>
      <c r="D59" s="17" t="s">
        <v>261</v>
      </c>
      <c r="E59" s="13">
        <v>16848</v>
      </c>
      <c r="F59" s="129">
        <v>60110561</v>
      </c>
      <c r="G59" s="10" t="s">
        <v>280</v>
      </c>
      <c r="H59" s="10" t="s">
        <v>176</v>
      </c>
      <c r="I59" s="10" t="s">
        <v>220</v>
      </c>
    </row>
    <row r="60" spans="1:9" ht="12.75" customHeight="1" x14ac:dyDescent="0.2">
      <c r="A60" s="10" t="s">
        <v>254</v>
      </c>
      <c r="B60" s="10">
        <v>1000079359</v>
      </c>
      <c r="C60" s="10" t="s">
        <v>140</v>
      </c>
      <c r="D60" s="17" t="s">
        <v>262</v>
      </c>
      <c r="E60" s="13">
        <v>10728</v>
      </c>
      <c r="F60" s="129">
        <v>60107873</v>
      </c>
      <c r="G60" s="10" t="s">
        <v>280</v>
      </c>
      <c r="H60" s="10" t="s">
        <v>211</v>
      </c>
      <c r="I60" s="10" t="s">
        <v>215</v>
      </c>
    </row>
    <row r="61" spans="1:9" ht="12.75" customHeight="1" x14ac:dyDescent="0.2">
      <c r="A61" s="10" t="s">
        <v>255</v>
      </c>
      <c r="B61" s="10">
        <v>1000079359</v>
      </c>
      <c r="C61" s="10" t="s">
        <v>140</v>
      </c>
      <c r="D61" s="17" t="s">
        <v>263</v>
      </c>
      <c r="E61" s="13">
        <v>10728</v>
      </c>
      <c r="F61" s="129">
        <v>60107874</v>
      </c>
      <c r="G61" s="10" t="s">
        <v>280</v>
      </c>
      <c r="H61" s="10" t="s">
        <v>211</v>
      </c>
      <c r="I61" s="10" t="s">
        <v>215</v>
      </c>
    </row>
    <row r="62" spans="1:9" ht="12.75" customHeight="1" x14ac:dyDescent="0.2">
      <c r="A62" s="10" t="s">
        <v>617</v>
      </c>
      <c r="B62" s="10">
        <v>1000089366</v>
      </c>
      <c r="C62" s="10" t="s">
        <v>140</v>
      </c>
      <c r="D62" s="17" t="s">
        <v>618</v>
      </c>
      <c r="E62" s="13">
        <v>30000</v>
      </c>
      <c r="F62" s="129">
        <v>60109586</v>
      </c>
      <c r="G62" s="10" t="s">
        <v>280</v>
      </c>
      <c r="H62" s="10" t="s">
        <v>146</v>
      </c>
      <c r="I62" s="10"/>
    </row>
    <row r="63" spans="1:9" ht="12.75" customHeight="1" x14ac:dyDescent="0.2">
      <c r="A63" s="10" t="s">
        <v>337</v>
      </c>
      <c r="B63" s="10">
        <v>1000094194</v>
      </c>
      <c r="C63" s="10" t="s">
        <v>264</v>
      </c>
      <c r="D63" s="17" t="s">
        <v>278</v>
      </c>
      <c r="E63" s="13">
        <v>4248</v>
      </c>
      <c r="F63" s="129">
        <v>60114654</v>
      </c>
      <c r="G63" s="23" t="s">
        <v>280</v>
      </c>
      <c r="H63" s="10" t="s">
        <v>322</v>
      </c>
      <c r="I63" s="10"/>
    </row>
    <row r="64" spans="1:9" ht="25.5" customHeight="1" x14ac:dyDescent="0.2">
      <c r="A64" s="23" t="s">
        <v>327</v>
      </c>
      <c r="B64" s="10">
        <v>1000083056</v>
      </c>
      <c r="C64" s="10" t="s">
        <v>264</v>
      </c>
      <c r="D64" s="28" t="s">
        <v>306</v>
      </c>
      <c r="E64" s="13">
        <v>101460</v>
      </c>
      <c r="F64" s="129">
        <v>60110560</v>
      </c>
      <c r="G64" s="23" t="s">
        <v>280</v>
      </c>
      <c r="H64" s="10" t="s">
        <v>161</v>
      </c>
      <c r="I64" s="10"/>
    </row>
    <row r="65" spans="1:9" ht="12.75" customHeight="1" x14ac:dyDescent="0.2">
      <c r="A65" s="10" t="s">
        <v>326</v>
      </c>
      <c r="B65" s="10">
        <v>1000083056</v>
      </c>
      <c r="C65" s="10" t="s">
        <v>264</v>
      </c>
      <c r="D65" s="28" t="s">
        <v>311</v>
      </c>
      <c r="E65" s="13">
        <v>10320</v>
      </c>
      <c r="F65" s="191">
        <v>60115991</v>
      </c>
      <c r="G65" s="15" t="s">
        <v>280</v>
      </c>
      <c r="H65" s="10" t="s">
        <v>322</v>
      </c>
      <c r="I65" s="10"/>
    </row>
    <row r="66" spans="1:9" ht="12.75" customHeight="1" x14ac:dyDescent="0.2">
      <c r="A66" s="10" t="s">
        <v>335</v>
      </c>
      <c r="B66" s="10">
        <v>1000083056</v>
      </c>
      <c r="C66" s="10" t="s">
        <v>264</v>
      </c>
      <c r="D66" s="17" t="s">
        <v>312</v>
      </c>
      <c r="E66" s="13">
        <v>11808</v>
      </c>
      <c r="F66" s="191" t="s">
        <v>431</v>
      </c>
      <c r="G66" s="15" t="s">
        <v>280</v>
      </c>
      <c r="H66" s="23" t="s">
        <v>323</v>
      </c>
      <c r="I66" s="10"/>
    </row>
    <row r="67" spans="1:9" ht="12.75" customHeight="1" x14ac:dyDescent="0.2">
      <c r="A67" s="10" t="s">
        <v>316</v>
      </c>
      <c r="B67" s="10">
        <v>1000083056</v>
      </c>
      <c r="C67" s="10" t="s">
        <v>264</v>
      </c>
      <c r="D67" s="28" t="s">
        <v>313</v>
      </c>
      <c r="E67" s="13">
        <v>43434</v>
      </c>
      <c r="F67" s="191">
        <v>60113305</v>
      </c>
      <c r="G67" s="23" t="s">
        <v>280</v>
      </c>
      <c r="H67" s="10" t="s">
        <v>171</v>
      </c>
      <c r="I67" s="10"/>
    </row>
    <row r="68" spans="1:9" ht="12.75" customHeight="1" x14ac:dyDescent="0.2">
      <c r="A68" s="10" t="s">
        <v>315</v>
      </c>
      <c r="B68" s="10">
        <v>1000083056</v>
      </c>
      <c r="C68" s="10" t="s">
        <v>264</v>
      </c>
      <c r="D68" s="28" t="s">
        <v>314</v>
      </c>
      <c r="E68" s="13">
        <v>43434</v>
      </c>
      <c r="F68" s="191">
        <v>60113270</v>
      </c>
      <c r="G68" s="23" t="s">
        <v>280</v>
      </c>
      <c r="H68" s="10" t="s">
        <v>176</v>
      </c>
      <c r="I68" s="10"/>
    </row>
    <row r="69" spans="1:9" ht="12.75" customHeight="1" x14ac:dyDescent="0.2">
      <c r="A69" s="10" t="s">
        <v>317</v>
      </c>
      <c r="B69" s="10">
        <v>1000083056</v>
      </c>
      <c r="C69" s="10" t="s">
        <v>264</v>
      </c>
      <c r="D69" s="17" t="s">
        <v>318</v>
      </c>
      <c r="E69" s="13">
        <v>31776</v>
      </c>
      <c r="F69" s="191">
        <v>60110563</v>
      </c>
      <c r="G69" s="23" t="s">
        <v>280</v>
      </c>
      <c r="H69" s="10" t="s">
        <v>171</v>
      </c>
      <c r="I69" s="10"/>
    </row>
    <row r="70" spans="1:9" ht="12.75" customHeight="1" x14ac:dyDescent="0.2">
      <c r="A70" s="23" t="s">
        <v>319</v>
      </c>
      <c r="B70" s="10">
        <v>1000083056</v>
      </c>
      <c r="C70" s="10" t="s">
        <v>264</v>
      </c>
      <c r="D70" s="17" t="s">
        <v>320</v>
      </c>
      <c r="E70" s="13">
        <v>27480</v>
      </c>
      <c r="F70" s="191">
        <v>60114494</v>
      </c>
      <c r="G70" s="23" t="s">
        <v>280</v>
      </c>
      <c r="H70" s="10" t="s">
        <v>176</v>
      </c>
      <c r="I70" s="10"/>
    </row>
    <row r="71" spans="1:9" ht="12.75" customHeight="1" x14ac:dyDescent="0.2">
      <c r="A71" s="10" t="s">
        <v>310</v>
      </c>
      <c r="B71" s="10">
        <v>1000083056</v>
      </c>
      <c r="C71" s="10" t="s">
        <v>264</v>
      </c>
      <c r="D71" s="17" t="s">
        <v>321</v>
      </c>
      <c r="E71" s="13">
        <v>8760</v>
      </c>
      <c r="F71" s="191">
        <v>60114495</v>
      </c>
      <c r="G71" s="23" t="s">
        <v>280</v>
      </c>
      <c r="H71" s="10" t="s">
        <v>176</v>
      </c>
      <c r="I71" s="10"/>
    </row>
    <row r="72" spans="1:9" ht="12.75" customHeight="1" x14ac:dyDescent="0.2">
      <c r="A72" s="10" t="s">
        <v>336</v>
      </c>
      <c r="B72" s="10">
        <v>1000089366</v>
      </c>
      <c r="C72" s="10" t="s">
        <v>264</v>
      </c>
      <c r="D72" s="17" t="s">
        <v>329</v>
      </c>
      <c r="E72" s="13">
        <v>30000</v>
      </c>
      <c r="F72" s="191">
        <v>60115356</v>
      </c>
      <c r="G72" s="15" t="s">
        <v>280</v>
      </c>
      <c r="H72" s="10" t="s">
        <v>322</v>
      </c>
      <c r="I72" s="10"/>
    </row>
    <row r="73" spans="1:9" ht="12.75" customHeight="1" x14ac:dyDescent="0.2">
      <c r="A73" s="17" t="s">
        <v>328</v>
      </c>
      <c r="B73" s="10">
        <v>1000092572</v>
      </c>
      <c r="C73" s="10" t="s">
        <v>264</v>
      </c>
      <c r="D73" s="28" t="s">
        <v>338</v>
      </c>
      <c r="E73" s="13">
        <v>60451.199999999997</v>
      </c>
      <c r="F73" s="191">
        <v>60114312</v>
      </c>
      <c r="G73" s="15" t="s">
        <v>280</v>
      </c>
      <c r="H73" s="10" t="s">
        <v>136</v>
      </c>
      <c r="I73" s="10"/>
    </row>
    <row r="74" spans="1:9" ht="12.75" customHeight="1" x14ac:dyDescent="0.2">
      <c r="A74" s="23" t="s">
        <v>457</v>
      </c>
      <c r="B74" s="10">
        <v>1000079359</v>
      </c>
      <c r="C74" s="10" t="s">
        <v>264</v>
      </c>
      <c r="D74" s="36" t="s">
        <v>381</v>
      </c>
      <c r="E74" s="13">
        <v>4035</v>
      </c>
      <c r="F74" s="191">
        <v>60116758</v>
      </c>
      <c r="G74" s="15" t="s">
        <v>280</v>
      </c>
      <c r="H74" s="10" t="s">
        <v>161</v>
      </c>
      <c r="I74" s="10"/>
    </row>
    <row r="75" spans="1:9" ht="25.5" customHeight="1" x14ac:dyDescent="0.2">
      <c r="A75" s="23" t="s">
        <v>394</v>
      </c>
      <c r="B75" s="10">
        <v>1000079359</v>
      </c>
      <c r="C75" s="10" t="s">
        <v>264</v>
      </c>
      <c r="D75" s="36" t="s">
        <v>382</v>
      </c>
      <c r="E75" s="13">
        <v>10738.8</v>
      </c>
      <c r="F75" s="753" t="s">
        <v>378</v>
      </c>
      <c r="G75" s="15" t="s">
        <v>280</v>
      </c>
      <c r="H75" s="10" t="s">
        <v>216</v>
      </c>
      <c r="I75" s="10"/>
    </row>
    <row r="76" spans="1:9" ht="12.75" customHeight="1" x14ac:dyDescent="0.2">
      <c r="A76" s="23" t="s">
        <v>395</v>
      </c>
      <c r="B76" s="10">
        <v>1000079359</v>
      </c>
      <c r="C76" s="10" t="s">
        <v>264</v>
      </c>
      <c r="D76" s="36" t="s">
        <v>383</v>
      </c>
      <c r="E76" s="37">
        <v>12936</v>
      </c>
      <c r="F76" s="753">
        <v>60110562</v>
      </c>
      <c r="G76" s="38" t="s">
        <v>280</v>
      </c>
      <c r="H76" s="10" t="s">
        <v>176</v>
      </c>
      <c r="I76" s="10"/>
    </row>
    <row r="77" spans="1:9" ht="25.5" customHeight="1" x14ac:dyDescent="0.2">
      <c r="A77" s="29" t="s">
        <v>440</v>
      </c>
      <c r="B77" s="10">
        <v>1000079359</v>
      </c>
      <c r="C77" s="10" t="s">
        <v>264</v>
      </c>
      <c r="D77" s="36" t="s">
        <v>384</v>
      </c>
      <c r="E77" s="13">
        <v>10738.8</v>
      </c>
      <c r="F77" s="753" t="s">
        <v>379</v>
      </c>
      <c r="G77" s="15" t="s">
        <v>92</v>
      </c>
      <c r="H77" s="10" t="s">
        <v>216</v>
      </c>
      <c r="I77" s="10"/>
    </row>
    <row r="78" spans="1:9" ht="25.5" customHeight="1" x14ac:dyDescent="0.2">
      <c r="A78" s="29" t="s">
        <v>588</v>
      </c>
      <c r="B78" s="10">
        <v>1000079359</v>
      </c>
      <c r="C78" s="10" t="s">
        <v>264</v>
      </c>
      <c r="D78" s="36" t="s">
        <v>590</v>
      </c>
      <c r="E78" s="13">
        <v>5652</v>
      </c>
      <c r="F78" s="753">
        <v>60115350</v>
      </c>
      <c r="G78" s="15" t="s">
        <v>280</v>
      </c>
      <c r="H78" s="10" t="s">
        <v>216</v>
      </c>
      <c r="I78" s="10"/>
    </row>
    <row r="79" spans="1:9" ht="25.5" customHeight="1" x14ac:dyDescent="0.2">
      <c r="A79" s="29" t="s">
        <v>589</v>
      </c>
      <c r="B79" s="10">
        <v>1000079359</v>
      </c>
      <c r="C79" s="10" t="s">
        <v>264</v>
      </c>
      <c r="D79" s="36" t="s">
        <v>591</v>
      </c>
      <c r="E79" s="13">
        <v>5086.8</v>
      </c>
      <c r="F79" s="753">
        <v>60114492</v>
      </c>
      <c r="G79" s="15"/>
      <c r="H79" s="10" t="s">
        <v>216</v>
      </c>
      <c r="I79" s="10"/>
    </row>
    <row r="80" spans="1:9" ht="25.5" customHeight="1" x14ac:dyDescent="0.2">
      <c r="A80" s="29" t="s">
        <v>799</v>
      </c>
      <c r="B80" s="29">
        <v>1000079359</v>
      </c>
      <c r="C80" s="29" t="s">
        <v>264</v>
      </c>
      <c r="D80" s="36" t="s">
        <v>800</v>
      </c>
      <c r="E80" s="29">
        <v>565.20000000000005</v>
      </c>
      <c r="F80" s="754">
        <v>60114492</v>
      </c>
      <c r="G80" s="36" t="s">
        <v>280</v>
      </c>
      <c r="H80" s="29" t="s">
        <v>216</v>
      </c>
      <c r="I80" s="10"/>
    </row>
    <row r="81" spans="1:9" ht="25.5" customHeight="1" x14ac:dyDescent="0.2">
      <c r="A81" s="29" t="s">
        <v>798</v>
      </c>
      <c r="B81" s="29">
        <v>1000079359</v>
      </c>
      <c r="C81" s="29" t="s">
        <v>264</v>
      </c>
      <c r="D81" s="36" t="s">
        <v>800</v>
      </c>
      <c r="E81" s="86">
        <v>4521.6000000000004</v>
      </c>
      <c r="F81" s="130">
        <v>60110556</v>
      </c>
      <c r="G81" s="36" t="s">
        <v>280</v>
      </c>
      <c r="H81" s="29" t="s">
        <v>216</v>
      </c>
      <c r="I81" s="10"/>
    </row>
    <row r="82" spans="1:9" ht="12.75" customHeight="1" x14ac:dyDescent="0.2">
      <c r="A82" s="23" t="s">
        <v>396</v>
      </c>
      <c r="B82" s="10">
        <v>1000079359</v>
      </c>
      <c r="C82" s="10" t="s">
        <v>264</v>
      </c>
      <c r="D82" s="36" t="s">
        <v>385</v>
      </c>
      <c r="E82" s="39">
        <v>11712</v>
      </c>
      <c r="F82" s="191">
        <v>60114493</v>
      </c>
      <c r="G82" s="15" t="s">
        <v>280</v>
      </c>
      <c r="H82" s="10" t="s">
        <v>176</v>
      </c>
      <c r="I82" s="10"/>
    </row>
    <row r="83" spans="1:9" ht="23.25" customHeight="1" x14ac:dyDescent="0.2">
      <c r="A83" s="23" t="s">
        <v>397</v>
      </c>
      <c r="B83" s="10">
        <v>1000079359</v>
      </c>
      <c r="C83" s="10" t="s">
        <v>264</v>
      </c>
      <c r="D83" s="36" t="s">
        <v>386</v>
      </c>
      <c r="E83" s="13">
        <v>14414.4</v>
      </c>
      <c r="F83" s="191">
        <v>60110561</v>
      </c>
      <c r="G83" s="15" t="s">
        <v>280</v>
      </c>
      <c r="H83" s="10" t="s">
        <v>176</v>
      </c>
      <c r="I83" s="10"/>
    </row>
    <row r="84" spans="1:9" ht="12.75" customHeight="1" x14ac:dyDescent="0.2">
      <c r="A84" s="23" t="s">
        <v>398</v>
      </c>
      <c r="B84" s="10">
        <v>1000079359</v>
      </c>
      <c r="C84" s="10" t="s">
        <v>264</v>
      </c>
      <c r="D84" s="28" t="s">
        <v>387</v>
      </c>
      <c r="E84" s="13">
        <v>13410</v>
      </c>
      <c r="F84" s="191">
        <v>60107873</v>
      </c>
      <c r="G84" s="15" t="s">
        <v>280</v>
      </c>
      <c r="H84" s="10" t="s">
        <v>211</v>
      </c>
      <c r="I84" s="10"/>
    </row>
    <row r="85" spans="1:9" ht="12.75" customHeight="1" x14ac:dyDescent="0.2">
      <c r="A85" s="29" t="s">
        <v>399</v>
      </c>
      <c r="B85" s="10">
        <v>1000079359</v>
      </c>
      <c r="C85" s="10" t="s">
        <v>264</v>
      </c>
      <c r="D85" s="28" t="s">
        <v>388</v>
      </c>
      <c r="E85" s="13">
        <v>13410</v>
      </c>
      <c r="F85" s="191">
        <v>60107874</v>
      </c>
      <c r="G85" s="15" t="s">
        <v>280</v>
      </c>
      <c r="H85" s="10" t="s">
        <v>211</v>
      </c>
      <c r="I85" s="10"/>
    </row>
    <row r="86" spans="1:9" ht="12.75" customHeight="1" x14ac:dyDescent="0.2">
      <c r="A86" s="23" t="s">
        <v>432</v>
      </c>
      <c r="B86" s="10">
        <v>1000079359</v>
      </c>
      <c r="C86" s="10" t="s">
        <v>264</v>
      </c>
      <c r="D86" s="28" t="s">
        <v>389</v>
      </c>
      <c r="E86" s="13">
        <v>5856</v>
      </c>
      <c r="F86" s="191">
        <v>60115142</v>
      </c>
      <c r="G86" s="15" t="s">
        <v>280</v>
      </c>
      <c r="H86" s="10" t="s">
        <v>161</v>
      </c>
      <c r="I86" s="10">
        <f>E86/1.2</f>
        <v>4880</v>
      </c>
    </row>
    <row r="87" spans="1:9" ht="12.75" customHeight="1" x14ac:dyDescent="0.2">
      <c r="A87" s="23" t="s">
        <v>433</v>
      </c>
      <c r="B87" s="10">
        <v>1000079359</v>
      </c>
      <c r="C87" s="10" t="s">
        <v>264</v>
      </c>
      <c r="D87" s="28" t="s">
        <v>390</v>
      </c>
      <c r="E87" s="13">
        <v>7596</v>
      </c>
      <c r="F87" s="191">
        <v>60115015</v>
      </c>
      <c r="G87" s="15" t="s">
        <v>280</v>
      </c>
      <c r="H87" s="10" t="s">
        <v>216</v>
      </c>
      <c r="I87" s="10"/>
    </row>
    <row r="88" spans="1:9" ht="12.75" customHeight="1" x14ac:dyDescent="0.2">
      <c r="A88" s="23" t="s">
        <v>434</v>
      </c>
      <c r="B88" s="10">
        <v>1000079359</v>
      </c>
      <c r="C88" s="10" t="s">
        <v>264</v>
      </c>
      <c r="D88" s="28" t="s">
        <v>427</v>
      </c>
      <c r="E88" s="13">
        <v>8046</v>
      </c>
      <c r="F88" s="191">
        <v>60115166</v>
      </c>
      <c r="G88" s="15" t="s">
        <v>280</v>
      </c>
      <c r="H88" s="10" t="s">
        <v>176</v>
      </c>
      <c r="I88" s="10"/>
    </row>
    <row r="89" spans="1:9" s="21" customFormat="1" ht="51" customHeight="1" x14ac:dyDescent="0.2">
      <c r="A89" s="15" t="s">
        <v>428</v>
      </c>
      <c r="B89" s="23">
        <v>1000090711</v>
      </c>
      <c r="C89" s="23" t="s">
        <v>264</v>
      </c>
      <c r="D89" s="36" t="s">
        <v>429</v>
      </c>
      <c r="E89" s="39">
        <v>10296</v>
      </c>
      <c r="F89" s="191">
        <v>60112196</v>
      </c>
      <c r="G89" s="15" t="s">
        <v>280</v>
      </c>
      <c r="H89" s="23" t="s">
        <v>136</v>
      </c>
      <c r="I89" s="25"/>
    </row>
    <row r="90" spans="1:9" ht="38.25" customHeight="1" x14ac:dyDescent="0.2">
      <c r="A90" s="29" t="s">
        <v>435</v>
      </c>
      <c r="B90" s="23">
        <v>1000090711</v>
      </c>
      <c r="C90" s="23" t="s">
        <v>264</v>
      </c>
      <c r="D90" s="36" t="s">
        <v>402</v>
      </c>
      <c r="E90" s="39">
        <v>2148</v>
      </c>
      <c r="F90" s="191">
        <v>60119507</v>
      </c>
      <c r="G90" s="15" t="s">
        <v>280</v>
      </c>
      <c r="H90" s="23" t="s">
        <v>136</v>
      </c>
      <c r="I90" s="10"/>
    </row>
    <row r="91" spans="1:9" s="21" customFormat="1" ht="51" customHeight="1" x14ac:dyDescent="0.2">
      <c r="A91" s="15" t="s">
        <v>441</v>
      </c>
      <c r="B91" s="23">
        <v>1000090711</v>
      </c>
      <c r="C91" s="23" t="s">
        <v>264</v>
      </c>
      <c r="D91" s="36" t="s">
        <v>391</v>
      </c>
      <c r="E91" s="39">
        <v>10483.200000000001</v>
      </c>
      <c r="F91" s="191">
        <v>60116375</v>
      </c>
      <c r="G91" s="15" t="s">
        <v>280</v>
      </c>
      <c r="H91" s="23" t="s">
        <v>136</v>
      </c>
      <c r="I91" s="25"/>
    </row>
    <row r="92" spans="1:9" ht="38.25" customHeight="1" x14ac:dyDescent="0.2">
      <c r="A92" s="23" t="s">
        <v>436</v>
      </c>
      <c r="B92" s="23">
        <v>1000095233</v>
      </c>
      <c r="C92" s="23" t="s">
        <v>264</v>
      </c>
      <c r="D92" s="36" t="s">
        <v>392</v>
      </c>
      <c r="E92" s="39">
        <v>2148</v>
      </c>
      <c r="F92" s="191">
        <v>60118180</v>
      </c>
      <c r="G92" s="15" t="s">
        <v>280</v>
      </c>
      <c r="H92" s="23" t="s">
        <v>136</v>
      </c>
      <c r="I92" s="10"/>
    </row>
    <row r="93" spans="1:9" ht="25.5" customHeight="1" x14ac:dyDescent="0.2">
      <c r="A93" s="23" t="s">
        <v>437</v>
      </c>
      <c r="B93" s="23">
        <v>1000095233</v>
      </c>
      <c r="C93" s="23" t="s">
        <v>264</v>
      </c>
      <c r="D93" s="36" t="s">
        <v>400</v>
      </c>
      <c r="E93" s="39">
        <v>1074</v>
      </c>
      <c r="F93" s="191">
        <v>60119507</v>
      </c>
      <c r="G93" s="15" t="s">
        <v>280</v>
      </c>
      <c r="H93" s="23" t="s">
        <v>136</v>
      </c>
      <c r="I93" s="10"/>
    </row>
    <row r="94" spans="1:9" s="21" customFormat="1" ht="38.25" customHeight="1" x14ac:dyDescent="0.2">
      <c r="A94" s="15" t="s">
        <v>430</v>
      </c>
      <c r="B94" s="23">
        <v>1000095233</v>
      </c>
      <c r="C94" s="23" t="s">
        <v>264</v>
      </c>
      <c r="D94" s="36" t="s">
        <v>393</v>
      </c>
      <c r="E94" s="39">
        <v>5241.6000000000004</v>
      </c>
      <c r="F94" s="191">
        <v>60118050</v>
      </c>
      <c r="G94" s="15" t="s">
        <v>280</v>
      </c>
      <c r="H94" s="23" t="s">
        <v>136</v>
      </c>
      <c r="I94" s="25"/>
    </row>
    <row r="95" spans="1:9" ht="12.75" customHeight="1" x14ac:dyDescent="0.2">
      <c r="A95" s="17" t="s">
        <v>501</v>
      </c>
      <c r="B95" s="10">
        <v>1000083056</v>
      </c>
      <c r="C95" s="10" t="s">
        <v>492</v>
      </c>
      <c r="D95" s="28" t="s">
        <v>502</v>
      </c>
      <c r="E95" s="13">
        <v>31776</v>
      </c>
      <c r="F95" s="129">
        <v>60110563</v>
      </c>
      <c r="G95" s="10" t="s">
        <v>280</v>
      </c>
      <c r="H95" s="10" t="s">
        <v>171</v>
      </c>
      <c r="I95" s="10"/>
    </row>
    <row r="96" spans="1:9" ht="25.5" customHeight="1" x14ac:dyDescent="0.2">
      <c r="A96" s="29" t="s">
        <v>506</v>
      </c>
      <c r="B96" s="10">
        <v>1000083056</v>
      </c>
      <c r="C96" s="10" t="s">
        <v>492</v>
      </c>
      <c r="D96" s="28" t="s">
        <v>520</v>
      </c>
      <c r="E96" s="13">
        <v>101460</v>
      </c>
      <c r="F96" s="129">
        <v>60110560</v>
      </c>
      <c r="G96" s="10" t="s">
        <v>280</v>
      </c>
      <c r="H96" s="10" t="s">
        <v>161</v>
      </c>
      <c r="I96" s="10"/>
    </row>
    <row r="97" spans="1:9" ht="25.5" customHeight="1" x14ac:dyDescent="0.2">
      <c r="A97" s="29" t="s">
        <v>507</v>
      </c>
      <c r="B97" s="10">
        <v>1000083056</v>
      </c>
      <c r="C97" s="10" t="s">
        <v>492</v>
      </c>
      <c r="D97" s="28" t="s">
        <v>519</v>
      </c>
      <c r="E97" s="13">
        <v>30763.200000000001</v>
      </c>
      <c r="F97" s="191">
        <v>60113270</v>
      </c>
      <c r="G97" s="10" t="s">
        <v>280</v>
      </c>
      <c r="H97" s="10" t="s">
        <v>176</v>
      </c>
      <c r="I97" s="10"/>
    </row>
    <row r="98" spans="1:9" ht="25.5" customHeight="1" x14ac:dyDescent="0.2">
      <c r="A98" s="17" t="s">
        <v>495</v>
      </c>
      <c r="B98" s="10">
        <v>1000083056</v>
      </c>
      <c r="C98" s="10" t="s">
        <v>492</v>
      </c>
      <c r="D98" s="28" t="s">
        <v>496</v>
      </c>
      <c r="E98" s="13">
        <v>34747.199999999997</v>
      </c>
      <c r="F98" s="191">
        <v>60113305</v>
      </c>
      <c r="G98" s="10" t="s">
        <v>280</v>
      </c>
      <c r="H98" s="10" t="s">
        <v>171</v>
      </c>
      <c r="I98" s="10"/>
    </row>
    <row r="99" spans="1:9" ht="25.5" customHeight="1" x14ac:dyDescent="0.2">
      <c r="A99" s="29" t="s">
        <v>503</v>
      </c>
      <c r="B99" s="10">
        <v>1000083056</v>
      </c>
      <c r="C99" s="10" t="s">
        <v>492</v>
      </c>
      <c r="D99" s="28" t="s">
        <v>521</v>
      </c>
      <c r="E99" s="13">
        <v>27480</v>
      </c>
      <c r="F99" s="191">
        <v>60114494</v>
      </c>
      <c r="G99" s="10" t="s">
        <v>280</v>
      </c>
      <c r="H99" s="10" t="s">
        <v>176</v>
      </c>
      <c r="I99" s="10"/>
    </row>
    <row r="100" spans="1:9" ht="25.5" customHeight="1" x14ac:dyDescent="0.2">
      <c r="A100" s="17" t="s">
        <v>497</v>
      </c>
      <c r="B100" s="10">
        <v>1000083056</v>
      </c>
      <c r="C100" s="10" t="s">
        <v>492</v>
      </c>
      <c r="D100" s="28" t="s">
        <v>498</v>
      </c>
      <c r="E100" s="13">
        <v>10320</v>
      </c>
      <c r="F100" s="129">
        <v>60115007</v>
      </c>
      <c r="G100" s="10" t="s">
        <v>280</v>
      </c>
      <c r="H100" s="10" t="s">
        <v>322</v>
      </c>
      <c r="I100" s="10"/>
    </row>
    <row r="101" spans="1:9" ht="12.75" customHeight="1" x14ac:dyDescent="0.2">
      <c r="A101" s="17" t="s">
        <v>500</v>
      </c>
      <c r="B101" s="10">
        <v>1000083056</v>
      </c>
      <c r="C101" s="10" t="s">
        <v>492</v>
      </c>
      <c r="D101" s="17" t="s">
        <v>499</v>
      </c>
      <c r="E101" s="13">
        <v>31776</v>
      </c>
      <c r="F101" s="129">
        <v>60116922</v>
      </c>
      <c r="G101" s="10" t="s">
        <v>280</v>
      </c>
      <c r="H101" s="23" t="s">
        <v>323</v>
      </c>
      <c r="I101" s="10"/>
    </row>
    <row r="102" spans="1:9" s="21" customFormat="1" ht="12.75" customHeight="1" x14ac:dyDescent="0.2">
      <c r="A102" s="36" t="s">
        <v>504</v>
      </c>
      <c r="B102" s="10">
        <v>1000083056</v>
      </c>
      <c r="C102" s="10" t="s">
        <v>492</v>
      </c>
      <c r="D102" s="36" t="s">
        <v>505</v>
      </c>
      <c r="E102" s="39">
        <v>7776</v>
      </c>
      <c r="F102" s="191">
        <v>60116756</v>
      </c>
      <c r="G102" s="15" t="s">
        <v>280</v>
      </c>
      <c r="H102" s="10" t="s">
        <v>176</v>
      </c>
      <c r="I102" s="25"/>
    </row>
    <row r="103" spans="1:9" ht="25.5" customHeight="1" x14ac:dyDescent="0.2">
      <c r="A103" s="17" t="s">
        <v>493</v>
      </c>
      <c r="B103" s="10">
        <v>1000083056</v>
      </c>
      <c r="C103" s="10" t="s">
        <v>492</v>
      </c>
      <c r="D103" s="28" t="s">
        <v>494</v>
      </c>
      <c r="E103" s="13">
        <v>3360</v>
      </c>
      <c r="F103" s="129">
        <v>60116661</v>
      </c>
      <c r="G103" s="10" t="s">
        <v>280</v>
      </c>
      <c r="H103" s="10" t="s">
        <v>171</v>
      </c>
      <c r="I103" s="10"/>
    </row>
    <row r="104" spans="1:9" ht="12.75" customHeight="1" x14ac:dyDescent="0.2">
      <c r="A104" s="23" t="s">
        <v>523</v>
      </c>
      <c r="B104" s="10">
        <v>1000095634</v>
      </c>
      <c r="C104" s="10" t="s">
        <v>492</v>
      </c>
      <c r="D104" s="28" t="s">
        <v>1820</v>
      </c>
      <c r="E104" s="13">
        <v>4171.2</v>
      </c>
      <c r="F104" s="129">
        <v>60119573</v>
      </c>
      <c r="G104" s="10" t="s">
        <v>280</v>
      </c>
      <c r="H104" s="10" t="s">
        <v>522</v>
      </c>
      <c r="I104" s="10"/>
    </row>
    <row r="105" spans="1:9" ht="12.75" customHeight="1" x14ac:dyDescent="0.2">
      <c r="A105" s="10" t="s">
        <v>524</v>
      </c>
      <c r="B105" s="10">
        <v>1000079359</v>
      </c>
      <c r="C105" s="10" t="s">
        <v>492</v>
      </c>
      <c r="D105" s="36" t="s">
        <v>525</v>
      </c>
      <c r="E105" s="13">
        <v>3823.2</v>
      </c>
      <c r="F105" s="129">
        <v>60116758</v>
      </c>
      <c r="G105" s="10" t="s">
        <v>280</v>
      </c>
      <c r="H105" s="10" t="s">
        <v>161</v>
      </c>
      <c r="I105" s="10"/>
    </row>
    <row r="106" spans="1:9" ht="12.75" customHeight="1" x14ac:dyDescent="0.2">
      <c r="A106" s="10" t="s">
        <v>546</v>
      </c>
      <c r="B106" s="10">
        <v>1000079359</v>
      </c>
      <c r="C106" s="10" t="s">
        <v>492</v>
      </c>
      <c r="D106" s="36" t="s">
        <v>547</v>
      </c>
      <c r="E106" s="13">
        <v>3956.4</v>
      </c>
      <c r="F106" s="129">
        <v>60116757</v>
      </c>
      <c r="G106" s="10" t="s">
        <v>280</v>
      </c>
      <c r="H106" s="10" t="s">
        <v>216</v>
      </c>
      <c r="I106" s="10"/>
    </row>
    <row r="107" spans="1:9" ht="12.75" customHeight="1" x14ac:dyDescent="0.2">
      <c r="A107" s="10" t="s">
        <v>526</v>
      </c>
      <c r="B107" s="10">
        <v>1000079359</v>
      </c>
      <c r="C107" s="10" t="s">
        <v>492</v>
      </c>
      <c r="D107" s="36" t="s">
        <v>527</v>
      </c>
      <c r="E107" s="13">
        <v>5652</v>
      </c>
      <c r="F107" s="129">
        <v>60114491</v>
      </c>
      <c r="G107" s="10" t="s">
        <v>280</v>
      </c>
      <c r="H107" s="10" t="s">
        <v>216</v>
      </c>
      <c r="I107" s="10"/>
    </row>
    <row r="108" spans="1:9" ht="12.75" customHeight="1" x14ac:dyDescent="0.2">
      <c r="A108" s="10" t="s">
        <v>528</v>
      </c>
      <c r="B108" s="10">
        <v>1000079359</v>
      </c>
      <c r="C108" s="10" t="s">
        <v>492</v>
      </c>
      <c r="D108" s="36" t="s">
        <v>529</v>
      </c>
      <c r="E108" s="13">
        <v>12936</v>
      </c>
      <c r="F108" s="129">
        <v>60110562</v>
      </c>
      <c r="G108" s="10" t="s">
        <v>280</v>
      </c>
      <c r="H108" s="10" t="s">
        <v>176</v>
      </c>
      <c r="I108" s="10"/>
    </row>
    <row r="109" spans="1:9" ht="12.75" customHeight="1" x14ac:dyDescent="0.2">
      <c r="A109" s="10" t="s">
        <v>530</v>
      </c>
      <c r="B109" s="10">
        <v>1000079359</v>
      </c>
      <c r="C109" s="10" t="s">
        <v>492</v>
      </c>
      <c r="D109" s="36" t="s">
        <v>531</v>
      </c>
      <c r="E109" s="13">
        <v>10738.8</v>
      </c>
      <c r="F109" s="129">
        <v>60115350</v>
      </c>
      <c r="G109" s="10" t="s">
        <v>280</v>
      </c>
      <c r="H109" s="10" t="s">
        <v>216</v>
      </c>
      <c r="I109" s="10"/>
    </row>
    <row r="110" spans="1:9" ht="12.75" customHeight="1" x14ac:dyDescent="0.2">
      <c r="A110" s="10" t="s">
        <v>548</v>
      </c>
      <c r="B110" s="10">
        <v>1000079359</v>
      </c>
      <c r="C110" s="10" t="s">
        <v>492</v>
      </c>
      <c r="D110" s="36" t="s">
        <v>549</v>
      </c>
      <c r="E110" s="13">
        <v>8784</v>
      </c>
      <c r="F110" s="129">
        <v>60114493</v>
      </c>
      <c r="G110" s="10" t="s">
        <v>280</v>
      </c>
      <c r="H110" s="10" t="s">
        <v>176</v>
      </c>
      <c r="I110" s="10"/>
    </row>
    <row r="111" spans="1:9" ht="25.5" customHeight="1" x14ac:dyDescent="0.2">
      <c r="A111" s="23" t="s">
        <v>550</v>
      </c>
      <c r="B111" s="10">
        <v>1000079359</v>
      </c>
      <c r="C111" s="10" t="s">
        <v>492</v>
      </c>
      <c r="D111" s="36" t="s">
        <v>551</v>
      </c>
      <c r="E111" s="13">
        <v>7298.4</v>
      </c>
      <c r="F111" s="129">
        <v>60116583</v>
      </c>
      <c r="G111" s="10" t="s">
        <v>280</v>
      </c>
      <c r="H111" s="10" t="s">
        <v>534</v>
      </c>
      <c r="I111" s="10"/>
    </row>
    <row r="112" spans="1:9" ht="12.75" customHeight="1" x14ac:dyDescent="0.2">
      <c r="A112" s="23" t="s">
        <v>558</v>
      </c>
      <c r="B112" s="10">
        <v>1000079359</v>
      </c>
      <c r="C112" s="10" t="s">
        <v>492</v>
      </c>
      <c r="D112" s="36" t="s">
        <v>559</v>
      </c>
      <c r="E112" s="13">
        <v>16660.8</v>
      </c>
      <c r="F112" s="129"/>
      <c r="G112" s="10" t="s">
        <v>92</v>
      </c>
      <c r="H112" s="25"/>
      <c r="I112" s="10"/>
    </row>
    <row r="113" spans="1:9" ht="25.5" customHeight="1" x14ac:dyDescent="0.2">
      <c r="A113" s="10" t="s">
        <v>577</v>
      </c>
      <c r="B113" s="10">
        <v>1000079359</v>
      </c>
      <c r="C113" s="10" t="s">
        <v>492</v>
      </c>
      <c r="D113" s="36" t="s">
        <v>578</v>
      </c>
      <c r="E113" s="13">
        <v>3369.6</v>
      </c>
      <c r="F113" s="129">
        <v>60117896</v>
      </c>
      <c r="G113" s="10" t="s">
        <v>280</v>
      </c>
      <c r="H113" s="23" t="s">
        <v>176</v>
      </c>
      <c r="I113" s="10"/>
    </row>
    <row r="114" spans="1:9" ht="12.75" customHeight="1" x14ac:dyDescent="0.2">
      <c r="A114" s="23" t="s">
        <v>585</v>
      </c>
      <c r="B114" s="10">
        <v>1000079359</v>
      </c>
      <c r="C114" s="10" t="s">
        <v>492</v>
      </c>
      <c r="D114" s="36" t="s">
        <v>579</v>
      </c>
      <c r="E114" s="13">
        <v>13291.2</v>
      </c>
      <c r="F114" s="129">
        <v>60110561</v>
      </c>
      <c r="G114" s="10" t="s">
        <v>280</v>
      </c>
      <c r="H114" s="23" t="s">
        <v>176</v>
      </c>
      <c r="I114" s="10"/>
    </row>
    <row r="115" spans="1:9" ht="25.5" customHeight="1" x14ac:dyDescent="0.2">
      <c r="A115" s="10" t="s">
        <v>532</v>
      </c>
      <c r="B115" s="10">
        <v>1000079359</v>
      </c>
      <c r="C115" s="10" t="s">
        <v>492</v>
      </c>
      <c r="D115" s="36" t="s">
        <v>533</v>
      </c>
      <c r="E115" s="13">
        <v>4291.2</v>
      </c>
      <c r="F115" s="129">
        <v>60117893</v>
      </c>
      <c r="G115" s="10" t="s">
        <v>280</v>
      </c>
      <c r="H115" s="10" t="s">
        <v>534</v>
      </c>
      <c r="I115" s="10"/>
    </row>
    <row r="116" spans="1:9" ht="25.5" customHeight="1" x14ac:dyDescent="0.2">
      <c r="A116" s="17" t="s">
        <v>535</v>
      </c>
      <c r="B116" s="10">
        <v>1000079359</v>
      </c>
      <c r="C116" s="10" t="s">
        <v>492</v>
      </c>
      <c r="D116" s="36" t="s">
        <v>536</v>
      </c>
      <c r="E116" s="13">
        <v>10728</v>
      </c>
      <c r="F116" s="129">
        <v>60107873</v>
      </c>
      <c r="G116" s="10" t="s">
        <v>92</v>
      </c>
      <c r="H116" s="10" t="s">
        <v>211</v>
      </c>
      <c r="I116" s="10"/>
    </row>
    <row r="117" spans="1:9" ht="25.5" customHeight="1" x14ac:dyDescent="0.2">
      <c r="A117" s="17" t="s">
        <v>697</v>
      </c>
      <c r="B117" s="10">
        <v>1000079359</v>
      </c>
      <c r="C117" s="10" t="s">
        <v>492</v>
      </c>
      <c r="D117" s="36" t="s">
        <v>695</v>
      </c>
      <c r="E117" s="13">
        <v>2145.6</v>
      </c>
      <c r="F117" s="129">
        <v>60107873</v>
      </c>
      <c r="G117" s="10"/>
      <c r="H117" s="10" t="s">
        <v>211</v>
      </c>
      <c r="I117" s="10"/>
    </row>
    <row r="118" spans="1:9" ht="25.5" customHeight="1" x14ac:dyDescent="0.2">
      <c r="A118" s="17" t="s">
        <v>698</v>
      </c>
      <c r="B118" s="10">
        <v>1000079359</v>
      </c>
      <c r="C118" s="10" t="s">
        <v>492</v>
      </c>
      <c r="D118" s="36" t="s">
        <v>696</v>
      </c>
      <c r="E118" s="13">
        <v>8582.4</v>
      </c>
      <c r="F118" s="129">
        <v>60120609</v>
      </c>
      <c r="G118" s="10" t="s">
        <v>280</v>
      </c>
      <c r="H118" s="10" t="s">
        <v>211</v>
      </c>
      <c r="I118" s="10"/>
    </row>
    <row r="119" spans="1:9" ht="25.5" customHeight="1" x14ac:dyDescent="0.2">
      <c r="A119" s="10" t="s">
        <v>552</v>
      </c>
      <c r="B119" s="10">
        <v>1000079359</v>
      </c>
      <c r="C119" s="10" t="s">
        <v>492</v>
      </c>
      <c r="D119" s="36" t="s">
        <v>553</v>
      </c>
      <c r="E119" s="13">
        <v>10191.6</v>
      </c>
      <c r="F119" s="129">
        <v>60107874</v>
      </c>
      <c r="G119" s="10" t="s">
        <v>280</v>
      </c>
      <c r="H119" s="10" t="s">
        <v>211</v>
      </c>
      <c r="I119" s="10"/>
    </row>
    <row r="120" spans="1:9" ht="12.75" customHeight="1" x14ac:dyDescent="0.2">
      <c r="A120" s="23" t="s">
        <v>554</v>
      </c>
      <c r="B120" s="10">
        <v>1000079359</v>
      </c>
      <c r="C120" s="10" t="s">
        <v>492</v>
      </c>
      <c r="D120" s="36" t="s">
        <v>555</v>
      </c>
      <c r="E120" s="13">
        <v>11712</v>
      </c>
      <c r="F120" s="129">
        <v>60115142</v>
      </c>
      <c r="G120" s="10" t="s">
        <v>280</v>
      </c>
      <c r="H120" s="10" t="s">
        <v>161</v>
      </c>
      <c r="I120" s="10">
        <f>E120/1.2</f>
        <v>9760</v>
      </c>
    </row>
    <row r="121" spans="1:9" ht="12.75" customHeight="1" x14ac:dyDescent="0.2">
      <c r="A121" s="10" t="s">
        <v>537</v>
      </c>
      <c r="B121" s="10">
        <v>1000079359</v>
      </c>
      <c r="C121" s="10" t="s">
        <v>492</v>
      </c>
      <c r="D121" s="36" t="s">
        <v>538</v>
      </c>
      <c r="E121" s="13">
        <v>4752</v>
      </c>
      <c r="F121" s="129">
        <v>60115797</v>
      </c>
      <c r="G121" s="10" t="s">
        <v>280</v>
      </c>
      <c r="H121" s="10" t="s">
        <v>539</v>
      </c>
      <c r="I121" s="10"/>
    </row>
    <row r="122" spans="1:9" ht="12.75" customHeight="1" x14ac:dyDescent="0.2">
      <c r="A122" s="10" t="s">
        <v>540</v>
      </c>
      <c r="B122" s="10">
        <v>1000079359</v>
      </c>
      <c r="C122" s="10" t="s">
        <v>492</v>
      </c>
      <c r="D122" s="36" t="s">
        <v>541</v>
      </c>
      <c r="E122" s="13">
        <v>10128</v>
      </c>
      <c r="F122" s="129">
        <v>60115015</v>
      </c>
      <c r="G122" s="10" t="s">
        <v>280</v>
      </c>
      <c r="H122" s="10" t="s">
        <v>216</v>
      </c>
      <c r="I122" s="10"/>
    </row>
    <row r="123" spans="1:9" ht="12.75" customHeight="1" x14ac:dyDescent="0.2">
      <c r="A123" s="10" t="s">
        <v>542</v>
      </c>
      <c r="B123" s="10">
        <v>1000079359</v>
      </c>
      <c r="C123" s="10" t="s">
        <v>492</v>
      </c>
      <c r="D123" s="36" t="s">
        <v>543</v>
      </c>
      <c r="E123" s="13">
        <v>11712</v>
      </c>
      <c r="F123" s="129">
        <v>60116901</v>
      </c>
      <c r="G123" s="10" t="s">
        <v>280</v>
      </c>
      <c r="H123" s="10" t="s">
        <v>534</v>
      </c>
      <c r="I123" s="10"/>
    </row>
    <row r="124" spans="1:9" ht="12.75" customHeight="1" x14ac:dyDescent="0.2">
      <c r="A124" s="10" t="s">
        <v>556</v>
      </c>
      <c r="B124" s="10">
        <v>1000079359</v>
      </c>
      <c r="C124" s="10" t="s">
        <v>492</v>
      </c>
      <c r="D124" s="36" t="s">
        <v>557</v>
      </c>
      <c r="E124" s="13">
        <v>10728</v>
      </c>
      <c r="F124" s="129">
        <v>60115166</v>
      </c>
      <c r="G124" s="10" t="s">
        <v>592</v>
      </c>
      <c r="H124" s="10" t="s">
        <v>176</v>
      </c>
      <c r="I124" s="10"/>
    </row>
    <row r="125" spans="1:9" ht="25.5" customHeight="1" x14ac:dyDescent="0.2">
      <c r="A125" s="10" t="s">
        <v>544</v>
      </c>
      <c r="B125" s="10">
        <v>1000079359</v>
      </c>
      <c r="C125" s="10" t="s">
        <v>492</v>
      </c>
      <c r="D125" s="36" t="s">
        <v>545</v>
      </c>
      <c r="E125" s="13">
        <v>10173.6</v>
      </c>
      <c r="F125" s="129">
        <v>60116349</v>
      </c>
      <c r="G125" s="10" t="s">
        <v>280</v>
      </c>
      <c r="H125" s="10" t="s">
        <v>211</v>
      </c>
      <c r="I125" s="10"/>
    </row>
    <row r="126" spans="1:9" ht="76.5" customHeight="1" x14ac:dyDescent="0.2">
      <c r="A126" s="10" t="s">
        <v>560</v>
      </c>
      <c r="B126" s="10">
        <v>1000090711</v>
      </c>
      <c r="C126" s="10" t="s">
        <v>492</v>
      </c>
      <c r="D126" s="36" t="s">
        <v>568</v>
      </c>
      <c r="E126" s="13">
        <v>18345.599999999999</v>
      </c>
      <c r="F126" s="191">
        <v>60112196</v>
      </c>
      <c r="G126" s="10" t="s">
        <v>280</v>
      </c>
      <c r="H126" s="23" t="s">
        <v>136</v>
      </c>
      <c r="I126" s="10"/>
    </row>
    <row r="127" spans="1:9" ht="38.25" customHeight="1" x14ac:dyDescent="0.2">
      <c r="A127" s="17" t="s">
        <v>561</v>
      </c>
      <c r="B127" s="10">
        <v>1000090711</v>
      </c>
      <c r="C127" s="10" t="s">
        <v>492</v>
      </c>
      <c r="D127" s="36" t="s">
        <v>569</v>
      </c>
      <c r="E127" s="13">
        <v>6444</v>
      </c>
      <c r="F127" s="191">
        <v>60119507</v>
      </c>
      <c r="G127" s="10" t="s">
        <v>280</v>
      </c>
      <c r="H127" s="10" t="s">
        <v>136</v>
      </c>
      <c r="I127" s="10"/>
    </row>
    <row r="128" spans="1:9" ht="51" customHeight="1" x14ac:dyDescent="0.2">
      <c r="A128" s="10" t="s">
        <v>562</v>
      </c>
      <c r="B128" s="10">
        <v>1000090711</v>
      </c>
      <c r="C128" s="10" t="s">
        <v>492</v>
      </c>
      <c r="D128" s="36" t="s">
        <v>570</v>
      </c>
      <c r="E128" s="13">
        <v>11044.8</v>
      </c>
      <c r="F128" s="129">
        <v>60116375</v>
      </c>
      <c r="G128" s="10" t="s">
        <v>280</v>
      </c>
      <c r="H128" s="10" t="s">
        <v>136</v>
      </c>
      <c r="I128" s="10"/>
    </row>
    <row r="129" spans="1:9" ht="23.25" customHeight="1" x14ac:dyDescent="0.2">
      <c r="A129" s="10" t="s">
        <v>563</v>
      </c>
      <c r="B129" s="10">
        <v>1000095233</v>
      </c>
      <c r="C129" s="10" t="s">
        <v>492</v>
      </c>
      <c r="D129" s="36" t="s">
        <v>571</v>
      </c>
      <c r="E129" s="13">
        <v>1903.2</v>
      </c>
      <c r="F129" s="191">
        <v>60118181</v>
      </c>
      <c r="G129" s="10" t="s">
        <v>280</v>
      </c>
      <c r="H129" s="10" t="s">
        <v>572</v>
      </c>
      <c r="I129" s="10"/>
    </row>
    <row r="130" spans="1:9" ht="51" customHeight="1" x14ac:dyDescent="0.2">
      <c r="A130" s="10" t="s">
        <v>564</v>
      </c>
      <c r="B130" s="10">
        <v>1000095233</v>
      </c>
      <c r="C130" s="10" t="s">
        <v>492</v>
      </c>
      <c r="D130" s="36" t="s">
        <v>574</v>
      </c>
      <c r="E130" s="13">
        <v>8377.2000000000007</v>
      </c>
      <c r="F130" s="191">
        <v>60118180</v>
      </c>
      <c r="G130" s="10" t="s">
        <v>280</v>
      </c>
      <c r="H130" s="10" t="s">
        <v>136</v>
      </c>
      <c r="I130" s="10"/>
    </row>
    <row r="131" spans="1:9" ht="25.5" customHeight="1" x14ac:dyDescent="0.2">
      <c r="A131" s="10" t="s">
        <v>565</v>
      </c>
      <c r="B131" s="10">
        <v>1000095233</v>
      </c>
      <c r="C131" s="10" t="s">
        <v>492</v>
      </c>
      <c r="D131" s="36" t="s">
        <v>573</v>
      </c>
      <c r="E131" s="13">
        <v>3436.8</v>
      </c>
      <c r="F131" s="191">
        <v>60119507</v>
      </c>
      <c r="G131" s="10" t="s">
        <v>280</v>
      </c>
      <c r="H131" s="23" t="s">
        <v>136</v>
      </c>
      <c r="I131" s="10"/>
    </row>
    <row r="132" spans="1:9" ht="38.25" customHeight="1" x14ac:dyDescent="0.2">
      <c r="A132" s="10" t="s">
        <v>566</v>
      </c>
      <c r="B132" s="10">
        <v>1000095233</v>
      </c>
      <c r="C132" s="10" t="s">
        <v>492</v>
      </c>
      <c r="D132" s="36" t="s">
        <v>575</v>
      </c>
      <c r="E132" s="13">
        <v>7862.4</v>
      </c>
      <c r="F132" s="129">
        <v>60118050</v>
      </c>
      <c r="G132" s="10" t="s">
        <v>280</v>
      </c>
      <c r="H132" s="10" t="s">
        <v>136</v>
      </c>
      <c r="I132" s="10"/>
    </row>
    <row r="133" spans="1:9" ht="12.75" customHeight="1" x14ac:dyDescent="0.2">
      <c r="A133" s="10" t="s">
        <v>567</v>
      </c>
      <c r="B133" s="10">
        <v>1000095233</v>
      </c>
      <c r="C133" s="10" t="s">
        <v>492</v>
      </c>
      <c r="D133" s="36" t="s">
        <v>576</v>
      </c>
      <c r="E133" s="13">
        <v>4752</v>
      </c>
      <c r="F133" s="129">
        <v>60118054</v>
      </c>
      <c r="G133" s="10" t="s">
        <v>280</v>
      </c>
      <c r="H133" s="10" t="s">
        <v>572</v>
      </c>
      <c r="I133" s="10"/>
    </row>
    <row r="134" spans="1:9" ht="12.75" customHeight="1" x14ac:dyDescent="0.2">
      <c r="A134" s="10" t="s">
        <v>581</v>
      </c>
      <c r="B134" s="10">
        <v>1000087890</v>
      </c>
      <c r="C134" s="10" t="s">
        <v>492</v>
      </c>
      <c r="D134" s="17" t="s">
        <v>580</v>
      </c>
      <c r="E134" s="13">
        <v>7800</v>
      </c>
      <c r="F134" s="129">
        <v>60110591</v>
      </c>
      <c r="G134" s="10" t="s">
        <v>280</v>
      </c>
      <c r="H134" s="10" t="s">
        <v>322</v>
      </c>
      <c r="I134" s="10"/>
    </row>
    <row r="135" spans="1:9" ht="12.75" customHeight="1" x14ac:dyDescent="0.2">
      <c r="A135" s="10" t="s">
        <v>582</v>
      </c>
      <c r="B135" s="10">
        <v>1000087890</v>
      </c>
      <c r="C135" s="10" t="s">
        <v>492</v>
      </c>
      <c r="D135" s="17" t="s">
        <v>580</v>
      </c>
      <c r="E135" s="13">
        <v>13947.6</v>
      </c>
      <c r="F135" s="129">
        <v>60111108</v>
      </c>
      <c r="G135" s="10" t="s">
        <v>280</v>
      </c>
      <c r="H135" s="10" t="s">
        <v>322</v>
      </c>
      <c r="I135" s="10"/>
    </row>
    <row r="136" spans="1:9" ht="12.75" customHeight="1" x14ac:dyDescent="0.2">
      <c r="A136" s="17" t="s">
        <v>583</v>
      </c>
      <c r="B136" s="10">
        <v>1000092572</v>
      </c>
      <c r="C136" s="10" t="s">
        <v>140</v>
      </c>
      <c r="D136" s="17" t="s">
        <v>584</v>
      </c>
      <c r="E136" s="13">
        <v>13140</v>
      </c>
      <c r="F136" s="129">
        <v>60118055</v>
      </c>
      <c r="G136" s="10" t="s">
        <v>280</v>
      </c>
      <c r="H136" s="10" t="s">
        <v>136</v>
      </c>
      <c r="I136" s="10"/>
    </row>
    <row r="137" spans="1:9" ht="12.75" customHeight="1" x14ac:dyDescent="0.2">
      <c r="A137" s="17" t="s">
        <v>586</v>
      </c>
      <c r="B137" s="10">
        <v>1000083056</v>
      </c>
      <c r="C137" s="10" t="s">
        <v>470</v>
      </c>
      <c r="D137" s="17" t="s">
        <v>587</v>
      </c>
      <c r="E137" s="13">
        <v>3720</v>
      </c>
      <c r="F137" s="129">
        <v>60119008</v>
      </c>
      <c r="G137" s="10" t="s">
        <v>280</v>
      </c>
      <c r="H137" s="10" t="s">
        <v>176</v>
      </c>
      <c r="I137" s="10"/>
    </row>
    <row r="138" spans="1:9" ht="12.75" customHeight="1" x14ac:dyDescent="0.2">
      <c r="A138" s="17" t="s">
        <v>601</v>
      </c>
      <c r="B138" s="10">
        <v>1000083056</v>
      </c>
      <c r="C138" s="10" t="s">
        <v>470</v>
      </c>
      <c r="D138" s="17" t="s">
        <v>602</v>
      </c>
      <c r="E138" s="13">
        <v>39720</v>
      </c>
      <c r="F138" s="129">
        <v>60110563</v>
      </c>
      <c r="G138" s="10" t="s">
        <v>280</v>
      </c>
      <c r="H138" s="10" t="s">
        <v>171</v>
      </c>
      <c r="I138" s="10"/>
    </row>
    <row r="139" spans="1:9" ht="38.25" customHeight="1" x14ac:dyDescent="0.2">
      <c r="A139" s="29" t="s">
        <v>593</v>
      </c>
      <c r="B139" s="10">
        <v>1000083056</v>
      </c>
      <c r="C139" s="10" t="s">
        <v>470</v>
      </c>
      <c r="D139" s="28" t="s">
        <v>726</v>
      </c>
      <c r="E139" s="13">
        <v>126825</v>
      </c>
      <c r="F139" s="129">
        <v>60110560</v>
      </c>
      <c r="G139" s="10" t="s">
        <v>280</v>
      </c>
      <c r="H139" s="10" t="s">
        <v>161</v>
      </c>
      <c r="I139" s="10"/>
    </row>
    <row r="140" spans="1:9" ht="12.75" customHeight="1" x14ac:dyDescent="0.2">
      <c r="A140" s="17" t="s">
        <v>594</v>
      </c>
      <c r="B140" s="10">
        <v>1000083056</v>
      </c>
      <c r="C140" s="10" t="s">
        <v>470</v>
      </c>
      <c r="D140" s="17" t="s">
        <v>603</v>
      </c>
      <c r="E140" s="13">
        <v>30198</v>
      </c>
      <c r="F140" s="191">
        <v>60113270</v>
      </c>
      <c r="G140" s="10" t="s">
        <v>280</v>
      </c>
      <c r="H140" s="23" t="s">
        <v>176</v>
      </c>
      <c r="I140" s="10"/>
    </row>
    <row r="141" spans="1:9" ht="12.75" customHeight="1" x14ac:dyDescent="0.2">
      <c r="A141" s="17" t="s">
        <v>595</v>
      </c>
      <c r="B141" s="10">
        <v>1000083056</v>
      </c>
      <c r="C141" s="10" t="s">
        <v>470</v>
      </c>
      <c r="D141" s="17" t="s">
        <v>604</v>
      </c>
      <c r="E141" s="13">
        <v>43434</v>
      </c>
      <c r="F141" s="191">
        <v>60113305</v>
      </c>
      <c r="G141" s="10" t="s">
        <v>280</v>
      </c>
      <c r="H141" s="23" t="s">
        <v>171</v>
      </c>
      <c r="I141" s="10"/>
    </row>
    <row r="142" spans="1:9" ht="12.75" customHeight="1" x14ac:dyDescent="0.2">
      <c r="A142" s="29" t="s">
        <v>596</v>
      </c>
      <c r="B142" s="10">
        <v>1000083056</v>
      </c>
      <c r="C142" s="10" t="s">
        <v>470</v>
      </c>
      <c r="D142" s="17" t="s">
        <v>605</v>
      </c>
      <c r="E142" s="13">
        <v>34350</v>
      </c>
      <c r="F142" s="191">
        <v>60114494</v>
      </c>
      <c r="G142" s="10" t="s">
        <v>280</v>
      </c>
      <c r="H142" s="23" t="s">
        <v>176</v>
      </c>
      <c r="I142" s="10"/>
    </row>
    <row r="143" spans="1:9" ht="25.5" customHeight="1" x14ac:dyDescent="0.2">
      <c r="A143" s="17" t="s">
        <v>597</v>
      </c>
      <c r="B143" s="10">
        <v>1000083056</v>
      </c>
      <c r="C143" s="10" t="s">
        <v>470</v>
      </c>
      <c r="D143" s="28" t="s">
        <v>607</v>
      </c>
      <c r="E143" s="13">
        <v>9720</v>
      </c>
      <c r="F143" s="191">
        <v>60116756</v>
      </c>
      <c r="G143" s="10" t="s">
        <v>280</v>
      </c>
      <c r="H143" s="23" t="s">
        <v>176</v>
      </c>
      <c r="I143" s="10"/>
    </row>
    <row r="144" spans="1:9" ht="12.75" customHeight="1" x14ac:dyDescent="0.2">
      <c r="A144" s="17" t="s">
        <v>598</v>
      </c>
      <c r="B144" s="10">
        <v>1000083056</v>
      </c>
      <c r="C144" s="10" t="s">
        <v>470</v>
      </c>
      <c r="D144" s="17" t="s">
        <v>608</v>
      </c>
      <c r="E144" s="13">
        <v>45756</v>
      </c>
      <c r="F144" s="191">
        <v>60116922</v>
      </c>
      <c r="G144" s="10" t="s">
        <v>92</v>
      </c>
      <c r="H144" s="23" t="s">
        <v>323</v>
      </c>
      <c r="I144" s="10"/>
    </row>
    <row r="145" spans="1:9" ht="12.75" customHeight="1" x14ac:dyDescent="0.2">
      <c r="A145" s="17" t="s">
        <v>610</v>
      </c>
      <c r="B145" s="10">
        <v>1000083056</v>
      </c>
      <c r="C145" s="10" t="s">
        <v>470</v>
      </c>
      <c r="D145" s="17" t="s">
        <v>611</v>
      </c>
      <c r="E145" s="13">
        <v>39720</v>
      </c>
      <c r="F145" s="191">
        <v>60116922</v>
      </c>
      <c r="G145" s="10" t="s">
        <v>280</v>
      </c>
      <c r="H145" s="23" t="s">
        <v>323</v>
      </c>
      <c r="I145" s="10"/>
    </row>
    <row r="146" spans="1:9" ht="12.75" customHeight="1" x14ac:dyDescent="0.2">
      <c r="A146" s="17" t="s">
        <v>626</v>
      </c>
      <c r="B146" s="10">
        <v>1000083056</v>
      </c>
      <c r="C146" s="10" t="s">
        <v>470</v>
      </c>
      <c r="D146" s="17" t="s">
        <v>612</v>
      </c>
      <c r="E146" s="13">
        <v>6036</v>
      </c>
      <c r="F146" s="191">
        <v>60119581</v>
      </c>
      <c r="G146" s="10" t="s">
        <v>280</v>
      </c>
      <c r="H146" s="23" t="s">
        <v>323</v>
      </c>
      <c r="I146" s="10"/>
    </row>
    <row r="147" spans="1:9" ht="12.75" customHeight="1" x14ac:dyDescent="0.2">
      <c r="A147" s="17" t="s">
        <v>599</v>
      </c>
      <c r="B147" s="10">
        <v>1000083056</v>
      </c>
      <c r="C147" s="10" t="s">
        <v>470</v>
      </c>
      <c r="D147" s="17" t="s">
        <v>606</v>
      </c>
      <c r="E147" s="13">
        <v>2700</v>
      </c>
      <c r="F147" s="129">
        <v>60118451</v>
      </c>
      <c r="G147" s="10" t="s">
        <v>280</v>
      </c>
      <c r="H147" s="23" t="s">
        <v>171</v>
      </c>
      <c r="I147" s="10"/>
    </row>
    <row r="148" spans="1:9" ht="12.75" customHeight="1" x14ac:dyDescent="0.2">
      <c r="A148" s="17" t="s">
        <v>600</v>
      </c>
      <c r="B148" s="10">
        <v>1000083056</v>
      </c>
      <c r="C148" s="10" t="s">
        <v>470</v>
      </c>
      <c r="D148" s="85" t="s">
        <v>609</v>
      </c>
      <c r="E148" s="13">
        <v>3720</v>
      </c>
      <c r="F148" s="129">
        <v>60118451</v>
      </c>
      <c r="G148" s="10" t="s">
        <v>280</v>
      </c>
      <c r="H148" s="23" t="s">
        <v>171</v>
      </c>
      <c r="I148" s="10"/>
    </row>
    <row r="149" spans="1:9" ht="12.75" customHeight="1" x14ac:dyDescent="0.2">
      <c r="A149" s="17" t="s">
        <v>627</v>
      </c>
      <c r="B149" s="10">
        <v>1000097709</v>
      </c>
      <c r="C149" s="10" t="s">
        <v>470</v>
      </c>
      <c r="D149" s="17" t="s">
        <v>613</v>
      </c>
      <c r="E149" s="13">
        <v>6120</v>
      </c>
      <c r="F149" s="129">
        <v>10043093</v>
      </c>
      <c r="G149" s="10" t="s">
        <v>280</v>
      </c>
      <c r="H149" s="23" t="s">
        <v>614</v>
      </c>
      <c r="I149" s="10"/>
    </row>
    <row r="150" spans="1:9" ht="12.75" customHeight="1" x14ac:dyDescent="0.2">
      <c r="A150" s="17" t="s">
        <v>615</v>
      </c>
      <c r="B150" s="10">
        <v>1000092572</v>
      </c>
      <c r="C150" s="10" t="s">
        <v>470</v>
      </c>
      <c r="D150" s="29" t="s">
        <v>616</v>
      </c>
      <c r="E150" s="39">
        <v>20150.400000000001</v>
      </c>
      <c r="F150" s="191">
        <v>60114312</v>
      </c>
      <c r="G150" s="10" t="s">
        <v>280</v>
      </c>
      <c r="H150" s="23" t="s">
        <v>136</v>
      </c>
      <c r="I150" s="10"/>
    </row>
    <row r="151" spans="1:9" ht="42" customHeight="1" x14ac:dyDescent="0.2">
      <c r="A151" s="17" t="s">
        <v>619</v>
      </c>
      <c r="B151" s="10">
        <v>1000090711</v>
      </c>
      <c r="C151" s="10" t="s">
        <v>470</v>
      </c>
      <c r="D151" s="36" t="s">
        <v>625</v>
      </c>
      <c r="E151" s="13">
        <v>4410</v>
      </c>
      <c r="F151" s="129">
        <v>60119507</v>
      </c>
      <c r="G151" s="10" t="s">
        <v>280</v>
      </c>
      <c r="H151" s="10" t="s">
        <v>136</v>
      </c>
      <c r="I151" s="10"/>
    </row>
    <row r="152" spans="1:9" ht="12.75" customHeight="1" x14ac:dyDescent="0.2">
      <c r="A152" s="17" t="s">
        <v>620</v>
      </c>
      <c r="B152" s="10">
        <v>1000095634</v>
      </c>
      <c r="C152" s="10" t="s">
        <v>470</v>
      </c>
      <c r="D152" s="28" t="s">
        <v>1819</v>
      </c>
      <c r="E152" s="13">
        <v>13447.2</v>
      </c>
      <c r="F152" s="191">
        <v>60119573</v>
      </c>
      <c r="G152" s="10" t="s">
        <v>280</v>
      </c>
      <c r="H152" s="10" t="s">
        <v>522</v>
      </c>
      <c r="I152" s="10"/>
    </row>
    <row r="153" spans="1:9" ht="92.25" customHeight="1" x14ac:dyDescent="0.2">
      <c r="A153" s="17" t="s">
        <v>621</v>
      </c>
      <c r="B153" s="23">
        <v>1000090711</v>
      </c>
      <c r="C153" s="23" t="s">
        <v>470</v>
      </c>
      <c r="D153" s="36" t="s">
        <v>623</v>
      </c>
      <c r="E153" s="39">
        <v>20592</v>
      </c>
      <c r="F153" s="191">
        <v>60112196</v>
      </c>
      <c r="G153" s="10" t="s">
        <v>280</v>
      </c>
      <c r="H153" s="10" t="s">
        <v>136</v>
      </c>
      <c r="I153" s="10"/>
    </row>
    <row r="154" spans="1:9" ht="25.5" customHeight="1" x14ac:dyDescent="0.2">
      <c r="A154" s="17" t="s">
        <v>622</v>
      </c>
      <c r="B154" s="10">
        <v>1000090711</v>
      </c>
      <c r="C154" s="10" t="s">
        <v>470</v>
      </c>
      <c r="D154" s="36" t="s">
        <v>624</v>
      </c>
      <c r="E154" s="10">
        <v>644.4</v>
      </c>
      <c r="F154" s="129" t="s">
        <v>431</v>
      </c>
      <c r="G154" s="10" t="s">
        <v>280</v>
      </c>
      <c r="H154" s="10" t="s">
        <v>136</v>
      </c>
      <c r="I154" s="10"/>
    </row>
    <row r="155" spans="1:9" ht="12.75" customHeight="1" x14ac:dyDescent="0.2">
      <c r="A155" s="17" t="s">
        <v>645</v>
      </c>
      <c r="B155" s="10">
        <v>1000079359</v>
      </c>
      <c r="C155" s="10" t="s">
        <v>470</v>
      </c>
      <c r="D155" s="36" t="s">
        <v>647</v>
      </c>
      <c r="E155" s="13">
        <v>4779</v>
      </c>
      <c r="F155" s="129">
        <v>60116758</v>
      </c>
      <c r="G155" s="10" t="s">
        <v>280</v>
      </c>
      <c r="H155" s="10" t="s">
        <v>161</v>
      </c>
      <c r="I155" s="10"/>
    </row>
    <row r="156" spans="1:9" ht="12.75" customHeight="1" x14ac:dyDescent="0.2">
      <c r="A156" s="17" t="s">
        <v>646</v>
      </c>
      <c r="B156" s="10">
        <v>1000079359</v>
      </c>
      <c r="C156" s="10" t="s">
        <v>470</v>
      </c>
      <c r="D156" s="36" t="s">
        <v>648</v>
      </c>
      <c r="E156" s="13">
        <v>13564.8</v>
      </c>
      <c r="F156" s="129">
        <v>60116757</v>
      </c>
      <c r="G156" s="10" t="s">
        <v>280</v>
      </c>
      <c r="H156" s="10" t="s">
        <v>216</v>
      </c>
      <c r="I156" s="10"/>
    </row>
    <row r="157" spans="1:9" ht="12.75" customHeight="1" x14ac:dyDescent="0.2">
      <c r="A157" s="17" t="s">
        <v>628</v>
      </c>
      <c r="B157" s="10">
        <v>1000079359</v>
      </c>
      <c r="C157" s="10" t="s">
        <v>470</v>
      </c>
      <c r="D157" s="84" t="s">
        <v>649</v>
      </c>
      <c r="E157" s="13">
        <v>13582.8</v>
      </c>
      <c r="F157" s="129">
        <v>60110562</v>
      </c>
      <c r="G157" s="10" t="s">
        <v>280</v>
      </c>
      <c r="H157" s="10" t="s">
        <v>176</v>
      </c>
      <c r="I157" s="10"/>
    </row>
    <row r="158" spans="1:9" ht="25.5" customHeight="1" x14ac:dyDescent="0.2">
      <c r="A158" s="17" t="s">
        <v>629</v>
      </c>
      <c r="B158" s="10">
        <v>1000079359</v>
      </c>
      <c r="C158" s="10" t="s">
        <v>470</v>
      </c>
      <c r="D158" s="36" t="s">
        <v>650</v>
      </c>
      <c r="E158" s="13">
        <v>13564.8</v>
      </c>
      <c r="F158" s="129">
        <v>60115350</v>
      </c>
      <c r="G158" s="10" t="s">
        <v>280</v>
      </c>
      <c r="H158" s="10" t="s">
        <v>216</v>
      </c>
      <c r="I158" s="10"/>
    </row>
    <row r="159" spans="1:9" ht="27" customHeight="1" x14ac:dyDescent="0.2">
      <c r="A159" s="17" t="s">
        <v>630</v>
      </c>
      <c r="B159" s="10">
        <v>1000079359</v>
      </c>
      <c r="C159" s="10" t="s">
        <v>470</v>
      </c>
      <c r="D159" s="36" t="s">
        <v>651</v>
      </c>
      <c r="E159" s="13">
        <v>13761.6</v>
      </c>
      <c r="F159" s="129">
        <v>60114493</v>
      </c>
      <c r="G159" s="10" t="s">
        <v>280</v>
      </c>
      <c r="H159" s="10" t="s">
        <v>176</v>
      </c>
      <c r="I159" s="10"/>
    </row>
    <row r="160" spans="1:9" ht="12.75" customHeight="1" x14ac:dyDescent="0.2">
      <c r="A160" s="17" t="s">
        <v>631</v>
      </c>
      <c r="B160" s="10">
        <v>1000079359</v>
      </c>
      <c r="C160" s="10" t="s">
        <v>470</v>
      </c>
      <c r="D160" s="29" t="s">
        <v>652</v>
      </c>
      <c r="E160" s="13">
        <v>15523.2</v>
      </c>
      <c r="F160" s="129">
        <v>60116583</v>
      </c>
      <c r="G160" s="10" t="s">
        <v>280</v>
      </c>
      <c r="H160" s="23" t="s">
        <v>534</v>
      </c>
      <c r="I160" s="10"/>
    </row>
    <row r="161" spans="1:9" s="22" customFormat="1" ht="12.75" customHeight="1" x14ac:dyDescent="0.2">
      <c r="A161" s="17" t="s">
        <v>632</v>
      </c>
      <c r="B161" s="17">
        <v>1000079359</v>
      </c>
      <c r="C161" s="17" t="s">
        <v>470</v>
      </c>
      <c r="D161" s="29" t="s">
        <v>653</v>
      </c>
      <c r="E161" s="85">
        <v>14414.4</v>
      </c>
      <c r="F161" s="449">
        <v>60110561</v>
      </c>
      <c r="G161" s="17" t="s">
        <v>280</v>
      </c>
      <c r="H161" s="17" t="s">
        <v>176</v>
      </c>
      <c r="I161" s="17"/>
    </row>
    <row r="162" spans="1:9" ht="24" customHeight="1" x14ac:dyDescent="0.2">
      <c r="A162" s="17" t="s">
        <v>633</v>
      </c>
      <c r="B162" s="10">
        <v>1000079359</v>
      </c>
      <c r="C162" s="10" t="s">
        <v>470</v>
      </c>
      <c r="D162" s="36" t="s">
        <v>654</v>
      </c>
      <c r="E162" s="13">
        <v>9828</v>
      </c>
      <c r="F162" s="191" t="s">
        <v>431</v>
      </c>
      <c r="G162" s="10" t="s">
        <v>280</v>
      </c>
      <c r="H162" s="10" t="s">
        <v>176</v>
      </c>
      <c r="I162" s="10"/>
    </row>
    <row r="163" spans="1:9" ht="25.5" customHeight="1" x14ac:dyDescent="0.2">
      <c r="A163" s="17" t="s">
        <v>634</v>
      </c>
      <c r="B163" s="10">
        <v>1000079359</v>
      </c>
      <c r="C163" s="10" t="s">
        <v>470</v>
      </c>
      <c r="D163" s="36" t="s">
        <v>655</v>
      </c>
      <c r="E163" s="13">
        <v>12873.6</v>
      </c>
      <c r="F163" s="129">
        <v>60117893</v>
      </c>
      <c r="G163" s="10" t="s">
        <v>280</v>
      </c>
      <c r="H163" s="10" t="s">
        <v>534</v>
      </c>
      <c r="I163" s="10"/>
    </row>
    <row r="164" spans="1:9" ht="25.5" customHeight="1" x14ac:dyDescent="0.2">
      <c r="A164" s="17" t="s">
        <v>635</v>
      </c>
      <c r="B164" s="10">
        <v>1000079359</v>
      </c>
      <c r="C164" s="10" t="s">
        <v>470</v>
      </c>
      <c r="D164" s="36" t="s">
        <v>656</v>
      </c>
      <c r="E164" s="13">
        <v>12873.6</v>
      </c>
      <c r="F164" s="129">
        <v>60120609</v>
      </c>
      <c r="G164" s="10" t="s">
        <v>280</v>
      </c>
      <c r="H164" s="10" t="s">
        <v>211</v>
      </c>
      <c r="I164" s="10"/>
    </row>
    <row r="165" spans="1:9" ht="25.5" customHeight="1" x14ac:dyDescent="0.2">
      <c r="A165" s="17" t="s">
        <v>636</v>
      </c>
      <c r="B165" s="10">
        <v>1000079359</v>
      </c>
      <c r="C165" s="10" t="s">
        <v>470</v>
      </c>
      <c r="D165" s="36" t="s">
        <v>657</v>
      </c>
      <c r="E165" s="13">
        <v>12873.6</v>
      </c>
      <c r="F165" s="129">
        <v>60107874</v>
      </c>
      <c r="G165" s="10" t="s">
        <v>280</v>
      </c>
      <c r="H165" s="10" t="s">
        <v>211</v>
      </c>
      <c r="I165" s="10"/>
    </row>
    <row r="166" spans="1:9" ht="25.5" customHeight="1" x14ac:dyDescent="0.2">
      <c r="A166" s="29" t="s">
        <v>637</v>
      </c>
      <c r="B166" s="10">
        <v>1000079359</v>
      </c>
      <c r="C166" s="10" t="s">
        <v>470</v>
      </c>
      <c r="D166" s="36" t="s">
        <v>658</v>
      </c>
      <c r="E166" s="13">
        <v>13468.8</v>
      </c>
      <c r="F166" s="129">
        <v>60115142</v>
      </c>
      <c r="G166" s="10" t="s">
        <v>280</v>
      </c>
      <c r="H166" s="10" t="s">
        <v>161</v>
      </c>
      <c r="I166" s="10">
        <f>E166/1.2</f>
        <v>11224</v>
      </c>
    </row>
    <row r="167" spans="1:9" ht="25.5" customHeight="1" x14ac:dyDescent="0.2">
      <c r="A167" s="17" t="s">
        <v>638</v>
      </c>
      <c r="B167" s="10">
        <v>1000079359</v>
      </c>
      <c r="C167" s="10" t="s">
        <v>470</v>
      </c>
      <c r="D167" s="36" t="s">
        <v>659</v>
      </c>
      <c r="E167" s="13">
        <v>5464.8</v>
      </c>
      <c r="F167" s="129">
        <v>60115797</v>
      </c>
      <c r="G167" s="10" t="s">
        <v>280</v>
      </c>
      <c r="H167" s="23" t="s">
        <v>539</v>
      </c>
      <c r="I167" s="10"/>
    </row>
    <row r="168" spans="1:9" ht="26.25" customHeight="1" x14ac:dyDescent="0.2">
      <c r="A168" s="17" t="s">
        <v>639</v>
      </c>
      <c r="B168" s="10">
        <v>1000079359</v>
      </c>
      <c r="C168" s="10" t="s">
        <v>470</v>
      </c>
      <c r="D168" s="36" t="s">
        <v>660</v>
      </c>
      <c r="E168" s="13">
        <v>12153.6</v>
      </c>
      <c r="F168" s="129">
        <v>60115015</v>
      </c>
      <c r="G168" s="10" t="s">
        <v>280</v>
      </c>
      <c r="H168" s="10" t="s">
        <v>216</v>
      </c>
      <c r="I168" s="10"/>
    </row>
    <row r="169" spans="1:9" ht="25.5" customHeight="1" x14ac:dyDescent="0.2">
      <c r="A169" s="17" t="s">
        <v>640</v>
      </c>
      <c r="B169" s="10">
        <v>1000079359</v>
      </c>
      <c r="C169" s="10" t="s">
        <v>470</v>
      </c>
      <c r="D169" s="36" t="s">
        <v>662</v>
      </c>
      <c r="E169" s="13">
        <v>8035.2</v>
      </c>
      <c r="F169" s="129">
        <v>60116901</v>
      </c>
      <c r="G169" s="10" t="s">
        <v>280</v>
      </c>
      <c r="H169" s="10" t="s">
        <v>534</v>
      </c>
      <c r="I169" s="10"/>
    </row>
    <row r="170" spans="1:9" ht="25.5" customHeight="1" x14ac:dyDescent="0.2">
      <c r="A170" s="17" t="s">
        <v>641</v>
      </c>
      <c r="B170" s="10">
        <v>1000079359</v>
      </c>
      <c r="C170" s="10" t="s">
        <v>470</v>
      </c>
      <c r="D170" s="36" t="s">
        <v>661</v>
      </c>
      <c r="E170" s="13">
        <v>12873.6</v>
      </c>
      <c r="F170" s="129">
        <v>60115166</v>
      </c>
      <c r="G170" s="10" t="s">
        <v>280</v>
      </c>
      <c r="H170" s="10" t="s">
        <v>176</v>
      </c>
      <c r="I170" s="10"/>
    </row>
    <row r="171" spans="1:9" ht="25.5" customHeight="1" x14ac:dyDescent="0.2">
      <c r="A171" s="17" t="s">
        <v>642</v>
      </c>
      <c r="B171" s="10">
        <v>1000079359</v>
      </c>
      <c r="C171" s="10" t="s">
        <v>470</v>
      </c>
      <c r="D171" s="36" t="s">
        <v>663</v>
      </c>
      <c r="E171" s="13">
        <v>9788.4</v>
      </c>
      <c r="F171" s="129">
        <v>60116349</v>
      </c>
      <c r="G171" s="10" t="s">
        <v>280</v>
      </c>
      <c r="H171" s="10" t="s">
        <v>211</v>
      </c>
      <c r="I171" s="10"/>
    </row>
    <row r="172" spans="1:9" ht="12.75" customHeight="1" x14ac:dyDescent="0.2">
      <c r="A172" s="17" t="s">
        <v>643</v>
      </c>
      <c r="B172" s="10">
        <v>1000079359</v>
      </c>
      <c r="C172" s="10" t="s">
        <v>470</v>
      </c>
      <c r="D172" s="29" t="s">
        <v>644</v>
      </c>
      <c r="E172" s="13">
        <v>4305.6000000000004</v>
      </c>
      <c r="F172" s="129">
        <v>60117896</v>
      </c>
      <c r="G172" s="10" t="s">
        <v>280</v>
      </c>
      <c r="H172" s="10" t="s">
        <v>176</v>
      </c>
      <c r="I172" s="10"/>
    </row>
    <row r="173" spans="1:9" ht="38.25" customHeight="1" x14ac:dyDescent="0.2">
      <c r="A173" s="17" t="s">
        <v>664</v>
      </c>
      <c r="B173" s="10">
        <v>1000095233</v>
      </c>
      <c r="C173" s="10" t="s">
        <v>470</v>
      </c>
      <c r="D173" s="36" t="s">
        <v>665</v>
      </c>
      <c r="E173" s="13">
        <v>6336</v>
      </c>
      <c r="F173" s="129">
        <v>60118180</v>
      </c>
      <c r="G173" s="10" t="s">
        <v>280</v>
      </c>
      <c r="H173" s="10" t="s">
        <v>136</v>
      </c>
      <c r="I173" s="10"/>
    </row>
    <row r="174" spans="1:9" ht="25.5" customHeight="1" x14ac:dyDescent="0.2">
      <c r="A174" s="17" t="s">
        <v>666</v>
      </c>
      <c r="B174" s="10">
        <v>1000095233</v>
      </c>
      <c r="C174" s="10" t="s">
        <v>470</v>
      </c>
      <c r="D174" s="36" t="s">
        <v>667</v>
      </c>
      <c r="E174" s="13">
        <v>3660</v>
      </c>
      <c r="F174" s="191">
        <v>60118181</v>
      </c>
      <c r="G174" s="10" t="s">
        <v>280</v>
      </c>
      <c r="H174" s="10" t="s">
        <v>572</v>
      </c>
      <c r="I174" s="10"/>
    </row>
    <row r="175" spans="1:9" ht="25.5" customHeight="1" x14ac:dyDescent="0.2">
      <c r="A175" s="17" t="s">
        <v>668</v>
      </c>
      <c r="B175" s="10">
        <v>1000095233</v>
      </c>
      <c r="C175" s="10" t="s">
        <v>470</v>
      </c>
      <c r="D175" s="36" t="s">
        <v>669</v>
      </c>
      <c r="E175" s="13">
        <v>2792.4</v>
      </c>
      <c r="F175" s="191">
        <v>60119507</v>
      </c>
      <c r="G175" s="10" t="s">
        <v>280</v>
      </c>
      <c r="H175" s="23" t="s">
        <v>136</v>
      </c>
      <c r="I175" s="10"/>
    </row>
    <row r="176" spans="1:9" ht="26.25" customHeight="1" x14ac:dyDescent="0.2">
      <c r="A176" s="17" t="s">
        <v>670</v>
      </c>
      <c r="B176" s="10">
        <v>1000095233</v>
      </c>
      <c r="C176" s="10" t="s">
        <v>470</v>
      </c>
      <c r="D176" s="36" t="s">
        <v>671</v>
      </c>
      <c r="E176" s="10">
        <v>644.4</v>
      </c>
      <c r="F176" s="129" t="s">
        <v>431</v>
      </c>
      <c r="G176" s="10" t="s">
        <v>280</v>
      </c>
      <c r="H176" s="10" t="s">
        <v>136</v>
      </c>
      <c r="I176" s="10"/>
    </row>
    <row r="177" spans="1:9" ht="51" customHeight="1" x14ac:dyDescent="0.2">
      <c r="A177" s="17" t="s">
        <v>672</v>
      </c>
      <c r="B177" s="10">
        <v>1000095233</v>
      </c>
      <c r="C177" s="10" t="s">
        <v>470</v>
      </c>
      <c r="D177" s="36" t="s">
        <v>673</v>
      </c>
      <c r="E177" s="13">
        <v>7165.8</v>
      </c>
      <c r="F177" s="129">
        <v>60119506</v>
      </c>
      <c r="G177" s="10" t="s">
        <v>280</v>
      </c>
      <c r="H177" s="10" t="s">
        <v>572</v>
      </c>
      <c r="I177" s="10"/>
    </row>
    <row r="178" spans="1:9" ht="25.5" customHeight="1" x14ac:dyDescent="0.2">
      <c r="A178" s="17" t="s">
        <v>674</v>
      </c>
      <c r="B178" s="10">
        <v>1000095233</v>
      </c>
      <c r="C178" s="10" t="s">
        <v>470</v>
      </c>
      <c r="D178" s="36" t="s">
        <v>675</v>
      </c>
      <c r="E178" s="13">
        <v>1288.8</v>
      </c>
      <c r="F178" s="129" t="s">
        <v>431</v>
      </c>
      <c r="G178" s="10" t="s">
        <v>280</v>
      </c>
      <c r="H178" s="10" t="s">
        <v>136</v>
      </c>
      <c r="I178" s="10"/>
    </row>
    <row r="179" spans="1:9" ht="38.25" customHeight="1" x14ac:dyDescent="0.2">
      <c r="A179" s="17" t="s">
        <v>676</v>
      </c>
      <c r="B179" s="10">
        <v>1000095233</v>
      </c>
      <c r="C179" s="10" t="s">
        <v>470</v>
      </c>
      <c r="D179" s="36" t="s">
        <v>677</v>
      </c>
      <c r="E179" s="13">
        <v>5584.8</v>
      </c>
      <c r="F179" s="129">
        <v>60118180</v>
      </c>
      <c r="G179" s="10" t="s">
        <v>280</v>
      </c>
      <c r="H179" s="10" t="s">
        <v>136</v>
      </c>
      <c r="I179" s="10"/>
    </row>
    <row r="180" spans="1:9" ht="36.75" customHeight="1" x14ac:dyDescent="0.2">
      <c r="A180" s="17" t="s">
        <v>678</v>
      </c>
      <c r="B180" s="10">
        <v>1000095233</v>
      </c>
      <c r="C180" s="10" t="s">
        <v>470</v>
      </c>
      <c r="D180" s="36" t="s">
        <v>679</v>
      </c>
      <c r="E180" s="13">
        <v>8870.4</v>
      </c>
      <c r="F180" s="129">
        <v>60118050</v>
      </c>
      <c r="G180" s="10" t="s">
        <v>280</v>
      </c>
      <c r="H180" s="10" t="s">
        <v>136</v>
      </c>
      <c r="I180" s="10"/>
    </row>
    <row r="181" spans="1:9" ht="12.75" customHeight="1" x14ac:dyDescent="0.2">
      <c r="A181" s="17" t="s">
        <v>680</v>
      </c>
      <c r="B181" s="10">
        <v>1000095233</v>
      </c>
      <c r="C181" s="10" t="s">
        <v>470</v>
      </c>
      <c r="D181" s="29" t="s">
        <v>681</v>
      </c>
      <c r="E181" s="13">
        <v>3564</v>
      </c>
      <c r="F181" s="129">
        <v>60118054</v>
      </c>
      <c r="G181" s="10" t="s">
        <v>280</v>
      </c>
      <c r="H181" s="10" t="s">
        <v>572</v>
      </c>
      <c r="I181" s="10"/>
    </row>
    <row r="182" spans="1:9" ht="12.75" customHeight="1" x14ac:dyDescent="0.2">
      <c r="A182" s="29" t="s">
        <v>682</v>
      </c>
      <c r="B182" s="10">
        <v>1000095233</v>
      </c>
      <c r="C182" s="10" t="s">
        <v>470</v>
      </c>
      <c r="D182" s="29" t="s">
        <v>683</v>
      </c>
      <c r="E182" s="13">
        <v>3140.4</v>
      </c>
      <c r="F182" s="129">
        <v>60119507</v>
      </c>
      <c r="G182" s="10" t="s">
        <v>280</v>
      </c>
      <c r="H182" s="10" t="s">
        <v>136</v>
      </c>
      <c r="I182" s="10"/>
    </row>
    <row r="183" spans="1:9" ht="12.75" customHeight="1" x14ac:dyDescent="0.2">
      <c r="A183" s="17" t="s">
        <v>684</v>
      </c>
      <c r="B183" s="10">
        <v>1000090711</v>
      </c>
      <c r="C183" s="10" t="s">
        <v>470</v>
      </c>
      <c r="D183" s="29" t="s">
        <v>685</v>
      </c>
      <c r="E183" s="10">
        <v>342</v>
      </c>
      <c r="F183" s="129">
        <v>60119507</v>
      </c>
      <c r="G183" s="10" t="s">
        <v>280</v>
      </c>
      <c r="H183" s="10" t="s">
        <v>136</v>
      </c>
      <c r="I183" s="10"/>
    </row>
    <row r="184" spans="1:9" ht="12.75" customHeight="1" x14ac:dyDescent="0.2">
      <c r="A184" s="10" t="s">
        <v>686</v>
      </c>
      <c r="B184" s="10">
        <v>1000079359</v>
      </c>
      <c r="C184" s="10" t="s">
        <v>470</v>
      </c>
      <c r="D184" s="29" t="s">
        <v>687</v>
      </c>
      <c r="E184" s="17">
        <v>8580</v>
      </c>
      <c r="F184" s="129">
        <v>60117895</v>
      </c>
      <c r="G184" s="10" t="s">
        <v>280</v>
      </c>
      <c r="H184" s="10" t="s">
        <v>176</v>
      </c>
      <c r="I184" s="10"/>
    </row>
    <row r="185" spans="1:9" ht="12.75" customHeight="1" x14ac:dyDescent="0.2">
      <c r="A185" s="10" t="s">
        <v>704</v>
      </c>
      <c r="B185" s="10">
        <v>1000083056</v>
      </c>
      <c r="C185" s="10" t="s">
        <v>471</v>
      </c>
      <c r="D185" s="29" t="s">
        <v>705</v>
      </c>
      <c r="E185" s="85">
        <v>5874</v>
      </c>
      <c r="F185" s="191" t="s">
        <v>431</v>
      </c>
      <c r="G185" s="10" t="s">
        <v>280</v>
      </c>
      <c r="H185" s="23" t="s">
        <v>176</v>
      </c>
      <c r="I185" s="10"/>
    </row>
    <row r="186" spans="1:9" ht="25.5" customHeight="1" x14ac:dyDescent="0.2">
      <c r="A186" s="10" t="s">
        <v>702</v>
      </c>
      <c r="B186" s="10">
        <v>1000083056</v>
      </c>
      <c r="C186" s="10" t="s">
        <v>471</v>
      </c>
      <c r="D186" s="36" t="s">
        <v>703</v>
      </c>
      <c r="E186" s="85">
        <v>4296</v>
      </c>
      <c r="F186" s="191">
        <v>60121055</v>
      </c>
      <c r="G186" s="10" t="s">
        <v>280</v>
      </c>
      <c r="H186" s="23" t="s">
        <v>176</v>
      </c>
      <c r="I186" s="10"/>
    </row>
    <row r="187" spans="1:9" ht="12.75" customHeight="1" x14ac:dyDescent="0.2">
      <c r="A187" s="10" t="s">
        <v>706</v>
      </c>
      <c r="B187" s="10">
        <v>1000083056</v>
      </c>
      <c r="C187" s="10" t="s">
        <v>471</v>
      </c>
      <c r="D187" s="29" t="s">
        <v>707</v>
      </c>
      <c r="E187" s="85">
        <v>31776</v>
      </c>
      <c r="F187" s="191">
        <v>60110563</v>
      </c>
      <c r="G187" s="10" t="s">
        <v>280</v>
      </c>
      <c r="H187" s="23" t="s">
        <v>171</v>
      </c>
      <c r="I187" s="10"/>
    </row>
    <row r="188" spans="1:9" ht="38.25" customHeight="1" x14ac:dyDescent="0.2">
      <c r="A188" s="23" t="s">
        <v>708</v>
      </c>
      <c r="B188" s="10">
        <v>1000083056</v>
      </c>
      <c r="C188" s="10" t="s">
        <v>471</v>
      </c>
      <c r="D188" s="36" t="s">
        <v>725</v>
      </c>
      <c r="E188" s="85">
        <v>101460</v>
      </c>
      <c r="F188" s="191">
        <v>60110560</v>
      </c>
      <c r="G188" s="10" t="s">
        <v>280</v>
      </c>
      <c r="H188" s="23" t="s">
        <v>161</v>
      </c>
      <c r="I188" s="10"/>
    </row>
    <row r="189" spans="1:9" ht="12.75" customHeight="1" x14ac:dyDescent="0.2">
      <c r="A189" s="10" t="s">
        <v>710</v>
      </c>
      <c r="B189" s="10">
        <v>1000083056</v>
      </c>
      <c r="C189" s="10" t="s">
        <v>471</v>
      </c>
      <c r="D189" s="29" t="s">
        <v>709</v>
      </c>
      <c r="E189" s="85">
        <v>27115.200000000001</v>
      </c>
      <c r="F189" s="191">
        <v>60113270</v>
      </c>
      <c r="G189" s="10" t="s">
        <v>280</v>
      </c>
      <c r="H189" s="23" t="s">
        <v>176</v>
      </c>
      <c r="I189" s="10"/>
    </row>
    <row r="190" spans="1:9" ht="12.75" customHeight="1" x14ac:dyDescent="0.2">
      <c r="A190" s="10" t="s">
        <v>711</v>
      </c>
      <c r="B190" s="10">
        <v>1000083056</v>
      </c>
      <c r="C190" s="10" t="s">
        <v>471</v>
      </c>
      <c r="D190" s="29" t="s">
        <v>712</v>
      </c>
      <c r="E190" s="85">
        <v>34747.199999999997</v>
      </c>
      <c r="F190" s="191">
        <v>60113305</v>
      </c>
      <c r="G190" s="10" t="s">
        <v>280</v>
      </c>
      <c r="H190" s="23" t="s">
        <v>171</v>
      </c>
      <c r="I190" s="10"/>
    </row>
    <row r="191" spans="1:9" ht="12.75" customHeight="1" x14ac:dyDescent="0.2">
      <c r="A191" s="23" t="s">
        <v>715</v>
      </c>
      <c r="B191" s="10">
        <v>1000083056</v>
      </c>
      <c r="C191" s="10" t="s">
        <v>471</v>
      </c>
      <c r="D191" s="29" t="s">
        <v>716</v>
      </c>
      <c r="E191" s="85">
        <v>27480</v>
      </c>
      <c r="F191" s="191">
        <v>60114494</v>
      </c>
      <c r="G191" s="10" t="s">
        <v>280</v>
      </c>
      <c r="H191" s="23" t="s">
        <v>176</v>
      </c>
      <c r="I191" s="10"/>
    </row>
    <row r="192" spans="1:9" ht="25.5" customHeight="1" x14ac:dyDescent="0.2">
      <c r="A192" s="10" t="s">
        <v>717</v>
      </c>
      <c r="B192" s="10">
        <v>1000083056</v>
      </c>
      <c r="C192" s="10" t="s">
        <v>471</v>
      </c>
      <c r="D192" s="36" t="s">
        <v>718</v>
      </c>
      <c r="E192" s="85">
        <v>7776</v>
      </c>
      <c r="F192" s="191">
        <v>60116756</v>
      </c>
      <c r="G192" s="10" t="s">
        <v>280</v>
      </c>
      <c r="H192" s="23" t="s">
        <v>176</v>
      </c>
      <c r="I192" s="10"/>
    </row>
    <row r="193" spans="1:9" ht="12.75" customHeight="1" x14ac:dyDescent="0.2">
      <c r="A193" s="10" t="s">
        <v>719</v>
      </c>
      <c r="B193" s="10">
        <v>1000083056</v>
      </c>
      <c r="C193" s="10" t="s">
        <v>471</v>
      </c>
      <c r="D193" s="29" t="s">
        <v>720</v>
      </c>
      <c r="E193" s="85">
        <v>31776</v>
      </c>
      <c r="F193" s="191">
        <v>60116922</v>
      </c>
      <c r="G193" s="10" t="s">
        <v>280</v>
      </c>
      <c r="H193" s="15" t="s">
        <v>727</v>
      </c>
      <c r="I193" s="10"/>
    </row>
    <row r="194" spans="1:9" ht="12.75" customHeight="1" x14ac:dyDescent="0.2">
      <c r="A194" s="10" t="s">
        <v>721</v>
      </c>
      <c r="B194" s="10">
        <v>1000083056</v>
      </c>
      <c r="C194" s="10" t="s">
        <v>471</v>
      </c>
      <c r="D194" s="29" t="s">
        <v>722</v>
      </c>
      <c r="E194" s="85">
        <v>10320</v>
      </c>
      <c r="F194" s="191">
        <v>60118450</v>
      </c>
      <c r="G194" s="10" t="s">
        <v>280</v>
      </c>
      <c r="H194" s="23" t="s">
        <v>171</v>
      </c>
      <c r="I194" s="10"/>
    </row>
    <row r="195" spans="1:9" ht="12.75" customHeight="1" x14ac:dyDescent="0.2">
      <c r="A195" s="10" t="s">
        <v>723</v>
      </c>
      <c r="B195" s="10">
        <v>1000083056</v>
      </c>
      <c r="C195" s="10" t="s">
        <v>471</v>
      </c>
      <c r="D195" s="29" t="s">
        <v>724</v>
      </c>
      <c r="E195" s="85">
        <v>12072</v>
      </c>
      <c r="F195" s="191">
        <v>60119581</v>
      </c>
      <c r="G195" s="10" t="s">
        <v>280</v>
      </c>
      <c r="H195" s="15" t="s">
        <v>727</v>
      </c>
      <c r="I195" s="10"/>
    </row>
    <row r="196" spans="1:9" ht="12.75" customHeight="1" x14ac:dyDescent="0.2">
      <c r="A196" s="17" t="s">
        <v>713</v>
      </c>
      <c r="B196" s="10">
        <v>1000092572</v>
      </c>
      <c r="C196" s="10" t="s">
        <v>471</v>
      </c>
      <c r="D196" s="29" t="s">
        <v>714</v>
      </c>
      <c r="E196" s="85">
        <v>20150.400000000001</v>
      </c>
      <c r="F196" s="191">
        <v>60114312</v>
      </c>
      <c r="G196" s="10" t="s">
        <v>280</v>
      </c>
      <c r="H196" s="23" t="s">
        <v>136</v>
      </c>
      <c r="I196" s="10"/>
    </row>
    <row r="197" spans="1:9" ht="12.75" customHeight="1" x14ac:dyDescent="0.2">
      <c r="A197" s="10" t="s">
        <v>728</v>
      </c>
      <c r="B197" s="10">
        <v>1000079359</v>
      </c>
      <c r="C197" s="10" t="s">
        <v>471</v>
      </c>
      <c r="D197" s="29" t="s">
        <v>729</v>
      </c>
      <c r="E197" s="85">
        <v>3610.8</v>
      </c>
      <c r="F197" s="129">
        <v>60116758</v>
      </c>
      <c r="G197" s="10" t="s">
        <v>280</v>
      </c>
      <c r="H197" s="10" t="s">
        <v>161</v>
      </c>
      <c r="I197" s="10"/>
    </row>
    <row r="198" spans="1:9" ht="12.75" customHeight="1" x14ac:dyDescent="0.2">
      <c r="A198" s="10" t="s">
        <v>754</v>
      </c>
      <c r="B198" s="10">
        <v>1000079359</v>
      </c>
      <c r="C198" s="10" t="s">
        <v>471</v>
      </c>
      <c r="D198" s="29" t="s">
        <v>755</v>
      </c>
      <c r="E198" s="85">
        <v>10173.6</v>
      </c>
      <c r="F198" s="129">
        <v>60116757</v>
      </c>
      <c r="G198" s="10" t="s">
        <v>280</v>
      </c>
      <c r="H198" s="10" t="s">
        <v>216</v>
      </c>
      <c r="I198" s="10"/>
    </row>
    <row r="199" spans="1:9" ht="12.75" customHeight="1" x14ac:dyDescent="0.2">
      <c r="A199" s="10" t="s">
        <v>730</v>
      </c>
      <c r="B199" s="10">
        <v>1000079359</v>
      </c>
      <c r="C199" s="10" t="s">
        <v>471</v>
      </c>
      <c r="D199" s="29" t="s">
        <v>731</v>
      </c>
      <c r="E199" s="85">
        <v>12936</v>
      </c>
      <c r="F199" s="129">
        <v>60110562</v>
      </c>
      <c r="G199" s="10" t="s">
        <v>280</v>
      </c>
      <c r="H199" s="10" t="s">
        <v>176</v>
      </c>
      <c r="I199" s="10"/>
    </row>
    <row r="200" spans="1:9" ht="12.75" customHeight="1" x14ac:dyDescent="0.2">
      <c r="A200" s="10" t="s">
        <v>733</v>
      </c>
      <c r="B200" s="10">
        <v>1000079359</v>
      </c>
      <c r="C200" s="10" t="s">
        <v>471</v>
      </c>
      <c r="D200" s="29" t="s">
        <v>732</v>
      </c>
      <c r="E200" s="85">
        <v>1695.6</v>
      </c>
      <c r="F200" s="129">
        <v>60115350</v>
      </c>
      <c r="G200" s="10" t="s">
        <v>280</v>
      </c>
      <c r="H200" s="10" t="s">
        <v>216</v>
      </c>
      <c r="I200" s="10"/>
    </row>
    <row r="201" spans="1:9" ht="12.75" customHeight="1" x14ac:dyDescent="0.2">
      <c r="A201" s="10" t="s">
        <v>734</v>
      </c>
      <c r="B201" s="10">
        <v>1000079359</v>
      </c>
      <c r="C201" s="10" t="s">
        <v>471</v>
      </c>
      <c r="D201" s="29" t="s">
        <v>732</v>
      </c>
      <c r="E201" s="85">
        <v>7912.8</v>
      </c>
      <c r="F201" s="129">
        <v>60120608</v>
      </c>
      <c r="G201" s="10" t="s">
        <v>280</v>
      </c>
      <c r="H201" s="10" t="s">
        <v>216</v>
      </c>
      <c r="I201" s="10"/>
    </row>
    <row r="202" spans="1:9" ht="12.75" customHeight="1" x14ac:dyDescent="0.2">
      <c r="A202" s="10" t="s">
        <v>756</v>
      </c>
      <c r="B202" s="10">
        <v>1000079359</v>
      </c>
      <c r="C202" s="10" t="s">
        <v>471</v>
      </c>
      <c r="D202" s="29" t="s">
        <v>757</v>
      </c>
      <c r="E202" s="85">
        <v>9369.6</v>
      </c>
      <c r="F202" s="129">
        <v>60114493</v>
      </c>
      <c r="G202" s="10" t="s">
        <v>280</v>
      </c>
      <c r="H202" s="10" t="s">
        <v>176</v>
      </c>
      <c r="I202" s="10"/>
    </row>
    <row r="203" spans="1:9" ht="12.75" customHeight="1" x14ac:dyDescent="0.2">
      <c r="A203" s="10" t="s">
        <v>735</v>
      </c>
      <c r="B203" s="10">
        <v>1000079359</v>
      </c>
      <c r="C203" s="10" t="s">
        <v>471</v>
      </c>
      <c r="D203" s="29" t="s">
        <v>736</v>
      </c>
      <c r="E203" s="86">
        <v>12289.2</v>
      </c>
      <c r="F203" s="191">
        <v>60116583</v>
      </c>
      <c r="G203" s="23" t="s">
        <v>280</v>
      </c>
      <c r="H203" s="23" t="s">
        <v>534</v>
      </c>
      <c r="I203" s="10"/>
    </row>
    <row r="204" spans="1:9" ht="12.75" customHeight="1" x14ac:dyDescent="0.2">
      <c r="A204" s="10" t="s">
        <v>766</v>
      </c>
      <c r="B204" s="10">
        <v>1000079359</v>
      </c>
      <c r="C204" s="10" t="s">
        <v>471</v>
      </c>
      <c r="D204" s="29" t="s">
        <v>767</v>
      </c>
      <c r="E204" s="85">
        <v>9547.2000000000007</v>
      </c>
      <c r="F204" s="129">
        <v>60110561</v>
      </c>
      <c r="G204" s="10" t="s">
        <v>280</v>
      </c>
      <c r="H204" s="10" t="s">
        <v>176</v>
      </c>
      <c r="I204" s="10"/>
    </row>
    <row r="205" spans="1:9" ht="12.75" customHeight="1" x14ac:dyDescent="0.2">
      <c r="A205" s="10" t="s">
        <v>758</v>
      </c>
      <c r="B205" s="10">
        <v>1000079359</v>
      </c>
      <c r="C205" s="10" t="s">
        <v>471</v>
      </c>
      <c r="D205" s="29" t="s">
        <v>759</v>
      </c>
      <c r="E205" s="85">
        <v>21840</v>
      </c>
      <c r="F205" s="191" t="s">
        <v>431</v>
      </c>
      <c r="G205" s="10" t="s">
        <v>280</v>
      </c>
      <c r="H205" s="10" t="s">
        <v>176</v>
      </c>
      <c r="I205" s="10"/>
    </row>
    <row r="206" spans="1:9" ht="12.75" customHeight="1" x14ac:dyDescent="0.2">
      <c r="A206" s="10" t="s">
        <v>737</v>
      </c>
      <c r="B206" s="10">
        <v>1000079359</v>
      </c>
      <c r="C206" s="10" t="s">
        <v>471</v>
      </c>
      <c r="D206" s="29" t="s">
        <v>738</v>
      </c>
      <c r="E206" s="85">
        <v>5364</v>
      </c>
      <c r="F206" s="129">
        <v>60117892</v>
      </c>
      <c r="G206" s="10" t="s">
        <v>280</v>
      </c>
      <c r="H206" s="23" t="s">
        <v>534</v>
      </c>
      <c r="I206" s="10"/>
    </row>
    <row r="207" spans="1:9" ht="12.75" customHeight="1" x14ac:dyDescent="0.2">
      <c r="A207" s="10" t="s">
        <v>741</v>
      </c>
      <c r="B207" s="10">
        <v>1000079359</v>
      </c>
      <c r="C207" s="10" t="s">
        <v>471</v>
      </c>
      <c r="D207" s="29" t="s">
        <v>738</v>
      </c>
      <c r="E207" s="85">
        <v>5364</v>
      </c>
      <c r="F207" s="129">
        <v>60117893</v>
      </c>
      <c r="G207" s="10" t="s">
        <v>280</v>
      </c>
      <c r="H207" s="23" t="s">
        <v>534</v>
      </c>
      <c r="I207" s="10"/>
    </row>
    <row r="208" spans="1:9" ht="12.75" customHeight="1" x14ac:dyDescent="0.2">
      <c r="A208" s="10" t="s">
        <v>739</v>
      </c>
      <c r="B208" s="10">
        <v>1000079359</v>
      </c>
      <c r="C208" s="10" t="s">
        <v>471</v>
      </c>
      <c r="D208" s="29" t="s">
        <v>740</v>
      </c>
      <c r="E208" s="85">
        <v>10191.6</v>
      </c>
      <c r="F208" s="129">
        <v>60120609</v>
      </c>
      <c r="G208" s="10" t="s">
        <v>280</v>
      </c>
      <c r="H208" s="10" t="s">
        <v>211</v>
      </c>
      <c r="I208" s="10"/>
    </row>
    <row r="209" spans="1:9" ht="12.75" customHeight="1" x14ac:dyDescent="0.2">
      <c r="A209" s="10" t="s">
        <v>742</v>
      </c>
      <c r="B209" s="10">
        <v>1000079359</v>
      </c>
      <c r="C209" s="10" t="s">
        <v>471</v>
      </c>
      <c r="D209" s="29" t="s">
        <v>743</v>
      </c>
      <c r="E209" s="85">
        <v>10728</v>
      </c>
      <c r="F209" s="129">
        <v>60107874</v>
      </c>
      <c r="G209" s="10" t="s">
        <v>280</v>
      </c>
      <c r="H209" s="10" t="s">
        <v>211</v>
      </c>
      <c r="I209" s="10"/>
    </row>
    <row r="210" spans="1:9" ht="12.75" customHeight="1" x14ac:dyDescent="0.2">
      <c r="A210" s="23" t="s">
        <v>760</v>
      </c>
      <c r="B210" s="10">
        <v>1000079359</v>
      </c>
      <c r="C210" s="10" t="s">
        <v>471</v>
      </c>
      <c r="D210" s="29" t="s">
        <v>761</v>
      </c>
      <c r="E210" s="85">
        <v>11712</v>
      </c>
      <c r="F210" s="129">
        <v>60115142</v>
      </c>
      <c r="G210" s="10" t="s">
        <v>92</v>
      </c>
      <c r="H210" s="10" t="s">
        <v>161</v>
      </c>
      <c r="I210" s="10"/>
    </row>
    <row r="211" spans="1:9" ht="12.75" customHeight="1" x14ac:dyDescent="0.2">
      <c r="A211" s="29" t="s">
        <v>784</v>
      </c>
      <c r="B211" s="10">
        <v>1000079359</v>
      </c>
      <c r="C211" s="10" t="s">
        <v>471</v>
      </c>
      <c r="D211" s="29" t="s">
        <v>787</v>
      </c>
      <c r="E211" s="86">
        <v>9369.6</v>
      </c>
      <c r="F211" s="191">
        <v>60115142</v>
      </c>
      <c r="G211" s="23" t="s">
        <v>280</v>
      </c>
      <c r="H211" s="23" t="s">
        <v>161</v>
      </c>
      <c r="I211" s="10">
        <f>E211/1.2</f>
        <v>7808.0000000000009</v>
      </c>
    </row>
    <row r="212" spans="1:9" ht="12.75" customHeight="1" x14ac:dyDescent="0.2">
      <c r="A212" s="29" t="s">
        <v>785</v>
      </c>
      <c r="B212" s="10">
        <v>1000079359</v>
      </c>
      <c r="C212" s="10" t="s">
        <v>471</v>
      </c>
      <c r="D212" s="29" t="s">
        <v>786</v>
      </c>
      <c r="E212" s="85">
        <v>2342.4</v>
      </c>
      <c r="F212" s="129">
        <v>60115142</v>
      </c>
      <c r="G212" s="10" t="s">
        <v>280</v>
      </c>
      <c r="H212" s="10" t="s">
        <v>161</v>
      </c>
      <c r="I212" s="10">
        <f>E212/1.2</f>
        <v>1952.0000000000002</v>
      </c>
    </row>
    <row r="213" spans="1:9" ht="12.75" customHeight="1" x14ac:dyDescent="0.2">
      <c r="A213" s="17" t="s">
        <v>789</v>
      </c>
      <c r="B213" s="10">
        <v>1000079359</v>
      </c>
      <c r="C213" s="10" t="s">
        <v>471</v>
      </c>
      <c r="D213" s="29" t="s">
        <v>788</v>
      </c>
      <c r="E213" s="85">
        <v>2342.4</v>
      </c>
      <c r="F213" s="129">
        <v>60122896</v>
      </c>
      <c r="G213" s="10" t="s">
        <v>280</v>
      </c>
      <c r="H213" s="10" t="s">
        <v>161</v>
      </c>
      <c r="I213" s="10"/>
    </row>
    <row r="214" spans="1:9" ht="12.75" customHeight="1" x14ac:dyDescent="0.2">
      <c r="A214" s="10" t="s">
        <v>744</v>
      </c>
      <c r="B214" s="10">
        <v>1000079359</v>
      </c>
      <c r="C214" s="10" t="s">
        <v>471</v>
      </c>
      <c r="D214" s="29" t="s">
        <v>745</v>
      </c>
      <c r="E214" s="86">
        <v>4514.3999999999996</v>
      </c>
      <c r="F214" s="191">
        <v>60115797</v>
      </c>
      <c r="G214" s="23" t="s">
        <v>280</v>
      </c>
      <c r="H214" s="23" t="s">
        <v>539</v>
      </c>
      <c r="I214" s="10"/>
    </row>
    <row r="215" spans="1:9" ht="12.75" customHeight="1" x14ac:dyDescent="0.2">
      <c r="A215" s="10" t="s">
        <v>746</v>
      </c>
      <c r="B215" s="10">
        <v>1000079359</v>
      </c>
      <c r="C215" s="10" t="s">
        <v>471</v>
      </c>
      <c r="D215" s="29" t="s">
        <v>747</v>
      </c>
      <c r="E215" s="85">
        <v>1572</v>
      </c>
      <c r="F215" s="129">
        <v>60120607</v>
      </c>
      <c r="G215" s="10" t="s">
        <v>280</v>
      </c>
      <c r="H215" s="10" t="s">
        <v>216</v>
      </c>
      <c r="I215" s="10"/>
    </row>
    <row r="216" spans="1:9" ht="12.75" customHeight="1" x14ac:dyDescent="0.2">
      <c r="A216" s="10" t="s">
        <v>748</v>
      </c>
      <c r="B216" s="10">
        <v>1000079359</v>
      </c>
      <c r="C216" s="10" t="s">
        <v>471</v>
      </c>
      <c r="D216" s="29" t="s">
        <v>749</v>
      </c>
      <c r="E216" s="85">
        <v>11712</v>
      </c>
      <c r="F216" s="129">
        <v>60116901</v>
      </c>
      <c r="G216" s="10" t="s">
        <v>280</v>
      </c>
      <c r="H216" s="10" t="s">
        <v>534</v>
      </c>
      <c r="I216" s="10"/>
    </row>
    <row r="217" spans="1:9" ht="12.75" customHeight="1" x14ac:dyDescent="0.2">
      <c r="A217" s="23" t="s">
        <v>762</v>
      </c>
      <c r="B217" s="10">
        <v>1000079359</v>
      </c>
      <c r="C217" s="10" t="s">
        <v>471</v>
      </c>
      <c r="D217" s="29" t="s">
        <v>763</v>
      </c>
      <c r="E217" s="85">
        <v>8622</v>
      </c>
      <c r="F217" s="191">
        <v>60123527</v>
      </c>
      <c r="G217" s="10" t="s">
        <v>280</v>
      </c>
      <c r="H217" s="10" t="s">
        <v>176</v>
      </c>
      <c r="I217" s="10"/>
    </row>
    <row r="218" spans="1:9" ht="12.75" customHeight="1" x14ac:dyDescent="0.2">
      <c r="A218" s="10" t="s">
        <v>750</v>
      </c>
      <c r="B218" s="10">
        <v>1000079359</v>
      </c>
      <c r="C218" s="10" t="s">
        <v>471</v>
      </c>
      <c r="D218" s="29" t="s">
        <v>751</v>
      </c>
      <c r="E218" s="85">
        <v>10728</v>
      </c>
      <c r="F218" s="129">
        <v>60115166</v>
      </c>
      <c r="G218" s="10" t="s">
        <v>280</v>
      </c>
      <c r="H218" s="10" t="s">
        <v>176</v>
      </c>
      <c r="I218" s="10"/>
    </row>
    <row r="219" spans="1:9" ht="12.75" customHeight="1" x14ac:dyDescent="0.2">
      <c r="A219" s="10" t="s">
        <v>752</v>
      </c>
      <c r="B219" s="10">
        <v>1000079359</v>
      </c>
      <c r="C219" s="10" t="s">
        <v>471</v>
      </c>
      <c r="D219" s="29" t="s">
        <v>753</v>
      </c>
      <c r="E219" s="85">
        <v>3369.6</v>
      </c>
      <c r="F219" s="129">
        <v>60116349</v>
      </c>
      <c r="G219" s="10" t="s">
        <v>92</v>
      </c>
      <c r="H219" s="10" t="s">
        <v>211</v>
      </c>
      <c r="I219" s="10"/>
    </row>
    <row r="220" spans="1:9" ht="12.75" customHeight="1" x14ac:dyDescent="0.2">
      <c r="A220" s="10" t="s">
        <v>1015</v>
      </c>
      <c r="B220" s="10">
        <v>1000079359</v>
      </c>
      <c r="C220" s="10" t="s">
        <v>471</v>
      </c>
      <c r="D220" s="29" t="s">
        <v>753</v>
      </c>
      <c r="E220" s="85">
        <v>1674</v>
      </c>
      <c r="F220" s="129">
        <v>60116349</v>
      </c>
      <c r="G220" s="10" t="s">
        <v>280</v>
      </c>
      <c r="H220" s="10" t="s">
        <v>211</v>
      </c>
      <c r="I220" s="10"/>
    </row>
    <row r="221" spans="1:9" ht="12.75" customHeight="1" x14ac:dyDescent="0.2">
      <c r="A221" s="10" t="s">
        <v>764</v>
      </c>
      <c r="B221" s="10">
        <v>1000079359</v>
      </c>
      <c r="C221" s="10" t="s">
        <v>471</v>
      </c>
      <c r="D221" s="29" t="s">
        <v>765</v>
      </c>
      <c r="E221" s="85">
        <v>3182.4</v>
      </c>
      <c r="F221" s="129">
        <v>60117896</v>
      </c>
      <c r="G221" s="10" t="s">
        <v>280</v>
      </c>
      <c r="H221" s="10" t="s">
        <v>176</v>
      </c>
      <c r="I221" s="10"/>
    </row>
    <row r="222" spans="1:9" ht="12.75" customHeight="1" x14ac:dyDescent="0.2">
      <c r="A222" s="10" t="s">
        <v>768</v>
      </c>
      <c r="B222" s="10">
        <v>1000090711</v>
      </c>
      <c r="C222" s="10" t="s">
        <v>471</v>
      </c>
      <c r="D222" s="29" t="s">
        <v>769</v>
      </c>
      <c r="E222" s="10">
        <v>936</v>
      </c>
      <c r="F222" s="191" t="s">
        <v>431</v>
      </c>
      <c r="G222" s="10" t="s">
        <v>280</v>
      </c>
      <c r="H222" s="10" t="s">
        <v>136</v>
      </c>
      <c r="I222" s="10"/>
    </row>
    <row r="223" spans="1:9" ht="12.75" customHeight="1" x14ac:dyDescent="0.2">
      <c r="A223" s="10" t="s">
        <v>771</v>
      </c>
      <c r="B223" s="10">
        <v>1000090711</v>
      </c>
      <c r="C223" s="10" t="s">
        <v>471</v>
      </c>
      <c r="D223" s="29" t="s">
        <v>770</v>
      </c>
      <c r="E223" s="13">
        <v>1872</v>
      </c>
      <c r="F223" s="191" t="s">
        <v>431</v>
      </c>
      <c r="G223" s="10" t="s">
        <v>280</v>
      </c>
      <c r="H223" s="10" t="s">
        <v>136</v>
      </c>
      <c r="I223" s="10"/>
    </row>
    <row r="224" spans="1:9" ht="12.75" customHeight="1" x14ac:dyDescent="0.2">
      <c r="A224" s="10" t="s">
        <v>773</v>
      </c>
      <c r="B224" s="10">
        <v>1000095233</v>
      </c>
      <c r="C224" s="10" t="s">
        <v>471</v>
      </c>
      <c r="D224" s="29" t="s">
        <v>774</v>
      </c>
      <c r="E224" s="13">
        <v>2049.6</v>
      </c>
      <c r="F224" s="191">
        <v>60118181</v>
      </c>
      <c r="G224" s="10" t="s">
        <v>280</v>
      </c>
      <c r="H224" s="10" t="s">
        <v>572</v>
      </c>
      <c r="I224" s="10"/>
    </row>
    <row r="225" spans="1:9" ht="12.75" customHeight="1" x14ac:dyDescent="0.2">
      <c r="A225" s="17" t="s">
        <v>781</v>
      </c>
      <c r="B225" s="10">
        <v>1000095233</v>
      </c>
      <c r="C225" s="10" t="s">
        <v>471</v>
      </c>
      <c r="D225" s="29" t="s">
        <v>772</v>
      </c>
      <c r="E225" s="13">
        <v>5150.3999999999996</v>
      </c>
      <c r="F225" s="129">
        <v>60119506</v>
      </c>
      <c r="G225" s="10" t="s">
        <v>280</v>
      </c>
      <c r="H225" s="10" t="s">
        <v>572</v>
      </c>
      <c r="I225" s="10"/>
    </row>
    <row r="226" spans="1:9" ht="12.75" customHeight="1" x14ac:dyDescent="0.2">
      <c r="A226" s="10" t="s">
        <v>775</v>
      </c>
      <c r="B226" s="10">
        <v>1000095233</v>
      </c>
      <c r="C226" s="10" t="s">
        <v>471</v>
      </c>
      <c r="D226" s="29" t="s">
        <v>776</v>
      </c>
      <c r="E226" s="13">
        <v>4514.3999999999996</v>
      </c>
      <c r="F226" s="129">
        <v>60118054</v>
      </c>
      <c r="G226" s="10" t="s">
        <v>280</v>
      </c>
      <c r="H226" s="10" t="s">
        <v>572</v>
      </c>
      <c r="I226" s="10"/>
    </row>
    <row r="227" spans="1:9" ht="12.75" customHeight="1" x14ac:dyDescent="0.2">
      <c r="A227" s="10" t="s">
        <v>777</v>
      </c>
      <c r="B227" s="10">
        <v>1000095634</v>
      </c>
      <c r="C227" s="10" t="s">
        <v>471</v>
      </c>
      <c r="D227" s="29" t="s">
        <v>778</v>
      </c>
      <c r="E227" s="13">
        <v>7561.68</v>
      </c>
      <c r="F227" s="129">
        <v>60118058</v>
      </c>
      <c r="G227" s="10" t="s">
        <v>280</v>
      </c>
      <c r="H227" s="10" t="s">
        <v>522</v>
      </c>
      <c r="I227" s="10"/>
    </row>
    <row r="228" spans="1:9" ht="12.75" customHeight="1" x14ac:dyDescent="0.2">
      <c r="A228" s="10" t="s">
        <v>779</v>
      </c>
      <c r="B228" s="10">
        <v>1000095634</v>
      </c>
      <c r="C228" s="10" t="s">
        <v>471</v>
      </c>
      <c r="D228" s="29" t="s">
        <v>780</v>
      </c>
      <c r="E228" s="39">
        <v>14484</v>
      </c>
      <c r="F228" s="191">
        <v>60119573</v>
      </c>
      <c r="G228" s="10" t="s">
        <v>280</v>
      </c>
      <c r="H228" s="10" t="s">
        <v>522</v>
      </c>
      <c r="I228" s="10"/>
    </row>
    <row r="229" spans="1:9" ht="12.75" customHeight="1" x14ac:dyDescent="0.2">
      <c r="A229" s="17" t="s">
        <v>783</v>
      </c>
      <c r="B229" s="10">
        <v>1000079359</v>
      </c>
      <c r="C229" s="10" t="s">
        <v>471</v>
      </c>
      <c r="D229" s="29" t="s">
        <v>782</v>
      </c>
      <c r="E229" s="85">
        <v>1260</v>
      </c>
      <c r="F229" s="191" t="s">
        <v>431</v>
      </c>
      <c r="G229" s="10" t="s">
        <v>280</v>
      </c>
      <c r="H229" s="10" t="s">
        <v>176</v>
      </c>
      <c r="I229" s="10"/>
    </row>
    <row r="230" spans="1:9" s="22" customFormat="1" ht="12.75" customHeight="1" x14ac:dyDescent="0.2">
      <c r="A230" s="17" t="s">
        <v>1003</v>
      </c>
      <c r="B230" s="17">
        <v>1000083056</v>
      </c>
      <c r="C230" s="17" t="s">
        <v>471</v>
      </c>
      <c r="D230" s="29" t="s">
        <v>1004</v>
      </c>
      <c r="E230" s="17">
        <v>1135.2</v>
      </c>
      <c r="F230" s="449">
        <v>60124748</v>
      </c>
      <c r="G230" s="17" t="s">
        <v>280</v>
      </c>
      <c r="H230" s="17" t="s">
        <v>727</v>
      </c>
      <c r="I230" s="17"/>
    </row>
    <row r="231" spans="1:9" ht="12.75" customHeight="1" x14ac:dyDescent="0.2">
      <c r="A231" s="17" t="s">
        <v>790</v>
      </c>
      <c r="B231" s="10">
        <v>1000083056</v>
      </c>
      <c r="C231" s="10" t="s">
        <v>471</v>
      </c>
      <c r="D231" s="36" t="s">
        <v>791</v>
      </c>
      <c r="E231" s="13">
        <v>14940</v>
      </c>
      <c r="F231" s="129" t="s">
        <v>431</v>
      </c>
      <c r="G231" s="10" t="s">
        <v>280</v>
      </c>
      <c r="H231" s="10" t="s">
        <v>176</v>
      </c>
      <c r="I231" s="10"/>
    </row>
    <row r="232" spans="1:9" ht="12.75" customHeight="1" x14ac:dyDescent="0.2">
      <c r="A232" s="17" t="s">
        <v>792</v>
      </c>
      <c r="B232" s="10">
        <v>1000090711</v>
      </c>
      <c r="C232" s="10" t="s">
        <v>472</v>
      </c>
      <c r="D232" s="36" t="s">
        <v>793</v>
      </c>
      <c r="E232" s="13">
        <v>1872</v>
      </c>
      <c r="F232" s="129">
        <v>60122895</v>
      </c>
      <c r="G232" s="10" t="s">
        <v>280</v>
      </c>
      <c r="H232" s="10" t="s">
        <v>136</v>
      </c>
      <c r="I232" s="10"/>
    </row>
    <row r="233" spans="1:9" ht="38.25" customHeight="1" x14ac:dyDescent="0.2">
      <c r="A233" s="23" t="s">
        <v>801</v>
      </c>
      <c r="B233" s="10">
        <v>1000083056</v>
      </c>
      <c r="C233" s="10" t="s">
        <v>472</v>
      </c>
      <c r="D233" s="28" t="s">
        <v>809</v>
      </c>
      <c r="E233" s="13">
        <v>101460</v>
      </c>
      <c r="F233" s="191">
        <v>60110560</v>
      </c>
      <c r="G233" s="23" t="s">
        <v>280</v>
      </c>
      <c r="H233" s="23" t="s">
        <v>161</v>
      </c>
      <c r="I233" s="10"/>
    </row>
    <row r="234" spans="1:9" ht="12.75" customHeight="1" x14ac:dyDescent="0.2">
      <c r="A234" s="10" t="s">
        <v>802</v>
      </c>
      <c r="B234" s="10">
        <v>1000083056</v>
      </c>
      <c r="C234" s="10" t="s">
        <v>472</v>
      </c>
      <c r="D234" s="17" t="s">
        <v>810</v>
      </c>
      <c r="E234" s="13">
        <v>27115.200000000001</v>
      </c>
      <c r="F234" s="191">
        <v>60113270</v>
      </c>
      <c r="G234" s="23" t="s">
        <v>280</v>
      </c>
      <c r="H234" s="23" t="s">
        <v>176</v>
      </c>
      <c r="I234" s="10"/>
    </row>
    <row r="235" spans="1:9" ht="12.75" customHeight="1" x14ac:dyDescent="0.2">
      <c r="A235" s="10" t="s">
        <v>803</v>
      </c>
      <c r="B235" s="10">
        <v>1000083056</v>
      </c>
      <c r="C235" s="10" t="s">
        <v>472</v>
      </c>
      <c r="D235" s="17" t="s">
        <v>811</v>
      </c>
      <c r="E235" s="13">
        <v>34747.199999999997</v>
      </c>
      <c r="F235" s="191">
        <v>60113305</v>
      </c>
      <c r="G235" s="23" t="s">
        <v>280</v>
      </c>
      <c r="H235" s="23" t="s">
        <v>171</v>
      </c>
      <c r="I235" s="10"/>
    </row>
    <row r="236" spans="1:9" ht="12.75" customHeight="1" x14ac:dyDescent="0.2">
      <c r="A236" s="23" t="s">
        <v>804</v>
      </c>
      <c r="B236" s="10">
        <v>1000083056</v>
      </c>
      <c r="C236" s="10" t="s">
        <v>472</v>
      </c>
      <c r="D236" s="17" t="s">
        <v>812</v>
      </c>
      <c r="E236" s="85">
        <v>27480</v>
      </c>
      <c r="F236" s="191">
        <v>60114494</v>
      </c>
      <c r="G236" s="23" t="s">
        <v>280</v>
      </c>
      <c r="H236" s="23" t="s">
        <v>176</v>
      </c>
      <c r="I236" s="10"/>
    </row>
    <row r="237" spans="1:9" ht="25.5" customHeight="1" x14ac:dyDescent="0.2">
      <c r="A237" s="10" t="s">
        <v>805</v>
      </c>
      <c r="B237" s="10">
        <v>1000083056</v>
      </c>
      <c r="C237" s="10" t="s">
        <v>472</v>
      </c>
      <c r="D237" s="28" t="s">
        <v>813</v>
      </c>
      <c r="E237" s="85">
        <v>7776</v>
      </c>
      <c r="F237" s="191">
        <v>60116756</v>
      </c>
      <c r="G237" s="23" t="s">
        <v>280</v>
      </c>
      <c r="H237" s="23" t="s">
        <v>176</v>
      </c>
      <c r="I237" s="10"/>
    </row>
    <row r="238" spans="1:9" ht="12.75" customHeight="1" x14ac:dyDescent="0.2">
      <c r="A238" s="10" t="s">
        <v>806</v>
      </c>
      <c r="B238" s="10">
        <v>1000083056</v>
      </c>
      <c r="C238" s="10" t="s">
        <v>472</v>
      </c>
      <c r="D238" s="17" t="s">
        <v>814</v>
      </c>
      <c r="E238" s="85">
        <v>31776</v>
      </c>
      <c r="F238" s="191">
        <v>60116922</v>
      </c>
      <c r="G238" s="23" t="s">
        <v>280</v>
      </c>
      <c r="H238" s="15" t="s">
        <v>727</v>
      </c>
      <c r="I238" s="10"/>
    </row>
    <row r="239" spans="1:9" ht="12.75" customHeight="1" x14ac:dyDescent="0.2">
      <c r="A239" s="10" t="s">
        <v>807</v>
      </c>
      <c r="B239" s="10">
        <v>1000083056</v>
      </c>
      <c r="C239" s="10" t="s">
        <v>472</v>
      </c>
      <c r="D239" s="17" t="s">
        <v>815</v>
      </c>
      <c r="E239" s="85">
        <v>23496</v>
      </c>
      <c r="F239" s="191">
        <v>60122421</v>
      </c>
      <c r="G239" s="23" t="s">
        <v>280</v>
      </c>
      <c r="H239" s="23" t="s">
        <v>176</v>
      </c>
      <c r="I239" s="10"/>
    </row>
    <row r="240" spans="1:9" ht="25.5" customHeight="1" x14ac:dyDescent="0.2">
      <c r="A240" s="10" t="s">
        <v>808</v>
      </c>
      <c r="B240" s="10">
        <v>1000083056</v>
      </c>
      <c r="C240" s="10" t="s">
        <v>472</v>
      </c>
      <c r="D240" s="28" t="s">
        <v>816</v>
      </c>
      <c r="E240" s="85">
        <v>4296</v>
      </c>
      <c r="F240" s="191">
        <v>60121055</v>
      </c>
      <c r="G240" s="23" t="s">
        <v>280</v>
      </c>
      <c r="H240" s="23" t="s">
        <v>176</v>
      </c>
      <c r="I240" s="10"/>
    </row>
    <row r="241" spans="1:9" s="38" customFormat="1" ht="12.75" customHeight="1" x14ac:dyDescent="0.2">
      <c r="A241" s="29" t="s">
        <v>817</v>
      </c>
      <c r="B241" s="23">
        <v>1000083056</v>
      </c>
      <c r="C241" s="23" t="s">
        <v>472</v>
      </c>
      <c r="D241" s="29" t="s">
        <v>818</v>
      </c>
      <c r="E241" s="39">
        <v>31776</v>
      </c>
      <c r="F241" s="191">
        <v>60110563</v>
      </c>
      <c r="G241" s="23" t="s">
        <v>280</v>
      </c>
      <c r="H241" s="23" t="s">
        <v>171</v>
      </c>
    </row>
    <row r="242" spans="1:9" s="38" customFormat="1" ht="12.75" customHeight="1" x14ac:dyDescent="0.2">
      <c r="A242" s="29" t="s">
        <v>819</v>
      </c>
      <c r="B242" s="23">
        <v>1000083056</v>
      </c>
      <c r="C242" s="23" t="s">
        <v>472</v>
      </c>
      <c r="D242" s="29" t="s">
        <v>820</v>
      </c>
      <c r="E242" s="39">
        <v>12072</v>
      </c>
      <c r="F242" s="191">
        <v>60119581</v>
      </c>
      <c r="G242" s="23" t="s">
        <v>280</v>
      </c>
      <c r="H242" s="15" t="s">
        <v>727</v>
      </c>
    </row>
    <row r="243" spans="1:9" ht="12.75" customHeight="1" x14ac:dyDescent="0.2">
      <c r="A243" s="10" t="s">
        <v>821</v>
      </c>
      <c r="B243" s="10">
        <v>1000095634</v>
      </c>
      <c r="C243" s="10" t="s">
        <v>472</v>
      </c>
      <c r="D243" s="29" t="s">
        <v>824</v>
      </c>
      <c r="E243" s="13">
        <v>7896.24</v>
      </c>
      <c r="F243" s="129">
        <v>60118058</v>
      </c>
      <c r="G243" s="10" t="s">
        <v>280</v>
      </c>
      <c r="H243" s="10" t="s">
        <v>522</v>
      </c>
      <c r="I243" s="10"/>
    </row>
    <row r="244" spans="1:9" ht="12.75" customHeight="1" x14ac:dyDescent="0.2">
      <c r="A244" s="10" t="s">
        <v>822</v>
      </c>
      <c r="B244" s="10">
        <v>1000095634</v>
      </c>
      <c r="C244" s="10" t="s">
        <v>472</v>
      </c>
      <c r="D244" s="29" t="s">
        <v>825</v>
      </c>
      <c r="E244" s="13">
        <v>12158.4</v>
      </c>
      <c r="F244" s="191">
        <v>60119573</v>
      </c>
      <c r="G244" s="23" t="s">
        <v>280</v>
      </c>
      <c r="H244" s="23" t="s">
        <v>522</v>
      </c>
      <c r="I244" s="10"/>
    </row>
    <row r="245" spans="1:9" ht="12.75" customHeight="1" x14ac:dyDescent="0.2">
      <c r="A245" s="10" t="s">
        <v>823</v>
      </c>
      <c r="B245" s="10">
        <v>1000095634</v>
      </c>
      <c r="C245" s="10" t="s">
        <v>472</v>
      </c>
      <c r="D245" s="29" t="s">
        <v>826</v>
      </c>
      <c r="E245" s="13">
        <v>4081.2</v>
      </c>
      <c r="F245" s="191">
        <v>60118053</v>
      </c>
      <c r="G245" s="23" t="s">
        <v>280</v>
      </c>
      <c r="H245" s="23" t="s">
        <v>522</v>
      </c>
      <c r="I245" s="10"/>
    </row>
    <row r="246" spans="1:9" ht="12.75" customHeight="1" x14ac:dyDescent="0.2">
      <c r="A246" s="10" t="s">
        <v>827</v>
      </c>
      <c r="B246" s="10">
        <v>1000079359</v>
      </c>
      <c r="C246" s="10" t="s">
        <v>472</v>
      </c>
      <c r="D246" s="29" t="s">
        <v>847</v>
      </c>
      <c r="E246" s="13">
        <v>4035.6</v>
      </c>
      <c r="F246" s="129">
        <v>60116758</v>
      </c>
      <c r="G246" s="10" t="s">
        <v>280</v>
      </c>
      <c r="H246" s="10" t="s">
        <v>161</v>
      </c>
      <c r="I246" s="10"/>
    </row>
    <row r="247" spans="1:9" ht="12.75" customHeight="1" x14ac:dyDescent="0.2">
      <c r="A247" s="10" t="s">
        <v>828</v>
      </c>
      <c r="B247" s="10">
        <v>1000079359</v>
      </c>
      <c r="C247" s="10" t="s">
        <v>472</v>
      </c>
      <c r="D247" s="29" t="s">
        <v>848</v>
      </c>
      <c r="E247" s="13">
        <v>7912.8</v>
      </c>
      <c r="F247" s="129">
        <v>60116757</v>
      </c>
      <c r="G247" s="10" t="s">
        <v>280</v>
      </c>
      <c r="H247" s="10" t="s">
        <v>216</v>
      </c>
      <c r="I247" s="10"/>
    </row>
    <row r="248" spans="1:9" ht="12.75" customHeight="1" x14ac:dyDescent="0.2">
      <c r="A248" s="10" t="s">
        <v>829</v>
      </c>
      <c r="B248" s="10">
        <v>1000079359</v>
      </c>
      <c r="C248" s="10" t="s">
        <v>472</v>
      </c>
      <c r="D248" s="29" t="s">
        <v>848</v>
      </c>
      <c r="E248" s="13">
        <v>2826</v>
      </c>
      <c r="F248" s="191">
        <v>60123476</v>
      </c>
      <c r="G248" s="10" t="s">
        <v>280</v>
      </c>
      <c r="H248" s="10" t="s">
        <v>216</v>
      </c>
      <c r="I248" s="10"/>
    </row>
    <row r="249" spans="1:9" ht="12.75" customHeight="1" x14ac:dyDescent="0.2">
      <c r="A249" s="10" t="s">
        <v>830</v>
      </c>
      <c r="B249" s="10">
        <v>1000079359</v>
      </c>
      <c r="C249" s="10" t="s">
        <v>472</v>
      </c>
      <c r="D249" s="29" t="s">
        <v>849</v>
      </c>
      <c r="E249" s="13">
        <v>12936</v>
      </c>
      <c r="F249" s="129">
        <v>60110562</v>
      </c>
      <c r="G249" s="10" t="s">
        <v>280</v>
      </c>
      <c r="H249" s="10" t="s">
        <v>176</v>
      </c>
      <c r="I249" s="10"/>
    </row>
    <row r="250" spans="1:9" ht="12.75" customHeight="1" x14ac:dyDescent="0.2">
      <c r="A250" s="10" t="s">
        <v>831</v>
      </c>
      <c r="B250" s="10">
        <v>1000079359</v>
      </c>
      <c r="C250" s="10" t="s">
        <v>472</v>
      </c>
      <c r="D250" s="29" t="s">
        <v>850</v>
      </c>
      <c r="E250" s="13">
        <v>6900</v>
      </c>
      <c r="F250" s="129">
        <v>10043631</v>
      </c>
      <c r="G250" s="10" t="s">
        <v>92</v>
      </c>
      <c r="H250" s="10" t="s">
        <v>851</v>
      </c>
      <c r="I250" s="10"/>
    </row>
    <row r="251" spans="1:9" s="38" customFormat="1" ht="12.75" customHeight="1" x14ac:dyDescent="0.2">
      <c r="A251" s="29" t="s">
        <v>879</v>
      </c>
      <c r="B251" s="23">
        <v>1000079359</v>
      </c>
      <c r="C251" s="23" t="s">
        <v>472</v>
      </c>
      <c r="D251" s="29" t="s">
        <v>872</v>
      </c>
      <c r="E251" s="39">
        <v>2760</v>
      </c>
      <c r="F251" s="191">
        <v>10043631</v>
      </c>
      <c r="G251" s="23" t="s">
        <v>280</v>
      </c>
      <c r="H251" s="23" t="s">
        <v>851</v>
      </c>
      <c r="I251" s="23"/>
    </row>
    <row r="252" spans="1:9" ht="12.75" customHeight="1" x14ac:dyDescent="0.2">
      <c r="A252" s="10" t="s">
        <v>832</v>
      </c>
      <c r="B252" s="10">
        <v>1000079359</v>
      </c>
      <c r="C252" s="10" t="s">
        <v>472</v>
      </c>
      <c r="D252" s="29" t="s">
        <v>855</v>
      </c>
      <c r="E252" s="13">
        <v>9608.4</v>
      </c>
      <c r="F252" s="129">
        <v>60120608</v>
      </c>
      <c r="G252" s="10" t="s">
        <v>280</v>
      </c>
      <c r="H252" s="10" t="s">
        <v>216</v>
      </c>
      <c r="I252" s="10"/>
    </row>
    <row r="253" spans="1:9" ht="12.75" customHeight="1" x14ac:dyDescent="0.2">
      <c r="A253" s="10" t="s">
        <v>833</v>
      </c>
      <c r="B253" s="10">
        <v>1000079359</v>
      </c>
      <c r="C253" s="10" t="s">
        <v>472</v>
      </c>
      <c r="D253" s="29" t="s">
        <v>856</v>
      </c>
      <c r="E253" s="13">
        <v>11126.4</v>
      </c>
      <c r="F253" s="129">
        <v>60114493</v>
      </c>
      <c r="G253" s="10" t="s">
        <v>280</v>
      </c>
      <c r="H253" s="10" t="s">
        <v>176</v>
      </c>
      <c r="I253" s="10"/>
    </row>
    <row r="254" spans="1:9" ht="12.75" customHeight="1" x14ac:dyDescent="0.2">
      <c r="A254" s="10" t="s">
        <v>834</v>
      </c>
      <c r="B254" s="10">
        <v>1000079359</v>
      </c>
      <c r="C254" s="10" t="s">
        <v>472</v>
      </c>
      <c r="D254" s="29" t="s">
        <v>857</v>
      </c>
      <c r="E254" s="39">
        <v>12936</v>
      </c>
      <c r="F254" s="191">
        <v>60116583</v>
      </c>
      <c r="G254" s="23" t="s">
        <v>280</v>
      </c>
      <c r="H254" s="23" t="s">
        <v>534</v>
      </c>
      <c r="I254" s="10"/>
    </row>
    <row r="255" spans="1:9" ht="12.75" customHeight="1" x14ac:dyDescent="0.2">
      <c r="A255" s="10" t="s">
        <v>835</v>
      </c>
      <c r="B255" s="10">
        <v>1000079359</v>
      </c>
      <c r="C255" s="10" t="s">
        <v>472</v>
      </c>
      <c r="D255" s="29" t="s">
        <v>858</v>
      </c>
      <c r="E255" s="39">
        <v>6739.2</v>
      </c>
      <c r="F255" s="191" t="s">
        <v>431</v>
      </c>
      <c r="G255" s="10" t="s">
        <v>280</v>
      </c>
      <c r="H255" s="10" t="s">
        <v>176</v>
      </c>
      <c r="I255" s="10"/>
    </row>
    <row r="256" spans="1:9" ht="12.75" customHeight="1" x14ac:dyDescent="0.2">
      <c r="A256" s="10" t="s">
        <v>836</v>
      </c>
      <c r="B256" s="10">
        <v>1000079359</v>
      </c>
      <c r="C256" s="10" t="s">
        <v>472</v>
      </c>
      <c r="D256" s="29" t="s">
        <v>861</v>
      </c>
      <c r="E256" s="13">
        <v>10728</v>
      </c>
      <c r="F256" s="129">
        <v>60122420</v>
      </c>
      <c r="G256" s="10" t="s">
        <v>280</v>
      </c>
      <c r="H256" s="10" t="s">
        <v>176</v>
      </c>
      <c r="I256" s="10"/>
    </row>
    <row r="257" spans="1:9" ht="12.75" customHeight="1" x14ac:dyDescent="0.2">
      <c r="A257" s="10" t="s">
        <v>837</v>
      </c>
      <c r="B257" s="10">
        <v>1000079359</v>
      </c>
      <c r="C257" s="10" t="s">
        <v>472</v>
      </c>
      <c r="D257" s="29" t="s">
        <v>859</v>
      </c>
      <c r="E257" s="13">
        <v>10728</v>
      </c>
      <c r="F257" s="129">
        <v>60117892</v>
      </c>
      <c r="G257" s="10"/>
      <c r="H257" s="23" t="s">
        <v>534</v>
      </c>
      <c r="I257" s="10"/>
    </row>
    <row r="258" spans="1:9" ht="12.75" customHeight="1" x14ac:dyDescent="0.2">
      <c r="A258" s="10" t="s">
        <v>838</v>
      </c>
      <c r="B258" s="10">
        <v>1000079359</v>
      </c>
      <c r="C258" s="10" t="s">
        <v>472</v>
      </c>
      <c r="D258" s="29" t="s">
        <v>860</v>
      </c>
      <c r="E258" s="39">
        <v>11112</v>
      </c>
      <c r="F258" s="191">
        <v>60122420</v>
      </c>
      <c r="G258" s="23" t="s">
        <v>280</v>
      </c>
      <c r="H258" s="23" t="s">
        <v>176</v>
      </c>
      <c r="I258" s="10"/>
    </row>
    <row r="259" spans="1:9" ht="12.75" customHeight="1" x14ac:dyDescent="0.2">
      <c r="A259" s="10" t="s">
        <v>839</v>
      </c>
      <c r="B259" s="10">
        <v>1000079359</v>
      </c>
      <c r="C259" s="10" t="s">
        <v>472</v>
      </c>
      <c r="D259" s="29" t="s">
        <v>862</v>
      </c>
      <c r="E259" s="39">
        <v>4891.2</v>
      </c>
      <c r="F259" s="191">
        <v>60123517</v>
      </c>
      <c r="G259" s="10" t="s">
        <v>280</v>
      </c>
      <c r="H259" s="10" t="s">
        <v>211</v>
      </c>
      <c r="I259" s="10"/>
    </row>
    <row r="260" spans="1:9" ht="12.75" customHeight="1" x14ac:dyDescent="0.2">
      <c r="A260" s="10" t="s">
        <v>840</v>
      </c>
      <c r="B260" s="10">
        <v>1000079359</v>
      </c>
      <c r="C260" s="10" t="s">
        <v>472</v>
      </c>
      <c r="D260" s="29" t="s">
        <v>863</v>
      </c>
      <c r="E260" s="13">
        <v>10728</v>
      </c>
      <c r="F260" s="129">
        <v>60107874</v>
      </c>
      <c r="G260" s="10" t="s">
        <v>280</v>
      </c>
      <c r="H260" s="10" t="s">
        <v>211</v>
      </c>
      <c r="I260" s="10"/>
    </row>
    <row r="261" spans="1:9" ht="12.75" customHeight="1" x14ac:dyDescent="0.2">
      <c r="A261" s="10" t="s">
        <v>841</v>
      </c>
      <c r="B261" s="10">
        <v>1000079359</v>
      </c>
      <c r="C261" s="10" t="s">
        <v>472</v>
      </c>
      <c r="D261" s="29" t="s">
        <v>864</v>
      </c>
      <c r="E261" s="39">
        <v>11712</v>
      </c>
      <c r="F261" s="191">
        <v>60122896</v>
      </c>
      <c r="G261" s="23" t="s">
        <v>280</v>
      </c>
      <c r="H261" s="23" t="s">
        <v>161</v>
      </c>
      <c r="I261" s="10"/>
    </row>
    <row r="262" spans="1:9" ht="12.75" customHeight="1" x14ac:dyDescent="0.2">
      <c r="A262" s="10" t="s">
        <v>842</v>
      </c>
      <c r="B262" s="10">
        <v>1000079359</v>
      </c>
      <c r="C262" s="10" t="s">
        <v>472</v>
      </c>
      <c r="D262" s="29" t="s">
        <v>865</v>
      </c>
      <c r="E262" s="13">
        <v>4514.3999999999996</v>
      </c>
      <c r="F262" s="191">
        <v>60115797</v>
      </c>
      <c r="G262" s="23" t="s">
        <v>280</v>
      </c>
      <c r="H262" s="23" t="s">
        <v>539</v>
      </c>
      <c r="I262" s="10"/>
    </row>
    <row r="263" spans="1:9" ht="12.75" customHeight="1" x14ac:dyDescent="0.2">
      <c r="A263" s="10" t="s">
        <v>843</v>
      </c>
      <c r="B263" s="10">
        <v>1000079359</v>
      </c>
      <c r="C263" s="10" t="s">
        <v>472</v>
      </c>
      <c r="D263" s="29" t="s">
        <v>866</v>
      </c>
      <c r="E263" s="13">
        <v>2829.6</v>
      </c>
      <c r="F263" s="129">
        <v>60120607</v>
      </c>
      <c r="G263" s="10" t="s">
        <v>280</v>
      </c>
      <c r="H263" s="10" t="s">
        <v>216</v>
      </c>
      <c r="I263" s="10"/>
    </row>
    <row r="264" spans="1:9" ht="12.75" customHeight="1" x14ac:dyDescent="0.2">
      <c r="A264" s="10" t="s">
        <v>844</v>
      </c>
      <c r="B264" s="10">
        <v>1000079359</v>
      </c>
      <c r="C264" s="10" t="s">
        <v>472</v>
      </c>
      <c r="D264" s="29" t="s">
        <v>867</v>
      </c>
      <c r="E264" s="13">
        <v>11712</v>
      </c>
      <c r="F264" s="129">
        <v>60120615</v>
      </c>
      <c r="G264" s="10" t="s">
        <v>280</v>
      </c>
      <c r="H264" s="10" t="s">
        <v>534</v>
      </c>
      <c r="I264" s="10"/>
    </row>
    <row r="265" spans="1:9" ht="12.75" customHeight="1" x14ac:dyDescent="0.2">
      <c r="A265" s="23" t="s">
        <v>845</v>
      </c>
      <c r="B265" s="10">
        <v>1000079359</v>
      </c>
      <c r="C265" s="10" t="s">
        <v>472</v>
      </c>
      <c r="D265" s="29" t="s">
        <v>868</v>
      </c>
      <c r="E265" s="13">
        <v>11496</v>
      </c>
      <c r="F265" s="191">
        <v>60123527</v>
      </c>
      <c r="G265" s="10" t="s">
        <v>280</v>
      </c>
      <c r="H265" s="10" t="s">
        <v>176</v>
      </c>
      <c r="I265" s="10"/>
    </row>
    <row r="266" spans="1:9" ht="12.75" customHeight="1" x14ac:dyDescent="0.2">
      <c r="A266" s="10" t="s">
        <v>846</v>
      </c>
      <c r="B266" s="10">
        <v>1000079359</v>
      </c>
      <c r="C266" s="10" t="s">
        <v>472</v>
      </c>
      <c r="D266" s="29" t="s">
        <v>869</v>
      </c>
      <c r="E266" s="13">
        <v>10728</v>
      </c>
      <c r="F266" s="129">
        <v>60115166</v>
      </c>
      <c r="G266" s="10" t="s">
        <v>280</v>
      </c>
      <c r="H266" s="10" t="s">
        <v>176</v>
      </c>
      <c r="I266" s="10"/>
    </row>
    <row r="267" spans="1:9" ht="13.5" customHeight="1" x14ac:dyDescent="0.2">
      <c r="A267" s="17" t="s">
        <v>870</v>
      </c>
      <c r="B267" s="10">
        <v>1000079359</v>
      </c>
      <c r="C267" s="10" t="s">
        <v>472</v>
      </c>
      <c r="D267" s="29" t="s">
        <v>871</v>
      </c>
      <c r="E267" s="10">
        <v>8198.4</v>
      </c>
      <c r="F267" s="129">
        <v>60115142</v>
      </c>
      <c r="G267" s="10" t="s">
        <v>280</v>
      </c>
      <c r="H267" s="10" t="s">
        <v>161</v>
      </c>
      <c r="I267" s="10"/>
    </row>
    <row r="268" spans="1:9" ht="12.75" customHeight="1" x14ac:dyDescent="0.2">
      <c r="A268" s="17" t="s">
        <v>1074</v>
      </c>
      <c r="B268" s="10">
        <v>1000079359</v>
      </c>
      <c r="C268" s="10" t="s">
        <v>472</v>
      </c>
      <c r="D268" s="29" t="s">
        <v>1075</v>
      </c>
      <c r="E268" s="10">
        <v>-8198.4</v>
      </c>
      <c r="F268" s="129">
        <v>60123549</v>
      </c>
      <c r="G268" s="10" t="s">
        <v>92</v>
      </c>
      <c r="H268" s="10" t="s">
        <v>161</v>
      </c>
      <c r="I268" s="10"/>
    </row>
    <row r="269" spans="1:9" ht="12.75" customHeight="1" x14ac:dyDescent="0.2">
      <c r="A269" s="17" t="s">
        <v>1070</v>
      </c>
      <c r="B269" s="10">
        <v>1000079359</v>
      </c>
      <c r="C269" s="10" t="s">
        <v>472</v>
      </c>
      <c r="D269" s="29" t="s">
        <v>1072</v>
      </c>
      <c r="E269" s="13">
        <v>6441.6</v>
      </c>
      <c r="F269" s="129">
        <v>60115142</v>
      </c>
      <c r="G269" s="10" t="s">
        <v>280</v>
      </c>
      <c r="H269" s="10" t="s">
        <v>161</v>
      </c>
      <c r="I269" s="10"/>
    </row>
    <row r="270" spans="1:9" ht="12.75" customHeight="1" x14ac:dyDescent="0.2">
      <c r="A270" s="17" t="s">
        <v>1071</v>
      </c>
      <c r="B270" s="10">
        <v>1000079359</v>
      </c>
      <c r="C270" s="10" t="s">
        <v>472</v>
      </c>
      <c r="D270" s="29" t="s">
        <v>1073</v>
      </c>
      <c r="E270" s="13">
        <v>1756.8</v>
      </c>
      <c r="F270" s="129" t="s">
        <v>431</v>
      </c>
      <c r="G270" s="10" t="s">
        <v>92</v>
      </c>
      <c r="H270" s="10" t="s">
        <v>161</v>
      </c>
      <c r="I270" s="10"/>
    </row>
    <row r="271" spans="1:9" ht="12.75" customHeight="1" x14ac:dyDescent="0.2">
      <c r="A271" s="17" t="s">
        <v>1380</v>
      </c>
      <c r="B271" s="10">
        <v>1000079359</v>
      </c>
      <c r="C271" s="10" t="s">
        <v>472</v>
      </c>
      <c r="D271" s="29" t="s">
        <v>1381</v>
      </c>
      <c r="E271" s="13">
        <v>1756.8</v>
      </c>
      <c r="F271" s="129" t="s">
        <v>431</v>
      </c>
      <c r="G271" s="10" t="s">
        <v>92</v>
      </c>
      <c r="H271" s="10" t="s">
        <v>161</v>
      </c>
      <c r="I271" s="10"/>
    </row>
    <row r="272" spans="1:9" s="38" customFormat="1" ht="12.75" customHeight="1" x14ac:dyDescent="0.2">
      <c r="A272" s="29" t="s">
        <v>1256</v>
      </c>
      <c r="B272" s="23">
        <v>1000079359</v>
      </c>
      <c r="C272" s="23" t="s">
        <v>472</v>
      </c>
      <c r="D272" s="29" t="s">
        <v>1257</v>
      </c>
      <c r="E272" s="39">
        <v>8198.4</v>
      </c>
      <c r="F272" s="191" t="s">
        <v>431</v>
      </c>
      <c r="G272" s="23" t="s">
        <v>92</v>
      </c>
      <c r="H272" s="23" t="s">
        <v>161</v>
      </c>
      <c r="I272" s="23"/>
    </row>
    <row r="273" spans="1:9" s="38" customFormat="1" ht="12.75" customHeight="1" x14ac:dyDescent="0.2">
      <c r="A273" s="29" t="s">
        <v>877</v>
      </c>
      <c r="B273" s="29">
        <v>1000095233</v>
      </c>
      <c r="C273" s="29" t="s">
        <v>472</v>
      </c>
      <c r="D273" s="29" t="s">
        <v>873</v>
      </c>
      <c r="E273" s="86">
        <v>1903.2</v>
      </c>
      <c r="F273" s="130">
        <v>60118181</v>
      </c>
      <c r="G273" s="29" t="s">
        <v>280</v>
      </c>
      <c r="H273" s="29" t="s">
        <v>572</v>
      </c>
      <c r="I273" s="23"/>
    </row>
    <row r="274" spans="1:9" s="38" customFormat="1" ht="12.75" customHeight="1" x14ac:dyDescent="0.2">
      <c r="A274" s="29" t="s">
        <v>878</v>
      </c>
      <c r="B274" s="29">
        <v>1000095233</v>
      </c>
      <c r="C274" s="29" t="s">
        <v>472</v>
      </c>
      <c r="D274" s="29" t="s">
        <v>874</v>
      </c>
      <c r="E274" s="86">
        <v>2920.2</v>
      </c>
      <c r="F274" s="130">
        <v>60119506</v>
      </c>
      <c r="G274" s="29" t="s">
        <v>280</v>
      </c>
      <c r="H274" s="29" t="s">
        <v>572</v>
      </c>
      <c r="I274" s="23"/>
    </row>
    <row r="275" spans="1:9" ht="12.75" customHeight="1" x14ac:dyDescent="0.2">
      <c r="A275" s="29" t="s">
        <v>876</v>
      </c>
      <c r="B275" s="29">
        <v>1000101107</v>
      </c>
      <c r="C275" s="29" t="s">
        <v>472</v>
      </c>
      <c r="D275" s="29" t="s">
        <v>875</v>
      </c>
      <c r="E275" s="86">
        <v>7113.6</v>
      </c>
      <c r="F275" s="130" t="s">
        <v>431</v>
      </c>
      <c r="G275" s="29"/>
      <c r="H275" s="29" t="s">
        <v>614</v>
      </c>
      <c r="I275" s="10"/>
    </row>
    <row r="276" spans="1:9" ht="12.75" customHeight="1" x14ac:dyDescent="0.2">
      <c r="A276" s="10" t="s">
        <v>882</v>
      </c>
      <c r="B276" s="10">
        <v>1000083056</v>
      </c>
      <c r="C276" s="10" t="s">
        <v>473</v>
      </c>
      <c r="D276" s="17" t="s">
        <v>883</v>
      </c>
      <c r="E276" s="13">
        <v>39720</v>
      </c>
      <c r="F276" s="191">
        <v>60110563</v>
      </c>
      <c r="G276" s="23" t="s">
        <v>280</v>
      </c>
      <c r="H276" s="23" t="s">
        <v>171</v>
      </c>
      <c r="I276" s="10"/>
    </row>
    <row r="277" spans="1:9" ht="38.25" customHeight="1" x14ac:dyDescent="0.2">
      <c r="A277" s="10" t="s">
        <v>884</v>
      </c>
      <c r="B277" s="10">
        <v>1000083056</v>
      </c>
      <c r="C277" s="10" t="s">
        <v>473</v>
      </c>
      <c r="D277" s="28" t="s">
        <v>1161</v>
      </c>
      <c r="E277" s="13">
        <v>126825</v>
      </c>
      <c r="F277" s="191">
        <v>60110560</v>
      </c>
      <c r="G277" s="23" t="s">
        <v>280</v>
      </c>
      <c r="H277" s="23" t="s">
        <v>161</v>
      </c>
      <c r="I277" s="10"/>
    </row>
    <row r="278" spans="1:9" ht="12.75" customHeight="1" x14ac:dyDescent="0.2">
      <c r="A278" s="10" t="s">
        <v>885</v>
      </c>
      <c r="B278" s="10">
        <v>1000083056</v>
      </c>
      <c r="C278" s="10" t="s">
        <v>473</v>
      </c>
      <c r="D278" s="17" t="s">
        <v>892</v>
      </c>
      <c r="E278" s="13">
        <v>33894</v>
      </c>
      <c r="F278" s="191">
        <v>60113270</v>
      </c>
      <c r="G278" s="23" t="s">
        <v>280</v>
      </c>
      <c r="H278" s="23" t="s">
        <v>176</v>
      </c>
      <c r="I278" s="10"/>
    </row>
    <row r="279" spans="1:9" ht="12.75" customHeight="1" x14ac:dyDescent="0.2">
      <c r="A279" s="10" t="s">
        <v>886</v>
      </c>
      <c r="B279" s="10">
        <v>1000083056</v>
      </c>
      <c r="C279" s="10" t="s">
        <v>473</v>
      </c>
      <c r="D279" s="17" t="s">
        <v>893</v>
      </c>
      <c r="E279" s="13">
        <v>43434</v>
      </c>
      <c r="F279" s="191">
        <v>60113305</v>
      </c>
      <c r="G279" s="23" t="s">
        <v>280</v>
      </c>
      <c r="H279" s="23" t="s">
        <v>171</v>
      </c>
      <c r="I279" s="10"/>
    </row>
    <row r="280" spans="1:9" ht="12.75" customHeight="1" x14ac:dyDescent="0.2">
      <c r="A280" s="23" t="s">
        <v>887</v>
      </c>
      <c r="B280" s="10">
        <v>1000083056</v>
      </c>
      <c r="C280" s="10" t="s">
        <v>473</v>
      </c>
      <c r="D280" s="29" t="s">
        <v>894</v>
      </c>
      <c r="E280" s="13">
        <v>34350</v>
      </c>
      <c r="F280" s="191">
        <v>60114494</v>
      </c>
      <c r="G280" s="23" t="s">
        <v>280</v>
      </c>
      <c r="H280" s="23" t="s">
        <v>176</v>
      </c>
      <c r="I280" s="10"/>
    </row>
    <row r="281" spans="1:9" ht="25.5" customHeight="1" x14ac:dyDescent="0.2">
      <c r="A281" s="10" t="s">
        <v>888</v>
      </c>
      <c r="B281" s="10">
        <v>1000083056</v>
      </c>
      <c r="C281" s="10" t="s">
        <v>473</v>
      </c>
      <c r="D281" s="28" t="s">
        <v>895</v>
      </c>
      <c r="E281" s="13">
        <v>9720</v>
      </c>
      <c r="F281" s="191">
        <v>60116756</v>
      </c>
      <c r="G281" s="23" t="s">
        <v>280</v>
      </c>
      <c r="H281" s="23" t="s">
        <v>176</v>
      </c>
      <c r="I281" s="10"/>
    </row>
    <row r="282" spans="1:9" ht="12.75" customHeight="1" x14ac:dyDescent="0.2">
      <c r="A282" s="10" t="s">
        <v>889</v>
      </c>
      <c r="B282" s="10">
        <v>1000083056</v>
      </c>
      <c r="C282" s="10" t="s">
        <v>473</v>
      </c>
      <c r="D282" s="17" t="s">
        <v>896</v>
      </c>
      <c r="E282" s="13">
        <v>39720</v>
      </c>
      <c r="F282" s="191">
        <v>60116922</v>
      </c>
      <c r="G282" s="23" t="s">
        <v>280</v>
      </c>
      <c r="H282" s="23" t="s">
        <v>727</v>
      </c>
      <c r="I282" s="10"/>
    </row>
    <row r="283" spans="1:9" ht="12.75" customHeight="1" x14ac:dyDescent="0.2">
      <c r="A283" s="10" t="s">
        <v>890</v>
      </c>
      <c r="B283" s="10">
        <v>1000083056</v>
      </c>
      <c r="C283" s="10" t="s">
        <v>473</v>
      </c>
      <c r="D283" s="17" t="s">
        <v>897</v>
      </c>
      <c r="E283" s="13">
        <v>15090</v>
      </c>
      <c r="F283" s="191">
        <v>60119581</v>
      </c>
      <c r="G283" s="23" t="s">
        <v>280</v>
      </c>
      <c r="H283" s="23" t="s">
        <v>727</v>
      </c>
      <c r="I283" s="10"/>
    </row>
    <row r="284" spans="1:9" ht="12.75" customHeight="1" x14ac:dyDescent="0.2">
      <c r="A284" s="10" t="s">
        <v>891</v>
      </c>
      <c r="B284" s="23">
        <v>1000083056</v>
      </c>
      <c r="C284" s="10" t="s">
        <v>473</v>
      </c>
      <c r="D284" s="17" t="s">
        <v>899</v>
      </c>
      <c r="E284" s="13">
        <v>29370</v>
      </c>
      <c r="F284" s="191">
        <v>60122421</v>
      </c>
      <c r="G284" s="23" t="s">
        <v>280</v>
      </c>
      <c r="H284" s="23" t="s">
        <v>176</v>
      </c>
      <c r="I284" s="10"/>
    </row>
    <row r="285" spans="1:9" ht="38.25" customHeight="1" x14ac:dyDescent="0.2">
      <c r="A285" s="10" t="s">
        <v>898</v>
      </c>
      <c r="B285" s="23">
        <v>1000083056</v>
      </c>
      <c r="C285" s="10" t="s">
        <v>473</v>
      </c>
      <c r="D285" s="28" t="s">
        <v>900</v>
      </c>
      <c r="E285" s="13">
        <v>5370</v>
      </c>
      <c r="F285" s="191">
        <v>60121055</v>
      </c>
      <c r="G285" s="23" t="s">
        <v>280</v>
      </c>
      <c r="H285" s="23" t="s">
        <v>176</v>
      </c>
      <c r="I285" s="10"/>
    </row>
    <row r="286" spans="1:9" ht="12.75" customHeight="1" x14ac:dyDescent="0.2">
      <c r="A286" s="90" t="s">
        <v>901</v>
      </c>
      <c r="B286" s="92">
        <v>1000083056</v>
      </c>
      <c r="C286" s="90" t="s">
        <v>473</v>
      </c>
      <c r="D286" s="142" t="s">
        <v>902</v>
      </c>
      <c r="E286" s="93">
        <v>84000</v>
      </c>
      <c r="F286" s="755">
        <v>60123549</v>
      </c>
      <c r="G286" s="23" t="s">
        <v>92</v>
      </c>
      <c r="H286" s="92" t="s">
        <v>903</v>
      </c>
      <c r="I286" s="10"/>
    </row>
    <row r="287" spans="1:9" ht="12.75" customHeight="1" x14ac:dyDescent="0.2">
      <c r="A287" s="10" t="s">
        <v>904</v>
      </c>
      <c r="B287" s="23">
        <v>1000083056</v>
      </c>
      <c r="C287" s="10" t="s">
        <v>473</v>
      </c>
      <c r="D287" s="17" t="s">
        <v>905</v>
      </c>
      <c r="E287" s="13">
        <v>7440</v>
      </c>
      <c r="F287" s="191" t="s">
        <v>431</v>
      </c>
      <c r="G287" s="23" t="s">
        <v>280</v>
      </c>
      <c r="H287" s="23" t="s">
        <v>910</v>
      </c>
      <c r="I287" s="10"/>
    </row>
    <row r="288" spans="1:9" ht="12.75" customHeight="1" x14ac:dyDescent="0.2">
      <c r="A288" s="23" t="s">
        <v>907</v>
      </c>
      <c r="B288" s="23">
        <v>1000083056</v>
      </c>
      <c r="C288" s="10" t="s">
        <v>473</v>
      </c>
      <c r="D288" s="17" t="s">
        <v>906</v>
      </c>
      <c r="E288" s="13">
        <v>7392</v>
      </c>
      <c r="F288" s="191">
        <v>60122893</v>
      </c>
      <c r="G288" s="23" t="s">
        <v>280</v>
      </c>
      <c r="H288" s="23" t="s">
        <v>171</v>
      </c>
      <c r="I288" s="10"/>
    </row>
    <row r="289" spans="1:9" ht="12.75" customHeight="1" x14ac:dyDescent="0.2">
      <c r="A289" s="10" t="s">
        <v>908</v>
      </c>
      <c r="B289" s="23">
        <v>1000083056</v>
      </c>
      <c r="C289" s="10" t="s">
        <v>473</v>
      </c>
      <c r="D289" s="17" t="s">
        <v>909</v>
      </c>
      <c r="E289" s="13">
        <v>18480</v>
      </c>
      <c r="F289" s="191">
        <v>60122893</v>
      </c>
      <c r="G289" s="23" t="s">
        <v>280</v>
      </c>
      <c r="H289" s="23" t="s">
        <v>171</v>
      </c>
      <c r="I289" s="10"/>
    </row>
    <row r="290" spans="1:9" ht="12.75" customHeight="1" x14ac:dyDescent="0.2">
      <c r="A290" s="10" t="s">
        <v>911</v>
      </c>
      <c r="B290" s="10">
        <v>1000090711</v>
      </c>
      <c r="C290" s="10" t="s">
        <v>473</v>
      </c>
      <c r="D290" s="29" t="s">
        <v>912</v>
      </c>
      <c r="E290" s="13">
        <v>1872</v>
      </c>
      <c r="F290" s="129">
        <v>60122895</v>
      </c>
      <c r="G290" s="23" t="s">
        <v>280</v>
      </c>
      <c r="H290" s="10" t="s">
        <v>136</v>
      </c>
      <c r="I290" s="10"/>
    </row>
    <row r="291" spans="1:9" ht="12.75" customHeight="1" x14ac:dyDescent="0.2">
      <c r="A291" s="10" t="s">
        <v>915</v>
      </c>
      <c r="B291" s="10">
        <v>1000095233</v>
      </c>
      <c r="C291" s="10" t="s">
        <v>473</v>
      </c>
      <c r="D291" s="29" t="s">
        <v>916</v>
      </c>
      <c r="E291" s="13">
        <v>1317.6</v>
      </c>
      <c r="F291" s="129">
        <v>60118181</v>
      </c>
      <c r="G291" s="23" t="s">
        <v>280</v>
      </c>
      <c r="H291" s="10" t="s">
        <v>572</v>
      </c>
      <c r="I291" s="10"/>
    </row>
    <row r="292" spans="1:9" ht="12.75" customHeight="1" x14ac:dyDescent="0.2">
      <c r="A292" s="10" t="s">
        <v>914</v>
      </c>
      <c r="B292" s="10">
        <v>1000095233</v>
      </c>
      <c r="C292" s="10" t="s">
        <v>473</v>
      </c>
      <c r="D292" s="29" t="s">
        <v>913</v>
      </c>
      <c r="E292" s="13">
        <v>3024</v>
      </c>
      <c r="F292" s="129" t="s">
        <v>431</v>
      </c>
      <c r="G292" s="23" t="s">
        <v>280</v>
      </c>
      <c r="H292" s="10" t="s">
        <v>136</v>
      </c>
      <c r="I292" s="10"/>
    </row>
    <row r="293" spans="1:9" ht="12.75" customHeight="1" x14ac:dyDescent="0.2">
      <c r="A293" s="10" t="s">
        <v>940</v>
      </c>
      <c r="B293" s="10">
        <v>1000095634</v>
      </c>
      <c r="C293" s="10" t="s">
        <v>473</v>
      </c>
      <c r="D293" s="29" t="s">
        <v>944</v>
      </c>
      <c r="E293" s="13">
        <v>11450.88</v>
      </c>
      <c r="F293" s="129">
        <v>60118058</v>
      </c>
      <c r="G293" s="23" t="s">
        <v>280</v>
      </c>
      <c r="H293" s="10" t="s">
        <v>522</v>
      </c>
      <c r="I293" s="10"/>
    </row>
    <row r="294" spans="1:9" ht="12.75" customHeight="1" x14ac:dyDescent="0.2">
      <c r="A294" s="10" t="s">
        <v>941</v>
      </c>
      <c r="B294" s="10">
        <v>1000095634</v>
      </c>
      <c r="C294" s="10" t="s">
        <v>473</v>
      </c>
      <c r="D294" s="29" t="s">
        <v>945</v>
      </c>
      <c r="E294" s="13">
        <v>19590</v>
      </c>
      <c r="F294" s="191">
        <v>60119573</v>
      </c>
      <c r="G294" s="23" t="s">
        <v>280</v>
      </c>
      <c r="H294" s="10" t="s">
        <v>522</v>
      </c>
      <c r="I294" s="10"/>
    </row>
    <row r="295" spans="1:9" ht="12.75" customHeight="1" x14ac:dyDescent="0.2">
      <c r="A295" s="10" t="s">
        <v>942</v>
      </c>
      <c r="B295" s="10">
        <v>1000095634</v>
      </c>
      <c r="C295" s="10" t="s">
        <v>473</v>
      </c>
      <c r="D295" s="29" t="s">
        <v>946</v>
      </c>
      <c r="E295" s="13">
        <v>5370</v>
      </c>
      <c r="F295" s="129">
        <v>60118053</v>
      </c>
      <c r="G295" s="23" t="s">
        <v>280</v>
      </c>
      <c r="H295" s="23" t="s">
        <v>522</v>
      </c>
      <c r="I295" s="10"/>
    </row>
    <row r="296" spans="1:9" ht="12.75" customHeight="1" x14ac:dyDescent="0.2">
      <c r="A296" s="10" t="s">
        <v>943</v>
      </c>
      <c r="B296" s="10">
        <v>1000095634</v>
      </c>
      <c r="C296" s="10" t="s">
        <v>473</v>
      </c>
      <c r="D296" s="29" t="s">
        <v>947</v>
      </c>
      <c r="E296" s="13">
        <v>1900.8</v>
      </c>
      <c r="F296" s="129" t="s">
        <v>431</v>
      </c>
      <c r="G296" s="23" t="s">
        <v>280</v>
      </c>
      <c r="H296" s="10" t="s">
        <v>522</v>
      </c>
      <c r="I296" s="10"/>
    </row>
    <row r="297" spans="1:9" ht="12.75" customHeight="1" x14ac:dyDescent="0.2">
      <c r="A297" s="10" t="s">
        <v>948</v>
      </c>
      <c r="B297" s="10">
        <v>1000079359</v>
      </c>
      <c r="C297" s="10" t="s">
        <v>473</v>
      </c>
      <c r="D297" s="29" t="s">
        <v>949</v>
      </c>
      <c r="E297" s="13">
        <v>4885.2</v>
      </c>
      <c r="F297" s="129">
        <v>60116758</v>
      </c>
      <c r="G297" s="23" t="s">
        <v>280</v>
      </c>
      <c r="H297" s="10" t="s">
        <v>161</v>
      </c>
      <c r="I297" s="10"/>
    </row>
    <row r="298" spans="1:9" ht="12.75" customHeight="1" x14ac:dyDescent="0.2">
      <c r="A298" s="10" t="s">
        <v>950</v>
      </c>
      <c r="B298" s="10">
        <v>1000079359</v>
      </c>
      <c r="C298" s="10" t="s">
        <v>473</v>
      </c>
      <c r="D298" s="29" t="s">
        <v>951</v>
      </c>
      <c r="E298" s="13">
        <v>8800.7999999999993</v>
      </c>
      <c r="F298" s="191">
        <v>60125677</v>
      </c>
      <c r="G298" s="23" t="s">
        <v>280</v>
      </c>
      <c r="H298" s="10" t="s">
        <v>952</v>
      </c>
      <c r="I298" s="10"/>
    </row>
    <row r="299" spans="1:9" ht="12.75" customHeight="1" x14ac:dyDescent="0.2">
      <c r="A299" s="10" t="s">
        <v>954</v>
      </c>
      <c r="B299" s="10">
        <v>1000079359</v>
      </c>
      <c r="C299" s="10" t="s">
        <v>473</v>
      </c>
      <c r="D299" s="29" t="s">
        <v>953</v>
      </c>
      <c r="E299" s="13">
        <v>14130</v>
      </c>
      <c r="F299" s="129">
        <v>60123476</v>
      </c>
      <c r="G299" s="23" t="s">
        <v>280</v>
      </c>
      <c r="H299" s="10" t="s">
        <v>216</v>
      </c>
      <c r="I299" s="10"/>
    </row>
    <row r="300" spans="1:9" ht="12.75" customHeight="1" x14ac:dyDescent="0.2">
      <c r="A300" s="10" t="s">
        <v>955</v>
      </c>
      <c r="B300" s="10">
        <v>1000079359</v>
      </c>
      <c r="C300" s="10" t="s">
        <v>473</v>
      </c>
      <c r="D300" s="29" t="s">
        <v>956</v>
      </c>
      <c r="E300" s="13">
        <v>14876.4</v>
      </c>
      <c r="F300" s="129">
        <v>60110562</v>
      </c>
      <c r="G300" s="23" t="s">
        <v>280</v>
      </c>
      <c r="H300" s="10" t="s">
        <v>176</v>
      </c>
      <c r="I300" s="10"/>
    </row>
    <row r="301" spans="1:9" ht="12.75" customHeight="1" x14ac:dyDescent="0.2">
      <c r="A301" s="10" t="s">
        <v>957</v>
      </c>
      <c r="B301" s="10">
        <v>1000079359</v>
      </c>
      <c r="C301" s="10" t="s">
        <v>473</v>
      </c>
      <c r="D301" s="29" t="s">
        <v>958</v>
      </c>
      <c r="E301" s="39">
        <v>5856</v>
      </c>
      <c r="F301" s="129">
        <v>60125610</v>
      </c>
      <c r="G301" s="23" t="s">
        <v>280</v>
      </c>
      <c r="H301" s="10" t="s">
        <v>959</v>
      </c>
      <c r="I301" s="10"/>
    </row>
    <row r="302" spans="1:9" ht="12.75" customHeight="1" x14ac:dyDescent="0.2">
      <c r="A302" s="10" t="s">
        <v>960</v>
      </c>
      <c r="B302" s="10">
        <v>1000079359</v>
      </c>
      <c r="C302" s="10" t="s">
        <v>473</v>
      </c>
      <c r="D302" s="29" t="s">
        <v>961</v>
      </c>
      <c r="E302" s="13">
        <v>13564.8</v>
      </c>
      <c r="F302" s="129">
        <v>60120608</v>
      </c>
      <c r="G302" s="23" t="s">
        <v>280</v>
      </c>
      <c r="H302" s="10" t="s">
        <v>216</v>
      </c>
      <c r="I302" s="10"/>
    </row>
    <row r="303" spans="1:9" ht="12.75" customHeight="1" x14ac:dyDescent="0.2">
      <c r="A303" s="10" t="s">
        <v>962</v>
      </c>
      <c r="B303" s="10">
        <v>1000079359</v>
      </c>
      <c r="C303" s="10" t="s">
        <v>473</v>
      </c>
      <c r="D303" s="29" t="s">
        <v>964</v>
      </c>
      <c r="E303" s="39">
        <v>9369.6</v>
      </c>
      <c r="F303" s="191">
        <v>60114493</v>
      </c>
      <c r="G303" s="23" t="s">
        <v>280</v>
      </c>
      <c r="H303" s="10" t="s">
        <v>176</v>
      </c>
      <c r="I303" s="10"/>
    </row>
    <row r="304" spans="1:9" ht="12.75" customHeight="1" x14ac:dyDescent="0.2">
      <c r="A304" s="10" t="s">
        <v>963</v>
      </c>
      <c r="B304" s="10">
        <v>1000079359</v>
      </c>
      <c r="C304" s="10" t="s">
        <v>473</v>
      </c>
      <c r="D304" s="29" t="s">
        <v>965</v>
      </c>
      <c r="E304" s="39">
        <v>4099.2</v>
      </c>
      <c r="F304" s="191">
        <v>60125530</v>
      </c>
      <c r="G304" s="23" t="s">
        <v>280</v>
      </c>
      <c r="H304" s="10" t="s">
        <v>176</v>
      </c>
      <c r="I304" s="10"/>
    </row>
    <row r="305" spans="1:9" ht="12.75" customHeight="1" x14ac:dyDescent="0.2">
      <c r="A305" s="10" t="s">
        <v>966</v>
      </c>
      <c r="B305" s="10">
        <v>1000079359</v>
      </c>
      <c r="C305" s="10" t="s">
        <v>473</v>
      </c>
      <c r="D305" s="29" t="s">
        <v>967</v>
      </c>
      <c r="E305" s="39">
        <v>16170</v>
      </c>
      <c r="F305" s="191">
        <v>60116583</v>
      </c>
      <c r="G305" s="23" t="s">
        <v>280</v>
      </c>
      <c r="H305" s="23" t="s">
        <v>534</v>
      </c>
      <c r="I305" s="10"/>
    </row>
    <row r="306" spans="1:9" ht="12.75" customHeight="1" x14ac:dyDescent="0.2">
      <c r="A306" s="10" t="s">
        <v>968</v>
      </c>
      <c r="B306" s="10">
        <v>1000079359</v>
      </c>
      <c r="C306" s="10" t="s">
        <v>473</v>
      </c>
      <c r="D306" s="29" t="s">
        <v>969</v>
      </c>
      <c r="E306" s="39">
        <v>8611.2000000000007</v>
      </c>
      <c r="F306" s="191">
        <v>60123475</v>
      </c>
      <c r="G306" s="23" t="s">
        <v>280</v>
      </c>
      <c r="H306" s="23" t="s">
        <v>176</v>
      </c>
      <c r="I306" s="10"/>
    </row>
    <row r="307" spans="1:9" ht="12.75" customHeight="1" x14ac:dyDescent="0.2">
      <c r="A307" s="10" t="s">
        <v>970</v>
      </c>
      <c r="B307" s="10">
        <v>1000079359</v>
      </c>
      <c r="C307" s="10" t="s">
        <v>473</v>
      </c>
      <c r="D307" s="29" t="s">
        <v>971</v>
      </c>
      <c r="E307" s="13">
        <v>27300</v>
      </c>
      <c r="F307" s="129">
        <v>60122420</v>
      </c>
      <c r="G307" s="23" t="s">
        <v>280</v>
      </c>
      <c r="H307" s="10" t="s">
        <v>176</v>
      </c>
      <c r="I307" s="10"/>
    </row>
    <row r="308" spans="1:9" ht="12.75" customHeight="1" x14ac:dyDescent="0.2">
      <c r="A308" s="10" t="s">
        <v>972</v>
      </c>
      <c r="B308" s="10">
        <v>1000079359</v>
      </c>
      <c r="C308" s="10" t="s">
        <v>473</v>
      </c>
      <c r="D308" s="29" t="s">
        <v>973</v>
      </c>
      <c r="E308" s="13">
        <v>10728</v>
      </c>
      <c r="F308" s="129">
        <v>60117892</v>
      </c>
      <c r="G308" s="23" t="s">
        <v>280</v>
      </c>
      <c r="H308" s="23" t="s">
        <v>534</v>
      </c>
      <c r="I308" s="10"/>
    </row>
    <row r="309" spans="1:9" ht="12.75" customHeight="1" x14ac:dyDescent="0.2">
      <c r="A309" s="10" t="s">
        <v>974</v>
      </c>
      <c r="B309" s="10">
        <v>1000079359</v>
      </c>
      <c r="C309" s="10" t="s">
        <v>473</v>
      </c>
      <c r="D309" s="29" t="s">
        <v>975</v>
      </c>
      <c r="E309" s="13">
        <v>14160</v>
      </c>
      <c r="F309" s="129">
        <v>60123517</v>
      </c>
      <c r="G309" s="23" t="s">
        <v>280</v>
      </c>
      <c r="H309" s="10" t="s">
        <v>211</v>
      </c>
      <c r="I309" s="10"/>
    </row>
    <row r="310" spans="1:9" s="22" customFormat="1" ht="12.75" customHeight="1" x14ac:dyDescent="0.2">
      <c r="A310" s="17" t="s">
        <v>976</v>
      </c>
      <c r="B310" s="17">
        <v>1000079359</v>
      </c>
      <c r="C310" s="17" t="s">
        <v>473</v>
      </c>
      <c r="D310" s="29" t="s">
        <v>977</v>
      </c>
      <c r="E310" s="85">
        <v>6772.8</v>
      </c>
      <c r="F310" s="449">
        <v>60123489</v>
      </c>
      <c r="G310" s="17" t="s">
        <v>92</v>
      </c>
      <c r="H310" s="17" t="s">
        <v>211</v>
      </c>
      <c r="I310" s="17"/>
    </row>
    <row r="311" spans="1:9" s="22" customFormat="1" ht="12.75" customHeight="1" x14ac:dyDescent="0.2">
      <c r="A311" s="17" t="s">
        <v>997</v>
      </c>
      <c r="B311" s="17">
        <v>1000079359</v>
      </c>
      <c r="C311" s="17" t="s">
        <v>473</v>
      </c>
      <c r="D311" s="29" t="s">
        <v>1000</v>
      </c>
      <c r="E311" s="85">
        <v>5073.6000000000004</v>
      </c>
      <c r="F311" s="449">
        <v>60123489</v>
      </c>
      <c r="G311" s="29" t="s">
        <v>280</v>
      </c>
      <c r="H311" s="17" t="s">
        <v>211</v>
      </c>
      <c r="I311" s="17"/>
    </row>
    <row r="312" spans="1:9" s="22" customFormat="1" ht="12.75" customHeight="1" x14ac:dyDescent="0.2">
      <c r="A312" s="17" t="s">
        <v>998</v>
      </c>
      <c r="B312" s="17">
        <v>1000079359</v>
      </c>
      <c r="C312" s="17" t="s">
        <v>473</v>
      </c>
      <c r="D312" s="29" t="s">
        <v>999</v>
      </c>
      <c r="E312" s="85">
        <v>1609.2</v>
      </c>
      <c r="F312" s="449">
        <v>60107874</v>
      </c>
      <c r="G312" s="29" t="s">
        <v>280</v>
      </c>
      <c r="H312" s="17" t="s">
        <v>211</v>
      </c>
      <c r="I312" s="17"/>
    </row>
    <row r="313" spans="1:9" s="22" customFormat="1" ht="12.75" customHeight="1" x14ac:dyDescent="0.2">
      <c r="A313" s="17" t="s">
        <v>1295</v>
      </c>
      <c r="B313" s="17">
        <v>1000079359</v>
      </c>
      <c r="C313" s="17" t="s">
        <v>473</v>
      </c>
      <c r="D313" s="29" t="s">
        <v>1296</v>
      </c>
      <c r="E313" s="85">
        <v>-6772.8</v>
      </c>
      <c r="F313" s="449">
        <v>60123489</v>
      </c>
      <c r="G313" s="17" t="s">
        <v>92</v>
      </c>
      <c r="H313" s="17" t="s">
        <v>211</v>
      </c>
      <c r="I313" s="17"/>
    </row>
    <row r="314" spans="1:9" ht="12.75" customHeight="1" x14ac:dyDescent="0.2">
      <c r="A314" s="10" t="s">
        <v>978</v>
      </c>
      <c r="B314" s="10">
        <v>1000079359</v>
      </c>
      <c r="C314" s="10" t="s">
        <v>473</v>
      </c>
      <c r="D314" s="29" t="s">
        <v>979</v>
      </c>
      <c r="E314" s="13">
        <v>13468.8</v>
      </c>
      <c r="F314" s="129">
        <v>60122896</v>
      </c>
      <c r="G314" s="23" t="s">
        <v>280</v>
      </c>
      <c r="H314" s="10" t="s">
        <v>161</v>
      </c>
      <c r="I314" s="10"/>
    </row>
    <row r="315" spans="1:9" ht="12.75" customHeight="1" x14ac:dyDescent="0.2">
      <c r="A315" s="10" t="s">
        <v>980</v>
      </c>
      <c r="B315" s="10">
        <v>1000079359</v>
      </c>
      <c r="C315" s="10" t="s">
        <v>473</v>
      </c>
      <c r="D315" s="29" t="s">
        <v>981</v>
      </c>
      <c r="E315" s="13">
        <v>3354</v>
      </c>
      <c r="F315" s="191">
        <v>60127436</v>
      </c>
      <c r="G315" s="23" t="s">
        <v>280</v>
      </c>
      <c r="H315" s="10" t="s">
        <v>952</v>
      </c>
      <c r="I315" s="10"/>
    </row>
    <row r="316" spans="1:9" ht="12.75" customHeight="1" x14ac:dyDescent="0.2">
      <c r="A316" s="10" t="s">
        <v>982</v>
      </c>
      <c r="B316" s="10">
        <v>1000079359</v>
      </c>
      <c r="C316" s="10" t="s">
        <v>473</v>
      </c>
      <c r="D316" s="29" t="s">
        <v>983</v>
      </c>
      <c r="E316" s="39">
        <v>5702.4</v>
      </c>
      <c r="F316" s="191">
        <v>60115797</v>
      </c>
      <c r="G316" s="23" t="s">
        <v>280</v>
      </c>
      <c r="H316" s="23" t="s">
        <v>539</v>
      </c>
      <c r="I316" s="10"/>
    </row>
    <row r="317" spans="1:9" ht="12.75" customHeight="1" x14ac:dyDescent="0.2">
      <c r="A317" s="10" t="s">
        <v>984</v>
      </c>
      <c r="B317" s="10">
        <v>1000079359</v>
      </c>
      <c r="C317" s="10" t="s">
        <v>473</v>
      </c>
      <c r="D317" s="29" t="s">
        <v>985</v>
      </c>
      <c r="E317" s="13">
        <v>0</v>
      </c>
      <c r="F317" s="129">
        <v>60120607</v>
      </c>
      <c r="G317" s="10" t="s">
        <v>92</v>
      </c>
      <c r="H317" s="10" t="s">
        <v>216</v>
      </c>
      <c r="I317" s="10"/>
    </row>
    <row r="318" spans="1:9" ht="12.75" customHeight="1" x14ac:dyDescent="0.2">
      <c r="A318" s="10" t="s">
        <v>996</v>
      </c>
      <c r="B318" s="10">
        <v>1000079359</v>
      </c>
      <c r="C318" s="10" t="s">
        <v>473</v>
      </c>
      <c r="D318" s="29" t="s">
        <v>985</v>
      </c>
      <c r="E318" s="13">
        <v>3615.6</v>
      </c>
      <c r="F318" s="129">
        <v>60120607</v>
      </c>
      <c r="G318" s="23" t="s">
        <v>280</v>
      </c>
      <c r="H318" s="23" t="s">
        <v>216</v>
      </c>
      <c r="I318" s="10"/>
    </row>
    <row r="319" spans="1:9" ht="12.75" customHeight="1" x14ac:dyDescent="0.2">
      <c r="A319" s="10" t="s">
        <v>986</v>
      </c>
      <c r="B319" s="10">
        <v>1000079359</v>
      </c>
      <c r="C319" s="10" t="s">
        <v>473</v>
      </c>
      <c r="D319" s="29" t="s">
        <v>987</v>
      </c>
      <c r="E319" s="13">
        <v>14054.4</v>
      </c>
      <c r="F319" s="129">
        <v>60120615</v>
      </c>
      <c r="G319" s="23" t="s">
        <v>280</v>
      </c>
      <c r="H319" s="10" t="s">
        <v>534</v>
      </c>
      <c r="I319" s="10"/>
    </row>
    <row r="320" spans="1:9" ht="12.75" customHeight="1" x14ac:dyDescent="0.2">
      <c r="A320" s="23" t="s">
        <v>988</v>
      </c>
      <c r="B320" s="10">
        <v>1000079359</v>
      </c>
      <c r="C320" s="10" t="s">
        <v>473</v>
      </c>
      <c r="D320" s="29" t="s">
        <v>991</v>
      </c>
      <c r="E320" s="13">
        <v>13795.2</v>
      </c>
      <c r="F320" s="129">
        <v>60123527</v>
      </c>
      <c r="G320" s="23" t="s">
        <v>280</v>
      </c>
      <c r="H320" s="10" t="s">
        <v>176</v>
      </c>
      <c r="I320" s="16"/>
    </row>
    <row r="321" spans="1:9" ht="12.75" customHeight="1" x14ac:dyDescent="0.2">
      <c r="A321" s="10" t="s">
        <v>989</v>
      </c>
      <c r="B321" s="10">
        <v>1000079359</v>
      </c>
      <c r="C321" s="10" t="s">
        <v>473</v>
      </c>
      <c r="D321" s="29" t="s">
        <v>992</v>
      </c>
      <c r="E321" s="13">
        <v>13410</v>
      </c>
      <c r="F321" s="129">
        <v>60115166</v>
      </c>
      <c r="G321" s="23" t="s">
        <v>280</v>
      </c>
      <c r="H321" s="10" t="s">
        <v>176</v>
      </c>
      <c r="I321" s="16"/>
    </row>
    <row r="322" spans="1:9" ht="12.75" customHeight="1" x14ac:dyDescent="0.2">
      <c r="A322" s="10" t="s">
        <v>990</v>
      </c>
      <c r="B322" s="10">
        <v>1000079359</v>
      </c>
      <c r="C322" s="10" t="s">
        <v>473</v>
      </c>
      <c r="D322" s="29" t="s">
        <v>993</v>
      </c>
      <c r="E322" s="13">
        <v>2452.8000000000002</v>
      </c>
      <c r="F322" s="129">
        <v>60122892</v>
      </c>
      <c r="G322" s="23" t="s">
        <v>280</v>
      </c>
      <c r="H322" s="10" t="s">
        <v>994</v>
      </c>
      <c r="I322" s="10"/>
    </row>
    <row r="323" spans="1:9" ht="12.75" customHeight="1" x14ac:dyDescent="0.2">
      <c r="A323" s="124" t="s">
        <v>1078</v>
      </c>
      <c r="B323" s="49">
        <v>1000083056</v>
      </c>
      <c r="C323" s="49" t="s">
        <v>474</v>
      </c>
      <c r="D323" s="124" t="s">
        <v>1077</v>
      </c>
      <c r="E323" s="126">
        <v>9900</v>
      </c>
      <c r="F323" s="756">
        <v>60127950</v>
      </c>
      <c r="G323" s="125" t="s">
        <v>280</v>
      </c>
      <c r="H323" s="125" t="s">
        <v>176</v>
      </c>
      <c r="I323" s="10"/>
    </row>
    <row r="324" spans="1:9" ht="12.75" customHeight="1" x14ac:dyDescent="0.2">
      <c r="A324" s="10" t="s">
        <v>1079</v>
      </c>
      <c r="B324" s="49">
        <v>1000083056</v>
      </c>
      <c r="C324" s="17" t="s">
        <v>474</v>
      </c>
      <c r="D324" s="17" t="s">
        <v>1080</v>
      </c>
      <c r="E324" s="85">
        <v>31776</v>
      </c>
      <c r="F324" s="191">
        <v>60110563</v>
      </c>
      <c r="G324" s="125" t="s">
        <v>280</v>
      </c>
      <c r="H324" s="23" t="s">
        <v>171</v>
      </c>
      <c r="I324" s="10"/>
    </row>
    <row r="325" spans="1:9" ht="12.75" customHeight="1" x14ac:dyDescent="0.2">
      <c r="A325" s="10" t="s">
        <v>1081</v>
      </c>
      <c r="B325" s="49">
        <v>1000083056</v>
      </c>
      <c r="C325" s="17" t="s">
        <v>474</v>
      </c>
      <c r="D325" s="17" t="s">
        <v>1082</v>
      </c>
      <c r="E325" s="85">
        <v>34747.199999999997</v>
      </c>
      <c r="F325" s="191">
        <v>60113305</v>
      </c>
      <c r="G325" s="125" t="s">
        <v>280</v>
      </c>
      <c r="H325" s="23" t="s">
        <v>171</v>
      </c>
      <c r="I325" s="10"/>
    </row>
    <row r="326" spans="1:9" ht="25.5" customHeight="1" x14ac:dyDescent="0.2">
      <c r="A326" s="10" t="s">
        <v>1083</v>
      </c>
      <c r="B326" s="49">
        <v>1000083056</v>
      </c>
      <c r="C326" s="17" t="s">
        <v>474</v>
      </c>
      <c r="D326" s="28" t="s">
        <v>1084</v>
      </c>
      <c r="E326" s="85">
        <v>7776</v>
      </c>
      <c r="F326" s="191">
        <v>60116756</v>
      </c>
      <c r="G326" s="125" t="s">
        <v>280</v>
      </c>
      <c r="H326" s="23" t="s">
        <v>176</v>
      </c>
      <c r="I326" s="10"/>
    </row>
    <row r="327" spans="1:9" ht="12.75" customHeight="1" x14ac:dyDescent="0.2">
      <c r="A327" s="10" t="s">
        <v>1085</v>
      </c>
      <c r="B327" s="49">
        <v>1000083056</v>
      </c>
      <c r="C327" s="17" t="s">
        <v>474</v>
      </c>
      <c r="D327" s="17" t="s">
        <v>1086</v>
      </c>
      <c r="E327" s="85">
        <v>31776</v>
      </c>
      <c r="F327" s="191">
        <v>60116922</v>
      </c>
      <c r="G327" s="125" t="s">
        <v>280</v>
      </c>
      <c r="H327" s="15" t="s">
        <v>727</v>
      </c>
      <c r="I327" s="10"/>
    </row>
    <row r="328" spans="1:9" ht="38.25" customHeight="1" x14ac:dyDescent="0.2">
      <c r="A328" s="10" t="s">
        <v>1087</v>
      </c>
      <c r="B328" s="49">
        <v>1000083056</v>
      </c>
      <c r="C328" s="17" t="s">
        <v>474</v>
      </c>
      <c r="D328" s="36" t="s">
        <v>1170</v>
      </c>
      <c r="E328" s="86">
        <v>101460</v>
      </c>
      <c r="F328" s="191">
        <v>60110560</v>
      </c>
      <c r="G328" s="125" t="s">
        <v>280</v>
      </c>
      <c r="H328" s="23" t="s">
        <v>161</v>
      </c>
      <c r="I328" s="10"/>
    </row>
    <row r="329" spans="1:9" ht="12.75" customHeight="1" x14ac:dyDescent="0.2">
      <c r="A329" s="10" t="s">
        <v>1088</v>
      </c>
      <c r="B329" s="49">
        <v>1000083056</v>
      </c>
      <c r="C329" s="17" t="s">
        <v>474</v>
      </c>
      <c r="D329" s="29" t="s">
        <v>1089</v>
      </c>
      <c r="E329" s="86">
        <v>27115.200000000001</v>
      </c>
      <c r="F329" s="191">
        <v>60113270</v>
      </c>
      <c r="G329" s="125" t="s">
        <v>280</v>
      </c>
      <c r="H329" s="23" t="s">
        <v>176</v>
      </c>
      <c r="I329" s="10"/>
    </row>
    <row r="330" spans="1:9" ht="12.75" customHeight="1" x14ac:dyDescent="0.2">
      <c r="A330" s="23" t="s">
        <v>1090</v>
      </c>
      <c r="B330" s="49">
        <v>1000083056</v>
      </c>
      <c r="C330" s="17" t="s">
        <v>474</v>
      </c>
      <c r="D330" s="29" t="s">
        <v>1097</v>
      </c>
      <c r="E330" s="86">
        <v>27480</v>
      </c>
      <c r="F330" s="191">
        <v>60114494</v>
      </c>
      <c r="G330" s="125" t="s">
        <v>280</v>
      </c>
      <c r="H330" s="23" t="s">
        <v>176</v>
      </c>
      <c r="I330" s="10"/>
    </row>
    <row r="331" spans="1:9" ht="12.75" customHeight="1" x14ac:dyDescent="0.2">
      <c r="A331" s="10" t="s">
        <v>1091</v>
      </c>
      <c r="B331" s="49">
        <v>1000083056</v>
      </c>
      <c r="C331" s="17" t="s">
        <v>474</v>
      </c>
      <c r="D331" s="29" t="s">
        <v>1092</v>
      </c>
      <c r="E331" s="86">
        <v>12072</v>
      </c>
      <c r="F331" s="191">
        <v>60119581</v>
      </c>
      <c r="G331" s="125" t="s">
        <v>280</v>
      </c>
      <c r="H331" s="23" t="s">
        <v>727</v>
      </c>
      <c r="I331" s="10"/>
    </row>
    <row r="332" spans="1:9" ht="12.75" customHeight="1" x14ac:dyDescent="0.2">
      <c r="A332" s="10" t="s">
        <v>1093</v>
      </c>
      <c r="B332" s="49">
        <v>1000083056</v>
      </c>
      <c r="C332" s="17" t="s">
        <v>474</v>
      </c>
      <c r="D332" s="29" t="s">
        <v>1099</v>
      </c>
      <c r="E332" s="86">
        <v>23496</v>
      </c>
      <c r="F332" s="191">
        <v>60122421</v>
      </c>
      <c r="G332" s="125" t="s">
        <v>280</v>
      </c>
      <c r="H332" s="23" t="s">
        <v>176</v>
      </c>
      <c r="I332" s="10"/>
    </row>
    <row r="333" spans="1:9" ht="38.25" customHeight="1" x14ac:dyDescent="0.2">
      <c r="A333" s="23" t="s">
        <v>1094</v>
      </c>
      <c r="B333" s="49">
        <v>1000083056</v>
      </c>
      <c r="C333" s="17" t="s">
        <v>474</v>
      </c>
      <c r="D333" s="36" t="s">
        <v>1098</v>
      </c>
      <c r="E333" s="86">
        <v>4296</v>
      </c>
      <c r="F333" s="191">
        <v>60121055</v>
      </c>
      <c r="G333" s="125" t="s">
        <v>280</v>
      </c>
      <c r="H333" s="23" t="s">
        <v>176</v>
      </c>
      <c r="I333" s="10"/>
    </row>
    <row r="334" spans="1:9" ht="12.75" customHeight="1" x14ac:dyDescent="0.2">
      <c r="A334" s="23" t="s">
        <v>1096</v>
      </c>
      <c r="B334" s="49">
        <v>1000083056</v>
      </c>
      <c r="C334" s="17" t="s">
        <v>474</v>
      </c>
      <c r="D334" s="29" t="s">
        <v>1095</v>
      </c>
      <c r="E334" s="86">
        <v>14784</v>
      </c>
      <c r="F334" s="191">
        <v>60122893</v>
      </c>
      <c r="G334" s="125" t="s">
        <v>280</v>
      </c>
      <c r="H334" s="23" t="s">
        <v>171</v>
      </c>
      <c r="I334" s="10"/>
    </row>
    <row r="335" spans="1:9" ht="12.75" customHeight="1" x14ac:dyDescent="0.2">
      <c r="A335" s="10" t="s">
        <v>1100</v>
      </c>
      <c r="B335" s="49">
        <v>1000095634</v>
      </c>
      <c r="C335" s="17" t="s">
        <v>474</v>
      </c>
      <c r="D335" s="29" t="s">
        <v>1104</v>
      </c>
      <c r="E335" s="39">
        <v>16243.2</v>
      </c>
      <c r="F335" s="191" t="s">
        <v>431</v>
      </c>
      <c r="G335" s="23" t="s">
        <v>280</v>
      </c>
      <c r="H335" s="23" t="s">
        <v>522</v>
      </c>
      <c r="I335" s="10"/>
    </row>
    <row r="336" spans="1:9" ht="12.75" customHeight="1" x14ac:dyDescent="0.2">
      <c r="A336" s="10" t="s">
        <v>1101</v>
      </c>
      <c r="B336" s="49">
        <v>1000095634</v>
      </c>
      <c r="C336" s="17" t="s">
        <v>474</v>
      </c>
      <c r="D336" s="29" t="s">
        <v>1105</v>
      </c>
      <c r="E336" s="39">
        <v>8850.48</v>
      </c>
      <c r="F336" s="191">
        <v>60118058</v>
      </c>
      <c r="G336" s="23" t="s">
        <v>280</v>
      </c>
      <c r="H336" s="23" t="s">
        <v>522</v>
      </c>
      <c r="I336" s="10"/>
    </row>
    <row r="337" spans="1:9" ht="12.75" customHeight="1" x14ac:dyDescent="0.2">
      <c r="A337" s="10" t="s">
        <v>1102</v>
      </c>
      <c r="B337" s="49">
        <v>1000095634</v>
      </c>
      <c r="C337" s="17" t="s">
        <v>474</v>
      </c>
      <c r="D337" s="29" t="s">
        <v>1106</v>
      </c>
      <c r="E337" s="39">
        <v>15027.6</v>
      </c>
      <c r="F337" s="191">
        <v>60119573</v>
      </c>
      <c r="G337" s="23" t="s">
        <v>280</v>
      </c>
      <c r="H337" s="23" t="s">
        <v>522</v>
      </c>
      <c r="I337" s="10"/>
    </row>
    <row r="338" spans="1:9" ht="12.75" customHeight="1" x14ac:dyDescent="0.2">
      <c r="A338" s="10" t="s">
        <v>1103</v>
      </c>
      <c r="B338" s="49">
        <v>1000095634</v>
      </c>
      <c r="C338" s="17" t="s">
        <v>474</v>
      </c>
      <c r="D338" s="29" t="s">
        <v>1107</v>
      </c>
      <c r="E338" s="39">
        <v>3436.8</v>
      </c>
      <c r="F338" s="191">
        <v>60118053</v>
      </c>
      <c r="G338" s="23" t="s">
        <v>280</v>
      </c>
      <c r="H338" s="23" t="s">
        <v>522</v>
      </c>
      <c r="I338" s="10"/>
    </row>
    <row r="339" spans="1:9" s="38" customFormat="1" ht="12.75" customHeight="1" x14ac:dyDescent="0.2">
      <c r="A339" s="23" t="s">
        <v>1109</v>
      </c>
      <c r="B339" s="23">
        <v>1000079359</v>
      </c>
      <c r="C339" s="29" t="s">
        <v>474</v>
      </c>
      <c r="D339" s="29" t="s">
        <v>1110</v>
      </c>
      <c r="E339" s="39">
        <v>3398.4</v>
      </c>
      <c r="F339" s="191">
        <v>60116758</v>
      </c>
      <c r="G339" s="23" t="s">
        <v>280</v>
      </c>
      <c r="H339" s="23" t="s">
        <v>161</v>
      </c>
      <c r="I339" s="23"/>
    </row>
    <row r="340" spans="1:9" ht="12.75" customHeight="1" x14ac:dyDescent="0.2">
      <c r="A340" s="10" t="s">
        <v>1111</v>
      </c>
      <c r="B340" s="10">
        <v>1000079359</v>
      </c>
      <c r="C340" s="17" t="s">
        <v>474</v>
      </c>
      <c r="D340" s="29" t="s">
        <v>1112</v>
      </c>
      <c r="E340" s="13">
        <v>16934.400000000001</v>
      </c>
      <c r="F340" s="191">
        <v>60125677</v>
      </c>
      <c r="G340" s="23" t="s">
        <v>280</v>
      </c>
      <c r="H340" s="10" t="s">
        <v>952</v>
      </c>
      <c r="I340" s="10"/>
    </row>
    <row r="341" spans="1:9" ht="12.75" customHeight="1" x14ac:dyDescent="0.2">
      <c r="A341" s="10" t="s">
        <v>1113</v>
      </c>
      <c r="B341" s="10">
        <v>1000079359</v>
      </c>
      <c r="C341" s="17" t="s">
        <v>474</v>
      </c>
      <c r="D341" s="29" t="s">
        <v>1114</v>
      </c>
      <c r="E341" s="85">
        <v>9608.4</v>
      </c>
      <c r="F341" s="129">
        <v>60123476</v>
      </c>
      <c r="G341" s="23" t="s">
        <v>280</v>
      </c>
      <c r="H341" s="10" t="s">
        <v>216</v>
      </c>
      <c r="I341" s="10"/>
    </row>
    <row r="342" spans="1:9" ht="12.75" customHeight="1" x14ac:dyDescent="0.2">
      <c r="A342" s="10" t="s">
        <v>1115</v>
      </c>
      <c r="B342" s="10">
        <v>1000079359</v>
      </c>
      <c r="C342" s="17" t="s">
        <v>474</v>
      </c>
      <c r="D342" s="29" t="s">
        <v>1116</v>
      </c>
      <c r="E342" s="13">
        <v>6468</v>
      </c>
      <c r="F342" s="129">
        <v>60110562</v>
      </c>
      <c r="G342" s="23" t="s">
        <v>280</v>
      </c>
      <c r="H342" s="10" t="s">
        <v>176</v>
      </c>
      <c r="I342" s="10"/>
    </row>
    <row r="343" spans="1:9" ht="12.75" customHeight="1" x14ac:dyDescent="0.2">
      <c r="A343" s="10" t="s">
        <v>1117</v>
      </c>
      <c r="B343" s="10">
        <v>1000079359</v>
      </c>
      <c r="C343" s="17" t="s">
        <v>474</v>
      </c>
      <c r="D343" s="29" t="s">
        <v>1118</v>
      </c>
      <c r="E343" s="85">
        <v>10540.8</v>
      </c>
      <c r="F343" s="129">
        <v>60125610</v>
      </c>
      <c r="G343" s="23" t="s">
        <v>280</v>
      </c>
      <c r="H343" s="10" t="s">
        <v>959</v>
      </c>
      <c r="I343" s="10"/>
    </row>
    <row r="344" spans="1:9" ht="12.75" customHeight="1" x14ac:dyDescent="0.2">
      <c r="A344" s="10" t="s">
        <v>1119</v>
      </c>
      <c r="B344" s="10">
        <v>1000079359</v>
      </c>
      <c r="C344" s="17" t="s">
        <v>474</v>
      </c>
      <c r="D344" s="29" t="s">
        <v>1120</v>
      </c>
      <c r="E344" s="13">
        <v>6782.4</v>
      </c>
      <c r="F344" s="129">
        <v>60125529</v>
      </c>
      <c r="G344" s="23" t="s">
        <v>280</v>
      </c>
      <c r="H344" s="10" t="s">
        <v>216</v>
      </c>
      <c r="I344" s="10"/>
    </row>
    <row r="345" spans="1:9" ht="12.75" customHeight="1" x14ac:dyDescent="0.2">
      <c r="A345" s="10" t="s">
        <v>1121</v>
      </c>
      <c r="B345" s="10">
        <v>1000079359</v>
      </c>
      <c r="C345" s="17" t="s">
        <v>474</v>
      </c>
      <c r="D345" s="29" t="s">
        <v>1120</v>
      </c>
      <c r="E345" s="13">
        <v>2826</v>
      </c>
      <c r="F345" s="129">
        <v>60120608</v>
      </c>
      <c r="G345" s="23" t="s">
        <v>280</v>
      </c>
      <c r="H345" s="10" t="s">
        <v>216</v>
      </c>
      <c r="I345" s="10"/>
    </row>
    <row r="346" spans="1:9" ht="12.75" customHeight="1" x14ac:dyDescent="0.2">
      <c r="A346" s="10" t="s">
        <v>1122</v>
      </c>
      <c r="B346" s="10">
        <v>1000079359</v>
      </c>
      <c r="C346" s="17" t="s">
        <v>474</v>
      </c>
      <c r="D346" s="29" t="s">
        <v>1123</v>
      </c>
      <c r="E346" s="13">
        <v>9955.2000000000007</v>
      </c>
      <c r="F346" s="129">
        <v>60125530</v>
      </c>
      <c r="G346" s="23" t="s">
        <v>280</v>
      </c>
      <c r="H346" s="10" t="s">
        <v>176</v>
      </c>
      <c r="I346" s="10"/>
    </row>
    <row r="347" spans="1:9" ht="12.75" customHeight="1" x14ac:dyDescent="0.2">
      <c r="A347" s="10" t="s">
        <v>1124</v>
      </c>
      <c r="B347" s="10">
        <v>1000079359</v>
      </c>
      <c r="C347" s="17" t="s">
        <v>474</v>
      </c>
      <c r="D347" s="29" t="s">
        <v>1125</v>
      </c>
      <c r="E347" s="39">
        <v>9702</v>
      </c>
      <c r="F347" s="191">
        <v>60116583</v>
      </c>
      <c r="G347" s="23" t="s">
        <v>280</v>
      </c>
      <c r="H347" s="23" t="s">
        <v>534</v>
      </c>
      <c r="I347" s="10"/>
    </row>
    <row r="348" spans="1:9" ht="12.75" customHeight="1" x14ac:dyDescent="0.2">
      <c r="A348" s="10" t="s">
        <v>1126</v>
      </c>
      <c r="B348" s="10">
        <v>1000079359</v>
      </c>
      <c r="C348" s="17" t="s">
        <v>474</v>
      </c>
      <c r="D348" s="29" t="s">
        <v>1127</v>
      </c>
      <c r="E348" s="13">
        <v>6158.4</v>
      </c>
      <c r="F348" s="191">
        <v>60123508</v>
      </c>
      <c r="G348" s="23" t="s">
        <v>280</v>
      </c>
      <c r="H348" s="23" t="s">
        <v>176</v>
      </c>
      <c r="I348" s="10"/>
    </row>
    <row r="349" spans="1:9" ht="12.75" customHeight="1" x14ac:dyDescent="0.2">
      <c r="A349" s="10" t="s">
        <v>1128</v>
      </c>
      <c r="B349" s="10">
        <v>1000079359</v>
      </c>
      <c r="C349" s="17" t="s">
        <v>474</v>
      </c>
      <c r="D349" s="29" t="s">
        <v>1129</v>
      </c>
      <c r="E349" s="13">
        <v>19656</v>
      </c>
      <c r="F349" s="129">
        <v>60122420</v>
      </c>
      <c r="G349" s="23" t="s">
        <v>280</v>
      </c>
      <c r="H349" s="10" t="s">
        <v>176</v>
      </c>
      <c r="I349" s="10"/>
    </row>
    <row r="350" spans="1:9" ht="12.75" customHeight="1" x14ac:dyDescent="0.2">
      <c r="A350" s="10" t="s">
        <v>1130</v>
      </c>
      <c r="B350" s="10">
        <v>1000079359</v>
      </c>
      <c r="C350" s="17" t="s">
        <v>474</v>
      </c>
      <c r="D350" s="29" t="s">
        <v>1131</v>
      </c>
      <c r="E350" s="13">
        <v>9118.7999999999993</v>
      </c>
      <c r="F350" s="129">
        <v>60117892</v>
      </c>
      <c r="G350" s="23" t="s">
        <v>280</v>
      </c>
      <c r="H350" s="23" t="s">
        <v>534</v>
      </c>
      <c r="I350" s="10"/>
    </row>
    <row r="351" spans="1:9" ht="12.75" customHeight="1" x14ac:dyDescent="0.2">
      <c r="A351" s="10" t="s">
        <v>1132</v>
      </c>
      <c r="B351" s="10">
        <v>1000079359</v>
      </c>
      <c r="C351" s="17" t="s">
        <v>474</v>
      </c>
      <c r="D351" s="29" t="s">
        <v>1133</v>
      </c>
      <c r="E351" s="13">
        <v>7929.6</v>
      </c>
      <c r="F351" s="129">
        <v>60123517</v>
      </c>
      <c r="G351" s="23" t="s">
        <v>280</v>
      </c>
      <c r="H351" s="10" t="s">
        <v>211</v>
      </c>
      <c r="I351" s="10"/>
    </row>
    <row r="352" spans="1:9" ht="12.75" customHeight="1" x14ac:dyDescent="0.2">
      <c r="A352" s="10" t="s">
        <v>1134</v>
      </c>
      <c r="B352" s="10">
        <v>1000079359</v>
      </c>
      <c r="C352" s="17" t="s">
        <v>474</v>
      </c>
      <c r="D352" s="29" t="s">
        <v>1135</v>
      </c>
      <c r="E352" s="13">
        <v>7646.4</v>
      </c>
      <c r="F352" s="449">
        <v>60123489</v>
      </c>
      <c r="G352" s="23" t="s">
        <v>280</v>
      </c>
      <c r="H352" s="17" t="s">
        <v>211</v>
      </c>
      <c r="I352" s="10"/>
    </row>
    <row r="353" spans="1:9" ht="12.75" customHeight="1" x14ac:dyDescent="0.2">
      <c r="A353" s="10" t="s">
        <v>1136</v>
      </c>
      <c r="B353" s="10">
        <v>1000079359</v>
      </c>
      <c r="C353" s="17" t="s">
        <v>474</v>
      </c>
      <c r="D353" s="29" t="s">
        <v>1137</v>
      </c>
      <c r="E353" s="13">
        <v>9369.6</v>
      </c>
      <c r="F353" s="129">
        <v>60122896</v>
      </c>
      <c r="G353" s="23" t="s">
        <v>280</v>
      </c>
      <c r="H353" s="10" t="s">
        <v>161</v>
      </c>
      <c r="I353" s="10"/>
    </row>
    <row r="354" spans="1:9" ht="12.75" customHeight="1" x14ac:dyDescent="0.2">
      <c r="A354" s="10" t="s">
        <v>1138</v>
      </c>
      <c r="B354" s="10">
        <v>1000079359</v>
      </c>
      <c r="C354" s="17" t="s">
        <v>474</v>
      </c>
      <c r="D354" s="29" t="s">
        <v>1139</v>
      </c>
      <c r="E354" s="39">
        <v>10092.48</v>
      </c>
      <c r="F354" s="191">
        <v>60127436</v>
      </c>
      <c r="G354" s="23" t="s">
        <v>280</v>
      </c>
      <c r="H354" s="10" t="s">
        <v>952</v>
      </c>
      <c r="I354" s="10"/>
    </row>
    <row r="355" spans="1:9" ht="12.75" customHeight="1" x14ac:dyDescent="0.2">
      <c r="A355" s="10" t="s">
        <v>1140</v>
      </c>
      <c r="B355" s="10">
        <v>1000079359</v>
      </c>
      <c r="C355" s="17" t="s">
        <v>474</v>
      </c>
      <c r="D355" s="29" t="s">
        <v>1141</v>
      </c>
      <c r="E355" s="13">
        <v>4514.3999999999996</v>
      </c>
      <c r="F355" s="191">
        <v>60115797</v>
      </c>
      <c r="G355" s="23" t="s">
        <v>280</v>
      </c>
      <c r="H355" s="23" t="s">
        <v>539</v>
      </c>
      <c r="I355" s="10"/>
    </row>
    <row r="356" spans="1:9" ht="12.75" customHeight="1" x14ac:dyDescent="0.2">
      <c r="A356" s="10" t="s">
        <v>1142</v>
      </c>
      <c r="B356" s="10">
        <v>1000079359</v>
      </c>
      <c r="C356" s="17" t="s">
        <v>474</v>
      </c>
      <c r="D356" s="29" t="s">
        <v>1143</v>
      </c>
      <c r="E356" s="13">
        <v>1414.8</v>
      </c>
      <c r="F356" s="129">
        <v>60120607</v>
      </c>
      <c r="G356" s="23" t="s">
        <v>280</v>
      </c>
      <c r="H356" s="23" t="s">
        <v>216</v>
      </c>
      <c r="I356" s="10"/>
    </row>
    <row r="357" spans="1:9" ht="12.75" customHeight="1" x14ac:dyDescent="0.2">
      <c r="A357" s="10" t="s">
        <v>1144</v>
      </c>
      <c r="B357" s="10">
        <v>1000079359</v>
      </c>
      <c r="C357" s="17" t="s">
        <v>474</v>
      </c>
      <c r="D357" s="29" t="s">
        <v>1145</v>
      </c>
      <c r="E357" s="13">
        <v>8784</v>
      </c>
      <c r="F357" s="129">
        <v>60120615</v>
      </c>
      <c r="G357" s="23" t="s">
        <v>280</v>
      </c>
      <c r="H357" s="10" t="s">
        <v>534</v>
      </c>
      <c r="I357" s="10"/>
    </row>
    <row r="358" spans="1:9" ht="12.75" customHeight="1" x14ac:dyDescent="0.2">
      <c r="A358" s="23" t="s">
        <v>1146</v>
      </c>
      <c r="B358" s="10">
        <v>1000079359</v>
      </c>
      <c r="C358" s="17" t="s">
        <v>474</v>
      </c>
      <c r="D358" s="29" t="s">
        <v>1147</v>
      </c>
      <c r="E358" s="13">
        <v>10346.4</v>
      </c>
      <c r="F358" s="129">
        <v>60123527</v>
      </c>
      <c r="G358" s="23" t="s">
        <v>280</v>
      </c>
      <c r="H358" s="10" t="s">
        <v>176</v>
      </c>
      <c r="I358" s="10"/>
    </row>
    <row r="359" spans="1:9" ht="12.75" customHeight="1" x14ac:dyDescent="0.2">
      <c r="A359" s="10" t="s">
        <v>1148</v>
      </c>
      <c r="B359" s="10">
        <v>1000079359</v>
      </c>
      <c r="C359" s="17" t="s">
        <v>474</v>
      </c>
      <c r="D359" s="29" t="s">
        <v>1149</v>
      </c>
      <c r="E359" s="13">
        <v>9655.2000000000007</v>
      </c>
      <c r="F359" s="129">
        <v>60115166</v>
      </c>
      <c r="G359" s="23" t="s">
        <v>280</v>
      </c>
      <c r="H359" s="10" t="s">
        <v>176</v>
      </c>
      <c r="I359" s="10"/>
    </row>
    <row r="360" spans="1:9" ht="12.75" customHeight="1" x14ac:dyDescent="0.2">
      <c r="A360" s="10" t="s">
        <v>1150</v>
      </c>
      <c r="B360" s="10">
        <v>1000079359</v>
      </c>
      <c r="C360" s="17" t="s">
        <v>474</v>
      </c>
      <c r="D360" s="29" t="s">
        <v>1151</v>
      </c>
      <c r="E360" s="13">
        <v>3328.8</v>
      </c>
      <c r="F360" s="129">
        <v>60122892</v>
      </c>
      <c r="G360" s="23" t="s">
        <v>280</v>
      </c>
      <c r="H360" s="10" t="s">
        <v>994</v>
      </c>
      <c r="I360" s="10"/>
    </row>
    <row r="361" spans="1:9" ht="12.75" customHeight="1" x14ac:dyDescent="0.2">
      <c r="A361" s="10" t="s">
        <v>1152</v>
      </c>
      <c r="B361" s="10">
        <v>1000095233</v>
      </c>
      <c r="C361" s="17" t="s">
        <v>474</v>
      </c>
      <c r="D361" s="29" t="s">
        <v>1154</v>
      </c>
      <c r="E361" s="13">
        <v>3830.4</v>
      </c>
      <c r="F361" s="129" t="s">
        <v>431</v>
      </c>
      <c r="G361" s="23" t="s">
        <v>280</v>
      </c>
      <c r="H361" s="10" t="s">
        <v>522</v>
      </c>
      <c r="I361" s="10"/>
    </row>
    <row r="362" spans="1:9" ht="12.75" customHeight="1" x14ac:dyDescent="0.2">
      <c r="A362" s="10" t="s">
        <v>1153</v>
      </c>
      <c r="B362" s="10">
        <v>1000095233</v>
      </c>
      <c r="C362" s="17" t="s">
        <v>474</v>
      </c>
      <c r="D362" s="29" t="s">
        <v>1155</v>
      </c>
      <c r="E362" s="13">
        <v>3326.4</v>
      </c>
      <c r="F362" s="129" t="s">
        <v>431</v>
      </c>
      <c r="G362" s="23" t="s">
        <v>280</v>
      </c>
      <c r="H362" s="10" t="s">
        <v>522</v>
      </c>
      <c r="I362" s="10"/>
    </row>
    <row r="363" spans="1:9" ht="12.75" customHeight="1" x14ac:dyDescent="0.2">
      <c r="A363" s="17" t="s">
        <v>1159</v>
      </c>
      <c r="B363" s="10">
        <v>1000095233</v>
      </c>
      <c r="C363" s="17" t="s">
        <v>474</v>
      </c>
      <c r="D363" s="29" t="s">
        <v>1160</v>
      </c>
      <c r="E363" s="39">
        <v>2808</v>
      </c>
      <c r="F363" s="191" t="s">
        <v>431</v>
      </c>
      <c r="G363" s="23" t="s">
        <v>280</v>
      </c>
      <c r="H363" s="23" t="s">
        <v>522</v>
      </c>
      <c r="I363" s="10"/>
    </row>
    <row r="364" spans="1:9" ht="12.75" customHeight="1" x14ac:dyDescent="0.2">
      <c r="A364" s="90" t="s">
        <v>1158</v>
      </c>
      <c r="B364" s="90">
        <v>1000103407</v>
      </c>
      <c r="C364" s="90" t="s">
        <v>474</v>
      </c>
      <c r="D364" s="143" t="s">
        <v>1108</v>
      </c>
      <c r="E364" s="93">
        <v>5544</v>
      </c>
      <c r="F364" s="757">
        <v>60128805</v>
      </c>
      <c r="G364" s="92" t="s">
        <v>280</v>
      </c>
      <c r="H364" s="90" t="s">
        <v>910</v>
      </c>
      <c r="I364" s="90"/>
    </row>
    <row r="365" spans="1:9" s="22" customFormat="1" ht="12.75" customHeight="1" x14ac:dyDescent="0.2">
      <c r="A365" s="142" t="s">
        <v>1378</v>
      </c>
      <c r="B365" s="17">
        <v>1000079359</v>
      </c>
      <c r="C365" s="17" t="s">
        <v>474</v>
      </c>
      <c r="D365" s="143" t="s">
        <v>1379</v>
      </c>
      <c r="E365" s="144">
        <v>207.04</v>
      </c>
      <c r="F365" s="758">
        <v>60107951</v>
      </c>
      <c r="G365" s="143" t="s">
        <v>92</v>
      </c>
      <c r="H365" s="10" t="s">
        <v>211</v>
      </c>
      <c r="I365" s="142"/>
    </row>
    <row r="366" spans="1:9" s="22" customFormat="1" ht="12.75" customHeight="1" x14ac:dyDescent="0.2">
      <c r="A366" s="142" t="s">
        <v>1517</v>
      </c>
      <c r="B366" s="17">
        <v>1000079359</v>
      </c>
      <c r="C366" s="17" t="s">
        <v>474</v>
      </c>
      <c r="D366" s="143" t="s">
        <v>1504</v>
      </c>
      <c r="E366" s="144">
        <v>207.04</v>
      </c>
      <c r="F366" s="758" t="s">
        <v>92</v>
      </c>
      <c r="G366" s="143" t="s">
        <v>92</v>
      </c>
      <c r="H366" s="17" t="s">
        <v>211</v>
      </c>
      <c r="I366" s="142"/>
    </row>
    <row r="367" spans="1:9" ht="12.75" customHeight="1" x14ac:dyDescent="0.2">
      <c r="A367" s="29" t="s">
        <v>1157</v>
      </c>
      <c r="B367" s="10">
        <v>1000103167</v>
      </c>
      <c r="C367" s="10" t="s">
        <v>475</v>
      </c>
      <c r="D367" s="17" t="s">
        <v>1156</v>
      </c>
      <c r="E367" s="13">
        <v>10848</v>
      </c>
      <c r="F367" s="129">
        <v>60131774</v>
      </c>
      <c r="G367" s="10" t="s">
        <v>280</v>
      </c>
      <c r="H367" s="10" t="s">
        <v>216</v>
      </c>
      <c r="I367" s="10"/>
    </row>
    <row r="368" spans="1:9" ht="12.75" customHeight="1" x14ac:dyDescent="0.2">
      <c r="A368" s="17" t="s">
        <v>1251</v>
      </c>
      <c r="B368" s="10">
        <v>1000103407</v>
      </c>
      <c r="C368" s="10" t="s">
        <v>475</v>
      </c>
      <c r="D368" s="29" t="s">
        <v>1165</v>
      </c>
      <c r="E368" s="13">
        <v>23676</v>
      </c>
      <c r="F368" s="129">
        <v>60128805</v>
      </c>
      <c r="G368" s="10" t="s">
        <v>280</v>
      </c>
      <c r="H368" s="10" t="s">
        <v>910</v>
      </c>
      <c r="I368" s="10"/>
    </row>
    <row r="369" spans="1:9" ht="12.75" customHeight="1" x14ac:dyDescent="0.2">
      <c r="A369" s="10" t="s">
        <v>1166</v>
      </c>
      <c r="B369" s="10">
        <v>1000083056</v>
      </c>
      <c r="C369" s="10" t="s">
        <v>475</v>
      </c>
      <c r="D369" s="29" t="s">
        <v>1167</v>
      </c>
      <c r="E369" s="39">
        <v>31776</v>
      </c>
      <c r="F369" s="191">
        <v>60110563</v>
      </c>
      <c r="G369" s="23" t="s">
        <v>280</v>
      </c>
      <c r="H369" s="23" t="s">
        <v>171</v>
      </c>
      <c r="I369" s="10"/>
    </row>
    <row r="370" spans="1:9" ht="38.25" customHeight="1" x14ac:dyDescent="0.2">
      <c r="A370" s="10" t="s">
        <v>1168</v>
      </c>
      <c r="B370" s="10">
        <v>1000083056</v>
      </c>
      <c r="C370" s="10" t="s">
        <v>475</v>
      </c>
      <c r="D370" s="36" t="s">
        <v>1169</v>
      </c>
      <c r="E370" s="39">
        <v>99699.6</v>
      </c>
      <c r="F370" s="191">
        <v>60110560</v>
      </c>
      <c r="G370" s="23" t="s">
        <v>280</v>
      </c>
      <c r="H370" s="23" t="s">
        <v>161</v>
      </c>
      <c r="I370" s="10"/>
    </row>
    <row r="371" spans="1:9" ht="12.75" customHeight="1" x14ac:dyDescent="0.2">
      <c r="A371" s="10" t="s">
        <v>1171</v>
      </c>
      <c r="B371" s="10">
        <v>1000083056</v>
      </c>
      <c r="C371" s="10" t="s">
        <v>475</v>
      </c>
      <c r="D371" s="29" t="s">
        <v>1173</v>
      </c>
      <c r="E371" s="39">
        <v>22818</v>
      </c>
      <c r="F371" s="191">
        <v>60113270</v>
      </c>
      <c r="G371" s="23" t="s">
        <v>280</v>
      </c>
      <c r="H371" s="23" t="s">
        <v>176</v>
      </c>
      <c r="I371" s="10"/>
    </row>
    <row r="372" spans="1:9" ht="12.75" customHeight="1" x14ac:dyDescent="0.2">
      <c r="A372" s="10" t="s">
        <v>1172</v>
      </c>
      <c r="B372" s="10">
        <v>1000083056</v>
      </c>
      <c r="C372" s="10" t="s">
        <v>475</v>
      </c>
      <c r="D372" s="29" t="s">
        <v>1174</v>
      </c>
      <c r="E372" s="39">
        <v>34747.199999999997</v>
      </c>
      <c r="F372" s="191">
        <v>60113305</v>
      </c>
      <c r="G372" s="23" t="s">
        <v>280</v>
      </c>
      <c r="H372" s="23" t="s">
        <v>171</v>
      </c>
      <c r="I372" s="10"/>
    </row>
    <row r="373" spans="1:9" ht="12.75" customHeight="1" x14ac:dyDescent="0.2">
      <c r="A373" s="10" t="s">
        <v>1176</v>
      </c>
      <c r="B373" s="10">
        <v>1000083056</v>
      </c>
      <c r="C373" s="10" t="s">
        <v>475</v>
      </c>
      <c r="D373" s="29" t="s">
        <v>1175</v>
      </c>
      <c r="E373" s="39">
        <v>23496</v>
      </c>
      <c r="F373" s="191">
        <v>60122421</v>
      </c>
      <c r="G373" s="23" t="s">
        <v>280</v>
      </c>
      <c r="H373" s="23" t="s">
        <v>176</v>
      </c>
      <c r="I373" s="10"/>
    </row>
    <row r="374" spans="1:9" ht="12.75" customHeight="1" x14ac:dyDescent="0.2">
      <c r="A374" s="10" t="s">
        <v>1177</v>
      </c>
      <c r="B374" s="10">
        <v>1000083056</v>
      </c>
      <c r="C374" s="10" t="s">
        <v>475</v>
      </c>
      <c r="D374" s="29" t="s">
        <v>1179</v>
      </c>
      <c r="E374" s="39">
        <v>196588.79999999999</v>
      </c>
      <c r="F374" s="130">
        <v>60123549</v>
      </c>
      <c r="G374" s="23" t="s">
        <v>280</v>
      </c>
      <c r="H374" s="23" t="s">
        <v>903</v>
      </c>
      <c r="I374" s="10"/>
    </row>
    <row r="375" spans="1:9" ht="12.75" customHeight="1" x14ac:dyDescent="0.2">
      <c r="A375" s="10" t="s">
        <v>1178</v>
      </c>
      <c r="B375" s="10">
        <v>1000083056</v>
      </c>
      <c r="C375" s="10" t="s">
        <v>475</v>
      </c>
      <c r="D375" s="29" t="s">
        <v>1183</v>
      </c>
      <c r="E375" s="39">
        <v>14784</v>
      </c>
      <c r="F375" s="191">
        <v>60122893</v>
      </c>
      <c r="G375" s="23" t="s">
        <v>280</v>
      </c>
      <c r="H375" s="23" t="s">
        <v>171</v>
      </c>
      <c r="I375" s="10"/>
    </row>
    <row r="376" spans="1:9" ht="12.75" customHeight="1" x14ac:dyDescent="0.2">
      <c r="A376" s="10" t="s">
        <v>1180</v>
      </c>
      <c r="B376" s="10">
        <v>1000105043</v>
      </c>
      <c r="C376" s="10" t="s">
        <v>475</v>
      </c>
      <c r="D376" s="29" t="s">
        <v>1184</v>
      </c>
      <c r="E376" s="39">
        <v>12547.2</v>
      </c>
      <c r="F376" s="191">
        <v>60128095</v>
      </c>
      <c r="G376" s="23" t="s">
        <v>280</v>
      </c>
      <c r="H376" s="23" t="s">
        <v>176</v>
      </c>
      <c r="I376" s="10"/>
    </row>
    <row r="377" spans="1:9" ht="12.75" customHeight="1" x14ac:dyDescent="0.2">
      <c r="A377" s="90" t="s">
        <v>1181</v>
      </c>
      <c r="B377" s="90">
        <v>1000105043</v>
      </c>
      <c r="C377" s="90" t="s">
        <v>475</v>
      </c>
      <c r="D377" s="143" t="s">
        <v>1185</v>
      </c>
      <c r="E377" s="127">
        <v>32726.400000000001</v>
      </c>
      <c r="F377" s="755">
        <v>60127947</v>
      </c>
      <c r="G377" s="92" t="s">
        <v>280</v>
      </c>
      <c r="H377" s="128" t="s">
        <v>727</v>
      </c>
      <c r="I377" s="90"/>
    </row>
    <row r="378" spans="1:9" ht="12.75" customHeight="1" x14ac:dyDescent="0.2">
      <c r="A378" s="10" t="s">
        <v>1182</v>
      </c>
      <c r="B378" s="10">
        <v>1000105043</v>
      </c>
      <c r="C378" s="10" t="s">
        <v>475</v>
      </c>
      <c r="D378" s="29" t="s">
        <v>1186</v>
      </c>
      <c r="E378" s="39">
        <v>32726.400000000001</v>
      </c>
      <c r="F378" s="191">
        <v>60128272</v>
      </c>
      <c r="G378" s="23" t="s">
        <v>280</v>
      </c>
      <c r="H378" s="23" t="s">
        <v>176</v>
      </c>
      <c r="I378" s="10"/>
    </row>
    <row r="379" spans="1:9" s="11" customFormat="1" ht="12.75" customHeight="1" x14ac:dyDescent="0.2">
      <c r="A379" s="10" t="s">
        <v>1188</v>
      </c>
      <c r="B379" s="10">
        <v>1000079359</v>
      </c>
      <c r="C379" s="10" t="s">
        <v>475</v>
      </c>
      <c r="D379" s="29" t="s">
        <v>1189</v>
      </c>
      <c r="E379" s="13">
        <v>3610.8</v>
      </c>
      <c r="F379" s="191">
        <v>60116758</v>
      </c>
      <c r="G379" s="23" t="s">
        <v>280</v>
      </c>
      <c r="H379" s="23" t="s">
        <v>161</v>
      </c>
      <c r="I379" s="10"/>
    </row>
    <row r="380" spans="1:9" ht="12.75" customHeight="1" x14ac:dyDescent="0.2">
      <c r="A380" s="10" t="s">
        <v>1190</v>
      </c>
      <c r="B380" s="10">
        <v>1000079359</v>
      </c>
      <c r="C380" s="10" t="s">
        <v>475</v>
      </c>
      <c r="D380" s="29" t="s">
        <v>1191</v>
      </c>
      <c r="E380" s="13">
        <v>7873.2</v>
      </c>
      <c r="F380" s="191">
        <v>60125677</v>
      </c>
      <c r="G380" s="23" t="s">
        <v>280</v>
      </c>
      <c r="H380" s="10" t="s">
        <v>952</v>
      </c>
      <c r="I380" s="10"/>
    </row>
    <row r="381" spans="1:9" ht="12.75" customHeight="1" x14ac:dyDescent="0.2">
      <c r="A381" s="10" t="s">
        <v>1192</v>
      </c>
      <c r="B381" s="10">
        <v>1000079359</v>
      </c>
      <c r="C381" s="10" t="s">
        <v>475</v>
      </c>
      <c r="D381" s="29" t="s">
        <v>1194</v>
      </c>
      <c r="E381" s="13">
        <v>5652</v>
      </c>
      <c r="F381" s="191">
        <v>60129476</v>
      </c>
      <c r="G381" s="10" t="s">
        <v>280</v>
      </c>
      <c r="H381" s="10" t="s">
        <v>216</v>
      </c>
      <c r="I381" s="10"/>
    </row>
    <row r="382" spans="1:9" ht="12.75" customHeight="1" x14ac:dyDescent="0.2">
      <c r="A382" s="10" t="s">
        <v>1193</v>
      </c>
      <c r="B382" s="10">
        <v>1000079359</v>
      </c>
      <c r="C382" s="10" t="s">
        <v>475</v>
      </c>
      <c r="D382" s="29" t="s">
        <v>1195</v>
      </c>
      <c r="E382" s="13">
        <v>5086.8</v>
      </c>
      <c r="F382" s="129">
        <v>60123476</v>
      </c>
      <c r="G382" s="10" t="s">
        <v>280</v>
      </c>
      <c r="H382" s="10" t="s">
        <v>216</v>
      </c>
      <c r="I382" s="10"/>
    </row>
    <row r="383" spans="1:9" ht="12.75" customHeight="1" x14ac:dyDescent="0.2">
      <c r="A383" s="10" t="s">
        <v>1196</v>
      </c>
      <c r="B383" s="10">
        <v>1000079359</v>
      </c>
      <c r="C383" s="10" t="s">
        <v>475</v>
      </c>
      <c r="D383" s="29" t="s">
        <v>1197</v>
      </c>
      <c r="E383" s="13">
        <v>9055.2000000000007</v>
      </c>
      <c r="F383" s="129">
        <v>60110562</v>
      </c>
      <c r="G383" s="23" t="s">
        <v>280</v>
      </c>
      <c r="H383" s="10" t="s">
        <v>176</v>
      </c>
      <c r="I383" s="10"/>
    </row>
    <row r="384" spans="1:9" ht="12.75" customHeight="1" x14ac:dyDescent="0.2">
      <c r="A384" s="10" t="s">
        <v>1198</v>
      </c>
      <c r="B384" s="10">
        <v>1000079359</v>
      </c>
      <c r="C384" s="10" t="s">
        <v>475</v>
      </c>
      <c r="D384" s="29" t="s">
        <v>1200</v>
      </c>
      <c r="E384" s="13">
        <v>9955.2000000000007</v>
      </c>
      <c r="F384" s="129">
        <v>60125610</v>
      </c>
      <c r="G384" s="23" t="s">
        <v>280</v>
      </c>
      <c r="H384" s="10" t="s">
        <v>959</v>
      </c>
      <c r="I384" s="10"/>
    </row>
    <row r="385" spans="1:9" ht="12.75" customHeight="1" x14ac:dyDescent="0.2">
      <c r="A385" s="10" t="s">
        <v>1199</v>
      </c>
      <c r="B385" s="10">
        <v>1000079359</v>
      </c>
      <c r="C385" s="10" t="s">
        <v>475</v>
      </c>
      <c r="D385" s="29" t="s">
        <v>1201</v>
      </c>
      <c r="E385" s="13">
        <v>5086.8</v>
      </c>
      <c r="F385" s="129">
        <v>60125529</v>
      </c>
      <c r="G385" s="23" t="s">
        <v>280</v>
      </c>
      <c r="H385" s="10" t="s">
        <v>216</v>
      </c>
      <c r="I385" s="10"/>
    </row>
    <row r="386" spans="1:9" ht="12.75" customHeight="1" x14ac:dyDescent="0.2">
      <c r="A386" s="10" t="s">
        <v>1202</v>
      </c>
      <c r="B386" s="10">
        <v>1000079359</v>
      </c>
      <c r="C386" s="10" t="s">
        <v>475</v>
      </c>
      <c r="D386" s="29" t="s">
        <v>1203</v>
      </c>
      <c r="E386" s="13">
        <v>13992</v>
      </c>
      <c r="F386" s="129">
        <v>60128104</v>
      </c>
      <c r="G386" s="10" t="s">
        <v>280</v>
      </c>
      <c r="H386" s="10" t="s">
        <v>1204</v>
      </c>
      <c r="I386" s="10"/>
    </row>
    <row r="387" spans="1:9" ht="12.75" customHeight="1" x14ac:dyDescent="0.2">
      <c r="A387" s="10" t="s">
        <v>1205</v>
      </c>
      <c r="B387" s="10">
        <v>1000079359</v>
      </c>
      <c r="C387" s="10" t="s">
        <v>475</v>
      </c>
      <c r="D387" s="29" t="s">
        <v>1206</v>
      </c>
      <c r="E387" s="13">
        <v>7612.8</v>
      </c>
      <c r="F387" s="129">
        <v>60125530</v>
      </c>
      <c r="G387" s="23" t="s">
        <v>280</v>
      </c>
      <c r="H387" s="10" t="s">
        <v>176</v>
      </c>
      <c r="I387" s="10"/>
    </row>
    <row r="388" spans="1:9" ht="12.75" customHeight="1" x14ac:dyDescent="0.2">
      <c r="A388" s="10" t="s">
        <v>1207</v>
      </c>
      <c r="B388" s="10">
        <v>1000079359</v>
      </c>
      <c r="C388" s="10" t="s">
        <v>475</v>
      </c>
      <c r="D388" s="29" t="s">
        <v>1208</v>
      </c>
      <c r="E388" s="13">
        <v>12289.2</v>
      </c>
      <c r="F388" s="191">
        <v>60116583</v>
      </c>
      <c r="G388" s="23" t="s">
        <v>92</v>
      </c>
      <c r="H388" s="23" t="s">
        <v>534</v>
      </c>
      <c r="I388" s="10"/>
    </row>
    <row r="389" spans="1:9" ht="12.75" customHeight="1" x14ac:dyDescent="0.2">
      <c r="A389" s="10" t="s">
        <v>1253</v>
      </c>
      <c r="B389" s="10">
        <v>1000079359</v>
      </c>
      <c r="C389" s="10" t="s">
        <v>475</v>
      </c>
      <c r="D389" s="29" t="s">
        <v>1254</v>
      </c>
      <c r="E389" s="13">
        <v>10995.6</v>
      </c>
      <c r="F389" s="191">
        <v>60116583</v>
      </c>
      <c r="G389" s="23" t="s">
        <v>280</v>
      </c>
      <c r="H389" s="23" t="s">
        <v>534</v>
      </c>
      <c r="I389" s="10"/>
    </row>
    <row r="390" spans="1:9" ht="12.75" customHeight="1" x14ac:dyDescent="0.2">
      <c r="A390" s="10" t="s">
        <v>1209</v>
      </c>
      <c r="B390" s="10">
        <v>1000079359</v>
      </c>
      <c r="C390" s="10" t="s">
        <v>475</v>
      </c>
      <c r="D390" s="29" t="s">
        <v>1210</v>
      </c>
      <c r="E390" s="13">
        <v>6393.6</v>
      </c>
      <c r="F390" s="191">
        <v>60123508</v>
      </c>
      <c r="G390" s="23" t="s">
        <v>280</v>
      </c>
      <c r="H390" s="23" t="s">
        <v>176</v>
      </c>
      <c r="I390" s="10"/>
    </row>
    <row r="391" spans="1:9" ht="12.75" customHeight="1" x14ac:dyDescent="0.2">
      <c r="A391" s="10" t="s">
        <v>1211</v>
      </c>
      <c r="B391" s="10">
        <v>1000079359</v>
      </c>
      <c r="C391" s="10" t="s">
        <v>475</v>
      </c>
      <c r="D391" s="29" t="s">
        <v>1212</v>
      </c>
      <c r="E391" s="13">
        <v>20192.400000000001</v>
      </c>
      <c r="F391" s="129">
        <v>60122420</v>
      </c>
      <c r="G391" s="23" t="s">
        <v>280</v>
      </c>
      <c r="H391" s="10" t="s">
        <v>176</v>
      </c>
      <c r="I391" s="10"/>
    </row>
    <row r="392" spans="1:9" ht="12.75" customHeight="1" x14ac:dyDescent="0.2">
      <c r="A392" s="10" t="s">
        <v>1213</v>
      </c>
      <c r="B392" s="10">
        <v>1000079359</v>
      </c>
      <c r="C392" s="10" t="s">
        <v>475</v>
      </c>
      <c r="D392" s="29" t="s">
        <v>1214</v>
      </c>
      <c r="E392" s="13">
        <v>6973.2</v>
      </c>
      <c r="F392" s="129">
        <v>60117892</v>
      </c>
      <c r="G392" s="23" t="s">
        <v>280</v>
      </c>
      <c r="H392" s="23" t="s">
        <v>534</v>
      </c>
      <c r="I392" s="10"/>
    </row>
    <row r="393" spans="1:9" ht="12.75" customHeight="1" x14ac:dyDescent="0.2">
      <c r="A393" s="10" t="s">
        <v>1215</v>
      </c>
      <c r="B393" s="10">
        <v>1000079359</v>
      </c>
      <c r="C393" s="10" t="s">
        <v>475</v>
      </c>
      <c r="D393" s="29" t="s">
        <v>1216</v>
      </c>
      <c r="E393" s="13">
        <v>9628.7999999999993</v>
      </c>
      <c r="F393" s="129">
        <v>60123517</v>
      </c>
      <c r="G393" s="23" t="s">
        <v>280</v>
      </c>
      <c r="H393" s="10" t="s">
        <v>211</v>
      </c>
      <c r="I393" s="10"/>
    </row>
    <row r="394" spans="1:9" ht="12.75" customHeight="1" x14ac:dyDescent="0.2">
      <c r="A394" s="10" t="s">
        <v>1217</v>
      </c>
      <c r="B394" s="10">
        <v>1000079359</v>
      </c>
      <c r="C394" s="10" t="s">
        <v>475</v>
      </c>
      <c r="D394" s="29" t="s">
        <v>1218</v>
      </c>
      <c r="E394" s="13">
        <v>7929.6</v>
      </c>
      <c r="F394" s="130">
        <v>60123489</v>
      </c>
      <c r="G394" s="23" t="s">
        <v>280</v>
      </c>
      <c r="H394" s="17" t="s">
        <v>211</v>
      </c>
      <c r="I394" s="10"/>
    </row>
    <row r="395" spans="1:9" ht="12.75" customHeight="1" x14ac:dyDescent="0.2">
      <c r="A395" s="10" t="s">
        <v>1219</v>
      </c>
      <c r="B395" s="10">
        <v>1000079359</v>
      </c>
      <c r="C395" s="10" t="s">
        <v>475</v>
      </c>
      <c r="D395" s="29" t="s">
        <v>1220</v>
      </c>
      <c r="E395" s="13">
        <v>11126.4</v>
      </c>
      <c r="F395" s="129">
        <v>60122896</v>
      </c>
      <c r="G395" s="23" t="s">
        <v>280</v>
      </c>
      <c r="H395" s="10" t="s">
        <v>161</v>
      </c>
      <c r="I395" s="10"/>
    </row>
    <row r="396" spans="1:9" ht="12.75" customHeight="1" x14ac:dyDescent="0.2">
      <c r="A396" s="10" t="s">
        <v>1221</v>
      </c>
      <c r="B396" s="10">
        <v>1000079359</v>
      </c>
      <c r="C396" s="10" t="s">
        <v>475</v>
      </c>
      <c r="D396" s="29" t="s">
        <v>1222</v>
      </c>
      <c r="E396" s="13">
        <v>9156.48</v>
      </c>
      <c r="F396" s="129">
        <v>60127436</v>
      </c>
      <c r="G396" s="10" t="s">
        <v>280</v>
      </c>
      <c r="H396" s="10" t="s">
        <v>952</v>
      </c>
      <c r="I396" s="10"/>
    </row>
    <row r="397" spans="1:9" ht="12.75" customHeight="1" x14ac:dyDescent="0.2">
      <c r="A397" s="10" t="s">
        <v>1223</v>
      </c>
      <c r="B397" s="10">
        <v>1000079359</v>
      </c>
      <c r="C397" s="10" t="s">
        <v>475</v>
      </c>
      <c r="D397" s="29" t="s">
        <v>1225</v>
      </c>
      <c r="E397" s="10">
        <v>475.2</v>
      </c>
      <c r="F397" s="191">
        <v>60115797</v>
      </c>
      <c r="G397" s="23" t="s">
        <v>280</v>
      </c>
      <c r="H397" s="23" t="s">
        <v>539</v>
      </c>
      <c r="I397" s="10"/>
    </row>
    <row r="398" spans="1:9" ht="12.75" customHeight="1" x14ac:dyDescent="0.2">
      <c r="A398" s="10" t="s">
        <v>1224</v>
      </c>
      <c r="B398" s="10">
        <v>1000079359</v>
      </c>
      <c r="C398" s="10" t="s">
        <v>475</v>
      </c>
      <c r="D398" s="29" t="s">
        <v>1226</v>
      </c>
      <c r="E398" s="13">
        <v>3088.8</v>
      </c>
      <c r="F398" s="191">
        <v>60131793</v>
      </c>
      <c r="G398" s="10" t="s">
        <v>280</v>
      </c>
      <c r="H398" s="10" t="s">
        <v>539</v>
      </c>
      <c r="I398" s="10"/>
    </row>
    <row r="399" spans="1:9" ht="12.75" customHeight="1" x14ac:dyDescent="0.2">
      <c r="A399" s="10" t="s">
        <v>1227</v>
      </c>
      <c r="B399" s="10">
        <v>1000079359</v>
      </c>
      <c r="C399" s="10" t="s">
        <v>475</v>
      </c>
      <c r="D399" s="29" t="s">
        <v>1228</v>
      </c>
      <c r="E399" s="13">
        <v>1171.2</v>
      </c>
      <c r="F399" s="129">
        <v>60120615</v>
      </c>
      <c r="G399" s="23" t="s">
        <v>280</v>
      </c>
      <c r="H399" s="10" t="s">
        <v>534</v>
      </c>
      <c r="I399" s="10"/>
    </row>
    <row r="400" spans="1:9" ht="12.75" customHeight="1" x14ac:dyDescent="0.2">
      <c r="A400" s="10" t="s">
        <v>1229</v>
      </c>
      <c r="B400" s="10">
        <v>1000079359</v>
      </c>
      <c r="C400" s="10" t="s">
        <v>475</v>
      </c>
      <c r="D400" s="29" t="s">
        <v>1230</v>
      </c>
      <c r="E400" s="13">
        <v>9955.2000000000007</v>
      </c>
      <c r="F400" s="129">
        <v>60127944</v>
      </c>
      <c r="G400" s="10" t="s">
        <v>280</v>
      </c>
      <c r="H400" s="10" t="s">
        <v>534</v>
      </c>
      <c r="I400" s="10"/>
    </row>
    <row r="401" spans="1:9" ht="12.75" customHeight="1" x14ac:dyDescent="0.2">
      <c r="A401" s="23" t="s">
        <v>1231</v>
      </c>
      <c r="B401" s="10">
        <v>1000079359</v>
      </c>
      <c r="C401" s="10" t="s">
        <v>475</v>
      </c>
      <c r="D401" s="29" t="s">
        <v>1232</v>
      </c>
      <c r="E401" s="13">
        <v>10921.2</v>
      </c>
      <c r="F401" s="129">
        <v>60123527</v>
      </c>
      <c r="G401" s="23" t="s">
        <v>280</v>
      </c>
      <c r="H401" s="10" t="s">
        <v>176</v>
      </c>
      <c r="I401" s="10"/>
    </row>
    <row r="402" spans="1:9" ht="12.75" customHeight="1" x14ac:dyDescent="0.2">
      <c r="A402" s="10" t="s">
        <v>1233</v>
      </c>
      <c r="B402" s="10">
        <v>1000079359</v>
      </c>
      <c r="C402" s="10" t="s">
        <v>475</v>
      </c>
      <c r="D402" s="29" t="s">
        <v>1234</v>
      </c>
      <c r="E402" s="13">
        <v>1072.8</v>
      </c>
      <c r="F402" s="129">
        <v>60115166</v>
      </c>
      <c r="G402" s="23" t="s">
        <v>280</v>
      </c>
      <c r="H402" s="10" t="s">
        <v>176</v>
      </c>
      <c r="I402" s="10"/>
    </row>
    <row r="403" spans="1:9" ht="12.75" customHeight="1" x14ac:dyDescent="0.2">
      <c r="A403" s="10" t="s">
        <v>1235</v>
      </c>
      <c r="B403" s="10">
        <v>1000079359</v>
      </c>
      <c r="C403" s="10" t="s">
        <v>475</v>
      </c>
      <c r="D403" s="29" t="s">
        <v>1236</v>
      </c>
      <c r="E403" s="13">
        <v>9118.7999999999993</v>
      </c>
      <c r="F403" s="191">
        <v>60129477</v>
      </c>
      <c r="G403" s="10" t="s">
        <v>280</v>
      </c>
      <c r="H403" s="10" t="s">
        <v>176</v>
      </c>
      <c r="I403" s="10"/>
    </row>
    <row r="404" spans="1:9" ht="12.75" customHeight="1" x14ac:dyDescent="0.2">
      <c r="A404" s="10" t="s">
        <v>1237</v>
      </c>
      <c r="B404" s="10">
        <v>1000079359</v>
      </c>
      <c r="C404" s="10" t="s">
        <v>475</v>
      </c>
      <c r="D404" s="29" t="s">
        <v>1238</v>
      </c>
      <c r="E404" s="13">
        <v>3153.6</v>
      </c>
      <c r="F404" s="129">
        <v>60122892</v>
      </c>
      <c r="G404" s="10" t="s">
        <v>280</v>
      </c>
      <c r="H404" s="10" t="s">
        <v>994</v>
      </c>
      <c r="I404" s="10"/>
    </row>
    <row r="405" spans="1:9" ht="12.75" customHeight="1" x14ac:dyDescent="0.2">
      <c r="A405" s="10" t="s">
        <v>1239</v>
      </c>
      <c r="B405" s="10">
        <v>1000095634</v>
      </c>
      <c r="C405" s="10" t="s">
        <v>475</v>
      </c>
      <c r="D405" s="29" t="s">
        <v>1240</v>
      </c>
      <c r="E405" s="13">
        <v>4605.84</v>
      </c>
      <c r="F405" s="191">
        <v>60118058</v>
      </c>
      <c r="G405" s="10" t="s">
        <v>280</v>
      </c>
      <c r="H405" s="23" t="s">
        <v>522</v>
      </c>
      <c r="I405" s="10"/>
    </row>
    <row r="406" spans="1:9" ht="12.75" customHeight="1" x14ac:dyDescent="0.2">
      <c r="A406" s="10" t="s">
        <v>1241</v>
      </c>
      <c r="B406" s="10">
        <v>1000095634</v>
      </c>
      <c r="C406" s="10" t="s">
        <v>475</v>
      </c>
      <c r="D406" s="29" t="s">
        <v>1242</v>
      </c>
      <c r="E406" s="13">
        <v>12942</v>
      </c>
      <c r="F406" s="191">
        <v>60119573</v>
      </c>
      <c r="G406" s="10" t="s">
        <v>280</v>
      </c>
      <c r="H406" s="23" t="s">
        <v>522</v>
      </c>
      <c r="I406" s="10"/>
    </row>
    <row r="407" spans="1:9" ht="12.75" customHeight="1" x14ac:dyDescent="0.2">
      <c r="A407" s="10" t="s">
        <v>1243</v>
      </c>
      <c r="B407" s="10">
        <v>1000095634</v>
      </c>
      <c r="C407" s="10" t="s">
        <v>475</v>
      </c>
      <c r="D407" s="29" t="s">
        <v>1244</v>
      </c>
      <c r="E407" s="13">
        <v>4514.3999999999996</v>
      </c>
      <c r="F407" s="191" t="s">
        <v>431</v>
      </c>
      <c r="G407" s="10" t="s">
        <v>280</v>
      </c>
      <c r="H407" s="23" t="s">
        <v>522</v>
      </c>
      <c r="I407" s="10"/>
    </row>
    <row r="408" spans="1:9" ht="12.75" customHeight="1" x14ac:dyDescent="0.2">
      <c r="A408" s="10" t="s">
        <v>1245</v>
      </c>
      <c r="B408" s="10">
        <v>1000095634</v>
      </c>
      <c r="C408" s="10" t="s">
        <v>475</v>
      </c>
      <c r="D408" s="29" t="s">
        <v>1246</v>
      </c>
      <c r="E408" s="39">
        <v>4081.2</v>
      </c>
      <c r="F408" s="191">
        <v>60118053</v>
      </c>
      <c r="G408" s="10" t="s">
        <v>280</v>
      </c>
      <c r="H408" s="23" t="s">
        <v>522</v>
      </c>
      <c r="I408" s="10"/>
    </row>
    <row r="409" spans="1:9" ht="12.75" customHeight="1" x14ac:dyDescent="0.2">
      <c r="A409" s="10" t="s">
        <v>1247</v>
      </c>
      <c r="B409" s="10">
        <v>1000095233</v>
      </c>
      <c r="C409" s="10" t="s">
        <v>475</v>
      </c>
      <c r="D409" s="29" t="s">
        <v>1248</v>
      </c>
      <c r="E409" s="13">
        <v>5464.8</v>
      </c>
      <c r="F409" s="129">
        <v>60131851</v>
      </c>
      <c r="G409" s="10" t="s">
        <v>280</v>
      </c>
      <c r="H409" s="10" t="s">
        <v>572</v>
      </c>
      <c r="I409" s="10"/>
    </row>
    <row r="410" spans="1:9" ht="12.75" customHeight="1" x14ac:dyDescent="0.2">
      <c r="A410" s="10" t="s">
        <v>1249</v>
      </c>
      <c r="B410" s="10">
        <v>1000095233</v>
      </c>
      <c r="C410" s="10" t="s">
        <v>475</v>
      </c>
      <c r="D410" s="29" t="s">
        <v>1250</v>
      </c>
      <c r="E410" s="13">
        <v>4636.8</v>
      </c>
      <c r="F410" s="129">
        <v>60135153</v>
      </c>
      <c r="G410" s="10" t="s">
        <v>280</v>
      </c>
      <c r="H410" s="10" t="s">
        <v>572</v>
      </c>
      <c r="I410" s="10" t="s">
        <v>1802</v>
      </c>
    </row>
    <row r="411" spans="1:9" ht="12.75" customHeight="1" x14ac:dyDescent="0.2">
      <c r="A411" s="10" t="s">
        <v>1277</v>
      </c>
      <c r="B411" s="10">
        <v>1000105043</v>
      </c>
      <c r="C411" s="10" t="s">
        <v>476</v>
      </c>
      <c r="D411" s="17" t="s">
        <v>1270</v>
      </c>
      <c r="E411" s="13">
        <v>40254</v>
      </c>
      <c r="F411" s="191">
        <v>60128260</v>
      </c>
      <c r="G411" s="23" t="s">
        <v>280</v>
      </c>
      <c r="H411" s="23" t="s">
        <v>171</v>
      </c>
      <c r="I411" s="10"/>
    </row>
    <row r="412" spans="1:9" ht="12.75" customHeight="1" x14ac:dyDescent="0.2">
      <c r="A412" s="10" t="s">
        <v>1273</v>
      </c>
      <c r="B412" s="10">
        <v>1000105043</v>
      </c>
      <c r="C412" s="10" t="s">
        <v>476</v>
      </c>
      <c r="D412" s="17" t="s">
        <v>1274</v>
      </c>
      <c r="E412" s="13">
        <v>15684</v>
      </c>
      <c r="F412" s="191">
        <v>60128095</v>
      </c>
      <c r="G412" s="23" t="s">
        <v>280</v>
      </c>
      <c r="H412" s="23" t="s">
        <v>1278</v>
      </c>
      <c r="I412" s="10"/>
    </row>
    <row r="413" spans="1:9" ht="12.75" customHeight="1" x14ac:dyDescent="0.2">
      <c r="A413" s="10" t="s">
        <v>1271</v>
      </c>
      <c r="B413" s="10">
        <v>1000105043</v>
      </c>
      <c r="C413" s="10" t="s">
        <v>476</v>
      </c>
      <c r="D413" s="17" t="s">
        <v>1272</v>
      </c>
      <c r="E413" s="13">
        <v>40908</v>
      </c>
      <c r="F413" s="191">
        <v>60128272</v>
      </c>
      <c r="G413" s="23" t="s">
        <v>280</v>
      </c>
      <c r="H413" s="23" t="s">
        <v>1278</v>
      </c>
      <c r="I413" s="10"/>
    </row>
    <row r="414" spans="1:9" ht="12.75" customHeight="1" x14ac:dyDescent="0.2">
      <c r="A414" s="10" t="s">
        <v>1275</v>
      </c>
      <c r="B414" s="10">
        <v>1000105043</v>
      </c>
      <c r="C414" s="10" t="s">
        <v>476</v>
      </c>
      <c r="D414" s="17" t="s">
        <v>1276</v>
      </c>
      <c r="E414" s="13">
        <v>40908</v>
      </c>
      <c r="F414" s="191">
        <v>60127947</v>
      </c>
      <c r="G414" s="23" t="s">
        <v>280</v>
      </c>
      <c r="H414" s="128" t="s">
        <v>727</v>
      </c>
      <c r="I414" s="10"/>
    </row>
    <row r="415" spans="1:9" ht="12.75" customHeight="1" x14ac:dyDescent="0.2">
      <c r="A415" s="10" t="s">
        <v>1279</v>
      </c>
      <c r="B415" s="23">
        <v>1000083056</v>
      </c>
      <c r="C415" s="10" t="s">
        <v>476</v>
      </c>
      <c r="D415" s="29" t="s">
        <v>1280</v>
      </c>
      <c r="E415" s="39">
        <v>23832</v>
      </c>
      <c r="F415" s="191">
        <v>60110563</v>
      </c>
      <c r="G415" s="23" t="s">
        <v>280</v>
      </c>
      <c r="H415" s="23" t="s">
        <v>171</v>
      </c>
      <c r="I415" s="10"/>
    </row>
    <row r="416" spans="1:9" ht="38.25" customHeight="1" x14ac:dyDescent="0.2">
      <c r="A416" s="10" t="s">
        <v>1281</v>
      </c>
      <c r="B416" s="23">
        <v>1000083056</v>
      </c>
      <c r="C416" s="10" t="s">
        <v>476</v>
      </c>
      <c r="D416" s="36" t="s">
        <v>1282</v>
      </c>
      <c r="E416" s="39">
        <v>76095</v>
      </c>
      <c r="F416" s="191">
        <v>60110560</v>
      </c>
      <c r="G416" s="23" t="s">
        <v>280</v>
      </c>
      <c r="H416" s="23" t="s">
        <v>161</v>
      </c>
      <c r="I416" s="10"/>
    </row>
    <row r="417" spans="1:9" ht="12.75" customHeight="1" x14ac:dyDescent="0.2">
      <c r="A417" s="10" t="s">
        <v>1283</v>
      </c>
      <c r="B417" s="23">
        <v>1000083056</v>
      </c>
      <c r="C417" s="10" t="s">
        <v>476</v>
      </c>
      <c r="D417" s="29" t="s">
        <v>1284</v>
      </c>
      <c r="E417" s="39">
        <v>27037.200000000001</v>
      </c>
      <c r="F417" s="191">
        <v>60113270</v>
      </c>
      <c r="G417" s="23" t="s">
        <v>280</v>
      </c>
      <c r="H417" s="23" t="s">
        <v>1278</v>
      </c>
      <c r="I417" s="10"/>
    </row>
    <row r="418" spans="1:9" ht="12.75" customHeight="1" x14ac:dyDescent="0.2">
      <c r="A418" s="10" t="s">
        <v>1285</v>
      </c>
      <c r="B418" s="23">
        <v>1000083056</v>
      </c>
      <c r="C418" s="10" t="s">
        <v>476</v>
      </c>
      <c r="D418" s="29" t="s">
        <v>1286</v>
      </c>
      <c r="E418" s="39">
        <v>41947.199999999997</v>
      </c>
      <c r="F418" s="191">
        <v>60113305</v>
      </c>
      <c r="G418" s="23" t="s">
        <v>280</v>
      </c>
      <c r="H418" s="23" t="s">
        <v>171</v>
      </c>
      <c r="I418" s="10"/>
    </row>
    <row r="419" spans="1:9" ht="12.75" customHeight="1" x14ac:dyDescent="0.2">
      <c r="A419" s="10" t="s">
        <v>1287</v>
      </c>
      <c r="B419" s="23">
        <v>1000083056</v>
      </c>
      <c r="C419" s="10" t="s">
        <v>476</v>
      </c>
      <c r="D419" s="29" t="s">
        <v>1288</v>
      </c>
      <c r="E419" s="39">
        <v>29370</v>
      </c>
      <c r="F419" s="191">
        <v>60122421</v>
      </c>
      <c r="G419" s="23" t="s">
        <v>280</v>
      </c>
      <c r="H419" s="23" t="s">
        <v>1278</v>
      </c>
      <c r="I419" s="10"/>
    </row>
    <row r="420" spans="1:9" ht="12.75" customHeight="1" x14ac:dyDescent="0.2">
      <c r="A420" s="10" t="s">
        <v>1289</v>
      </c>
      <c r="B420" s="23">
        <v>1000083056</v>
      </c>
      <c r="C420" s="10" t="s">
        <v>476</v>
      </c>
      <c r="D420" s="29" t="s">
        <v>1290</v>
      </c>
      <c r="E420" s="39">
        <v>98938.8</v>
      </c>
      <c r="F420" s="130">
        <v>60123549</v>
      </c>
      <c r="G420" s="23" t="s">
        <v>280</v>
      </c>
      <c r="H420" s="23" t="s">
        <v>903</v>
      </c>
      <c r="I420" s="10"/>
    </row>
    <row r="421" spans="1:9" ht="12.75" customHeight="1" x14ac:dyDescent="0.2">
      <c r="A421" s="10" t="s">
        <v>1291</v>
      </c>
      <c r="B421" s="23">
        <v>1000083056</v>
      </c>
      <c r="C421" s="10" t="s">
        <v>476</v>
      </c>
      <c r="D421" s="29" t="s">
        <v>1292</v>
      </c>
      <c r="E421" s="39">
        <v>18480</v>
      </c>
      <c r="F421" s="191">
        <v>60122893</v>
      </c>
      <c r="G421" s="23" t="s">
        <v>280</v>
      </c>
      <c r="H421" s="23" t="s">
        <v>171</v>
      </c>
      <c r="I421" s="10"/>
    </row>
    <row r="422" spans="1:9" ht="12.75" customHeight="1" x14ac:dyDescent="0.2">
      <c r="A422" s="29" t="s">
        <v>1293</v>
      </c>
      <c r="B422" s="23">
        <v>1000083056</v>
      </c>
      <c r="C422" s="10" t="s">
        <v>476</v>
      </c>
      <c r="D422" s="29" t="s">
        <v>1294</v>
      </c>
      <c r="E422" s="39">
        <v>10008</v>
      </c>
      <c r="F422" s="191">
        <v>60131213</v>
      </c>
      <c r="G422" s="23" t="s">
        <v>280</v>
      </c>
      <c r="H422" s="23" t="s">
        <v>171</v>
      </c>
      <c r="I422" s="90" t="s">
        <v>1823</v>
      </c>
    </row>
    <row r="423" spans="1:9" ht="12.75" customHeight="1" x14ac:dyDescent="0.2">
      <c r="A423" s="29" t="s">
        <v>1298</v>
      </c>
      <c r="B423" s="10">
        <v>1000103407</v>
      </c>
      <c r="C423" s="10" t="s">
        <v>476</v>
      </c>
      <c r="D423" s="29" t="s">
        <v>1299</v>
      </c>
      <c r="E423" s="13">
        <v>43932</v>
      </c>
      <c r="F423" s="129">
        <v>60128805</v>
      </c>
      <c r="G423" s="10" t="s">
        <v>280</v>
      </c>
      <c r="H423" s="10" t="s">
        <v>910</v>
      </c>
      <c r="I423" s="10"/>
    </row>
    <row r="424" spans="1:9" ht="12.75" customHeight="1" x14ac:dyDescent="0.2">
      <c r="A424" s="23" t="s">
        <v>1300</v>
      </c>
      <c r="B424" s="10">
        <v>1000095233</v>
      </c>
      <c r="C424" s="10" t="s">
        <v>476</v>
      </c>
      <c r="D424" s="17" t="s">
        <v>1302</v>
      </c>
      <c r="E424" s="13">
        <v>3564</v>
      </c>
      <c r="F424" s="757" t="s">
        <v>431</v>
      </c>
      <c r="G424" s="10" t="s">
        <v>280</v>
      </c>
      <c r="H424" s="90" t="s">
        <v>572</v>
      </c>
      <c r="I424" s="10"/>
    </row>
    <row r="425" spans="1:9" ht="12.75" customHeight="1" x14ac:dyDescent="0.2">
      <c r="A425" s="23" t="s">
        <v>1301</v>
      </c>
      <c r="B425" s="10">
        <v>1000095233</v>
      </c>
      <c r="C425" s="10" t="s">
        <v>476</v>
      </c>
      <c r="D425" s="17" t="s">
        <v>1303</v>
      </c>
      <c r="E425" s="13">
        <v>2822.4</v>
      </c>
      <c r="F425" s="129">
        <v>60135153</v>
      </c>
      <c r="G425" s="10" t="s">
        <v>280</v>
      </c>
      <c r="H425" s="10" t="s">
        <v>572</v>
      </c>
      <c r="I425" s="10" t="s">
        <v>1802</v>
      </c>
    </row>
    <row r="426" spans="1:9" ht="12.75" customHeight="1" x14ac:dyDescent="0.2">
      <c r="A426" s="23" t="s">
        <v>1304</v>
      </c>
      <c r="B426" s="10">
        <v>1000095634</v>
      </c>
      <c r="C426" s="10" t="s">
        <v>476</v>
      </c>
      <c r="D426" s="17" t="s">
        <v>1309</v>
      </c>
      <c r="E426" s="13">
        <v>18724.8</v>
      </c>
      <c r="F426" s="191" t="s">
        <v>431</v>
      </c>
      <c r="G426" s="10" t="s">
        <v>280</v>
      </c>
      <c r="H426" s="23" t="s">
        <v>522</v>
      </c>
      <c r="I426" s="10" t="s">
        <v>1564</v>
      </c>
    </row>
    <row r="427" spans="1:9" ht="12.75" customHeight="1" x14ac:dyDescent="0.2">
      <c r="A427" s="23" t="s">
        <v>1305</v>
      </c>
      <c r="B427" s="10">
        <v>1000095634</v>
      </c>
      <c r="C427" s="10" t="s">
        <v>476</v>
      </c>
      <c r="D427" s="17" t="s">
        <v>1310</v>
      </c>
      <c r="E427" s="13">
        <v>3651.6</v>
      </c>
      <c r="F427" s="191">
        <v>60118058</v>
      </c>
      <c r="G427" s="10" t="s">
        <v>280</v>
      </c>
      <c r="H427" s="23" t="s">
        <v>522</v>
      </c>
      <c r="I427" s="10"/>
    </row>
    <row r="428" spans="1:9" ht="12.75" customHeight="1" x14ac:dyDescent="0.2">
      <c r="A428" s="23" t="s">
        <v>1306</v>
      </c>
      <c r="B428" s="10">
        <v>1000095634</v>
      </c>
      <c r="C428" s="10" t="s">
        <v>476</v>
      </c>
      <c r="D428" s="17" t="s">
        <v>1311</v>
      </c>
      <c r="E428" s="13">
        <v>16366.8</v>
      </c>
      <c r="F428" s="129">
        <v>60129799</v>
      </c>
      <c r="G428" s="10" t="s">
        <v>280</v>
      </c>
      <c r="H428" s="23" t="s">
        <v>522</v>
      </c>
      <c r="I428" s="10"/>
    </row>
    <row r="429" spans="1:9" ht="12.75" customHeight="1" x14ac:dyDescent="0.2">
      <c r="A429" s="23" t="s">
        <v>1307</v>
      </c>
      <c r="B429" s="10">
        <v>1000095634</v>
      </c>
      <c r="C429" s="10" t="s">
        <v>476</v>
      </c>
      <c r="D429" s="17" t="s">
        <v>1312</v>
      </c>
      <c r="E429" s="13">
        <v>5370</v>
      </c>
      <c r="F429" s="129">
        <v>60129792</v>
      </c>
      <c r="G429" s="10" t="s">
        <v>280</v>
      </c>
      <c r="H429" s="23" t="s">
        <v>522</v>
      </c>
      <c r="I429" s="10"/>
    </row>
    <row r="430" spans="1:9" ht="12.75" customHeight="1" x14ac:dyDescent="0.2">
      <c r="A430" s="23" t="s">
        <v>1308</v>
      </c>
      <c r="B430" s="10">
        <v>1000095634</v>
      </c>
      <c r="C430" s="10" t="s">
        <v>476</v>
      </c>
      <c r="D430" s="17" t="s">
        <v>1313</v>
      </c>
      <c r="E430" s="13">
        <v>3564</v>
      </c>
      <c r="F430" s="129">
        <v>60129540</v>
      </c>
      <c r="G430" s="10" t="s">
        <v>280</v>
      </c>
      <c r="H430" s="23" t="s">
        <v>522</v>
      </c>
      <c r="I430" s="10"/>
    </row>
    <row r="431" spans="1:9" ht="12.75" customHeight="1" x14ac:dyDescent="0.2">
      <c r="A431" s="23" t="s">
        <v>1315</v>
      </c>
      <c r="B431" s="10">
        <v>1000079359</v>
      </c>
      <c r="C431" s="10" t="s">
        <v>476</v>
      </c>
      <c r="D431" s="17" t="s">
        <v>1314</v>
      </c>
      <c r="E431" s="13">
        <v>2316.2399999999998</v>
      </c>
      <c r="F431" s="191">
        <v>60131865</v>
      </c>
      <c r="G431" s="10" t="s">
        <v>280</v>
      </c>
      <c r="H431" s="10" t="s">
        <v>952</v>
      </c>
      <c r="I431" s="10" t="s">
        <v>1564</v>
      </c>
    </row>
    <row r="432" spans="1:9" ht="12.75" customHeight="1" x14ac:dyDescent="0.2">
      <c r="A432" s="23" t="s">
        <v>1316</v>
      </c>
      <c r="B432" s="10">
        <v>1000079359</v>
      </c>
      <c r="C432" s="10" t="s">
        <v>476</v>
      </c>
      <c r="D432" s="17" t="s">
        <v>1317</v>
      </c>
      <c r="E432" s="13">
        <v>5940</v>
      </c>
      <c r="F432" s="191">
        <v>60131793</v>
      </c>
      <c r="G432" s="10" t="s">
        <v>280</v>
      </c>
      <c r="H432" s="10" t="s">
        <v>539</v>
      </c>
      <c r="I432" s="10"/>
    </row>
    <row r="433" spans="1:9" ht="12.75" customHeight="1" x14ac:dyDescent="0.2">
      <c r="A433" s="23" t="s">
        <v>1318</v>
      </c>
      <c r="B433" s="10">
        <v>1000079359</v>
      </c>
      <c r="C433" s="10" t="s">
        <v>476</v>
      </c>
      <c r="D433" s="17" t="s">
        <v>1319</v>
      </c>
      <c r="E433" s="13">
        <v>14640</v>
      </c>
      <c r="F433" s="129">
        <v>60127944</v>
      </c>
      <c r="G433" s="10" t="s">
        <v>280</v>
      </c>
      <c r="H433" s="10" t="s">
        <v>534</v>
      </c>
      <c r="I433" s="10"/>
    </row>
    <row r="434" spans="1:9" ht="12.75" customHeight="1" x14ac:dyDescent="0.2">
      <c r="A434" s="23" t="s">
        <v>1321</v>
      </c>
      <c r="B434" s="10">
        <v>1000079359</v>
      </c>
      <c r="C434" s="10" t="s">
        <v>476</v>
      </c>
      <c r="D434" s="17" t="s">
        <v>1320</v>
      </c>
      <c r="E434" s="13">
        <v>13220.4</v>
      </c>
      <c r="F434" s="129">
        <v>60123527</v>
      </c>
      <c r="G434" s="23" t="s">
        <v>280</v>
      </c>
      <c r="H434" s="10" t="s">
        <v>1278</v>
      </c>
      <c r="I434" s="10"/>
    </row>
    <row r="435" spans="1:9" ht="12.75" customHeight="1" x14ac:dyDescent="0.2">
      <c r="A435" s="23" t="s">
        <v>1323</v>
      </c>
      <c r="B435" s="10">
        <v>1000079359</v>
      </c>
      <c r="C435" s="10" t="s">
        <v>476</v>
      </c>
      <c r="D435" s="17" t="s">
        <v>1322</v>
      </c>
      <c r="E435" s="13">
        <v>13410</v>
      </c>
      <c r="F435" s="129">
        <v>60129477</v>
      </c>
      <c r="G435" s="10" t="s">
        <v>280</v>
      </c>
      <c r="H435" s="10" t="s">
        <v>1278</v>
      </c>
      <c r="I435" s="10"/>
    </row>
    <row r="436" spans="1:9" ht="12.75" customHeight="1" x14ac:dyDescent="0.2">
      <c r="A436" s="23" t="s">
        <v>1325</v>
      </c>
      <c r="B436" s="10">
        <v>1000079359</v>
      </c>
      <c r="C436" s="10" t="s">
        <v>476</v>
      </c>
      <c r="D436" s="17" t="s">
        <v>1324</v>
      </c>
      <c r="E436" s="13">
        <v>98220</v>
      </c>
      <c r="F436" s="129">
        <v>60128104</v>
      </c>
      <c r="G436" s="10" t="s">
        <v>280</v>
      </c>
      <c r="H436" s="10" t="s">
        <v>1204</v>
      </c>
      <c r="I436" s="10"/>
    </row>
    <row r="437" spans="1:9" ht="12.75" customHeight="1" x14ac:dyDescent="0.2">
      <c r="A437" s="23" t="s">
        <v>1326</v>
      </c>
      <c r="B437" s="10">
        <v>1000079359</v>
      </c>
      <c r="C437" s="10" t="s">
        <v>476</v>
      </c>
      <c r="D437" s="17" t="s">
        <v>1327</v>
      </c>
      <c r="E437" s="13">
        <v>9285.6</v>
      </c>
      <c r="F437" s="191">
        <v>60123508</v>
      </c>
      <c r="G437" s="23" t="s">
        <v>280</v>
      </c>
      <c r="H437" s="23" t="s">
        <v>1278</v>
      </c>
      <c r="I437" s="10"/>
    </row>
    <row r="438" spans="1:9" ht="12.75" customHeight="1" x14ac:dyDescent="0.2">
      <c r="A438" s="23" t="s">
        <v>1328</v>
      </c>
      <c r="B438" s="10">
        <v>1000079359</v>
      </c>
      <c r="C438" s="10" t="s">
        <v>476</v>
      </c>
      <c r="D438" s="17" t="s">
        <v>1329</v>
      </c>
      <c r="E438" s="13">
        <v>7822.08</v>
      </c>
      <c r="F438" s="129">
        <v>60127436</v>
      </c>
      <c r="G438" s="10" t="s">
        <v>280</v>
      </c>
      <c r="H438" s="10" t="s">
        <v>952</v>
      </c>
      <c r="I438" s="10"/>
    </row>
    <row r="439" spans="1:9" ht="12.75" customHeight="1" x14ac:dyDescent="0.2">
      <c r="A439" s="23" t="s">
        <v>1331</v>
      </c>
      <c r="B439" s="10">
        <v>1000079359</v>
      </c>
      <c r="C439" s="10" t="s">
        <v>476</v>
      </c>
      <c r="D439" s="17" t="s">
        <v>1330</v>
      </c>
      <c r="E439" s="10">
        <v>876</v>
      </c>
      <c r="F439" s="129">
        <v>60122892</v>
      </c>
      <c r="G439" s="10" t="s">
        <v>280</v>
      </c>
      <c r="H439" s="10" t="s">
        <v>994</v>
      </c>
      <c r="I439" s="10"/>
    </row>
    <row r="440" spans="1:9" ht="12.75" customHeight="1" x14ac:dyDescent="0.2">
      <c r="A440" s="23" t="s">
        <v>1332</v>
      </c>
      <c r="B440" s="10">
        <v>1000079359</v>
      </c>
      <c r="C440" s="10" t="s">
        <v>476</v>
      </c>
      <c r="D440" s="17" t="s">
        <v>1333</v>
      </c>
      <c r="E440" s="13">
        <v>5310</v>
      </c>
      <c r="F440" s="191">
        <v>60116758</v>
      </c>
      <c r="G440" s="23" t="s">
        <v>280</v>
      </c>
      <c r="H440" s="23" t="s">
        <v>161</v>
      </c>
      <c r="I440" s="10"/>
    </row>
    <row r="441" spans="1:9" ht="12.75" customHeight="1" x14ac:dyDescent="0.2">
      <c r="A441" s="23" t="s">
        <v>1335</v>
      </c>
      <c r="B441" s="10">
        <v>1000079359</v>
      </c>
      <c r="C441" s="10" t="s">
        <v>476</v>
      </c>
      <c r="D441" s="17" t="s">
        <v>1334</v>
      </c>
      <c r="E441" s="13">
        <v>2928</v>
      </c>
      <c r="F441" s="129">
        <v>60132661</v>
      </c>
      <c r="G441" s="10" t="s">
        <v>280</v>
      </c>
      <c r="H441" s="10" t="s">
        <v>171</v>
      </c>
      <c r="I441" s="10" t="s">
        <v>1564</v>
      </c>
    </row>
    <row r="442" spans="1:9" ht="12.75" customHeight="1" x14ac:dyDescent="0.2">
      <c r="A442" s="23" t="s">
        <v>1337</v>
      </c>
      <c r="B442" s="10">
        <v>1000079359</v>
      </c>
      <c r="C442" s="10" t="s">
        <v>476</v>
      </c>
      <c r="D442" s="17" t="s">
        <v>1336</v>
      </c>
      <c r="E442" s="13">
        <v>14130</v>
      </c>
      <c r="F442" s="129">
        <v>60129476</v>
      </c>
      <c r="G442" s="10" t="s">
        <v>280</v>
      </c>
      <c r="H442" s="10" t="s">
        <v>216</v>
      </c>
      <c r="I442" s="10" t="s">
        <v>1564</v>
      </c>
    </row>
    <row r="443" spans="1:9" ht="12.75" customHeight="1" x14ac:dyDescent="0.2">
      <c r="A443" s="23" t="s">
        <v>1338</v>
      </c>
      <c r="B443" s="10">
        <v>1000079359</v>
      </c>
      <c r="C443" s="10" t="s">
        <v>476</v>
      </c>
      <c r="D443" s="17" t="s">
        <v>1339</v>
      </c>
      <c r="E443" s="13">
        <v>9702</v>
      </c>
      <c r="F443" s="129">
        <v>60110562</v>
      </c>
      <c r="G443" s="23" t="s">
        <v>280</v>
      </c>
      <c r="H443" s="10" t="s">
        <v>1278</v>
      </c>
      <c r="I443" s="10"/>
    </row>
    <row r="444" spans="1:9" ht="12.75" customHeight="1" x14ac:dyDescent="0.2">
      <c r="A444" s="23" t="s">
        <v>1341</v>
      </c>
      <c r="B444" s="10">
        <v>1000079359</v>
      </c>
      <c r="C444" s="10" t="s">
        <v>476</v>
      </c>
      <c r="D444" s="17" t="s">
        <v>1340</v>
      </c>
      <c r="E444" s="13">
        <v>5174.3999999999996</v>
      </c>
      <c r="F444" s="129">
        <v>60129475</v>
      </c>
      <c r="G444" s="10" t="s">
        <v>280</v>
      </c>
      <c r="H444" s="10" t="s">
        <v>1278</v>
      </c>
      <c r="I444" s="10"/>
    </row>
    <row r="445" spans="1:9" ht="12.75" customHeight="1" x14ac:dyDescent="0.2">
      <c r="A445" s="23" t="s">
        <v>1342</v>
      </c>
      <c r="B445" s="10">
        <v>1000079359</v>
      </c>
      <c r="C445" s="10" t="s">
        <v>476</v>
      </c>
      <c r="D445" s="17" t="s">
        <v>1626</v>
      </c>
      <c r="E445" s="13">
        <v>2928</v>
      </c>
      <c r="F445" s="129">
        <v>60125610</v>
      </c>
      <c r="G445" s="23" t="s">
        <v>280</v>
      </c>
      <c r="H445" s="10" t="s">
        <v>959</v>
      </c>
      <c r="I445" s="10"/>
    </row>
    <row r="446" spans="1:9" ht="12.75" customHeight="1" x14ac:dyDescent="0.2">
      <c r="A446" s="23" t="s">
        <v>1343</v>
      </c>
      <c r="B446" s="10">
        <v>1000079359</v>
      </c>
      <c r="C446" s="10" t="s">
        <v>476</v>
      </c>
      <c r="D446" s="17" t="s">
        <v>1344</v>
      </c>
      <c r="E446" s="13">
        <v>11126.4</v>
      </c>
      <c r="F446" s="129">
        <v>60129478</v>
      </c>
      <c r="G446" s="10" t="s">
        <v>280</v>
      </c>
      <c r="H446" s="10" t="s">
        <v>959</v>
      </c>
      <c r="I446" s="10"/>
    </row>
    <row r="447" spans="1:9" ht="12.75" customHeight="1" x14ac:dyDescent="0.2">
      <c r="A447" s="23" t="s">
        <v>1346</v>
      </c>
      <c r="B447" s="10">
        <v>1000079359</v>
      </c>
      <c r="C447" s="10" t="s">
        <v>476</v>
      </c>
      <c r="D447" s="17" t="s">
        <v>1345</v>
      </c>
      <c r="E447" s="13">
        <v>10738.8</v>
      </c>
      <c r="F447" s="129">
        <v>60125529</v>
      </c>
      <c r="G447" s="23" t="s">
        <v>280</v>
      </c>
      <c r="H447" s="10" t="s">
        <v>216</v>
      </c>
      <c r="I447" s="10"/>
    </row>
    <row r="448" spans="1:9" ht="12.75" customHeight="1" x14ac:dyDescent="0.2">
      <c r="A448" s="23" t="s">
        <v>1348</v>
      </c>
      <c r="B448" s="10">
        <v>1000079359</v>
      </c>
      <c r="C448" s="10" t="s">
        <v>476</v>
      </c>
      <c r="D448" s="17" t="s">
        <v>1347</v>
      </c>
      <c r="E448" s="13">
        <v>3234</v>
      </c>
      <c r="F448" s="191">
        <v>60116583</v>
      </c>
      <c r="G448" s="23" t="s">
        <v>280</v>
      </c>
      <c r="H448" s="23" t="s">
        <v>534</v>
      </c>
      <c r="I448" s="10"/>
    </row>
    <row r="449" spans="1:9" ht="12.75" customHeight="1" x14ac:dyDescent="0.2">
      <c r="A449" s="23" t="s">
        <v>1349</v>
      </c>
      <c r="B449" s="10">
        <v>1000079359</v>
      </c>
      <c r="C449" s="10" t="s">
        <v>476</v>
      </c>
      <c r="D449" s="17" t="s">
        <v>1350</v>
      </c>
      <c r="E449" s="13">
        <v>12289.2</v>
      </c>
      <c r="F449" s="129">
        <v>60127945</v>
      </c>
      <c r="G449" s="10" t="s">
        <v>280</v>
      </c>
      <c r="H449" s="10" t="s">
        <v>534</v>
      </c>
      <c r="I449" s="10"/>
    </row>
    <row r="450" spans="1:9" ht="12.75" customHeight="1" x14ac:dyDescent="0.2">
      <c r="A450" s="23" t="s">
        <v>1352</v>
      </c>
      <c r="B450" s="10">
        <v>1000079359</v>
      </c>
      <c r="C450" s="10" t="s">
        <v>476</v>
      </c>
      <c r="D450" s="17" t="s">
        <v>1351</v>
      </c>
      <c r="E450" s="13">
        <v>16380</v>
      </c>
      <c r="F450" s="129">
        <v>60122420</v>
      </c>
      <c r="G450" s="23" t="s">
        <v>280</v>
      </c>
      <c r="H450" s="10" t="s">
        <v>1278</v>
      </c>
      <c r="I450" s="10"/>
    </row>
    <row r="451" spans="1:9" ht="12.75" customHeight="1" x14ac:dyDescent="0.2">
      <c r="A451" s="23" t="s">
        <v>1353</v>
      </c>
      <c r="B451" s="10">
        <v>1000079359</v>
      </c>
      <c r="C451" s="10" t="s">
        <v>476</v>
      </c>
      <c r="D451" s="17" t="s">
        <v>1354</v>
      </c>
      <c r="E451" s="13">
        <v>5364</v>
      </c>
      <c r="F451" s="191">
        <v>60132660</v>
      </c>
      <c r="G451" s="10" t="s">
        <v>280</v>
      </c>
      <c r="H451" s="10" t="s">
        <v>1278</v>
      </c>
      <c r="I451" s="10"/>
    </row>
    <row r="452" spans="1:9" ht="12.75" customHeight="1" x14ac:dyDescent="0.2">
      <c r="A452" s="23" t="s">
        <v>1355</v>
      </c>
      <c r="B452" s="10">
        <v>1000079359</v>
      </c>
      <c r="C452" s="10" t="s">
        <v>476</v>
      </c>
      <c r="D452" s="17" t="s">
        <v>1356</v>
      </c>
      <c r="E452" s="13">
        <v>5556</v>
      </c>
      <c r="F452" s="129">
        <v>60130245</v>
      </c>
      <c r="G452" s="10" t="s">
        <v>280</v>
      </c>
      <c r="H452" s="10" t="s">
        <v>1278</v>
      </c>
      <c r="I452" s="10"/>
    </row>
    <row r="453" spans="1:9" ht="12.75" customHeight="1" x14ac:dyDescent="0.2">
      <c r="A453" s="23" t="s">
        <v>1358</v>
      </c>
      <c r="B453" s="10">
        <v>1000079359</v>
      </c>
      <c r="C453" s="10" t="s">
        <v>476</v>
      </c>
      <c r="D453" s="17" t="s">
        <v>1357</v>
      </c>
      <c r="E453" s="13">
        <v>14160</v>
      </c>
      <c r="F453" s="129">
        <v>60123517</v>
      </c>
      <c r="G453" s="23" t="s">
        <v>280</v>
      </c>
      <c r="H453" s="10" t="s">
        <v>211</v>
      </c>
      <c r="I453" s="10"/>
    </row>
    <row r="454" spans="1:9" ht="12.75" customHeight="1" x14ac:dyDescent="0.2">
      <c r="A454" s="23" t="s">
        <v>1360</v>
      </c>
      <c r="B454" s="10">
        <v>1000079359</v>
      </c>
      <c r="C454" s="10" t="s">
        <v>476</v>
      </c>
      <c r="D454" s="17" t="s">
        <v>1359</v>
      </c>
      <c r="E454" s="13">
        <v>14160</v>
      </c>
      <c r="F454" s="130">
        <v>60123489</v>
      </c>
      <c r="G454" s="23" t="s">
        <v>280</v>
      </c>
      <c r="H454" s="17" t="s">
        <v>211</v>
      </c>
      <c r="I454" s="10"/>
    </row>
    <row r="455" spans="1:9" ht="12.75" customHeight="1" x14ac:dyDescent="0.2">
      <c r="A455" s="23" t="s">
        <v>1362</v>
      </c>
      <c r="B455" s="10">
        <v>1000079359</v>
      </c>
      <c r="C455" s="10" t="s">
        <v>476</v>
      </c>
      <c r="D455" s="17" t="s">
        <v>1361</v>
      </c>
      <c r="E455" s="13">
        <v>14640</v>
      </c>
      <c r="F455" s="129">
        <v>60122896</v>
      </c>
      <c r="G455" s="23" t="s">
        <v>280</v>
      </c>
      <c r="H455" s="10" t="s">
        <v>161</v>
      </c>
      <c r="I455" s="10"/>
    </row>
    <row r="456" spans="1:9" ht="12.75" customHeight="1" x14ac:dyDescent="0.2">
      <c r="A456" s="17" t="s">
        <v>1364</v>
      </c>
      <c r="B456" s="10">
        <v>1000108176</v>
      </c>
      <c r="C456" s="10" t="s">
        <v>476</v>
      </c>
      <c r="D456" s="17" t="s">
        <v>1363</v>
      </c>
      <c r="E456" s="13">
        <v>2830.8</v>
      </c>
      <c r="F456" s="129">
        <v>60131327</v>
      </c>
      <c r="G456" s="10" t="s">
        <v>280</v>
      </c>
      <c r="H456" s="10" t="s">
        <v>1365</v>
      </c>
      <c r="I456" s="10" t="s">
        <v>1564</v>
      </c>
    </row>
    <row r="457" spans="1:9" ht="12.75" customHeight="1" x14ac:dyDescent="0.2">
      <c r="A457" s="10" t="s">
        <v>1372</v>
      </c>
      <c r="B457" s="10">
        <v>1000079359</v>
      </c>
      <c r="C457" s="10" t="s">
        <v>477</v>
      </c>
      <c r="D457" s="29" t="s">
        <v>1374</v>
      </c>
      <c r="E457" s="13">
        <v>11100</v>
      </c>
      <c r="F457" s="129" t="s">
        <v>431</v>
      </c>
      <c r="G457" s="10" t="s">
        <v>280</v>
      </c>
      <c r="H457" s="10" t="s">
        <v>176</v>
      </c>
      <c r="I457" s="90" t="s">
        <v>1564</v>
      </c>
    </row>
    <row r="458" spans="1:9" ht="12.75" customHeight="1" x14ac:dyDescent="0.2">
      <c r="A458" s="10" t="s">
        <v>1387</v>
      </c>
      <c r="B458" s="10">
        <v>1000079359</v>
      </c>
      <c r="C458" s="10" t="s">
        <v>477</v>
      </c>
      <c r="D458" s="17" t="s">
        <v>1411</v>
      </c>
      <c r="E458" s="13">
        <v>7728</v>
      </c>
      <c r="F458" s="129">
        <v>60144668</v>
      </c>
      <c r="G458" s="10" t="s">
        <v>280</v>
      </c>
      <c r="H458" s="10" t="s">
        <v>1278</v>
      </c>
      <c r="I458" s="10" t="s">
        <v>3089</v>
      </c>
    </row>
    <row r="459" spans="1:9" ht="12.75" customHeight="1" x14ac:dyDescent="0.2">
      <c r="A459" s="10" t="s">
        <v>1388</v>
      </c>
      <c r="B459" s="10">
        <v>1000079359</v>
      </c>
      <c r="C459" s="10" t="s">
        <v>477</v>
      </c>
      <c r="D459" s="17" t="s">
        <v>1412</v>
      </c>
      <c r="E459" s="13">
        <v>9042</v>
      </c>
      <c r="F459" s="129">
        <v>60131865</v>
      </c>
      <c r="G459" s="10" t="s">
        <v>280</v>
      </c>
      <c r="H459" s="140" t="s">
        <v>952</v>
      </c>
      <c r="I459" s="10" t="s">
        <v>1564</v>
      </c>
    </row>
    <row r="460" spans="1:9" ht="12.75" customHeight="1" x14ac:dyDescent="0.2">
      <c r="A460" s="23" t="s">
        <v>1389</v>
      </c>
      <c r="B460" s="10">
        <v>1000079359</v>
      </c>
      <c r="C460" s="10" t="s">
        <v>477</v>
      </c>
      <c r="D460" s="17" t="s">
        <v>1413</v>
      </c>
      <c r="E460" s="13">
        <v>6468</v>
      </c>
      <c r="F460" s="129">
        <v>60127945</v>
      </c>
      <c r="G460" s="10" t="s">
        <v>280</v>
      </c>
      <c r="H460" s="140" t="s">
        <v>534</v>
      </c>
      <c r="I460" s="10" t="s">
        <v>1564</v>
      </c>
    </row>
    <row r="461" spans="1:9" ht="12.75" customHeight="1" x14ac:dyDescent="0.2">
      <c r="A461" s="10" t="s">
        <v>1390</v>
      </c>
      <c r="B461" s="10">
        <v>1000079359</v>
      </c>
      <c r="C461" s="10" t="s">
        <v>477</v>
      </c>
      <c r="D461" s="17" t="s">
        <v>1414</v>
      </c>
      <c r="E461" s="13">
        <v>77434.8</v>
      </c>
      <c r="F461" s="129">
        <v>60128104</v>
      </c>
      <c r="G461" s="10" t="s">
        <v>280</v>
      </c>
      <c r="H461" s="140" t="s">
        <v>1204</v>
      </c>
      <c r="I461" s="10" t="s">
        <v>1564</v>
      </c>
    </row>
    <row r="462" spans="1:9" ht="12.75" customHeight="1" x14ac:dyDescent="0.2">
      <c r="A462" s="10" t="s">
        <v>1391</v>
      </c>
      <c r="B462" s="10">
        <v>1000079359</v>
      </c>
      <c r="C462" s="10" t="s">
        <v>477</v>
      </c>
      <c r="D462" s="17" t="s">
        <v>1415</v>
      </c>
      <c r="E462" s="13">
        <v>6468</v>
      </c>
      <c r="F462" s="129">
        <v>60129475</v>
      </c>
      <c r="G462" s="10" t="s">
        <v>280</v>
      </c>
      <c r="H462" s="140" t="s">
        <v>1278</v>
      </c>
      <c r="I462" s="10" t="s">
        <v>1564</v>
      </c>
    </row>
    <row r="463" spans="1:9" ht="12.75" customHeight="1" x14ac:dyDescent="0.2">
      <c r="A463" s="10" t="s">
        <v>1392</v>
      </c>
      <c r="B463" s="10">
        <v>1000079359</v>
      </c>
      <c r="C463" s="10" t="s">
        <v>477</v>
      </c>
      <c r="D463" s="17" t="s">
        <v>1416</v>
      </c>
      <c r="E463" s="13">
        <v>11328</v>
      </c>
      <c r="F463" s="129">
        <v>60123489</v>
      </c>
      <c r="G463" s="10" t="s">
        <v>280</v>
      </c>
      <c r="H463" s="140" t="s">
        <v>211</v>
      </c>
      <c r="I463" s="10" t="s">
        <v>1564</v>
      </c>
    </row>
    <row r="464" spans="1:9" ht="12.75" customHeight="1" x14ac:dyDescent="0.2">
      <c r="A464" s="10" t="s">
        <v>1393</v>
      </c>
      <c r="B464" s="10">
        <v>1000079359</v>
      </c>
      <c r="C464" s="10" t="s">
        <v>477</v>
      </c>
      <c r="D464" s="17" t="s">
        <v>1417</v>
      </c>
      <c r="E464" s="13">
        <v>11328</v>
      </c>
      <c r="F464" s="129">
        <v>60123517</v>
      </c>
      <c r="G464" s="23" t="s">
        <v>280</v>
      </c>
      <c r="H464" s="10" t="s">
        <v>211</v>
      </c>
      <c r="I464" s="10" t="s">
        <v>1564</v>
      </c>
    </row>
    <row r="465" spans="1:9" ht="12.75" customHeight="1" x14ac:dyDescent="0.2">
      <c r="A465" s="10" t="s">
        <v>1394</v>
      </c>
      <c r="B465" s="10">
        <v>1000079359</v>
      </c>
      <c r="C465" s="10" t="s">
        <v>477</v>
      </c>
      <c r="D465" s="17" t="s">
        <v>1418</v>
      </c>
      <c r="E465" s="13">
        <v>9043.2000000000007</v>
      </c>
      <c r="F465" s="129">
        <v>60129476</v>
      </c>
      <c r="G465" s="10" t="s">
        <v>280</v>
      </c>
      <c r="H465" s="140" t="s">
        <v>216</v>
      </c>
      <c r="I465" s="10" t="s">
        <v>1564</v>
      </c>
    </row>
    <row r="466" spans="1:9" ht="12.75" customHeight="1" x14ac:dyDescent="0.2">
      <c r="A466" s="10" t="s">
        <v>1395</v>
      </c>
      <c r="B466" s="10">
        <v>1000079359</v>
      </c>
      <c r="C466" s="10" t="s">
        <v>477</v>
      </c>
      <c r="D466" s="17" t="s">
        <v>1419</v>
      </c>
      <c r="E466" s="13">
        <v>10728</v>
      </c>
      <c r="F466" s="129">
        <v>60132660</v>
      </c>
      <c r="G466" s="10" t="s">
        <v>280</v>
      </c>
      <c r="H466" s="140" t="s">
        <v>1278</v>
      </c>
      <c r="I466" s="10"/>
    </row>
    <row r="467" spans="1:9" ht="12.75" customHeight="1" x14ac:dyDescent="0.2">
      <c r="A467" s="10" t="s">
        <v>1396</v>
      </c>
      <c r="B467" s="10">
        <v>1000079359</v>
      </c>
      <c r="C467" s="10" t="s">
        <v>477</v>
      </c>
      <c r="D467" s="17" t="s">
        <v>1420</v>
      </c>
      <c r="E467" s="13">
        <v>11712</v>
      </c>
      <c r="F467" s="129">
        <v>60132661</v>
      </c>
      <c r="G467" s="10" t="s">
        <v>280</v>
      </c>
      <c r="H467" s="140" t="s">
        <v>171</v>
      </c>
      <c r="I467" s="10" t="s">
        <v>1564</v>
      </c>
    </row>
    <row r="468" spans="1:9" ht="12.75" customHeight="1" x14ac:dyDescent="0.2">
      <c r="A468" s="10" t="s">
        <v>1397</v>
      </c>
      <c r="B468" s="10">
        <v>1000079359</v>
      </c>
      <c r="C468" s="10" t="s">
        <v>477</v>
      </c>
      <c r="D468" s="17" t="s">
        <v>1421</v>
      </c>
      <c r="E468" s="13">
        <v>9955.2000000000007</v>
      </c>
      <c r="F468" s="129">
        <v>60122896</v>
      </c>
      <c r="G468" s="23" t="s">
        <v>280</v>
      </c>
      <c r="H468" s="10" t="s">
        <v>161</v>
      </c>
      <c r="I468" s="10" t="s">
        <v>1564</v>
      </c>
    </row>
    <row r="469" spans="1:9" ht="12.75" customHeight="1" x14ac:dyDescent="0.2">
      <c r="A469" s="10" t="s">
        <v>1398</v>
      </c>
      <c r="B469" s="10">
        <v>1000079359</v>
      </c>
      <c r="C469" s="10" t="s">
        <v>477</v>
      </c>
      <c r="D469" s="17" t="s">
        <v>1422</v>
      </c>
      <c r="E469" s="13">
        <v>2826</v>
      </c>
      <c r="F469" s="129">
        <v>60125529</v>
      </c>
      <c r="G469" s="23" t="s">
        <v>280</v>
      </c>
      <c r="H469" s="10" t="s">
        <v>216</v>
      </c>
      <c r="I469" s="10" t="s">
        <v>1564</v>
      </c>
    </row>
    <row r="470" spans="1:9" ht="12.75" customHeight="1" x14ac:dyDescent="0.2">
      <c r="A470" s="10" t="s">
        <v>1399</v>
      </c>
      <c r="B470" s="10">
        <v>1000079359</v>
      </c>
      <c r="C470" s="10" t="s">
        <v>477</v>
      </c>
      <c r="D470" s="17" t="s">
        <v>1423</v>
      </c>
      <c r="E470" s="13">
        <v>5821.2</v>
      </c>
      <c r="F470" s="129" t="s">
        <v>431</v>
      </c>
      <c r="G470" s="10" t="s">
        <v>280</v>
      </c>
      <c r="H470" s="140" t="s">
        <v>1278</v>
      </c>
      <c r="I470" s="10" t="s">
        <v>1564</v>
      </c>
    </row>
    <row r="471" spans="1:9" ht="12.75" customHeight="1" x14ac:dyDescent="0.2">
      <c r="A471" s="23" t="s">
        <v>1400</v>
      </c>
      <c r="B471" s="10">
        <v>1000079359</v>
      </c>
      <c r="C471" s="10" t="s">
        <v>477</v>
      </c>
      <c r="D471" s="17" t="s">
        <v>1433</v>
      </c>
      <c r="E471" s="13">
        <v>5856</v>
      </c>
      <c r="F471" s="129">
        <v>60133915</v>
      </c>
      <c r="G471" s="10" t="s">
        <v>280</v>
      </c>
      <c r="H471" s="140" t="s">
        <v>216</v>
      </c>
      <c r="I471" s="10" t="s">
        <v>1564</v>
      </c>
    </row>
    <row r="472" spans="1:9" ht="12.75" customHeight="1" x14ac:dyDescent="0.2">
      <c r="A472" s="10" t="s">
        <v>1401</v>
      </c>
      <c r="B472" s="10">
        <v>1000079359</v>
      </c>
      <c r="C472" s="10" t="s">
        <v>477</v>
      </c>
      <c r="D472" s="17" t="s">
        <v>1425</v>
      </c>
      <c r="E472" s="13">
        <v>7472.4</v>
      </c>
      <c r="F472" s="129">
        <v>60130249</v>
      </c>
      <c r="G472" s="10" t="s">
        <v>280</v>
      </c>
      <c r="H472" s="140" t="s">
        <v>1278</v>
      </c>
      <c r="I472" s="10" t="s">
        <v>1564</v>
      </c>
    </row>
    <row r="473" spans="1:9" ht="12.75" customHeight="1" x14ac:dyDescent="0.2">
      <c r="A473" s="10" t="s">
        <v>1402</v>
      </c>
      <c r="B473" s="10">
        <v>1000079359</v>
      </c>
      <c r="C473" s="10" t="s">
        <v>477</v>
      </c>
      <c r="D473" s="17" t="s">
        <v>1426</v>
      </c>
      <c r="E473" s="13">
        <v>10728</v>
      </c>
      <c r="F473" s="129">
        <v>60129477</v>
      </c>
      <c r="G473" s="10" t="s">
        <v>280</v>
      </c>
      <c r="H473" s="140" t="s">
        <v>1278</v>
      </c>
      <c r="I473" s="10" t="s">
        <v>1564</v>
      </c>
    </row>
    <row r="474" spans="1:9" ht="12.75" customHeight="1" x14ac:dyDescent="0.2">
      <c r="A474" s="10" t="s">
        <v>1403</v>
      </c>
      <c r="B474" s="10">
        <v>1000079359</v>
      </c>
      <c r="C474" s="10" t="s">
        <v>477</v>
      </c>
      <c r="D474" s="17" t="s">
        <v>1427</v>
      </c>
      <c r="E474" s="13">
        <v>4035.6</v>
      </c>
      <c r="F474" s="191">
        <v>60116758</v>
      </c>
      <c r="G474" s="23" t="s">
        <v>280</v>
      </c>
      <c r="H474" s="23" t="s">
        <v>161</v>
      </c>
      <c r="I474" s="10" t="s">
        <v>1564</v>
      </c>
    </row>
    <row r="475" spans="1:9" ht="12.75" customHeight="1" x14ac:dyDescent="0.2">
      <c r="A475" s="10" t="s">
        <v>1404</v>
      </c>
      <c r="B475" s="10">
        <v>1000079359</v>
      </c>
      <c r="C475" s="10" t="s">
        <v>477</v>
      </c>
      <c r="D475" s="17" t="s">
        <v>1428</v>
      </c>
      <c r="E475" s="13">
        <v>5556</v>
      </c>
      <c r="F475" s="129">
        <v>60130245</v>
      </c>
      <c r="G475" s="10" t="s">
        <v>280</v>
      </c>
      <c r="H475" s="10" t="s">
        <v>1278</v>
      </c>
      <c r="I475" s="10" t="s">
        <v>1564</v>
      </c>
    </row>
    <row r="476" spans="1:9" s="38" customFormat="1" ht="12.75" customHeight="1" x14ac:dyDescent="0.2">
      <c r="A476" s="23" t="s">
        <v>1405</v>
      </c>
      <c r="B476" s="23">
        <v>1000079359</v>
      </c>
      <c r="C476" s="23" t="s">
        <v>477</v>
      </c>
      <c r="D476" s="29" t="s">
        <v>1434</v>
      </c>
      <c r="E476" s="39">
        <v>6468</v>
      </c>
      <c r="F476" s="191">
        <v>60133912</v>
      </c>
      <c r="G476" s="23" t="s">
        <v>280</v>
      </c>
      <c r="H476" s="141" t="s">
        <v>216</v>
      </c>
      <c r="I476" s="23"/>
    </row>
    <row r="477" spans="1:9" ht="12.75" customHeight="1" x14ac:dyDescent="0.2">
      <c r="A477" s="10" t="s">
        <v>1406</v>
      </c>
      <c r="B477" s="10">
        <v>1000079359</v>
      </c>
      <c r="C477" s="10" t="s">
        <v>477</v>
      </c>
      <c r="D477" s="17" t="s">
        <v>1429</v>
      </c>
      <c r="E477" s="13">
        <v>5556</v>
      </c>
      <c r="F477" s="129">
        <v>60130250</v>
      </c>
      <c r="G477" s="10" t="s">
        <v>280</v>
      </c>
      <c r="H477" s="140" t="s">
        <v>1278</v>
      </c>
      <c r="I477" s="10" t="s">
        <v>1564</v>
      </c>
    </row>
    <row r="478" spans="1:9" ht="12.75" customHeight="1" x14ac:dyDescent="0.2">
      <c r="A478" s="10" t="s">
        <v>1407</v>
      </c>
      <c r="B478" s="10">
        <v>1000079359</v>
      </c>
      <c r="C478" s="10" t="s">
        <v>477</v>
      </c>
      <c r="D478" s="17" t="s">
        <v>1430</v>
      </c>
      <c r="E478" s="13">
        <v>5369.4</v>
      </c>
      <c r="F478" s="129">
        <v>60141202</v>
      </c>
      <c r="G478" s="10" t="s">
        <v>280</v>
      </c>
      <c r="H478" s="10" t="s">
        <v>216</v>
      </c>
      <c r="I478" s="10" t="s">
        <v>2663</v>
      </c>
    </row>
    <row r="479" spans="1:9" ht="12.75" customHeight="1" x14ac:dyDescent="0.2">
      <c r="A479" s="10" t="s">
        <v>1408</v>
      </c>
      <c r="B479" s="10">
        <v>1000079359</v>
      </c>
      <c r="C479" s="10" t="s">
        <v>477</v>
      </c>
      <c r="D479" s="17" t="s">
        <v>1431</v>
      </c>
      <c r="E479" s="13">
        <v>9369.6</v>
      </c>
      <c r="F479" s="129">
        <v>60129478</v>
      </c>
      <c r="G479" s="10" t="s">
        <v>280</v>
      </c>
      <c r="H479" s="10" t="s">
        <v>959</v>
      </c>
      <c r="I479" s="10" t="s">
        <v>1564</v>
      </c>
    </row>
    <row r="480" spans="1:9" ht="12.75" customHeight="1" x14ac:dyDescent="0.2">
      <c r="A480" s="23" t="s">
        <v>1409</v>
      </c>
      <c r="B480" s="10">
        <v>1000079359</v>
      </c>
      <c r="C480" s="10" t="s">
        <v>477</v>
      </c>
      <c r="D480" s="17" t="s">
        <v>1424</v>
      </c>
      <c r="E480" s="13">
        <v>5856</v>
      </c>
      <c r="F480" s="129">
        <v>60127944</v>
      </c>
      <c r="G480" s="10" t="s">
        <v>280</v>
      </c>
      <c r="H480" s="10" t="s">
        <v>534</v>
      </c>
      <c r="I480" s="10" t="s">
        <v>1564</v>
      </c>
    </row>
    <row r="481" spans="1:10" ht="12.75" customHeight="1" x14ac:dyDescent="0.2">
      <c r="A481" s="23" t="s">
        <v>1410</v>
      </c>
      <c r="B481" s="10">
        <v>1000079359</v>
      </c>
      <c r="C481" s="10" t="s">
        <v>477</v>
      </c>
      <c r="D481" s="17" t="s">
        <v>1432</v>
      </c>
      <c r="E481" s="13">
        <v>2874</v>
      </c>
      <c r="F481" s="129">
        <v>60123527</v>
      </c>
      <c r="G481" s="23" t="s">
        <v>280</v>
      </c>
      <c r="H481" s="10" t="s">
        <v>1278</v>
      </c>
      <c r="I481" s="10"/>
    </row>
    <row r="482" spans="1:10" ht="12.75" customHeight="1" x14ac:dyDescent="0.2">
      <c r="A482" s="10" t="s">
        <v>1435</v>
      </c>
      <c r="B482" s="10">
        <v>1000095634</v>
      </c>
      <c r="C482" s="10" t="s">
        <v>477</v>
      </c>
      <c r="D482" s="17" t="s">
        <v>1439</v>
      </c>
      <c r="E482" s="13">
        <v>15027.6</v>
      </c>
      <c r="F482" s="129">
        <v>60129799</v>
      </c>
      <c r="G482" s="10" t="s">
        <v>280</v>
      </c>
      <c r="H482" s="23" t="s">
        <v>522</v>
      </c>
      <c r="I482" s="10" t="s">
        <v>1564</v>
      </c>
    </row>
    <row r="483" spans="1:10" ht="12.75" customHeight="1" x14ac:dyDescent="0.2">
      <c r="A483" s="10" t="s">
        <v>1436</v>
      </c>
      <c r="B483" s="10">
        <v>1000095634</v>
      </c>
      <c r="C483" s="10" t="s">
        <v>477</v>
      </c>
      <c r="D483" s="17" t="s">
        <v>1440</v>
      </c>
      <c r="E483" s="13">
        <v>37816.800000000003</v>
      </c>
      <c r="F483" s="129">
        <v>60133304</v>
      </c>
      <c r="G483" s="10" t="s">
        <v>280</v>
      </c>
      <c r="H483" s="140" t="s">
        <v>522</v>
      </c>
      <c r="I483" s="10"/>
    </row>
    <row r="484" spans="1:10" ht="12.75" customHeight="1" x14ac:dyDescent="0.2">
      <c r="A484" s="10" t="s">
        <v>1437</v>
      </c>
      <c r="B484" s="10">
        <v>1000095634</v>
      </c>
      <c r="C484" s="10" t="s">
        <v>477</v>
      </c>
      <c r="D484" s="17" t="s">
        <v>1441</v>
      </c>
      <c r="E484" s="13">
        <v>4296</v>
      </c>
      <c r="F484" s="129">
        <v>60129792</v>
      </c>
      <c r="G484" s="10" t="s">
        <v>280</v>
      </c>
      <c r="H484" s="23" t="s">
        <v>522</v>
      </c>
      <c r="I484" s="10" t="s">
        <v>1564</v>
      </c>
    </row>
    <row r="485" spans="1:10" ht="12.75" customHeight="1" x14ac:dyDescent="0.2">
      <c r="A485" s="10" t="s">
        <v>1438</v>
      </c>
      <c r="B485" s="10">
        <v>1000095634</v>
      </c>
      <c r="C485" s="10" t="s">
        <v>477</v>
      </c>
      <c r="D485" s="17" t="s">
        <v>1442</v>
      </c>
      <c r="E485" s="13">
        <v>3436.8</v>
      </c>
      <c r="F485" s="191">
        <v>60118058</v>
      </c>
      <c r="G485" s="10" t="s">
        <v>280</v>
      </c>
      <c r="H485" s="23" t="s">
        <v>522</v>
      </c>
      <c r="I485" s="10"/>
    </row>
    <row r="486" spans="1:10" ht="12.75" customHeight="1" x14ac:dyDescent="0.2">
      <c r="A486" s="23" t="s">
        <v>1467</v>
      </c>
      <c r="B486" s="10">
        <v>1000103407</v>
      </c>
      <c r="C486" s="10" t="s">
        <v>477</v>
      </c>
      <c r="D486" s="17" t="s">
        <v>1468</v>
      </c>
      <c r="E486" s="13">
        <v>41524.800000000003</v>
      </c>
      <c r="F486" s="129">
        <v>60128805</v>
      </c>
      <c r="G486" s="10" t="s">
        <v>280</v>
      </c>
      <c r="H486" s="10" t="s">
        <v>910</v>
      </c>
      <c r="I486" s="10">
        <v>4</v>
      </c>
    </row>
    <row r="487" spans="1:10" ht="12.75" customHeight="1" x14ac:dyDescent="0.2">
      <c r="A487" s="23" t="s">
        <v>1469</v>
      </c>
      <c r="B487" s="10">
        <v>1000108176</v>
      </c>
      <c r="C487" s="10" t="s">
        <v>477</v>
      </c>
      <c r="D487" s="17" t="s">
        <v>1470</v>
      </c>
      <c r="E487" s="13">
        <v>26174.400000000001</v>
      </c>
      <c r="F487" s="129">
        <v>60131327</v>
      </c>
      <c r="G487" s="10" t="s">
        <v>280</v>
      </c>
      <c r="H487" s="10" t="s">
        <v>1365</v>
      </c>
      <c r="I487" s="10">
        <v>4</v>
      </c>
    </row>
    <row r="488" spans="1:10" ht="12.75" customHeight="1" x14ac:dyDescent="0.2">
      <c r="A488" s="23" t="s">
        <v>1471</v>
      </c>
      <c r="B488" s="10">
        <v>1000108766</v>
      </c>
      <c r="C488" s="10" t="s">
        <v>477</v>
      </c>
      <c r="D488" s="17" t="s">
        <v>1472</v>
      </c>
      <c r="E488" s="13">
        <v>14352</v>
      </c>
      <c r="F488" s="129">
        <v>60132350</v>
      </c>
      <c r="G488" s="10" t="s">
        <v>280</v>
      </c>
      <c r="H488" s="140" t="s">
        <v>1278</v>
      </c>
      <c r="I488" s="10">
        <v>4</v>
      </c>
    </row>
    <row r="489" spans="1:10" ht="12.75" customHeight="1" x14ac:dyDescent="0.2">
      <c r="A489" s="23" t="s">
        <v>1473</v>
      </c>
      <c r="B489" s="10">
        <v>1000109237</v>
      </c>
      <c r="C489" s="10" t="s">
        <v>477</v>
      </c>
      <c r="D489" s="17" t="s">
        <v>1474</v>
      </c>
      <c r="E489" s="13">
        <v>31002.48</v>
      </c>
      <c r="F489" s="129">
        <v>60131329</v>
      </c>
      <c r="G489" s="10" t="s">
        <v>280</v>
      </c>
      <c r="H489" s="140" t="s">
        <v>171</v>
      </c>
      <c r="I489" s="10">
        <v>4</v>
      </c>
    </row>
    <row r="490" spans="1:10" s="38" customFormat="1" ht="12.75" customHeight="1" x14ac:dyDescent="0.2">
      <c r="A490" s="23" t="s">
        <v>1448</v>
      </c>
      <c r="B490" s="23">
        <v>1000083056</v>
      </c>
      <c r="C490" s="23" t="s">
        <v>477</v>
      </c>
      <c r="D490" s="29" t="s">
        <v>1515</v>
      </c>
      <c r="E490" s="39">
        <v>22818</v>
      </c>
      <c r="F490" s="191">
        <v>60107184</v>
      </c>
      <c r="G490" s="39" t="s">
        <v>92</v>
      </c>
      <c r="H490" s="141" t="s">
        <v>161</v>
      </c>
      <c r="I490" s="23"/>
      <c r="J490" s="146"/>
    </row>
    <row r="491" spans="1:10" s="38" customFormat="1" ht="12.75" customHeight="1" x14ac:dyDescent="0.2">
      <c r="A491" s="23" t="s">
        <v>1443</v>
      </c>
      <c r="B491" s="23">
        <v>1000083056</v>
      </c>
      <c r="C491" s="23" t="s">
        <v>477</v>
      </c>
      <c r="D491" s="29" t="s">
        <v>1516</v>
      </c>
      <c r="E491" s="23">
        <v>34747.199999999997</v>
      </c>
      <c r="F491" s="191">
        <v>60107184</v>
      </c>
      <c r="G491" s="39" t="s">
        <v>92</v>
      </c>
      <c r="H491" s="141" t="s">
        <v>161</v>
      </c>
      <c r="I491" s="23"/>
      <c r="J491" s="146"/>
    </row>
    <row r="492" spans="1:10" s="38" customFormat="1" ht="12.75" customHeight="1" x14ac:dyDescent="0.2">
      <c r="A492" s="23" t="s">
        <v>1483</v>
      </c>
      <c r="B492" s="23">
        <v>1000083056</v>
      </c>
      <c r="C492" s="23" t="s">
        <v>477</v>
      </c>
      <c r="D492" s="29" t="s">
        <v>1518</v>
      </c>
      <c r="E492" s="39">
        <v>57565.2</v>
      </c>
      <c r="F492" s="191">
        <v>60107184</v>
      </c>
      <c r="G492" s="39" t="s">
        <v>92</v>
      </c>
      <c r="H492" s="141" t="s">
        <v>161</v>
      </c>
      <c r="I492" s="39"/>
      <c r="J492" s="146"/>
    </row>
    <row r="493" spans="1:10" s="38" customFormat="1" ht="12.75" customHeight="1" x14ac:dyDescent="0.2">
      <c r="A493" s="29" t="s">
        <v>1513</v>
      </c>
      <c r="B493" s="23">
        <v>1000083056</v>
      </c>
      <c r="C493" s="23" t="s">
        <v>477</v>
      </c>
      <c r="D493" s="29" t="s">
        <v>1506</v>
      </c>
      <c r="E493" s="39">
        <v>21511.200000000001</v>
      </c>
      <c r="F493" s="191">
        <v>60113270</v>
      </c>
      <c r="G493" s="39" t="s">
        <v>280</v>
      </c>
      <c r="H493" s="23" t="s">
        <v>1278</v>
      </c>
      <c r="I493" s="175"/>
      <c r="J493" s="146"/>
    </row>
    <row r="494" spans="1:10" s="38" customFormat="1" ht="12.75" customHeight="1" x14ac:dyDescent="0.2">
      <c r="A494" s="29" t="s">
        <v>1514</v>
      </c>
      <c r="B494" s="23">
        <v>1000083056</v>
      </c>
      <c r="C494" s="23" t="s">
        <v>477</v>
      </c>
      <c r="D494" s="29" t="s">
        <v>1507</v>
      </c>
      <c r="E494" s="39">
        <v>32964</v>
      </c>
      <c r="F494" s="191">
        <v>60113305</v>
      </c>
      <c r="G494" s="39" t="s">
        <v>280</v>
      </c>
      <c r="H494" s="23" t="s">
        <v>171</v>
      </c>
      <c r="I494" s="175"/>
      <c r="J494" s="146"/>
    </row>
    <row r="495" spans="1:10" s="38" customFormat="1" ht="12.75" customHeight="1" x14ac:dyDescent="0.2">
      <c r="A495" s="23" t="s">
        <v>1444</v>
      </c>
      <c r="B495" s="23">
        <v>1000083056</v>
      </c>
      <c r="C495" s="23" t="s">
        <v>477</v>
      </c>
      <c r="D495" s="29" t="s">
        <v>1451</v>
      </c>
      <c r="E495" s="39">
        <v>23496</v>
      </c>
      <c r="F495" s="191">
        <v>60122421</v>
      </c>
      <c r="G495" s="39" t="s">
        <v>280</v>
      </c>
      <c r="H495" s="141" t="s">
        <v>1278</v>
      </c>
      <c r="I495" s="23" t="s">
        <v>1564</v>
      </c>
      <c r="J495" s="146"/>
    </row>
    <row r="496" spans="1:10" ht="12.75" customHeight="1" x14ac:dyDescent="0.2">
      <c r="A496" s="23" t="s">
        <v>1445</v>
      </c>
      <c r="B496" s="10">
        <v>1000083056</v>
      </c>
      <c r="C496" s="10" t="s">
        <v>477</v>
      </c>
      <c r="D496" s="29" t="s">
        <v>1452</v>
      </c>
      <c r="E496" s="13">
        <v>101646</v>
      </c>
      <c r="F496" s="130">
        <v>60123549</v>
      </c>
      <c r="G496" s="39" t="s">
        <v>280</v>
      </c>
      <c r="H496" s="10" t="s">
        <v>903</v>
      </c>
      <c r="I496" s="10" t="s">
        <v>1823</v>
      </c>
    </row>
    <row r="497" spans="1:9" s="38" customFormat="1" ht="12.75" customHeight="1" x14ac:dyDescent="0.2">
      <c r="A497" s="23" t="s">
        <v>1446</v>
      </c>
      <c r="B497" s="23">
        <v>1000083056</v>
      </c>
      <c r="C497" s="23" t="s">
        <v>477</v>
      </c>
      <c r="D497" s="29" t="s">
        <v>1450</v>
      </c>
      <c r="E497" s="39">
        <v>10248</v>
      </c>
      <c r="F497" s="191">
        <v>60122893</v>
      </c>
      <c r="G497" s="39" t="s">
        <v>280</v>
      </c>
      <c r="H497" s="141" t="s">
        <v>171</v>
      </c>
      <c r="I497" s="23"/>
    </row>
    <row r="498" spans="1:9" s="38" customFormat="1" ht="12.75" customHeight="1" x14ac:dyDescent="0.2">
      <c r="A498" s="23" t="s">
        <v>1447</v>
      </c>
      <c r="B498" s="23">
        <v>1000083056</v>
      </c>
      <c r="C498" s="23" t="s">
        <v>477</v>
      </c>
      <c r="D498" s="29" t="s">
        <v>1449</v>
      </c>
      <c r="E498" s="39">
        <v>14238</v>
      </c>
      <c r="F498" s="191">
        <v>60131213</v>
      </c>
      <c r="G498" s="39" t="s">
        <v>280</v>
      </c>
      <c r="H498" s="141" t="s">
        <v>171</v>
      </c>
      <c r="I498" s="23" t="s">
        <v>1564</v>
      </c>
    </row>
    <row r="499" spans="1:9" s="38" customFormat="1" ht="12.75" customHeight="1" x14ac:dyDescent="0.2">
      <c r="A499" s="23" t="s">
        <v>1453</v>
      </c>
      <c r="B499" s="23">
        <v>1000105043</v>
      </c>
      <c r="C499" s="23" t="s">
        <v>477</v>
      </c>
      <c r="D499" s="29" t="s">
        <v>1460</v>
      </c>
      <c r="E499" s="39">
        <v>32203.200000000001</v>
      </c>
      <c r="F499" s="191">
        <v>60128260</v>
      </c>
      <c r="G499" s="39" t="s">
        <v>280</v>
      </c>
      <c r="H499" s="141" t="s">
        <v>171</v>
      </c>
      <c r="I499" s="23" t="s">
        <v>1564</v>
      </c>
    </row>
    <row r="500" spans="1:9" ht="12.75" customHeight="1" x14ac:dyDescent="0.2">
      <c r="A500" s="23" t="s">
        <v>1454</v>
      </c>
      <c r="B500" s="10">
        <v>1000105043</v>
      </c>
      <c r="C500" s="10" t="s">
        <v>477</v>
      </c>
      <c r="D500" s="17" t="s">
        <v>1461</v>
      </c>
      <c r="E500" s="13">
        <v>12547.2</v>
      </c>
      <c r="F500" s="191">
        <v>60128095</v>
      </c>
      <c r="G500" s="39" t="s">
        <v>280</v>
      </c>
      <c r="H500" s="140" t="s">
        <v>1278</v>
      </c>
      <c r="I500" s="10"/>
    </row>
    <row r="501" spans="1:9" s="38" customFormat="1" ht="12.75" customHeight="1" x14ac:dyDescent="0.2">
      <c r="A501" s="23" t="s">
        <v>1455</v>
      </c>
      <c r="B501" s="23">
        <v>1000105043</v>
      </c>
      <c r="C501" s="23" t="s">
        <v>477</v>
      </c>
      <c r="D501" s="29" t="s">
        <v>1462</v>
      </c>
      <c r="E501" s="39">
        <v>11827.2</v>
      </c>
      <c r="F501" s="191">
        <v>60127947</v>
      </c>
      <c r="G501" s="39" t="s">
        <v>280</v>
      </c>
      <c r="H501" s="141" t="s">
        <v>727</v>
      </c>
      <c r="I501" s="23" t="s">
        <v>1564</v>
      </c>
    </row>
    <row r="502" spans="1:9" s="38" customFormat="1" ht="12.75" customHeight="1" x14ac:dyDescent="0.2">
      <c r="A502" s="23" t="s">
        <v>1456</v>
      </c>
      <c r="B502" s="23">
        <v>1000105043</v>
      </c>
      <c r="C502" s="23" t="s">
        <v>477</v>
      </c>
      <c r="D502" s="36" t="s">
        <v>1464</v>
      </c>
      <c r="E502" s="39">
        <v>101475.6</v>
      </c>
      <c r="F502" s="191">
        <v>60129579</v>
      </c>
      <c r="G502" s="39" t="s">
        <v>280</v>
      </c>
      <c r="H502" s="23" t="s">
        <v>161</v>
      </c>
      <c r="I502" s="13" t="s">
        <v>1815</v>
      </c>
    </row>
    <row r="503" spans="1:9" s="38" customFormat="1" ht="12.75" customHeight="1" x14ac:dyDescent="0.2">
      <c r="A503" s="23" t="s">
        <v>1457</v>
      </c>
      <c r="B503" s="23">
        <v>1000105043</v>
      </c>
      <c r="C503" s="23" t="s">
        <v>477</v>
      </c>
      <c r="D503" s="29" t="s">
        <v>1466</v>
      </c>
      <c r="E503" s="39">
        <v>28267.200000000001</v>
      </c>
      <c r="F503" s="191">
        <v>60131866</v>
      </c>
      <c r="G503" s="39" t="s">
        <v>280</v>
      </c>
      <c r="H503" s="141" t="s">
        <v>1476</v>
      </c>
      <c r="I503" s="23" t="s">
        <v>1564</v>
      </c>
    </row>
    <row r="504" spans="1:9" s="38" customFormat="1" ht="12.75" customHeight="1" x14ac:dyDescent="0.2">
      <c r="A504" s="23" t="s">
        <v>1458</v>
      </c>
      <c r="B504" s="23">
        <v>1000105043</v>
      </c>
      <c r="C504" s="23" t="s">
        <v>477</v>
      </c>
      <c r="D504" s="36" t="s">
        <v>1465</v>
      </c>
      <c r="E504" s="39">
        <v>51031.199999999997</v>
      </c>
      <c r="F504" s="191">
        <v>60134336</v>
      </c>
      <c r="G504" s="39" t="s">
        <v>280</v>
      </c>
      <c r="H504" s="23" t="s">
        <v>161</v>
      </c>
      <c r="I504" s="10" t="s">
        <v>1802</v>
      </c>
    </row>
    <row r="505" spans="1:9" s="38" customFormat="1" ht="12.75" customHeight="1" x14ac:dyDescent="0.2">
      <c r="A505" s="23" t="s">
        <v>1459</v>
      </c>
      <c r="B505" s="23">
        <v>1000105043</v>
      </c>
      <c r="C505" s="23" t="s">
        <v>477</v>
      </c>
      <c r="D505" s="29" t="s">
        <v>1463</v>
      </c>
      <c r="E505" s="39">
        <v>32726.400000000001</v>
      </c>
      <c r="F505" s="191">
        <v>60128272</v>
      </c>
      <c r="G505" s="39" t="s">
        <v>280</v>
      </c>
      <c r="H505" s="141" t="s">
        <v>1278</v>
      </c>
      <c r="I505" s="23" t="s">
        <v>1564</v>
      </c>
    </row>
    <row r="506" spans="1:9" ht="12.75" customHeight="1" x14ac:dyDescent="0.2">
      <c r="A506" s="23" t="s">
        <v>1475</v>
      </c>
      <c r="B506" s="10">
        <v>1000109733</v>
      </c>
      <c r="C506" s="10" t="s">
        <v>477</v>
      </c>
      <c r="D506" s="29" t="s">
        <v>1477</v>
      </c>
      <c r="E506" s="13">
        <v>20899.2</v>
      </c>
      <c r="F506" s="129">
        <v>60133692</v>
      </c>
      <c r="G506" s="39" t="s">
        <v>280</v>
      </c>
      <c r="H506" s="23" t="s">
        <v>216</v>
      </c>
      <c r="I506" s="10">
        <v>4</v>
      </c>
    </row>
    <row r="507" spans="1:9" ht="12.75" customHeight="1" x14ac:dyDescent="0.2">
      <c r="A507" s="23" t="s">
        <v>1481</v>
      </c>
      <c r="B507" s="10">
        <v>1000105043</v>
      </c>
      <c r="C507" s="10" t="s">
        <v>477</v>
      </c>
      <c r="D507" s="29" t="s">
        <v>1479</v>
      </c>
      <c r="E507" s="13">
        <v>4500</v>
      </c>
      <c r="F507" s="129">
        <v>60141203</v>
      </c>
      <c r="G507" s="10" t="s">
        <v>280</v>
      </c>
      <c r="H507" s="10" t="s">
        <v>1278</v>
      </c>
      <c r="I507" s="10" t="s">
        <v>2663</v>
      </c>
    </row>
    <row r="508" spans="1:9" ht="12.75" customHeight="1" x14ac:dyDescent="0.2">
      <c r="A508" s="23" t="s">
        <v>1482</v>
      </c>
      <c r="B508" s="10">
        <v>1000108176</v>
      </c>
      <c r="C508" s="10" t="s">
        <v>477</v>
      </c>
      <c r="D508" s="17" t="s">
        <v>1480</v>
      </c>
      <c r="E508" s="13">
        <v>13560</v>
      </c>
      <c r="F508" s="129">
        <v>60131327</v>
      </c>
      <c r="G508" s="10" t="s">
        <v>280</v>
      </c>
      <c r="H508" s="10" t="s">
        <v>1365</v>
      </c>
      <c r="I508" s="10">
        <v>4</v>
      </c>
    </row>
    <row r="509" spans="1:9" ht="12.75" customHeight="1" x14ac:dyDescent="0.2">
      <c r="A509" s="23" t="s">
        <v>1498</v>
      </c>
      <c r="B509" s="10">
        <v>1000105043</v>
      </c>
      <c r="C509" s="10" t="s">
        <v>1478</v>
      </c>
      <c r="D509" s="17" t="s">
        <v>1499</v>
      </c>
      <c r="E509" s="13">
        <v>4200</v>
      </c>
      <c r="F509" s="129">
        <v>60137358</v>
      </c>
      <c r="G509" s="10" t="s">
        <v>280</v>
      </c>
      <c r="H509" s="140" t="s">
        <v>1278</v>
      </c>
      <c r="I509" s="10" t="s">
        <v>2050</v>
      </c>
    </row>
    <row r="510" spans="1:9" ht="12.75" customHeight="1" x14ac:dyDescent="0.2">
      <c r="A510" s="17" t="s">
        <v>1520</v>
      </c>
      <c r="B510" s="10">
        <v>1000079359</v>
      </c>
      <c r="C510" s="10" t="s">
        <v>1478</v>
      </c>
      <c r="D510" s="17" t="s">
        <v>1519</v>
      </c>
      <c r="E510" s="13">
        <v>6240</v>
      </c>
      <c r="F510" s="129">
        <v>60131865</v>
      </c>
      <c r="G510" s="10" t="s">
        <v>280</v>
      </c>
      <c r="H510" s="10" t="s">
        <v>952</v>
      </c>
      <c r="I510" s="10" t="s">
        <v>2308</v>
      </c>
    </row>
    <row r="511" spans="1:9" ht="12.75" customHeight="1" x14ac:dyDescent="0.2">
      <c r="A511" s="10" t="s">
        <v>1527</v>
      </c>
      <c r="B511" s="10">
        <v>1000083056</v>
      </c>
      <c r="C511" s="10" t="s">
        <v>1478</v>
      </c>
      <c r="D511" s="29" t="s">
        <v>1530</v>
      </c>
      <c r="E511" s="39">
        <v>23496</v>
      </c>
      <c r="F511" s="191">
        <v>60122421</v>
      </c>
      <c r="G511" s="39" t="s">
        <v>280</v>
      </c>
      <c r="H511" s="141" t="s">
        <v>1278</v>
      </c>
      <c r="I511" s="10">
        <v>4</v>
      </c>
    </row>
    <row r="512" spans="1:9" ht="12.75" customHeight="1" x14ac:dyDescent="0.2">
      <c r="A512" s="23" t="s">
        <v>1529</v>
      </c>
      <c r="B512" s="10">
        <v>1000083056</v>
      </c>
      <c r="C512" s="10" t="s">
        <v>1478</v>
      </c>
      <c r="D512" s="29" t="s">
        <v>1531</v>
      </c>
      <c r="E512" s="39">
        <v>44210.400000000001</v>
      </c>
      <c r="F512" s="130">
        <v>60123549</v>
      </c>
      <c r="G512" s="39" t="s">
        <v>280</v>
      </c>
      <c r="H512" s="141" t="s">
        <v>903</v>
      </c>
      <c r="I512" s="10">
        <v>4</v>
      </c>
    </row>
    <row r="513" spans="1:9" ht="12.75" customHeight="1" x14ac:dyDescent="0.2">
      <c r="A513" s="23" t="s">
        <v>1528</v>
      </c>
      <c r="B513" s="10">
        <v>1000083056</v>
      </c>
      <c r="C513" s="10" t="s">
        <v>1478</v>
      </c>
      <c r="D513" s="29" t="s">
        <v>1531</v>
      </c>
      <c r="E513" s="39">
        <v>65523.6</v>
      </c>
      <c r="F513" s="753">
        <v>60133691</v>
      </c>
      <c r="G513" s="39" t="s">
        <v>1822</v>
      </c>
      <c r="H513" s="141" t="s">
        <v>903</v>
      </c>
      <c r="I513" s="90" t="s">
        <v>1815</v>
      </c>
    </row>
    <row r="514" spans="1:9" ht="12.75" customHeight="1" x14ac:dyDescent="0.2">
      <c r="A514" s="10" t="s">
        <v>1532</v>
      </c>
      <c r="B514" s="10">
        <v>1000105043</v>
      </c>
      <c r="C514" s="10" t="s">
        <v>1478</v>
      </c>
      <c r="D514" s="29" t="s">
        <v>1540</v>
      </c>
      <c r="E514" s="39">
        <v>12547.2</v>
      </c>
      <c r="F514" s="191">
        <v>60128095</v>
      </c>
      <c r="G514" s="39" t="s">
        <v>280</v>
      </c>
      <c r="H514" s="141" t="s">
        <v>1278</v>
      </c>
      <c r="I514" s="10"/>
    </row>
    <row r="515" spans="1:9" ht="12.75" customHeight="1" x14ac:dyDescent="0.2">
      <c r="A515" s="10" t="s">
        <v>1533</v>
      </c>
      <c r="B515" s="10">
        <v>1000105043</v>
      </c>
      <c r="C515" s="10" t="s">
        <v>1478</v>
      </c>
      <c r="D515" s="29" t="s">
        <v>1541</v>
      </c>
      <c r="E515" s="39">
        <v>32726.400000000001</v>
      </c>
      <c r="F515" s="191">
        <v>60128272</v>
      </c>
      <c r="G515" s="39" t="s">
        <v>280</v>
      </c>
      <c r="H515" s="141"/>
      <c r="I515" s="10">
        <v>4</v>
      </c>
    </row>
    <row r="516" spans="1:9" ht="12.75" customHeight="1" x14ac:dyDescent="0.2">
      <c r="A516" s="10" t="s">
        <v>1534</v>
      </c>
      <c r="B516" s="10">
        <v>1000105043</v>
      </c>
      <c r="C516" s="10" t="s">
        <v>1478</v>
      </c>
      <c r="D516" s="29" t="s">
        <v>1542</v>
      </c>
      <c r="E516" s="39">
        <v>32203.200000000001</v>
      </c>
      <c r="F516" s="191">
        <v>60128260</v>
      </c>
      <c r="G516" s="39" t="s">
        <v>280</v>
      </c>
      <c r="H516" s="141" t="s">
        <v>171</v>
      </c>
      <c r="I516" s="10">
        <v>4</v>
      </c>
    </row>
    <row r="517" spans="1:9" ht="12.75" customHeight="1" x14ac:dyDescent="0.2">
      <c r="A517" s="10" t="s">
        <v>1535</v>
      </c>
      <c r="B517" s="10">
        <v>1000105043</v>
      </c>
      <c r="C517" s="10" t="s">
        <v>1478</v>
      </c>
      <c r="D517" s="29" t="s">
        <v>1543</v>
      </c>
      <c r="E517" s="39">
        <v>28267.200000000001</v>
      </c>
      <c r="F517" s="191">
        <v>60131866</v>
      </c>
      <c r="G517" s="39" t="s">
        <v>280</v>
      </c>
      <c r="H517" s="141" t="s">
        <v>1476</v>
      </c>
      <c r="I517" s="10">
        <v>4</v>
      </c>
    </row>
    <row r="518" spans="1:9" ht="12.75" customHeight="1" x14ac:dyDescent="0.2">
      <c r="A518" s="10" t="s">
        <v>1536</v>
      </c>
      <c r="B518" s="10">
        <v>1000105043</v>
      </c>
      <c r="C518" s="10" t="s">
        <v>1478</v>
      </c>
      <c r="D518" s="36" t="s">
        <v>1544</v>
      </c>
      <c r="E518" s="39">
        <v>102062.39999999999</v>
      </c>
      <c r="F518" s="191">
        <v>60134336</v>
      </c>
      <c r="G518" s="39" t="s">
        <v>280</v>
      </c>
      <c r="H518" s="141" t="s">
        <v>161</v>
      </c>
      <c r="I518" s="10" t="s">
        <v>1815</v>
      </c>
    </row>
    <row r="519" spans="1:9" ht="12.75" customHeight="1" x14ac:dyDescent="0.2">
      <c r="A519" s="10" t="s">
        <v>1537</v>
      </c>
      <c r="B519" s="10">
        <v>1000105043</v>
      </c>
      <c r="C519" s="10" t="s">
        <v>1478</v>
      </c>
      <c r="D519" s="29" t="s">
        <v>1545</v>
      </c>
      <c r="E519" s="39">
        <v>32726.400000000001</v>
      </c>
      <c r="F519" s="191">
        <v>60132662</v>
      </c>
      <c r="G519" s="39" t="s">
        <v>280</v>
      </c>
      <c r="H519" s="23"/>
      <c r="I519" s="10">
        <v>4</v>
      </c>
    </row>
    <row r="520" spans="1:9" ht="12.75" customHeight="1" x14ac:dyDescent="0.2">
      <c r="A520" s="10" t="s">
        <v>1538</v>
      </c>
      <c r="B520" s="10">
        <v>1000105043</v>
      </c>
      <c r="C520" s="10" t="s">
        <v>1478</v>
      </c>
      <c r="D520" s="29" t="s">
        <v>1546</v>
      </c>
      <c r="E520" s="39">
        <v>28742.400000000001</v>
      </c>
      <c r="F520" s="191">
        <v>60137495</v>
      </c>
      <c r="G520" s="39" t="s">
        <v>280</v>
      </c>
      <c r="H520" s="23" t="s">
        <v>1278</v>
      </c>
      <c r="I520" s="90" t="s">
        <v>2050</v>
      </c>
    </row>
    <row r="521" spans="1:9" ht="12.75" customHeight="1" x14ac:dyDescent="0.2">
      <c r="A521" s="10" t="s">
        <v>1539</v>
      </c>
      <c r="B521" s="10">
        <v>1000105043</v>
      </c>
      <c r="C521" s="10" t="s">
        <v>1478</v>
      </c>
      <c r="D521" s="29" t="s">
        <v>1547</v>
      </c>
      <c r="E521" s="39">
        <v>8568</v>
      </c>
      <c r="F521" s="191">
        <v>60133913</v>
      </c>
      <c r="G521" s="39" t="s">
        <v>280</v>
      </c>
      <c r="H521" s="23" t="s">
        <v>1278</v>
      </c>
      <c r="I521" s="10" t="s">
        <v>1815</v>
      </c>
    </row>
    <row r="522" spans="1:9" ht="12.75" customHeight="1" x14ac:dyDescent="0.2">
      <c r="A522" s="10" t="s">
        <v>1553</v>
      </c>
      <c r="B522" s="10">
        <v>1000109733</v>
      </c>
      <c r="C522" s="10" t="s">
        <v>1478</v>
      </c>
      <c r="D522" s="29" t="s">
        <v>1554</v>
      </c>
      <c r="E522" s="13">
        <v>32726.400000000001</v>
      </c>
      <c r="F522" s="129">
        <v>60133692</v>
      </c>
      <c r="G522" s="10" t="s">
        <v>280</v>
      </c>
      <c r="H522" s="23" t="s">
        <v>216</v>
      </c>
      <c r="I522" s="10" t="s">
        <v>1815</v>
      </c>
    </row>
    <row r="523" spans="1:9" ht="12.75" customHeight="1" x14ac:dyDescent="0.2">
      <c r="A523" s="23" t="s">
        <v>1556</v>
      </c>
      <c r="B523" s="10">
        <v>1000108176</v>
      </c>
      <c r="C523" s="10" t="s">
        <v>1478</v>
      </c>
      <c r="D523" s="17" t="s">
        <v>1557</v>
      </c>
      <c r="E523" s="13">
        <v>24037.200000000001</v>
      </c>
      <c r="F523" s="129">
        <v>60131327</v>
      </c>
      <c r="G523" s="10" t="s">
        <v>280</v>
      </c>
      <c r="H523" s="10" t="s">
        <v>1365</v>
      </c>
      <c r="I523" s="10">
        <v>4</v>
      </c>
    </row>
    <row r="524" spans="1:9" ht="25.5" customHeight="1" x14ac:dyDescent="0.2">
      <c r="A524" s="29" t="s">
        <v>1560</v>
      </c>
      <c r="B524" s="23">
        <v>1000103407</v>
      </c>
      <c r="C524" s="23" t="s">
        <v>1478</v>
      </c>
      <c r="D524" s="36" t="s">
        <v>1562</v>
      </c>
      <c r="E524" s="39">
        <v>31593.599999999999</v>
      </c>
      <c r="F524" s="191">
        <v>60128805</v>
      </c>
      <c r="G524" s="23" t="s">
        <v>92</v>
      </c>
      <c r="H524" s="23" t="s">
        <v>910</v>
      </c>
      <c r="I524" s="10"/>
    </row>
    <row r="525" spans="1:9" ht="25.5" customHeight="1" x14ac:dyDescent="0.2">
      <c r="A525" s="36" t="s">
        <v>1625</v>
      </c>
      <c r="B525" s="23">
        <v>1000103407</v>
      </c>
      <c r="C525" s="23" t="s">
        <v>1478</v>
      </c>
      <c r="D525" s="36" t="s">
        <v>1621</v>
      </c>
      <c r="E525" s="39">
        <v>33171.599999999999</v>
      </c>
      <c r="F525" s="191">
        <v>60128805</v>
      </c>
      <c r="G525" s="23" t="s">
        <v>280</v>
      </c>
      <c r="H525" s="23" t="s">
        <v>910</v>
      </c>
      <c r="I525" s="10" t="s">
        <v>1800</v>
      </c>
    </row>
    <row r="526" spans="1:9" ht="25.5" customHeight="1" x14ac:dyDescent="0.2">
      <c r="A526" s="29" t="s">
        <v>1561</v>
      </c>
      <c r="B526" s="23">
        <v>1000103407</v>
      </c>
      <c r="C526" s="23" t="s">
        <v>1478</v>
      </c>
      <c r="D526" s="36" t="s">
        <v>1563</v>
      </c>
      <c r="E526" s="39">
        <v>4734</v>
      </c>
      <c r="F526" s="191">
        <v>60136718</v>
      </c>
      <c r="G526" s="23" t="s">
        <v>92</v>
      </c>
      <c r="H526" s="23" t="s">
        <v>910</v>
      </c>
      <c r="I526" s="90"/>
    </row>
    <row r="527" spans="1:9" ht="25.5" customHeight="1" x14ac:dyDescent="0.2">
      <c r="A527" s="36" t="s">
        <v>1801</v>
      </c>
      <c r="B527" s="23">
        <v>1000103407</v>
      </c>
      <c r="C527" s="23" t="s">
        <v>1478</v>
      </c>
      <c r="D527" s="36" t="s">
        <v>1794</v>
      </c>
      <c r="E527" s="39">
        <v>3156</v>
      </c>
      <c r="F527" s="191">
        <v>60136718</v>
      </c>
      <c r="G527" s="10" t="s">
        <v>280</v>
      </c>
      <c r="H527" s="23" t="s">
        <v>910</v>
      </c>
      <c r="I527" s="90" t="s">
        <v>2239</v>
      </c>
    </row>
    <row r="528" spans="1:9" ht="12.75" customHeight="1" x14ac:dyDescent="0.2">
      <c r="A528" s="23" t="s">
        <v>1558</v>
      </c>
      <c r="B528" s="10">
        <v>1000108766</v>
      </c>
      <c r="C528" s="23" t="s">
        <v>1478</v>
      </c>
      <c r="D528" s="29" t="s">
        <v>1559</v>
      </c>
      <c r="E528" s="39">
        <v>16108.8</v>
      </c>
      <c r="F528" s="191">
        <v>60132350</v>
      </c>
      <c r="G528" s="23" t="s">
        <v>280</v>
      </c>
      <c r="H528" s="23" t="s">
        <v>1278</v>
      </c>
      <c r="I528" s="10">
        <v>4</v>
      </c>
    </row>
    <row r="529" spans="1:9" ht="12.75" customHeight="1" x14ac:dyDescent="0.2">
      <c r="A529" s="49" t="s">
        <v>1566</v>
      </c>
      <c r="B529" s="125">
        <v>1000109237</v>
      </c>
      <c r="C529" s="125" t="s">
        <v>1478</v>
      </c>
      <c r="D529" s="43" t="s">
        <v>1565</v>
      </c>
      <c r="E529" s="176">
        <v>86361.66</v>
      </c>
      <c r="F529" s="756">
        <v>60131329</v>
      </c>
      <c r="G529" s="125" t="s">
        <v>280</v>
      </c>
      <c r="H529" s="177" t="s">
        <v>171</v>
      </c>
      <c r="I529" s="49">
        <v>4</v>
      </c>
    </row>
    <row r="530" spans="1:9" ht="12.75" customHeight="1" x14ac:dyDescent="0.2">
      <c r="A530" s="29" t="s">
        <v>1567</v>
      </c>
      <c r="B530" s="23">
        <v>1000109237</v>
      </c>
      <c r="C530" s="23" t="s">
        <v>1478</v>
      </c>
      <c r="D530" s="29" t="s">
        <v>1568</v>
      </c>
      <c r="E530" s="39">
        <v>8410.18</v>
      </c>
      <c r="F530" s="191">
        <v>60132658</v>
      </c>
      <c r="G530" s="23" t="s">
        <v>280</v>
      </c>
      <c r="H530" s="23" t="s">
        <v>211</v>
      </c>
      <c r="I530" s="10">
        <v>4</v>
      </c>
    </row>
    <row r="531" spans="1:9" s="38" customFormat="1" ht="12.75" customHeight="1" x14ac:dyDescent="0.2">
      <c r="A531" s="23" t="s">
        <v>1569</v>
      </c>
      <c r="B531" s="23">
        <v>1000095634</v>
      </c>
      <c r="C531" s="23" t="s">
        <v>1478</v>
      </c>
      <c r="D531" s="29" t="s">
        <v>1574</v>
      </c>
      <c r="E531" s="39">
        <v>18073.2</v>
      </c>
      <c r="F531" s="191">
        <v>60133304</v>
      </c>
      <c r="G531" s="23" t="s">
        <v>280</v>
      </c>
      <c r="H531" s="23" t="s">
        <v>1575</v>
      </c>
      <c r="I531" s="23">
        <v>4</v>
      </c>
    </row>
    <row r="532" spans="1:9" s="38" customFormat="1" ht="12.75" customHeight="1" x14ac:dyDescent="0.2">
      <c r="A532" s="23" t="s">
        <v>1570</v>
      </c>
      <c r="B532" s="23">
        <v>1000095634</v>
      </c>
      <c r="C532" s="23" t="s">
        <v>1478</v>
      </c>
      <c r="D532" s="29" t="s">
        <v>1576</v>
      </c>
      <c r="E532" s="39">
        <v>7257.6</v>
      </c>
      <c r="F532" s="191">
        <v>60135458</v>
      </c>
      <c r="G532" s="23" t="s">
        <v>280</v>
      </c>
      <c r="H532" s="23" t="s">
        <v>1575</v>
      </c>
      <c r="I532" s="90" t="s">
        <v>2038</v>
      </c>
    </row>
    <row r="533" spans="1:9" s="38" customFormat="1" ht="12.75" customHeight="1" x14ac:dyDescent="0.2">
      <c r="A533" s="23" t="s">
        <v>1571</v>
      </c>
      <c r="B533" s="23">
        <v>1000095634</v>
      </c>
      <c r="C533" s="23" t="s">
        <v>1478</v>
      </c>
      <c r="D533" s="29" t="s">
        <v>1577</v>
      </c>
      <c r="E533" s="39">
        <v>13890</v>
      </c>
      <c r="F533" s="191">
        <v>60129799</v>
      </c>
      <c r="G533" s="23" t="s">
        <v>280</v>
      </c>
      <c r="H533" s="23" t="s">
        <v>1575</v>
      </c>
      <c r="I533" s="92" t="s">
        <v>1823</v>
      </c>
    </row>
    <row r="534" spans="1:9" s="38" customFormat="1" ht="12.75" customHeight="1" x14ac:dyDescent="0.2">
      <c r="A534" s="23" t="s">
        <v>1572</v>
      </c>
      <c r="B534" s="23">
        <v>1000095634</v>
      </c>
      <c r="C534" s="23" t="s">
        <v>1478</v>
      </c>
      <c r="D534" s="29" t="s">
        <v>1578</v>
      </c>
      <c r="E534" s="39">
        <v>4081.2</v>
      </c>
      <c r="F534" s="191">
        <v>60118058</v>
      </c>
      <c r="G534" s="23" t="s">
        <v>280</v>
      </c>
      <c r="H534" s="23" t="s">
        <v>1575</v>
      </c>
      <c r="I534" s="23">
        <v>4</v>
      </c>
    </row>
    <row r="535" spans="1:9" s="38" customFormat="1" ht="12.75" customHeight="1" x14ac:dyDescent="0.2">
      <c r="A535" s="23" t="s">
        <v>1573</v>
      </c>
      <c r="B535" s="23">
        <v>1000095634</v>
      </c>
      <c r="C535" s="23" t="s">
        <v>1478</v>
      </c>
      <c r="D535" s="29" t="s">
        <v>1579</v>
      </c>
      <c r="E535" s="39">
        <v>3866.4</v>
      </c>
      <c r="F535" s="191">
        <v>60129792</v>
      </c>
      <c r="G535" s="23" t="s">
        <v>280</v>
      </c>
      <c r="H535" s="23" t="s">
        <v>1575</v>
      </c>
      <c r="I535" s="92" t="s">
        <v>1823</v>
      </c>
    </row>
    <row r="536" spans="1:9" s="38" customFormat="1" ht="12.75" customHeight="1" x14ac:dyDescent="0.2">
      <c r="A536" s="23" t="s">
        <v>1580</v>
      </c>
      <c r="B536" s="23">
        <v>1000079359</v>
      </c>
      <c r="C536" s="23" t="s">
        <v>1478</v>
      </c>
      <c r="D536" s="29" t="s">
        <v>1581</v>
      </c>
      <c r="E536" s="39">
        <v>69051.600000000006</v>
      </c>
      <c r="F536" s="191">
        <v>60128104</v>
      </c>
      <c r="G536" s="23" t="s">
        <v>280</v>
      </c>
      <c r="H536" s="141" t="s">
        <v>1204</v>
      </c>
      <c r="I536" s="90" t="s">
        <v>1823</v>
      </c>
    </row>
    <row r="537" spans="1:9" s="38" customFormat="1" ht="12.75" customHeight="1" x14ac:dyDescent="0.2">
      <c r="A537" s="23" t="s">
        <v>1582</v>
      </c>
      <c r="B537" s="23">
        <v>1000079359</v>
      </c>
      <c r="C537" s="23" t="s">
        <v>1478</v>
      </c>
      <c r="D537" s="29" t="s">
        <v>1583</v>
      </c>
      <c r="E537" s="39">
        <v>11642.4</v>
      </c>
      <c r="F537" s="191">
        <v>60134306</v>
      </c>
      <c r="G537" s="23" t="s">
        <v>280</v>
      </c>
      <c r="H537" s="141" t="s">
        <v>1278</v>
      </c>
      <c r="I537" s="90" t="s">
        <v>1823</v>
      </c>
    </row>
    <row r="538" spans="1:9" s="38" customFormat="1" ht="12.75" customHeight="1" x14ac:dyDescent="0.2">
      <c r="A538" s="23" t="s">
        <v>1584</v>
      </c>
      <c r="B538" s="23">
        <v>1000079359</v>
      </c>
      <c r="C538" s="23" t="s">
        <v>1478</v>
      </c>
      <c r="D538" s="29" t="s">
        <v>1585</v>
      </c>
      <c r="E538" s="39">
        <v>6780</v>
      </c>
      <c r="F538" s="129">
        <v>60144668</v>
      </c>
      <c r="G538" s="10" t="s">
        <v>280</v>
      </c>
      <c r="H538" s="141" t="s">
        <v>1278</v>
      </c>
      <c r="I538" s="90" t="s">
        <v>3089</v>
      </c>
    </row>
    <row r="539" spans="1:9" s="38" customFormat="1" ht="12.75" customHeight="1" x14ac:dyDescent="0.2">
      <c r="A539" s="23" t="s">
        <v>1586</v>
      </c>
      <c r="B539" s="23">
        <v>1000079359</v>
      </c>
      <c r="C539" s="23" t="s">
        <v>1478</v>
      </c>
      <c r="D539" s="29" t="s">
        <v>1587</v>
      </c>
      <c r="E539" s="39">
        <v>10346.4</v>
      </c>
      <c r="F539" s="191">
        <v>60130249</v>
      </c>
      <c r="G539" s="23" t="s">
        <v>280</v>
      </c>
      <c r="H539" s="23" t="s">
        <v>1278</v>
      </c>
      <c r="I539" s="90" t="s">
        <v>1823</v>
      </c>
    </row>
    <row r="540" spans="1:9" s="38" customFormat="1" ht="12.75" customHeight="1" x14ac:dyDescent="0.2">
      <c r="A540" s="23" t="s">
        <v>1588</v>
      </c>
      <c r="B540" s="23">
        <v>1000079359</v>
      </c>
      <c r="C540" s="23" t="s">
        <v>1478</v>
      </c>
      <c r="D540" s="29" t="s">
        <v>1589</v>
      </c>
      <c r="E540" s="39">
        <v>2299.1999999999998</v>
      </c>
      <c r="F540" s="191">
        <v>60137360</v>
      </c>
      <c r="G540" s="23" t="s">
        <v>280</v>
      </c>
      <c r="H540" s="23" t="s">
        <v>322</v>
      </c>
      <c r="I540" s="90" t="s">
        <v>2050</v>
      </c>
    </row>
    <row r="541" spans="1:9" s="38" customFormat="1" ht="12.75" customHeight="1" x14ac:dyDescent="0.2">
      <c r="A541" s="23" t="s">
        <v>1591</v>
      </c>
      <c r="B541" s="23">
        <v>1000079359</v>
      </c>
      <c r="C541" s="23" t="s">
        <v>1478</v>
      </c>
      <c r="D541" s="29" t="s">
        <v>1590</v>
      </c>
      <c r="E541" s="39">
        <v>6095.76</v>
      </c>
      <c r="F541" s="191">
        <v>60131865</v>
      </c>
      <c r="G541" s="23" t="s">
        <v>280</v>
      </c>
      <c r="H541" s="141" t="s">
        <v>952</v>
      </c>
      <c r="I541" s="193">
        <v>4</v>
      </c>
    </row>
    <row r="542" spans="1:9" s="38" customFormat="1" ht="12.75" customHeight="1" x14ac:dyDescent="0.2">
      <c r="A542" s="23" t="s">
        <v>1592</v>
      </c>
      <c r="B542" s="23">
        <v>1000079359</v>
      </c>
      <c r="C542" s="23" t="s">
        <v>1478</v>
      </c>
      <c r="D542" s="29" t="s">
        <v>1593</v>
      </c>
      <c r="E542" s="39">
        <v>10000.799999999999</v>
      </c>
      <c r="F542" s="191">
        <v>60130250</v>
      </c>
      <c r="G542" s="23" t="s">
        <v>280</v>
      </c>
      <c r="H542" s="141" t="s">
        <v>1278</v>
      </c>
      <c r="I542" s="23">
        <v>4</v>
      </c>
    </row>
    <row r="543" spans="1:9" s="38" customFormat="1" ht="12.75" customHeight="1" x14ac:dyDescent="0.2">
      <c r="A543" s="23" t="s">
        <v>1594</v>
      </c>
      <c r="B543" s="23">
        <v>1000079359</v>
      </c>
      <c r="C543" s="23" t="s">
        <v>1478</v>
      </c>
      <c r="D543" s="29" t="s">
        <v>1595</v>
      </c>
      <c r="E543" s="39">
        <v>10540.8</v>
      </c>
      <c r="F543" s="191">
        <v>60132661</v>
      </c>
      <c r="G543" s="23" t="s">
        <v>280</v>
      </c>
      <c r="H543" s="23" t="s">
        <v>171</v>
      </c>
      <c r="I543" s="23">
        <v>4</v>
      </c>
    </row>
    <row r="544" spans="1:9" s="38" customFormat="1" ht="12.75" customHeight="1" x14ac:dyDescent="0.2">
      <c r="A544" s="23" t="s">
        <v>1597</v>
      </c>
      <c r="B544" s="23">
        <v>1000079359</v>
      </c>
      <c r="C544" s="23" t="s">
        <v>1478</v>
      </c>
      <c r="D544" s="29" t="s">
        <v>1596</v>
      </c>
      <c r="E544" s="39">
        <v>7929.6</v>
      </c>
      <c r="F544" s="191">
        <v>60123489</v>
      </c>
      <c r="G544" s="23" t="s">
        <v>280</v>
      </c>
      <c r="H544" s="141" t="s">
        <v>211</v>
      </c>
      <c r="I544" s="23">
        <v>4</v>
      </c>
    </row>
    <row r="545" spans="1:9" s="38" customFormat="1" ht="12.75" customHeight="1" x14ac:dyDescent="0.2">
      <c r="A545" s="23" t="s">
        <v>1598</v>
      </c>
      <c r="B545" s="23">
        <v>1000079359</v>
      </c>
      <c r="C545" s="23" t="s">
        <v>1478</v>
      </c>
      <c r="D545" s="29" t="s">
        <v>1599</v>
      </c>
      <c r="E545" s="39">
        <v>2260.8000000000002</v>
      </c>
      <c r="F545" s="191">
        <v>60123476</v>
      </c>
      <c r="G545" s="23" t="s">
        <v>280</v>
      </c>
      <c r="H545" s="23" t="s">
        <v>216</v>
      </c>
      <c r="I545" s="90" t="s">
        <v>1823</v>
      </c>
    </row>
    <row r="546" spans="1:9" s="38" customFormat="1" ht="12.75" customHeight="1" x14ac:dyDescent="0.2">
      <c r="A546" s="23" t="s">
        <v>1600</v>
      </c>
      <c r="B546" s="23">
        <v>1000079359</v>
      </c>
      <c r="C546" s="23" t="s">
        <v>1478</v>
      </c>
      <c r="D546" s="29" t="s">
        <v>1601</v>
      </c>
      <c r="E546" s="39">
        <v>1695.6</v>
      </c>
      <c r="F546" s="130">
        <v>60137338</v>
      </c>
      <c r="G546" s="23" t="s">
        <v>280</v>
      </c>
      <c r="H546" s="23" t="s">
        <v>216</v>
      </c>
      <c r="I546" s="90" t="s">
        <v>2050</v>
      </c>
    </row>
    <row r="547" spans="1:9" s="38" customFormat="1" ht="12.75" customHeight="1" x14ac:dyDescent="0.2">
      <c r="A547" s="23" t="s">
        <v>1603</v>
      </c>
      <c r="B547" s="23">
        <v>1000079359</v>
      </c>
      <c r="C547" s="23" t="s">
        <v>1478</v>
      </c>
      <c r="D547" s="29" t="s">
        <v>1602</v>
      </c>
      <c r="E547" s="39">
        <v>4977.6000000000004</v>
      </c>
      <c r="F547" s="130">
        <v>60133915</v>
      </c>
      <c r="G547" s="23" t="s">
        <v>280</v>
      </c>
      <c r="H547" s="141" t="s">
        <v>216</v>
      </c>
      <c r="I547" s="90" t="s">
        <v>1815</v>
      </c>
    </row>
    <row r="548" spans="1:9" s="38" customFormat="1" ht="12.75" customHeight="1" x14ac:dyDescent="0.2">
      <c r="A548" s="23" t="s">
        <v>1604</v>
      </c>
      <c r="B548" s="23">
        <v>1000079359</v>
      </c>
      <c r="C548" s="23" t="s">
        <v>1478</v>
      </c>
      <c r="D548" s="29" t="s">
        <v>1605</v>
      </c>
      <c r="E548" s="39">
        <v>5086.8</v>
      </c>
      <c r="F548" s="130">
        <v>60129476</v>
      </c>
      <c r="G548" s="23" t="s">
        <v>280</v>
      </c>
      <c r="H548" s="141" t="s">
        <v>216</v>
      </c>
      <c r="I548" s="23">
        <v>4</v>
      </c>
    </row>
    <row r="549" spans="1:9" s="38" customFormat="1" ht="12.75" customHeight="1" x14ac:dyDescent="0.2">
      <c r="A549" s="23" t="s">
        <v>1606</v>
      </c>
      <c r="B549" s="23">
        <v>1000079359</v>
      </c>
      <c r="C549" s="23" t="s">
        <v>1478</v>
      </c>
      <c r="D549" s="29" t="s">
        <v>1607</v>
      </c>
      <c r="E549" s="39">
        <v>5821.2</v>
      </c>
      <c r="F549" s="130">
        <v>60133914</v>
      </c>
      <c r="G549" s="23" t="s">
        <v>280</v>
      </c>
      <c r="H549" s="23" t="s">
        <v>534</v>
      </c>
      <c r="I549" s="90" t="s">
        <v>1823</v>
      </c>
    </row>
    <row r="550" spans="1:9" s="38" customFormat="1" ht="12.75" customHeight="1" x14ac:dyDescent="0.2">
      <c r="A550" s="23" t="s">
        <v>1609</v>
      </c>
      <c r="B550" s="23">
        <v>1000079359</v>
      </c>
      <c r="C550" s="23" t="s">
        <v>1478</v>
      </c>
      <c r="D550" s="29" t="s">
        <v>1608</v>
      </c>
      <c r="E550" s="39">
        <v>9655.2000000000007</v>
      </c>
      <c r="F550" s="130">
        <v>60132660</v>
      </c>
      <c r="G550" s="23" t="s">
        <v>280</v>
      </c>
      <c r="H550" s="141" t="s">
        <v>1278</v>
      </c>
      <c r="I550" s="23"/>
    </row>
    <row r="551" spans="1:9" s="38" customFormat="1" ht="12.75" customHeight="1" x14ac:dyDescent="0.2">
      <c r="A551" s="23" t="s">
        <v>1611</v>
      </c>
      <c r="B551" s="23">
        <v>1000079359</v>
      </c>
      <c r="C551" s="23" t="s">
        <v>1478</v>
      </c>
      <c r="D551" s="29" t="s">
        <v>1610</v>
      </c>
      <c r="E551" s="39">
        <v>10540.8</v>
      </c>
      <c r="F551" s="130">
        <v>60129478</v>
      </c>
      <c r="G551" s="23" t="s">
        <v>280</v>
      </c>
      <c r="H551" s="23" t="s">
        <v>959</v>
      </c>
      <c r="I551" s="23">
        <v>4</v>
      </c>
    </row>
    <row r="552" spans="1:9" s="38" customFormat="1" ht="12.75" customHeight="1" x14ac:dyDescent="0.2">
      <c r="A552" s="23" t="s">
        <v>1612</v>
      </c>
      <c r="B552" s="23">
        <v>1000079359</v>
      </c>
      <c r="C552" s="23" t="s">
        <v>1478</v>
      </c>
      <c r="D552" s="29" t="s">
        <v>1568</v>
      </c>
      <c r="E552" s="23">
        <v>566.4</v>
      </c>
      <c r="F552" s="130">
        <v>60123517</v>
      </c>
      <c r="G552" s="23" t="s">
        <v>280</v>
      </c>
      <c r="H552" s="23" t="s">
        <v>211</v>
      </c>
      <c r="I552" s="23">
        <v>4</v>
      </c>
    </row>
    <row r="553" spans="1:9" s="38" customFormat="1" ht="12.75" customHeight="1" x14ac:dyDescent="0.2">
      <c r="A553" s="23" t="s">
        <v>1613</v>
      </c>
      <c r="B553" s="23">
        <v>1000079359</v>
      </c>
      <c r="C553" s="23" t="s">
        <v>1478</v>
      </c>
      <c r="D553" s="29" t="s">
        <v>1617</v>
      </c>
      <c r="E553" s="39">
        <v>4977.6000000000004</v>
      </c>
      <c r="F553" s="130">
        <v>60136709</v>
      </c>
      <c r="G553" s="23" t="s">
        <v>280</v>
      </c>
      <c r="H553" s="23" t="s">
        <v>534</v>
      </c>
      <c r="I553" s="10" t="s">
        <v>2038</v>
      </c>
    </row>
    <row r="554" spans="1:9" s="38" customFormat="1" ht="12.75" customHeight="1" x14ac:dyDescent="0.2">
      <c r="A554" s="23" t="s">
        <v>1614</v>
      </c>
      <c r="B554" s="23">
        <v>1000079359</v>
      </c>
      <c r="C554" s="23" t="s">
        <v>1478</v>
      </c>
      <c r="D554" s="29" t="s">
        <v>1618</v>
      </c>
      <c r="E554" s="39">
        <v>10540.8</v>
      </c>
      <c r="F554" s="130">
        <v>60122896</v>
      </c>
      <c r="G554" s="23" t="s">
        <v>280</v>
      </c>
      <c r="H554" s="23" t="s">
        <v>161</v>
      </c>
      <c r="I554" s="23">
        <v>4</v>
      </c>
    </row>
    <row r="555" spans="1:9" s="38" customFormat="1" ht="12.75" customHeight="1" x14ac:dyDescent="0.2">
      <c r="A555" s="23" t="s">
        <v>1615</v>
      </c>
      <c r="B555" s="23">
        <v>1000079359</v>
      </c>
      <c r="C555" s="23" t="s">
        <v>1478</v>
      </c>
      <c r="D555" s="29" t="s">
        <v>1619</v>
      </c>
      <c r="E555" s="39">
        <v>5821.2</v>
      </c>
      <c r="F555" s="130">
        <v>60133912</v>
      </c>
      <c r="G555" s="23" t="s">
        <v>280</v>
      </c>
      <c r="H555" s="141" t="s">
        <v>216</v>
      </c>
      <c r="I555" s="90" t="s">
        <v>1823</v>
      </c>
    </row>
    <row r="556" spans="1:9" s="38" customFormat="1" ht="12.75" customHeight="1" x14ac:dyDescent="0.2">
      <c r="A556" s="23" t="s">
        <v>1616</v>
      </c>
      <c r="B556" s="23">
        <v>1000079359</v>
      </c>
      <c r="C556" s="23" t="s">
        <v>1478</v>
      </c>
      <c r="D556" s="29" t="s">
        <v>1620</v>
      </c>
      <c r="E556" s="39">
        <v>9655.2000000000007</v>
      </c>
      <c r="F556" s="130">
        <v>60129477</v>
      </c>
      <c r="G556" s="23" t="s">
        <v>280</v>
      </c>
      <c r="H556" s="141" t="s">
        <v>1278</v>
      </c>
      <c r="I556" s="23">
        <v>4</v>
      </c>
    </row>
    <row r="557" spans="1:9" ht="12.75" customHeight="1" x14ac:dyDescent="0.2">
      <c r="A557" s="36" t="s">
        <v>1645</v>
      </c>
      <c r="B557" s="10">
        <v>1000095634</v>
      </c>
      <c r="C557" s="10" t="s">
        <v>1488</v>
      </c>
      <c r="D557" s="17" t="s">
        <v>1646</v>
      </c>
      <c r="E557" s="39">
        <v>4368</v>
      </c>
      <c r="F557" s="129">
        <v>60133304</v>
      </c>
      <c r="G557" s="10" t="s">
        <v>1822</v>
      </c>
      <c r="H557" s="10" t="s">
        <v>1575</v>
      </c>
      <c r="I557" s="10" t="s">
        <v>1815</v>
      </c>
    </row>
    <row r="558" spans="1:9" ht="12.75" customHeight="1" x14ac:dyDescent="0.2">
      <c r="A558" s="10" t="s">
        <v>1659</v>
      </c>
      <c r="B558" s="10">
        <v>1000083056</v>
      </c>
      <c r="C558" s="10" t="s">
        <v>1488</v>
      </c>
      <c r="D558" s="29" t="s">
        <v>1825</v>
      </c>
      <c r="E558" s="39">
        <v>28195.200000000001</v>
      </c>
      <c r="F558" s="191">
        <v>60122421</v>
      </c>
      <c r="G558" s="39" t="s">
        <v>280</v>
      </c>
      <c r="H558" s="141" t="s">
        <v>1278</v>
      </c>
      <c r="I558" s="10" t="s">
        <v>1823</v>
      </c>
    </row>
    <row r="559" spans="1:9" ht="12.75" customHeight="1" x14ac:dyDescent="0.2">
      <c r="A559" s="10" t="s">
        <v>1660</v>
      </c>
      <c r="B559" s="10">
        <v>1000083056</v>
      </c>
      <c r="C559" s="10" t="s">
        <v>1488</v>
      </c>
      <c r="D559" s="29" t="s">
        <v>1824</v>
      </c>
      <c r="E559" s="39">
        <v>70080</v>
      </c>
      <c r="F559" s="191">
        <v>60133689</v>
      </c>
      <c r="G559" s="23" t="s">
        <v>280</v>
      </c>
      <c r="H559" s="141" t="s">
        <v>903</v>
      </c>
      <c r="I559" s="10" t="s">
        <v>1823</v>
      </c>
    </row>
    <row r="560" spans="1:9" s="253" customFormat="1" ht="12.75" customHeight="1" x14ac:dyDescent="0.2">
      <c r="A560" s="29" t="s">
        <v>1735</v>
      </c>
      <c r="B560" s="29">
        <v>1000109733</v>
      </c>
      <c r="C560" s="29" t="s">
        <v>1488</v>
      </c>
      <c r="D560" s="86" t="s">
        <v>1844</v>
      </c>
      <c r="E560" s="86">
        <v>39271.199999999997</v>
      </c>
      <c r="F560" s="130">
        <v>60133692</v>
      </c>
      <c r="G560" s="29" t="s">
        <v>280</v>
      </c>
      <c r="H560" s="29" t="s">
        <v>216</v>
      </c>
      <c r="I560" s="29" t="s">
        <v>1823</v>
      </c>
    </row>
    <row r="561" spans="1:9" s="22" customFormat="1" ht="12.75" customHeight="1" x14ac:dyDescent="0.2">
      <c r="A561" s="17" t="s">
        <v>1661</v>
      </c>
      <c r="B561" s="17">
        <v>1000105043</v>
      </c>
      <c r="C561" s="17" t="s">
        <v>1488</v>
      </c>
      <c r="D561" s="86" t="s">
        <v>1827</v>
      </c>
      <c r="E561" s="85">
        <v>15056.4</v>
      </c>
      <c r="F561" s="130">
        <v>60128095</v>
      </c>
      <c r="G561" s="86" t="s">
        <v>280</v>
      </c>
      <c r="H561" s="254" t="s">
        <v>1278</v>
      </c>
      <c r="I561" s="17" t="s">
        <v>1823</v>
      </c>
    </row>
    <row r="562" spans="1:9" s="22" customFormat="1" ht="12.75" customHeight="1" x14ac:dyDescent="0.2">
      <c r="A562" s="17" t="s">
        <v>1662</v>
      </c>
      <c r="B562" s="17">
        <v>1000105043</v>
      </c>
      <c r="C562" s="17" t="s">
        <v>1488</v>
      </c>
      <c r="D562" s="85" t="s">
        <v>1826</v>
      </c>
      <c r="E562" s="85">
        <v>39271.199999999997</v>
      </c>
      <c r="F562" s="130">
        <v>60128272</v>
      </c>
      <c r="G562" s="86" t="s">
        <v>280</v>
      </c>
      <c r="H562" s="254" t="s">
        <v>1278</v>
      </c>
      <c r="I562" s="17" t="s">
        <v>1823</v>
      </c>
    </row>
    <row r="563" spans="1:9" s="22" customFormat="1" ht="12.75" customHeight="1" x14ac:dyDescent="0.2">
      <c r="A563" s="17" t="s">
        <v>1663</v>
      </c>
      <c r="B563" s="17">
        <v>1000105043</v>
      </c>
      <c r="C563" s="17" t="s">
        <v>1488</v>
      </c>
      <c r="D563" s="17" t="s">
        <v>1829</v>
      </c>
      <c r="E563" s="85">
        <v>38643.599999999999</v>
      </c>
      <c r="F563" s="130">
        <v>60128260</v>
      </c>
      <c r="G563" s="86" t="s">
        <v>280</v>
      </c>
      <c r="H563" s="254" t="s">
        <v>171</v>
      </c>
      <c r="I563" s="17" t="s">
        <v>1823</v>
      </c>
    </row>
    <row r="564" spans="1:9" s="22" customFormat="1" ht="12.75" customHeight="1" x14ac:dyDescent="0.2">
      <c r="A564" s="17" t="s">
        <v>1664</v>
      </c>
      <c r="B564" s="17">
        <v>1000105043</v>
      </c>
      <c r="C564" s="17" t="s">
        <v>1488</v>
      </c>
      <c r="D564" s="29" t="s">
        <v>1665</v>
      </c>
      <c r="E564" s="86">
        <v>5788.8</v>
      </c>
      <c r="F564" s="130">
        <v>60131866</v>
      </c>
      <c r="G564" s="86" t="s">
        <v>280</v>
      </c>
      <c r="H564" s="254" t="s">
        <v>1476</v>
      </c>
      <c r="I564" s="17" t="s">
        <v>1823</v>
      </c>
    </row>
    <row r="565" spans="1:9" s="253" customFormat="1" ht="12.75" customHeight="1" x14ac:dyDescent="0.2">
      <c r="A565" s="29" t="s">
        <v>1666</v>
      </c>
      <c r="B565" s="29">
        <v>1000105043</v>
      </c>
      <c r="C565" s="29" t="s">
        <v>1488</v>
      </c>
      <c r="D565" s="29" t="s">
        <v>1831</v>
      </c>
      <c r="E565" s="86">
        <v>71443.199999999997</v>
      </c>
      <c r="F565" s="130">
        <v>60134336</v>
      </c>
      <c r="G565" s="29" t="s">
        <v>280</v>
      </c>
      <c r="H565" s="254" t="s">
        <v>161</v>
      </c>
      <c r="I565" s="29" t="s">
        <v>1823</v>
      </c>
    </row>
    <row r="566" spans="1:9" s="253" customFormat="1" ht="12.75" customHeight="1" x14ac:dyDescent="0.2">
      <c r="A566" s="29" t="s">
        <v>1667</v>
      </c>
      <c r="B566" s="29">
        <v>1000105043</v>
      </c>
      <c r="C566" s="29" t="s">
        <v>1488</v>
      </c>
      <c r="D566" s="29" t="s">
        <v>1830</v>
      </c>
      <c r="E566" s="86">
        <v>39271.199999999997</v>
      </c>
      <c r="F566" s="130">
        <v>60132662</v>
      </c>
      <c r="G566" s="86" t="s">
        <v>280</v>
      </c>
      <c r="H566" s="29" t="s">
        <v>171</v>
      </c>
      <c r="I566" s="29" t="s">
        <v>1823</v>
      </c>
    </row>
    <row r="567" spans="1:9" s="253" customFormat="1" ht="12.75" customHeight="1" x14ac:dyDescent="0.2">
      <c r="A567" s="29" t="s">
        <v>1668</v>
      </c>
      <c r="B567" s="29">
        <v>1000105043</v>
      </c>
      <c r="C567" s="29" t="s">
        <v>1488</v>
      </c>
      <c r="D567" s="29" t="s">
        <v>1669</v>
      </c>
      <c r="E567" s="86">
        <v>34490.400000000001</v>
      </c>
      <c r="F567" s="130">
        <v>60137495</v>
      </c>
      <c r="G567" s="86" t="s">
        <v>280</v>
      </c>
      <c r="H567" s="29" t="s">
        <v>1278</v>
      </c>
      <c r="I567" s="29" t="s">
        <v>2050</v>
      </c>
    </row>
    <row r="568" spans="1:9" s="253" customFormat="1" ht="12.75" customHeight="1" x14ac:dyDescent="0.2">
      <c r="A568" s="29" t="s">
        <v>1670</v>
      </c>
      <c r="B568" s="29">
        <v>1000105043</v>
      </c>
      <c r="C568" s="29" t="s">
        <v>1488</v>
      </c>
      <c r="D568" s="29" t="s">
        <v>1828</v>
      </c>
      <c r="E568" s="86">
        <v>13708.8</v>
      </c>
      <c r="F568" s="130">
        <v>60133913</v>
      </c>
      <c r="G568" s="86" t="s">
        <v>280</v>
      </c>
      <c r="H568" s="29" t="s">
        <v>1278</v>
      </c>
      <c r="I568" s="29" t="s">
        <v>1823</v>
      </c>
    </row>
    <row r="569" spans="1:9" s="38" customFormat="1" ht="12.75" customHeight="1" x14ac:dyDescent="0.2">
      <c r="A569" s="23" t="s">
        <v>1671</v>
      </c>
      <c r="B569" s="23">
        <v>1000105043</v>
      </c>
      <c r="C569" s="23" t="s">
        <v>1488</v>
      </c>
      <c r="D569" s="29" t="s">
        <v>1832</v>
      </c>
      <c r="E569" s="39">
        <v>45163.199999999997</v>
      </c>
      <c r="F569" s="191">
        <v>60135460</v>
      </c>
      <c r="G569" s="23" t="s">
        <v>280</v>
      </c>
      <c r="H569" s="141" t="s">
        <v>161</v>
      </c>
      <c r="I569" s="23" t="s">
        <v>2038</v>
      </c>
    </row>
    <row r="570" spans="1:9" ht="12.75" customHeight="1" x14ac:dyDescent="0.2">
      <c r="A570" s="17" t="s">
        <v>1799</v>
      </c>
      <c r="B570" s="10">
        <v>1000108766</v>
      </c>
      <c r="C570" s="23" t="s">
        <v>1488</v>
      </c>
      <c r="D570" s="17" t="s">
        <v>1833</v>
      </c>
      <c r="E570" s="13">
        <v>24855.599999999999</v>
      </c>
      <c r="F570" s="191">
        <v>60132350</v>
      </c>
      <c r="G570" s="23" t="s">
        <v>280</v>
      </c>
      <c r="H570" s="23" t="s">
        <v>1278</v>
      </c>
      <c r="I570" s="10" t="s">
        <v>1823</v>
      </c>
    </row>
    <row r="571" spans="1:9" ht="12.75" customHeight="1" x14ac:dyDescent="0.2">
      <c r="A571" s="154" t="s">
        <v>1737</v>
      </c>
      <c r="B571" s="10">
        <v>1000109237</v>
      </c>
      <c r="C571" s="23" t="s">
        <v>1488</v>
      </c>
      <c r="D571" s="17" t="s">
        <v>1837</v>
      </c>
      <c r="E571" s="13">
        <v>106753.21</v>
      </c>
      <c r="F571" s="756">
        <v>60131329</v>
      </c>
      <c r="G571" s="125" t="s">
        <v>280</v>
      </c>
      <c r="H571" s="177" t="s">
        <v>171</v>
      </c>
      <c r="I571" s="10" t="s">
        <v>1823</v>
      </c>
    </row>
    <row r="572" spans="1:9" ht="12.75" customHeight="1" x14ac:dyDescent="0.2">
      <c r="A572" s="154" t="s">
        <v>1738</v>
      </c>
      <c r="B572" s="10">
        <v>1000109237</v>
      </c>
      <c r="C572" s="23" t="s">
        <v>1488</v>
      </c>
      <c r="D572" s="17" t="s">
        <v>1836</v>
      </c>
      <c r="E572" s="13">
        <v>84037.03</v>
      </c>
      <c r="F572" s="129">
        <v>60131330</v>
      </c>
      <c r="G572" s="10" t="s">
        <v>280</v>
      </c>
      <c r="H572" s="10" t="s">
        <v>1204</v>
      </c>
      <c r="I572" s="10" t="s">
        <v>1823</v>
      </c>
    </row>
    <row r="573" spans="1:9" ht="12.75" customHeight="1" x14ac:dyDescent="0.2">
      <c r="A573" s="29" t="s">
        <v>1739</v>
      </c>
      <c r="B573" s="10">
        <v>1000109237</v>
      </c>
      <c r="C573" s="23" t="s">
        <v>1488</v>
      </c>
      <c r="D573" s="17" t="s">
        <v>1740</v>
      </c>
      <c r="E573" s="13">
        <v>12089.63</v>
      </c>
      <c r="F573" s="191">
        <v>60132658</v>
      </c>
      <c r="G573" s="23" t="s">
        <v>280</v>
      </c>
      <c r="H573" s="23" t="s">
        <v>211</v>
      </c>
      <c r="I573" s="10" t="s">
        <v>1823</v>
      </c>
    </row>
    <row r="574" spans="1:9" ht="12.75" customHeight="1" x14ac:dyDescent="0.2">
      <c r="A574" s="154" t="s">
        <v>1736</v>
      </c>
      <c r="B574" s="10">
        <v>1000108176</v>
      </c>
      <c r="C574" s="23" t="s">
        <v>1488</v>
      </c>
      <c r="D574" s="17" t="s">
        <v>1834</v>
      </c>
      <c r="E574" s="13">
        <v>26832</v>
      </c>
      <c r="F574" s="129">
        <v>60131327</v>
      </c>
      <c r="G574" s="10" t="s">
        <v>280</v>
      </c>
      <c r="H574" s="10" t="s">
        <v>1365</v>
      </c>
      <c r="I574" s="10" t="s">
        <v>1823</v>
      </c>
    </row>
    <row r="575" spans="1:9" ht="12.75" customHeight="1" x14ac:dyDescent="0.2">
      <c r="A575" s="154" t="s">
        <v>1741</v>
      </c>
      <c r="B575" s="10">
        <v>1000095634</v>
      </c>
      <c r="C575" s="23" t="s">
        <v>1488</v>
      </c>
      <c r="D575" s="17" t="s">
        <v>1838</v>
      </c>
      <c r="E575" s="13">
        <v>18996</v>
      </c>
      <c r="F575" s="191">
        <v>60129799</v>
      </c>
      <c r="G575" s="23" t="s">
        <v>280</v>
      </c>
      <c r="H575" s="23" t="s">
        <v>1575</v>
      </c>
      <c r="I575" s="10" t="s">
        <v>1823</v>
      </c>
    </row>
    <row r="576" spans="1:9" ht="12.75" customHeight="1" x14ac:dyDescent="0.2">
      <c r="A576" s="154" t="s">
        <v>1742</v>
      </c>
      <c r="B576" s="10">
        <v>1000095634</v>
      </c>
      <c r="C576" s="23" t="s">
        <v>1488</v>
      </c>
      <c r="D576" s="17" t="s">
        <v>1841</v>
      </c>
      <c r="E576" s="13">
        <v>9475.2000000000007</v>
      </c>
      <c r="F576" s="191">
        <v>60135458</v>
      </c>
      <c r="G576" s="23" t="s">
        <v>280</v>
      </c>
      <c r="H576" s="23" t="s">
        <v>1575</v>
      </c>
      <c r="I576" s="10" t="s">
        <v>2592</v>
      </c>
    </row>
    <row r="577" spans="1:9" ht="12.75" customHeight="1" x14ac:dyDescent="0.2">
      <c r="A577" s="192" t="s">
        <v>1743</v>
      </c>
      <c r="B577" s="10">
        <v>1000095634</v>
      </c>
      <c r="C577" s="23" t="s">
        <v>1488</v>
      </c>
      <c r="D577" s="17" t="s">
        <v>1744</v>
      </c>
      <c r="E577" s="13">
        <v>1878</v>
      </c>
      <c r="F577" s="191">
        <v>60133304</v>
      </c>
      <c r="G577" s="23" t="s">
        <v>280</v>
      </c>
      <c r="H577" s="23" t="s">
        <v>1575</v>
      </c>
      <c r="I577" s="10" t="s">
        <v>1823</v>
      </c>
    </row>
    <row r="578" spans="1:9" ht="12.75" customHeight="1" x14ac:dyDescent="0.2">
      <c r="A578" s="154" t="s">
        <v>1745</v>
      </c>
      <c r="B578" s="10">
        <v>1000095634</v>
      </c>
      <c r="C578" s="23" t="s">
        <v>1488</v>
      </c>
      <c r="D578" s="17" t="s">
        <v>1839</v>
      </c>
      <c r="E578" s="13">
        <v>4940.3999999999996</v>
      </c>
      <c r="F578" s="191">
        <v>60118058</v>
      </c>
      <c r="G578" s="23" t="s">
        <v>280</v>
      </c>
      <c r="H578" s="23" t="s">
        <v>1575</v>
      </c>
      <c r="I578" s="10" t="s">
        <v>2028</v>
      </c>
    </row>
    <row r="579" spans="1:9" ht="12.75" customHeight="1" x14ac:dyDescent="0.2">
      <c r="A579" s="192" t="s">
        <v>1746</v>
      </c>
      <c r="B579" s="10">
        <v>1000095634</v>
      </c>
      <c r="C579" s="23" t="s">
        <v>1488</v>
      </c>
      <c r="D579" s="17" t="s">
        <v>1842</v>
      </c>
      <c r="E579" s="13">
        <v>8791.2000000000007</v>
      </c>
      <c r="F579" s="191">
        <v>60142645</v>
      </c>
      <c r="G579" s="23" t="s">
        <v>280</v>
      </c>
      <c r="H579" s="23" t="s">
        <v>1575</v>
      </c>
      <c r="I579" s="129" t="s">
        <v>2883</v>
      </c>
    </row>
    <row r="580" spans="1:9" ht="12.75" customHeight="1" x14ac:dyDescent="0.2">
      <c r="A580" s="154" t="s">
        <v>1747</v>
      </c>
      <c r="B580" s="10">
        <v>1000095634</v>
      </c>
      <c r="C580" s="23" t="s">
        <v>1488</v>
      </c>
      <c r="D580" s="17" t="s">
        <v>1840</v>
      </c>
      <c r="E580" s="13">
        <v>5155.2</v>
      </c>
      <c r="F580" s="191">
        <v>60129792</v>
      </c>
      <c r="G580" s="23" t="s">
        <v>280</v>
      </c>
      <c r="H580" s="23" t="s">
        <v>1575</v>
      </c>
      <c r="I580" s="10" t="s">
        <v>2038</v>
      </c>
    </row>
    <row r="581" spans="1:9" ht="12.75" customHeight="1" x14ac:dyDescent="0.2">
      <c r="A581" s="154" t="s">
        <v>1748</v>
      </c>
      <c r="B581" s="10">
        <v>1000079359</v>
      </c>
      <c r="C581" s="23" t="s">
        <v>1488</v>
      </c>
      <c r="D581" s="17" t="s">
        <v>1759</v>
      </c>
      <c r="E581" s="13">
        <v>13220.4</v>
      </c>
      <c r="F581" s="191">
        <v>60137360</v>
      </c>
      <c r="G581" s="23" t="s">
        <v>280</v>
      </c>
      <c r="H581" s="23" t="s">
        <v>322</v>
      </c>
      <c r="I581" s="10" t="s">
        <v>2050</v>
      </c>
    </row>
    <row r="582" spans="1:9" ht="12.75" customHeight="1" x14ac:dyDescent="0.2">
      <c r="A582" s="154" t="s">
        <v>1749</v>
      </c>
      <c r="B582" s="10">
        <v>1000079359</v>
      </c>
      <c r="C582" s="23" t="s">
        <v>1488</v>
      </c>
      <c r="D582" s="17" t="s">
        <v>1760</v>
      </c>
      <c r="E582" s="13">
        <v>13468.8</v>
      </c>
      <c r="F582" s="191">
        <v>60132661</v>
      </c>
      <c r="G582" s="23" t="s">
        <v>280</v>
      </c>
      <c r="H582" s="23" t="s">
        <v>171</v>
      </c>
      <c r="I582" s="10" t="s">
        <v>1823</v>
      </c>
    </row>
    <row r="583" spans="1:9" ht="12.75" customHeight="1" x14ac:dyDescent="0.2">
      <c r="A583" s="154" t="s">
        <v>1750</v>
      </c>
      <c r="B583" s="10">
        <v>1000079359</v>
      </c>
      <c r="C583" s="23" t="s">
        <v>1488</v>
      </c>
      <c r="D583" s="17" t="s">
        <v>1761</v>
      </c>
      <c r="E583" s="13">
        <v>2826</v>
      </c>
      <c r="F583" s="191">
        <v>60123476</v>
      </c>
      <c r="G583" s="23" t="s">
        <v>280</v>
      </c>
      <c r="H583" s="23" t="s">
        <v>216</v>
      </c>
      <c r="I583" s="10" t="s">
        <v>2447</v>
      </c>
    </row>
    <row r="584" spans="1:9" ht="12.75" customHeight="1" x14ac:dyDescent="0.2">
      <c r="A584" s="154" t="s">
        <v>1751</v>
      </c>
      <c r="B584" s="10">
        <v>1000079359</v>
      </c>
      <c r="C584" s="23" t="s">
        <v>1488</v>
      </c>
      <c r="D584" s="17" t="s">
        <v>1762</v>
      </c>
      <c r="E584" s="13">
        <v>9055.2000000000007</v>
      </c>
      <c r="F584" s="191">
        <v>60134306</v>
      </c>
      <c r="G584" s="23" t="s">
        <v>280</v>
      </c>
      <c r="H584" s="141" t="s">
        <v>1278</v>
      </c>
      <c r="I584" s="10" t="s">
        <v>1823</v>
      </c>
    </row>
    <row r="585" spans="1:9" ht="12.75" customHeight="1" x14ac:dyDescent="0.2">
      <c r="A585" s="154" t="s">
        <v>1752</v>
      </c>
      <c r="B585" s="10">
        <v>1000079359</v>
      </c>
      <c r="C585" s="23" t="s">
        <v>1488</v>
      </c>
      <c r="D585" s="17" t="s">
        <v>1763</v>
      </c>
      <c r="E585" s="13">
        <v>5821.2</v>
      </c>
      <c r="F585" s="191">
        <v>60135457</v>
      </c>
      <c r="G585" s="10" t="s">
        <v>280</v>
      </c>
      <c r="H585" s="141" t="s">
        <v>1278</v>
      </c>
      <c r="I585" s="10" t="s">
        <v>2447</v>
      </c>
    </row>
    <row r="586" spans="1:9" ht="12.75" customHeight="1" x14ac:dyDescent="0.2">
      <c r="A586" s="154" t="s">
        <v>1753</v>
      </c>
      <c r="B586" s="10">
        <v>1000079359</v>
      </c>
      <c r="C586" s="23" t="s">
        <v>1488</v>
      </c>
      <c r="D586" s="17" t="s">
        <v>1764</v>
      </c>
      <c r="E586" s="13">
        <v>3513.6</v>
      </c>
      <c r="F586" s="191">
        <v>60129478</v>
      </c>
      <c r="G586" s="23" t="s">
        <v>280</v>
      </c>
      <c r="H586" s="23" t="s">
        <v>959</v>
      </c>
      <c r="I586" s="10" t="s">
        <v>1823</v>
      </c>
    </row>
    <row r="587" spans="1:9" ht="12.75" customHeight="1" x14ac:dyDescent="0.2">
      <c r="A587" s="154" t="s">
        <v>1754</v>
      </c>
      <c r="B587" s="10">
        <v>1000079359</v>
      </c>
      <c r="C587" s="23" t="s">
        <v>1488</v>
      </c>
      <c r="D587" s="17" t="s">
        <v>1765</v>
      </c>
      <c r="E587" s="13">
        <v>9955.2000000000007</v>
      </c>
      <c r="F587" s="191">
        <v>60134307</v>
      </c>
      <c r="G587" s="10" t="s">
        <v>280</v>
      </c>
      <c r="H587" s="23" t="s">
        <v>959</v>
      </c>
      <c r="I587" s="10" t="s">
        <v>1823</v>
      </c>
    </row>
    <row r="588" spans="1:9" s="38" customFormat="1" ht="12.75" customHeight="1" x14ac:dyDescent="0.2">
      <c r="A588" s="192" t="s">
        <v>1755</v>
      </c>
      <c r="B588" s="23">
        <v>1000079359</v>
      </c>
      <c r="C588" s="23" t="s">
        <v>1488</v>
      </c>
      <c r="D588" s="29" t="s">
        <v>1766</v>
      </c>
      <c r="E588" s="39">
        <v>7612.8</v>
      </c>
      <c r="F588" s="191">
        <v>60122896</v>
      </c>
      <c r="G588" s="23" t="s">
        <v>280</v>
      </c>
      <c r="H588" s="23" t="s">
        <v>161</v>
      </c>
      <c r="I588" s="23" t="s">
        <v>1823</v>
      </c>
    </row>
    <row r="589" spans="1:9" ht="12.75" customHeight="1" x14ac:dyDescent="0.2">
      <c r="A589" s="154" t="s">
        <v>1756</v>
      </c>
      <c r="B589" s="10">
        <v>1000079359</v>
      </c>
      <c r="C589" s="23" t="s">
        <v>1488</v>
      </c>
      <c r="D589" s="17" t="s">
        <v>1767</v>
      </c>
      <c r="E589" s="13">
        <v>5270.4</v>
      </c>
      <c r="F589" s="191">
        <v>60135459</v>
      </c>
      <c r="G589" s="10" t="s">
        <v>280</v>
      </c>
      <c r="H589" s="23" t="s">
        <v>161</v>
      </c>
      <c r="I589" s="10" t="s">
        <v>2447</v>
      </c>
    </row>
    <row r="590" spans="1:9" ht="12.75" customHeight="1" x14ac:dyDescent="0.2">
      <c r="A590" s="154" t="s">
        <v>1757</v>
      </c>
      <c r="B590" s="10">
        <v>1000079359</v>
      </c>
      <c r="C590" s="23" t="s">
        <v>1488</v>
      </c>
      <c r="D590" s="17" t="s">
        <v>1768</v>
      </c>
      <c r="E590" s="13">
        <v>7114.8</v>
      </c>
      <c r="F590" s="191">
        <v>60133914</v>
      </c>
      <c r="G590" s="23" t="s">
        <v>280</v>
      </c>
      <c r="H590" s="23" t="s">
        <v>534</v>
      </c>
      <c r="I590" s="10" t="s">
        <v>1823</v>
      </c>
    </row>
    <row r="591" spans="1:9" ht="12.75" customHeight="1" x14ac:dyDescent="0.2">
      <c r="A591" s="154" t="s">
        <v>1758</v>
      </c>
      <c r="B591" s="10">
        <v>1000079359</v>
      </c>
      <c r="C591" s="23" t="s">
        <v>1488</v>
      </c>
      <c r="D591" s="17" t="s">
        <v>1769</v>
      </c>
      <c r="E591" s="13">
        <v>7114.8</v>
      </c>
      <c r="F591" s="191">
        <v>60133912</v>
      </c>
      <c r="G591" s="23" t="s">
        <v>280</v>
      </c>
      <c r="H591" s="141" t="s">
        <v>216</v>
      </c>
      <c r="I591" s="10" t="s">
        <v>1823</v>
      </c>
    </row>
    <row r="592" spans="1:9" ht="12.75" customHeight="1" x14ac:dyDescent="0.2">
      <c r="A592" s="154" t="s">
        <v>1770</v>
      </c>
      <c r="B592" s="10">
        <v>1000079359</v>
      </c>
      <c r="C592" s="23" t="s">
        <v>1488</v>
      </c>
      <c r="D592" s="17" t="s">
        <v>1771</v>
      </c>
      <c r="E592" s="13">
        <v>5330.4</v>
      </c>
      <c r="F592" s="129">
        <v>60144668</v>
      </c>
      <c r="G592" s="10" t="s">
        <v>280</v>
      </c>
      <c r="H592" s="141" t="s">
        <v>1278</v>
      </c>
      <c r="I592" s="10" t="s">
        <v>3099</v>
      </c>
    </row>
    <row r="593" spans="1:9" ht="12.75" customHeight="1" x14ac:dyDescent="0.2">
      <c r="A593" s="154" t="s">
        <v>1772</v>
      </c>
      <c r="B593" s="10">
        <v>1000079359</v>
      </c>
      <c r="C593" s="23" t="s">
        <v>1488</v>
      </c>
      <c r="D593" s="29" t="s">
        <v>1773</v>
      </c>
      <c r="E593" s="13">
        <v>10173.6</v>
      </c>
      <c r="F593" s="191">
        <v>60137359</v>
      </c>
      <c r="G593" s="10" t="s">
        <v>280</v>
      </c>
      <c r="H593" s="10" t="s">
        <v>1774</v>
      </c>
      <c r="I593" s="10" t="s">
        <v>2050</v>
      </c>
    </row>
    <row r="594" spans="1:9" ht="12.75" customHeight="1" x14ac:dyDescent="0.2">
      <c r="A594" s="154" t="s">
        <v>1775</v>
      </c>
      <c r="B594" s="10">
        <v>1000079359</v>
      </c>
      <c r="C594" s="23" t="s">
        <v>1488</v>
      </c>
      <c r="D594" s="17" t="s">
        <v>1776</v>
      </c>
      <c r="E594" s="13">
        <v>12337.2</v>
      </c>
      <c r="F594" s="191">
        <v>60132660</v>
      </c>
      <c r="G594" s="23" t="s">
        <v>280</v>
      </c>
      <c r="H594" s="141" t="s">
        <v>1278</v>
      </c>
      <c r="I594" s="10" t="s">
        <v>1823</v>
      </c>
    </row>
    <row r="595" spans="1:9" s="38" customFormat="1" ht="12.75" customHeight="1" x14ac:dyDescent="0.2">
      <c r="A595" s="192" t="s">
        <v>1777</v>
      </c>
      <c r="B595" s="23">
        <v>1000079359</v>
      </c>
      <c r="C595" s="23" t="s">
        <v>1488</v>
      </c>
      <c r="D595" s="29" t="s">
        <v>1778</v>
      </c>
      <c r="E595" s="39">
        <v>5097.6000000000004</v>
      </c>
      <c r="F595" s="191">
        <v>60123489</v>
      </c>
      <c r="G595" s="23" t="s">
        <v>280</v>
      </c>
      <c r="H595" s="141" t="s">
        <v>211</v>
      </c>
      <c r="I595" s="23" t="s">
        <v>2447</v>
      </c>
    </row>
    <row r="596" spans="1:9" s="38" customFormat="1" ht="12.75" customHeight="1" x14ac:dyDescent="0.2">
      <c r="A596" s="192" t="s">
        <v>1779</v>
      </c>
      <c r="B596" s="23">
        <v>1000079359</v>
      </c>
      <c r="C596" s="23" t="s">
        <v>1488</v>
      </c>
      <c r="D596" s="29" t="s">
        <v>1780</v>
      </c>
      <c r="E596" s="39">
        <v>5270.4</v>
      </c>
      <c r="F596" s="191">
        <v>60122896</v>
      </c>
      <c r="G596" s="23" t="s">
        <v>280</v>
      </c>
      <c r="H596" s="23" t="s">
        <v>161</v>
      </c>
      <c r="I596" s="23" t="s">
        <v>1823</v>
      </c>
    </row>
    <row r="597" spans="1:9" ht="12.75" customHeight="1" x14ac:dyDescent="0.2">
      <c r="A597" s="154" t="s">
        <v>1781</v>
      </c>
      <c r="B597" s="10">
        <v>1000079359</v>
      </c>
      <c r="C597" s="23" t="s">
        <v>1488</v>
      </c>
      <c r="D597" s="17" t="s">
        <v>1843</v>
      </c>
      <c r="E597" s="13">
        <v>7937.28</v>
      </c>
      <c r="F597" s="191">
        <v>60131865</v>
      </c>
      <c r="G597" s="23" t="s">
        <v>280</v>
      </c>
      <c r="H597" s="141" t="s">
        <v>952</v>
      </c>
      <c r="I597" s="10" t="s">
        <v>1823</v>
      </c>
    </row>
    <row r="598" spans="1:9" s="38" customFormat="1" ht="12.75" customHeight="1" x14ac:dyDescent="0.2">
      <c r="A598" s="192" t="s">
        <v>1783</v>
      </c>
      <c r="B598" s="23">
        <v>1000079359</v>
      </c>
      <c r="C598" s="23" t="s">
        <v>1488</v>
      </c>
      <c r="D598" s="29" t="s">
        <v>1784</v>
      </c>
      <c r="E598" s="39">
        <v>2635.2</v>
      </c>
      <c r="F598" s="191">
        <v>60136709</v>
      </c>
      <c r="G598" s="23" t="s">
        <v>280</v>
      </c>
      <c r="H598" s="23" t="s">
        <v>534</v>
      </c>
      <c r="I598" s="23" t="s">
        <v>2447</v>
      </c>
    </row>
    <row r="599" spans="1:9" ht="12.75" customHeight="1" x14ac:dyDescent="0.2">
      <c r="A599" s="154" t="s">
        <v>1785</v>
      </c>
      <c r="B599" s="10">
        <v>1000079359</v>
      </c>
      <c r="C599" s="23" t="s">
        <v>1488</v>
      </c>
      <c r="D599" s="17" t="s">
        <v>1786</v>
      </c>
      <c r="E599" s="13">
        <v>6734.4</v>
      </c>
      <c r="F599" s="191">
        <v>60133915</v>
      </c>
      <c r="G599" s="23" t="s">
        <v>280</v>
      </c>
      <c r="H599" s="141" t="s">
        <v>216</v>
      </c>
      <c r="I599" s="10" t="s">
        <v>1823</v>
      </c>
    </row>
    <row r="600" spans="1:9" ht="12.75" customHeight="1" x14ac:dyDescent="0.2">
      <c r="A600" s="154" t="s">
        <v>1787</v>
      </c>
      <c r="B600" s="10">
        <v>1000079359</v>
      </c>
      <c r="C600" s="23" t="s">
        <v>1488</v>
      </c>
      <c r="D600" s="17" t="s">
        <v>1788</v>
      </c>
      <c r="E600" s="13">
        <v>13220.4</v>
      </c>
      <c r="F600" s="191">
        <v>60130249</v>
      </c>
      <c r="G600" s="23" t="s">
        <v>280</v>
      </c>
      <c r="H600" s="23" t="s">
        <v>1278</v>
      </c>
      <c r="I600" s="10" t="s">
        <v>1823</v>
      </c>
    </row>
    <row r="601" spans="1:9" ht="12.75" customHeight="1" x14ac:dyDescent="0.2">
      <c r="A601" s="154" t="s">
        <v>1789</v>
      </c>
      <c r="B601" s="10">
        <v>1000079359</v>
      </c>
      <c r="C601" s="23" t="s">
        <v>1488</v>
      </c>
      <c r="D601" s="17" t="s">
        <v>1790</v>
      </c>
      <c r="E601" s="13">
        <v>10191.6</v>
      </c>
      <c r="F601" s="191">
        <v>60129477</v>
      </c>
      <c r="G601" s="23" t="s">
        <v>280</v>
      </c>
      <c r="H601" s="141" t="s">
        <v>1278</v>
      </c>
      <c r="I601" s="10" t="s">
        <v>1823</v>
      </c>
    </row>
    <row r="602" spans="1:9" ht="12.75" customHeight="1" x14ac:dyDescent="0.2">
      <c r="A602" s="154" t="s">
        <v>1791</v>
      </c>
      <c r="B602" s="10">
        <v>1000079359</v>
      </c>
      <c r="C602" s="23" t="s">
        <v>1488</v>
      </c>
      <c r="D602" s="17" t="s">
        <v>1792</v>
      </c>
      <c r="E602" s="13">
        <v>12778.8</v>
      </c>
      <c r="F602" s="191">
        <v>60130250</v>
      </c>
      <c r="G602" s="23" t="s">
        <v>280</v>
      </c>
      <c r="H602" s="141" t="s">
        <v>1278</v>
      </c>
      <c r="I602" s="10" t="s">
        <v>1823</v>
      </c>
    </row>
    <row r="603" spans="1:9" ht="12.75" customHeight="1" x14ac:dyDescent="0.2">
      <c r="A603" s="17" t="s">
        <v>1793</v>
      </c>
      <c r="B603" s="10">
        <v>1000103407</v>
      </c>
      <c r="C603" s="23" t="s">
        <v>1488</v>
      </c>
      <c r="D603" s="17" t="s">
        <v>1835</v>
      </c>
      <c r="E603" s="13">
        <v>36115.199999999997</v>
      </c>
      <c r="F603" s="129">
        <v>60136718</v>
      </c>
      <c r="G603" s="10" t="s">
        <v>280</v>
      </c>
      <c r="H603" s="10" t="s">
        <v>910</v>
      </c>
      <c r="I603" s="10" t="s">
        <v>2239</v>
      </c>
    </row>
    <row r="604" spans="1:9" ht="12.75" customHeight="1" x14ac:dyDescent="0.2">
      <c r="A604" s="10" t="s">
        <v>1856</v>
      </c>
      <c r="B604" s="10">
        <v>1000083056</v>
      </c>
      <c r="C604" s="10" t="s">
        <v>1489</v>
      </c>
      <c r="D604" s="29" t="s">
        <v>1859</v>
      </c>
      <c r="E604" s="39">
        <v>23496</v>
      </c>
      <c r="F604" s="191">
        <v>60122421</v>
      </c>
      <c r="G604" s="39" t="s">
        <v>280</v>
      </c>
      <c r="H604" s="141" t="s">
        <v>1278</v>
      </c>
      <c r="I604" s="10" t="s">
        <v>2072</v>
      </c>
    </row>
    <row r="605" spans="1:9" ht="12.75" customHeight="1" x14ac:dyDescent="0.2">
      <c r="A605" s="10" t="s">
        <v>1857</v>
      </c>
      <c r="B605" s="10">
        <v>1000083056</v>
      </c>
      <c r="C605" s="10" t="s">
        <v>1489</v>
      </c>
      <c r="D605" s="29" t="s">
        <v>1860</v>
      </c>
      <c r="E605" s="39">
        <v>35100</v>
      </c>
      <c r="F605" s="191">
        <v>60133689</v>
      </c>
      <c r="G605" s="23" t="s">
        <v>280</v>
      </c>
      <c r="H605" s="141" t="s">
        <v>903</v>
      </c>
      <c r="I605" s="10" t="s">
        <v>2072</v>
      </c>
    </row>
    <row r="606" spans="1:9" ht="12.75" customHeight="1" x14ac:dyDescent="0.2">
      <c r="A606" s="10" t="s">
        <v>1858</v>
      </c>
      <c r="B606" s="10">
        <v>1000083056</v>
      </c>
      <c r="C606" s="10" t="s">
        <v>1489</v>
      </c>
      <c r="D606" s="86" t="s">
        <v>1860</v>
      </c>
      <c r="E606" s="39">
        <v>44174.400000000001</v>
      </c>
      <c r="F606" s="191">
        <v>60135855</v>
      </c>
      <c r="G606" s="23" t="s">
        <v>280</v>
      </c>
      <c r="H606" s="141" t="s">
        <v>903</v>
      </c>
      <c r="I606" s="10" t="s">
        <v>2312</v>
      </c>
    </row>
    <row r="607" spans="1:9" s="253" customFormat="1" ht="12.75" customHeight="1" x14ac:dyDescent="0.2">
      <c r="A607" s="29" t="s">
        <v>1863</v>
      </c>
      <c r="B607" s="29">
        <v>1000105043</v>
      </c>
      <c r="C607" s="29" t="s">
        <v>1489</v>
      </c>
      <c r="D607" s="29" t="s">
        <v>1871</v>
      </c>
      <c r="E607" s="86">
        <v>12547.2</v>
      </c>
      <c r="F607" s="130">
        <v>60128095</v>
      </c>
      <c r="G607" s="86" t="s">
        <v>1822</v>
      </c>
      <c r="H607" s="254" t="s">
        <v>1278</v>
      </c>
      <c r="I607" s="29" t="s">
        <v>2072</v>
      </c>
    </row>
    <row r="608" spans="1:9" s="38" customFormat="1" ht="12.75" customHeight="1" x14ac:dyDescent="0.2">
      <c r="A608" s="23" t="s">
        <v>1864</v>
      </c>
      <c r="B608" s="23">
        <v>1000105043</v>
      </c>
      <c r="C608" s="23" t="s">
        <v>1489</v>
      </c>
      <c r="D608" s="86" t="s">
        <v>1872</v>
      </c>
      <c r="E608" s="39">
        <v>32726.400000000001</v>
      </c>
      <c r="F608" s="130">
        <v>60128272</v>
      </c>
      <c r="G608" s="86" t="s">
        <v>280</v>
      </c>
      <c r="H608" s="254" t="s">
        <v>1278</v>
      </c>
      <c r="I608" s="23" t="s">
        <v>2072</v>
      </c>
    </row>
    <row r="609" spans="1:9" s="38" customFormat="1" ht="12.75" customHeight="1" x14ac:dyDescent="0.2">
      <c r="A609" s="23" t="s">
        <v>1865</v>
      </c>
      <c r="B609" s="23">
        <v>1000105043</v>
      </c>
      <c r="C609" s="23" t="s">
        <v>1489</v>
      </c>
      <c r="D609" s="86" t="s">
        <v>1873</v>
      </c>
      <c r="E609" s="39">
        <v>32203.200000000001</v>
      </c>
      <c r="F609" s="130">
        <v>60128260</v>
      </c>
      <c r="G609" s="23" t="s">
        <v>280</v>
      </c>
      <c r="H609" s="254" t="s">
        <v>171</v>
      </c>
      <c r="I609" s="23" t="s">
        <v>2072</v>
      </c>
    </row>
    <row r="610" spans="1:9" s="38" customFormat="1" ht="12.75" customHeight="1" x14ac:dyDescent="0.2">
      <c r="A610" s="23" t="s">
        <v>1866</v>
      </c>
      <c r="B610" s="23">
        <v>1000105043</v>
      </c>
      <c r="C610" s="23" t="s">
        <v>1489</v>
      </c>
      <c r="D610" s="86" t="s">
        <v>1874</v>
      </c>
      <c r="E610" s="39">
        <v>11424</v>
      </c>
      <c r="F610" s="130">
        <v>60133913</v>
      </c>
      <c r="G610" s="23" t="s">
        <v>280</v>
      </c>
      <c r="H610" s="29" t="s">
        <v>1278</v>
      </c>
      <c r="I610" s="23" t="s">
        <v>2072</v>
      </c>
    </row>
    <row r="611" spans="1:9" s="38" customFormat="1" ht="12.75" customHeight="1" x14ac:dyDescent="0.2">
      <c r="A611" s="23" t="s">
        <v>1867</v>
      </c>
      <c r="B611" s="23">
        <v>1000105043</v>
      </c>
      <c r="C611" s="23" t="s">
        <v>1489</v>
      </c>
      <c r="D611" s="86" t="s">
        <v>1875</v>
      </c>
      <c r="E611" s="39">
        <v>90326.399999999994</v>
      </c>
      <c r="F611" s="130">
        <v>60135460</v>
      </c>
      <c r="G611" s="23" t="s">
        <v>280</v>
      </c>
      <c r="H611" s="141" t="s">
        <v>161</v>
      </c>
      <c r="I611" s="23" t="s">
        <v>2072</v>
      </c>
    </row>
    <row r="612" spans="1:9" s="38" customFormat="1" ht="12.75" customHeight="1" x14ac:dyDescent="0.2">
      <c r="A612" s="23" t="s">
        <v>1868</v>
      </c>
      <c r="B612" s="23">
        <v>1000105043</v>
      </c>
      <c r="C612" s="23" t="s">
        <v>1489</v>
      </c>
      <c r="D612" s="86" t="s">
        <v>1876</v>
      </c>
      <c r="E612" s="39">
        <v>32251.200000000001</v>
      </c>
      <c r="F612" s="759">
        <v>60137489</v>
      </c>
      <c r="G612" s="23" t="s">
        <v>280</v>
      </c>
      <c r="H612" s="29" t="s">
        <v>171</v>
      </c>
      <c r="I612" s="23" t="s">
        <v>2072</v>
      </c>
    </row>
    <row r="613" spans="1:9" s="38" customFormat="1" ht="12.75" customHeight="1" x14ac:dyDescent="0.2">
      <c r="A613" s="23" t="s">
        <v>1869</v>
      </c>
      <c r="B613" s="23">
        <v>1000105043</v>
      </c>
      <c r="C613" s="23" t="s">
        <v>1489</v>
      </c>
      <c r="D613" s="86" t="s">
        <v>1877</v>
      </c>
      <c r="E613" s="39">
        <v>55368</v>
      </c>
      <c r="F613" s="759">
        <v>60138502</v>
      </c>
      <c r="G613" s="23" t="s">
        <v>280</v>
      </c>
      <c r="H613" s="29" t="s">
        <v>171</v>
      </c>
      <c r="I613" s="23" t="s">
        <v>2312</v>
      </c>
    </row>
    <row r="614" spans="1:9" s="253" customFormat="1" ht="12.75" customHeight="1" x14ac:dyDescent="0.2">
      <c r="A614" s="29" t="s">
        <v>1870</v>
      </c>
      <c r="B614" s="29">
        <v>1000105043</v>
      </c>
      <c r="C614" s="29" t="s">
        <v>1489</v>
      </c>
      <c r="D614" s="86" t="s">
        <v>1878</v>
      </c>
      <c r="E614" s="86">
        <v>7720.8</v>
      </c>
      <c r="F614" s="759">
        <v>60138502</v>
      </c>
      <c r="G614" s="23" t="s">
        <v>280</v>
      </c>
      <c r="H614" s="29" t="s">
        <v>171</v>
      </c>
      <c r="I614" s="29" t="s">
        <v>2312</v>
      </c>
    </row>
    <row r="615" spans="1:9" ht="12.75" customHeight="1" x14ac:dyDescent="0.2">
      <c r="A615" s="17" t="s">
        <v>2025</v>
      </c>
      <c r="B615" s="10">
        <v>1000105043</v>
      </c>
      <c r="C615" s="10" t="s">
        <v>1489</v>
      </c>
      <c r="D615" s="17" t="s">
        <v>2026</v>
      </c>
      <c r="E615" s="13">
        <v>3720</v>
      </c>
      <c r="F615" s="191">
        <v>60137489</v>
      </c>
      <c r="G615" s="10" t="s">
        <v>280</v>
      </c>
      <c r="H615" s="29" t="s">
        <v>171</v>
      </c>
      <c r="I615" s="10" t="s">
        <v>2312</v>
      </c>
    </row>
    <row r="616" spans="1:9" s="38" customFormat="1" ht="12.75" customHeight="1" x14ac:dyDescent="0.2">
      <c r="A616" s="23" t="s">
        <v>1861</v>
      </c>
      <c r="B616" s="23">
        <v>1000109733</v>
      </c>
      <c r="C616" s="23" t="s">
        <v>1489</v>
      </c>
      <c r="D616" s="29" t="s">
        <v>1862</v>
      </c>
      <c r="E616" s="39">
        <v>33871.199999999997</v>
      </c>
      <c r="F616" s="191">
        <v>60136710</v>
      </c>
      <c r="G616" s="23" t="s">
        <v>280</v>
      </c>
      <c r="H616" s="29" t="s">
        <v>216</v>
      </c>
      <c r="I616" s="23" t="s">
        <v>2072</v>
      </c>
    </row>
    <row r="617" spans="1:9" ht="12.75" customHeight="1" x14ac:dyDescent="0.2">
      <c r="A617" s="23" t="s">
        <v>1879</v>
      </c>
      <c r="B617" s="10">
        <v>1000095634</v>
      </c>
      <c r="C617" s="10" t="s">
        <v>1489</v>
      </c>
      <c r="D617" s="17" t="s">
        <v>1884</v>
      </c>
      <c r="E617" s="13">
        <v>4081.2</v>
      </c>
      <c r="F617" s="191">
        <v>60118058</v>
      </c>
      <c r="G617" s="23" t="s">
        <v>280</v>
      </c>
      <c r="H617" s="23" t="s">
        <v>1575</v>
      </c>
      <c r="I617" s="10" t="s">
        <v>2072</v>
      </c>
    </row>
    <row r="618" spans="1:9" ht="12.75" customHeight="1" x14ac:dyDescent="0.2">
      <c r="A618" s="23" t="s">
        <v>1880</v>
      </c>
      <c r="B618" s="10">
        <v>1000095634</v>
      </c>
      <c r="C618" s="10" t="s">
        <v>1489</v>
      </c>
      <c r="D618" s="17" t="s">
        <v>1885</v>
      </c>
      <c r="E618" s="13">
        <v>15078</v>
      </c>
      <c r="F618" s="191">
        <v>60129799</v>
      </c>
      <c r="G618" s="23" t="s">
        <v>280</v>
      </c>
      <c r="H618" s="23" t="s">
        <v>1575</v>
      </c>
      <c r="I618" s="10" t="s">
        <v>2447</v>
      </c>
    </row>
    <row r="619" spans="1:9" ht="12.75" customHeight="1" x14ac:dyDescent="0.2">
      <c r="A619" s="23" t="s">
        <v>1881</v>
      </c>
      <c r="B619" s="10">
        <v>1000095634</v>
      </c>
      <c r="C619" s="10" t="s">
        <v>1489</v>
      </c>
      <c r="D619" s="17" t="s">
        <v>1886</v>
      </c>
      <c r="E619" s="13">
        <v>13536</v>
      </c>
      <c r="F619" s="129">
        <v>60142645</v>
      </c>
      <c r="G619" s="23" t="s">
        <v>280</v>
      </c>
      <c r="H619" s="23" t="s">
        <v>1575</v>
      </c>
      <c r="I619" s="10" t="s">
        <v>2883</v>
      </c>
    </row>
    <row r="620" spans="1:9" s="22" customFormat="1" ht="12.75" customHeight="1" x14ac:dyDescent="0.2">
      <c r="A620" s="29" t="s">
        <v>1882</v>
      </c>
      <c r="B620" s="17">
        <v>1000095634</v>
      </c>
      <c r="C620" s="17" t="s">
        <v>1489</v>
      </c>
      <c r="D620" s="17" t="s">
        <v>1887</v>
      </c>
      <c r="E620" s="85">
        <v>4296</v>
      </c>
      <c r="F620" s="130">
        <v>60129792</v>
      </c>
      <c r="G620" s="23" t="s">
        <v>280</v>
      </c>
      <c r="H620" s="29" t="s">
        <v>1575</v>
      </c>
      <c r="I620" s="17" t="s">
        <v>2447</v>
      </c>
    </row>
    <row r="621" spans="1:9" ht="12.75" customHeight="1" x14ac:dyDescent="0.2">
      <c r="A621" s="23" t="s">
        <v>1883</v>
      </c>
      <c r="B621" s="10">
        <v>1000095634</v>
      </c>
      <c r="C621" s="10" t="s">
        <v>1489</v>
      </c>
      <c r="D621" s="17" t="s">
        <v>1888</v>
      </c>
      <c r="E621" s="13">
        <v>3628.8</v>
      </c>
      <c r="F621" s="191">
        <v>60135458</v>
      </c>
      <c r="G621" s="23" t="s">
        <v>280</v>
      </c>
      <c r="H621" s="10" t="s">
        <v>1575</v>
      </c>
      <c r="I621" s="10" t="s">
        <v>2072</v>
      </c>
    </row>
    <row r="622" spans="1:9" ht="12.75" customHeight="1" x14ac:dyDescent="0.2">
      <c r="A622" s="17" t="s">
        <v>2023</v>
      </c>
      <c r="B622" s="10">
        <v>1000095634</v>
      </c>
      <c r="C622" s="10" t="s">
        <v>1489</v>
      </c>
      <c r="D622" s="36" t="s">
        <v>2024</v>
      </c>
      <c r="E622" s="13">
        <v>2376</v>
      </c>
      <c r="F622" s="191">
        <v>60129799</v>
      </c>
      <c r="G622" s="23" t="s">
        <v>280</v>
      </c>
      <c r="H622" s="23" t="s">
        <v>1575</v>
      </c>
      <c r="I622" s="10" t="s">
        <v>2447</v>
      </c>
    </row>
    <row r="623" spans="1:9" ht="12.75" customHeight="1" x14ac:dyDescent="0.2">
      <c r="A623" s="10" t="s">
        <v>1889</v>
      </c>
      <c r="B623" s="10">
        <v>1000103407</v>
      </c>
      <c r="C623" s="10" t="s">
        <v>1489</v>
      </c>
      <c r="D623" s="29" t="s">
        <v>1890</v>
      </c>
      <c r="E623" s="13">
        <v>28320</v>
      </c>
      <c r="F623" s="129">
        <v>60136718</v>
      </c>
      <c r="G623" s="10" t="s">
        <v>280</v>
      </c>
      <c r="H623" s="10" t="s">
        <v>910</v>
      </c>
      <c r="I623" s="10" t="s">
        <v>2072</v>
      </c>
    </row>
    <row r="624" spans="1:9" ht="12.75" customHeight="1" x14ac:dyDescent="0.2">
      <c r="A624" s="10" t="s">
        <v>1893</v>
      </c>
      <c r="B624" s="10">
        <v>1000108766</v>
      </c>
      <c r="C624" s="10" t="s">
        <v>1489</v>
      </c>
      <c r="D624" s="17" t="s">
        <v>1894</v>
      </c>
      <c r="E624" s="13">
        <v>21912</v>
      </c>
      <c r="F624" s="191">
        <v>60132350</v>
      </c>
      <c r="G624" s="23" t="s">
        <v>280</v>
      </c>
      <c r="H624" s="23" t="s">
        <v>1278</v>
      </c>
      <c r="I624" s="10" t="s">
        <v>2072</v>
      </c>
    </row>
    <row r="625" spans="1:9" ht="12.75" customHeight="1" x14ac:dyDescent="0.2">
      <c r="A625" s="154" t="s">
        <v>1891</v>
      </c>
      <c r="B625" s="10">
        <v>1000108176</v>
      </c>
      <c r="C625" s="10" t="s">
        <v>1489</v>
      </c>
      <c r="D625" s="17" t="s">
        <v>1892</v>
      </c>
      <c r="E625" s="13">
        <v>26222.400000000001</v>
      </c>
      <c r="F625" s="129">
        <v>60131327</v>
      </c>
      <c r="G625" s="10" t="s">
        <v>280</v>
      </c>
      <c r="H625" s="10" t="s">
        <v>1365</v>
      </c>
      <c r="I625" s="10" t="s">
        <v>2072</v>
      </c>
    </row>
    <row r="626" spans="1:9" ht="12.75" customHeight="1" x14ac:dyDescent="0.2">
      <c r="A626" s="10" t="s">
        <v>1897</v>
      </c>
      <c r="B626" s="10">
        <v>1000109237</v>
      </c>
      <c r="C626" s="10" t="s">
        <v>1489</v>
      </c>
      <c r="D626" s="432" t="s">
        <v>1898</v>
      </c>
      <c r="E626" s="13">
        <v>72006.55</v>
      </c>
      <c r="F626" s="129">
        <v>60131330</v>
      </c>
      <c r="G626" s="10" t="s">
        <v>280</v>
      </c>
      <c r="H626" s="10" t="s">
        <v>1204</v>
      </c>
      <c r="I626" s="10" t="s">
        <v>2072</v>
      </c>
    </row>
    <row r="627" spans="1:9" ht="12.75" customHeight="1" x14ac:dyDescent="0.2">
      <c r="A627" s="10" t="s">
        <v>1896</v>
      </c>
      <c r="B627" s="10">
        <v>1000109237</v>
      </c>
      <c r="C627" s="10" t="s">
        <v>1489</v>
      </c>
      <c r="D627" s="17" t="s">
        <v>1899</v>
      </c>
      <c r="E627" s="14">
        <v>61826.400000000001</v>
      </c>
      <c r="F627" s="756">
        <v>60131329</v>
      </c>
      <c r="G627" s="125" t="s">
        <v>280</v>
      </c>
      <c r="H627" s="177" t="s">
        <v>171</v>
      </c>
      <c r="I627" s="10" t="s">
        <v>2072</v>
      </c>
    </row>
    <row r="628" spans="1:9" ht="12.75" customHeight="1" x14ac:dyDescent="0.2">
      <c r="A628" s="29" t="s">
        <v>1895</v>
      </c>
      <c r="B628" s="10">
        <v>1000109237</v>
      </c>
      <c r="C628" s="10" t="s">
        <v>1489</v>
      </c>
      <c r="D628" s="432" t="s">
        <v>1900</v>
      </c>
      <c r="E628" s="13">
        <v>10512.72</v>
      </c>
      <c r="F628" s="191">
        <v>60132658</v>
      </c>
      <c r="G628" s="23" t="s">
        <v>280</v>
      </c>
      <c r="H628" s="23" t="s">
        <v>211</v>
      </c>
      <c r="I628" s="10" t="s">
        <v>2072</v>
      </c>
    </row>
    <row r="629" spans="1:9" s="38" customFormat="1" ht="12.75" customHeight="1" x14ac:dyDescent="0.2">
      <c r="A629" s="23" t="s">
        <v>1901</v>
      </c>
      <c r="B629" s="23">
        <v>1000079359</v>
      </c>
      <c r="C629" s="23" t="s">
        <v>1489</v>
      </c>
      <c r="D629" s="29" t="s">
        <v>1914</v>
      </c>
      <c r="E629" s="39">
        <v>5748</v>
      </c>
      <c r="F629" s="191">
        <v>60137360</v>
      </c>
      <c r="G629" s="23" t="s">
        <v>280</v>
      </c>
      <c r="H629" s="23" t="s">
        <v>322</v>
      </c>
      <c r="I629" s="23" t="s">
        <v>2072</v>
      </c>
    </row>
    <row r="630" spans="1:9" s="253" customFormat="1" ht="12.75" customHeight="1" x14ac:dyDescent="0.2">
      <c r="A630" s="29" t="s">
        <v>1902</v>
      </c>
      <c r="B630" s="29">
        <v>1000079359</v>
      </c>
      <c r="C630" s="29" t="s">
        <v>1489</v>
      </c>
      <c r="D630" s="29" t="s">
        <v>1915</v>
      </c>
      <c r="E630" s="86">
        <v>2148</v>
      </c>
      <c r="F630" s="130">
        <v>60145764</v>
      </c>
      <c r="G630" s="29" t="s">
        <v>280</v>
      </c>
      <c r="H630" s="29" t="s">
        <v>322</v>
      </c>
      <c r="I630" s="130" t="s">
        <v>3278</v>
      </c>
    </row>
    <row r="631" spans="1:9" ht="12.75" customHeight="1" x14ac:dyDescent="0.2">
      <c r="A631" s="10" t="s">
        <v>1903</v>
      </c>
      <c r="B631" s="10">
        <v>1000079359</v>
      </c>
      <c r="C631" s="10" t="s">
        <v>1489</v>
      </c>
      <c r="D631" s="17" t="s">
        <v>1916</v>
      </c>
      <c r="E631" s="13">
        <v>11712</v>
      </c>
      <c r="F631" s="129">
        <v>60132661</v>
      </c>
      <c r="G631" s="10" t="s">
        <v>280</v>
      </c>
      <c r="H631" s="10" t="s">
        <v>171</v>
      </c>
      <c r="I631" s="10" t="s">
        <v>2072</v>
      </c>
    </row>
    <row r="632" spans="1:9" ht="12.75" customHeight="1" x14ac:dyDescent="0.2">
      <c r="A632" s="10" t="s">
        <v>1904</v>
      </c>
      <c r="B632" s="10">
        <v>1000079359</v>
      </c>
      <c r="C632" s="10" t="s">
        <v>1489</v>
      </c>
      <c r="D632" s="17" t="s">
        <v>1917</v>
      </c>
      <c r="E632" s="13">
        <v>12936</v>
      </c>
      <c r="F632" s="129">
        <v>60135457</v>
      </c>
      <c r="G632" s="10" t="s">
        <v>280</v>
      </c>
      <c r="H632" s="10" t="s">
        <v>1278</v>
      </c>
      <c r="I632" s="10" t="s">
        <v>2072</v>
      </c>
    </row>
    <row r="633" spans="1:9" ht="12.75" customHeight="1" x14ac:dyDescent="0.2">
      <c r="A633" s="10" t="s">
        <v>1905</v>
      </c>
      <c r="B633" s="10">
        <v>1000079359</v>
      </c>
      <c r="C633" s="10" t="s">
        <v>1489</v>
      </c>
      <c r="D633" s="17" t="s">
        <v>1918</v>
      </c>
      <c r="E633" s="13">
        <v>2928</v>
      </c>
      <c r="F633" s="129">
        <v>60125610</v>
      </c>
      <c r="G633" s="10" t="s">
        <v>280</v>
      </c>
      <c r="H633" s="10" t="s">
        <v>959</v>
      </c>
      <c r="I633" s="10" t="s">
        <v>2312</v>
      </c>
    </row>
    <row r="634" spans="1:9" ht="12.75" customHeight="1" x14ac:dyDescent="0.2">
      <c r="A634" s="10" t="s">
        <v>1906</v>
      </c>
      <c r="B634" s="10">
        <v>1000079359</v>
      </c>
      <c r="C634" s="10" t="s">
        <v>1489</v>
      </c>
      <c r="D634" s="17" t="s">
        <v>1918</v>
      </c>
      <c r="E634" s="13">
        <v>2342.4</v>
      </c>
      <c r="F634" s="129">
        <v>60129478</v>
      </c>
      <c r="G634" s="10" t="s">
        <v>280</v>
      </c>
      <c r="H634" s="10" t="s">
        <v>959</v>
      </c>
      <c r="I634" s="10" t="s">
        <v>2072</v>
      </c>
    </row>
    <row r="635" spans="1:9" ht="12.75" customHeight="1" x14ac:dyDescent="0.2">
      <c r="A635" s="10" t="s">
        <v>1913</v>
      </c>
      <c r="B635" s="10">
        <v>1000079359</v>
      </c>
      <c r="C635" s="10" t="s">
        <v>1489</v>
      </c>
      <c r="D635" s="17" t="s">
        <v>1918</v>
      </c>
      <c r="E635" s="13">
        <v>1171.2</v>
      </c>
      <c r="F635" s="129">
        <v>60134307</v>
      </c>
      <c r="G635" s="10" t="s">
        <v>280</v>
      </c>
      <c r="H635" s="10" t="s">
        <v>959</v>
      </c>
      <c r="I635" s="10" t="s">
        <v>2072</v>
      </c>
    </row>
    <row r="636" spans="1:9" ht="12.75" customHeight="1" x14ac:dyDescent="0.2">
      <c r="A636" s="10" t="s">
        <v>1907</v>
      </c>
      <c r="B636" s="10">
        <v>1000079359</v>
      </c>
      <c r="C636" s="10" t="s">
        <v>1489</v>
      </c>
      <c r="D636" s="17" t="s">
        <v>1919</v>
      </c>
      <c r="E636" s="13">
        <v>8382.48</v>
      </c>
      <c r="F636" s="129">
        <v>60131865</v>
      </c>
      <c r="G636" s="10" t="s">
        <v>280</v>
      </c>
      <c r="H636" s="10" t="s">
        <v>952</v>
      </c>
      <c r="I636" s="10" t="s">
        <v>2072</v>
      </c>
    </row>
    <row r="637" spans="1:9" ht="12.75" customHeight="1" x14ac:dyDescent="0.2">
      <c r="A637" s="10" t="s">
        <v>1908</v>
      </c>
      <c r="B637" s="10">
        <v>1000079359</v>
      </c>
      <c r="C637" s="10" t="s">
        <v>1489</v>
      </c>
      <c r="D637" s="17" t="s">
        <v>1920</v>
      </c>
      <c r="E637" s="13">
        <v>11126.4</v>
      </c>
      <c r="F637" s="191">
        <v>60122896</v>
      </c>
      <c r="G637" s="23" t="s">
        <v>280</v>
      </c>
      <c r="H637" s="23" t="s">
        <v>161</v>
      </c>
      <c r="I637" s="10" t="s">
        <v>2072</v>
      </c>
    </row>
    <row r="638" spans="1:9" ht="12.75" customHeight="1" x14ac:dyDescent="0.2">
      <c r="A638" s="10" t="s">
        <v>1909</v>
      </c>
      <c r="B638" s="10">
        <v>1000079359</v>
      </c>
      <c r="C638" s="10" t="s">
        <v>1489</v>
      </c>
      <c r="D638" s="17" t="s">
        <v>1921</v>
      </c>
      <c r="E638" s="13">
        <v>7612.8</v>
      </c>
      <c r="F638" s="129">
        <v>60135459</v>
      </c>
      <c r="G638" s="10" t="s">
        <v>280</v>
      </c>
      <c r="H638" s="10" t="s">
        <v>161</v>
      </c>
      <c r="I638" s="10" t="s">
        <v>2312</v>
      </c>
    </row>
    <row r="639" spans="1:9" ht="12.75" customHeight="1" x14ac:dyDescent="0.2">
      <c r="A639" s="10" t="s">
        <v>1910</v>
      </c>
      <c r="B639" s="10">
        <v>1000079359</v>
      </c>
      <c r="C639" s="10" t="s">
        <v>1489</v>
      </c>
      <c r="D639" s="17" t="s">
        <v>1922</v>
      </c>
      <c r="E639" s="13">
        <v>12936</v>
      </c>
      <c r="F639" s="129">
        <v>60136708</v>
      </c>
      <c r="G639" s="10" t="s">
        <v>280</v>
      </c>
      <c r="H639" s="10" t="s">
        <v>216</v>
      </c>
      <c r="I639" s="10" t="s">
        <v>2072</v>
      </c>
    </row>
    <row r="640" spans="1:9" s="38" customFormat="1" ht="12.75" customHeight="1" x14ac:dyDescent="0.2">
      <c r="A640" s="23" t="s">
        <v>1911</v>
      </c>
      <c r="B640" s="23">
        <v>1000079359</v>
      </c>
      <c r="C640" s="23" t="s">
        <v>1489</v>
      </c>
      <c r="D640" s="29" t="s">
        <v>1923</v>
      </c>
      <c r="E640" s="39">
        <v>10738.8</v>
      </c>
      <c r="F640" s="191">
        <v>60137359</v>
      </c>
      <c r="G640" s="23" t="s">
        <v>280</v>
      </c>
      <c r="H640" s="23" t="s">
        <v>1774</v>
      </c>
      <c r="I640" s="23" t="s">
        <v>2072</v>
      </c>
    </row>
    <row r="641" spans="1:9" ht="12.75" customHeight="1" x14ac:dyDescent="0.2">
      <c r="A641" s="10" t="s">
        <v>1912</v>
      </c>
      <c r="B641" s="10">
        <v>1000079359</v>
      </c>
      <c r="C641" s="10" t="s">
        <v>1489</v>
      </c>
      <c r="D641" s="17" t="s">
        <v>1924</v>
      </c>
      <c r="E641" s="13">
        <v>10191.6</v>
      </c>
      <c r="F641" s="191">
        <v>60132660</v>
      </c>
      <c r="G641" s="23" t="s">
        <v>280</v>
      </c>
      <c r="H641" s="141" t="s">
        <v>1278</v>
      </c>
      <c r="I641" s="10" t="s">
        <v>2072</v>
      </c>
    </row>
    <row r="642" spans="1:9" ht="12.75" customHeight="1" x14ac:dyDescent="0.2">
      <c r="A642" s="10" t="s">
        <v>1925</v>
      </c>
      <c r="B642" s="10">
        <v>1000079359</v>
      </c>
      <c r="C642" s="10" t="s">
        <v>1489</v>
      </c>
      <c r="D642" s="17" t="s">
        <v>1926</v>
      </c>
      <c r="E642" s="13">
        <v>11496</v>
      </c>
      <c r="F642" s="191">
        <v>60130249</v>
      </c>
      <c r="G642" s="23" t="s">
        <v>280</v>
      </c>
      <c r="H642" s="23" t="s">
        <v>1278</v>
      </c>
      <c r="I642" s="10" t="s">
        <v>2072</v>
      </c>
    </row>
    <row r="643" spans="1:9" ht="12.75" customHeight="1" x14ac:dyDescent="0.2">
      <c r="A643" s="10" t="s">
        <v>1927</v>
      </c>
      <c r="B643" s="10">
        <v>1000079359</v>
      </c>
      <c r="C643" s="10" t="s">
        <v>1489</v>
      </c>
      <c r="D643" s="17" t="s">
        <v>1928</v>
      </c>
      <c r="E643" s="13">
        <v>11112</v>
      </c>
      <c r="F643" s="191">
        <v>60130250</v>
      </c>
      <c r="G643" s="23" t="s">
        <v>280</v>
      </c>
      <c r="H643" s="141" t="s">
        <v>1278</v>
      </c>
      <c r="I643" s="10" t="s">
        <v>2072</v>
      </c>
    </row>
    <row r="644" spans="1:9" s="38" customFormat="1" ht="12.75" customHeight="1" x14ac:dyDescent="0.2">
      <c r="A644" s="23" t="s">
        <v>1929</v>
      </c>
      <c r="B644" s="23">
        <v>1000079359</v>
      </c>
      <c r="C644" s="23" t="s">
        <v>1489</v>
      </c>
      <c r="D644" s="29" t="s">
        <v>1930</v>
      </c>
      <c r="E644" s="39">
        <v>3984</v>
      </c>
      <c r="F644" s="129">
        <v>60144668</v>
      </c>
      <c r="G644" s="10" t="s">
        <v>280</v>
      </c>
      <c r="H644" s="23" t="s">
        <v>1278</v>
      </c>
      <c r="I644" s="23" t="s">
        <v>3099</v>
      </c>
    </row>
    <row r="645" spans="1:9" s="38" customFormat="1" ht="12.75" customHeight="1" x14ac:dyDescent="0.2">
      <c r="A645" s="23" t="s">
        <v>1931</v>
      </c>
      <c r="B645" s="23">
        <v>1000079359</v>
      </c>
      <c r="C645" s="23" t="s">
        <v>1489</v>
      </c>
      <c r="D645" s="29" t="s">
        <v>1932</v>
      </c>
      <c r="E645" s="39">
        <v>11112</v>
      </c>
      <c r="F645" s="191">
        <v>60141314</v>
      </c>
      <c r="G645" s="23" t="s">
        <v>280</v>
      </c>
      <c r="H645" s="23" t="s">
        <v>322</v>
      </c>
      <c r="I645" s="23" t="s">
        <v>2663</v>
      </c>
    </row>
    <row r="646" spans="1:9" s="22" customFormat="1" ht="12.75" customHeight="1" x14ac:dyDescent="0.2">
      <c r="A646" s="17" t="s">
        <v>2073</v>
      </c>
      <c r="B646" s="17">
        <v>1000079359</v>
      </c>
      <c r="C646" s="17" t="s">
        <v>1490</v>
      </c>
      <c r="D646" s="17" t="s">
        <v>2088</v>
      </c>
      <c r="E646" s="85">
        <v>4296</v>
      </c>
      <c r="F646" s="130">
        <v>60145764</v>
      </c>
      <c r="G646" s="29" t="s">
        <v>280</v>
      </c>
      <c r="H646" s="17" t="s">
        <v>322</v>
      </c>
      <c r="I646" s="130" t="s">
        <v>3278</v>
      </c>
    </row>
    <row r="647" spans="1:9" s="11" customFormat="1" ht="12.75" customHeight="1" x14ac:dyDescent="0.2">
      <c r="A647" s="10" t="s">
        <v>2074</v>
      </c>
      <c r="B647" s="10">
        <v>1000079359</v>
      </c>
      <c r="C647" s="10" t="s">
        <v>1490</v>
      </c>
      <c r="D647" s="17" t="s">
        <v>2089</v>
      </c>
      <c r="E647" s="13">
        <v>11712</v>
      </c>
      <c r="F647" s="129">
        <v>60132661</v>
      </c>
      <c r="G647" s="10" t="s">
        <v>280</v>
      </c>
      <c r="H647" s="10" t="s">
        <v>171</v>
      </c>
      <c r="I647" s="10" t="s">
        <v>2447</v>
      </c>
    </row>
    <row r="648" spans="1:9" ht="12.75" customHeight="1" x14ac:dyDescent="0.2">
      <c r="A648" s="10" t="s">
        <v>2075</v>
      </c>
      <c r="B648" s="10">
        <v>1000079359</v>
      </c>
      <c r="C648" s="10" t="s">
        <v>1490</v>
      </c>
      <c r="D648" s="17" t="s">
        <v>2090</v>
      </c>
      <c r="E648" s="39">
        <v>12289.2</v>
      </c>
      <c r="F648" s="129">
        <v>60135457</v>
      </c>
      <c r="G648" s="10" t="s">
        <v>280</v>
      </c>
      <c r="H648" s="10" t="s">
        <v>1278</v>
      </c>
      <c r="I648" s="10" t="s">
        <v>2447</v>
      </c>
    </row>
    <row r="649" spans="1:9" s="38" customFormat="1" ht="12.75" customHeight="1" x14ac:dyDescent="0.2">
      <c r="A649" s="23" t="s">
        <v>2076</v>
      </c>
      <c r="B649" s="23">
        <v>1000079359</v>
      </c>
      <c r="C649" s="23" t="s">
        <v>1490</v>
      </c>
      <c r="D649" s="86" t="s">
        <v>2091</v>
      </c>
      <c r="E649" s="39">
        <v>2928</v>
      </c>
      <c r="F649" s="191">
        <v>60135459</v>
      </c>
      <c r="G649" s="23" t="s">
        <v>280</v>
      </c>
      <c r="H649" s="23" t="s">
        <v>161</v>
      </c>
      <c r="I649" s="23" t="s">
        <v>2447</v>
      </c>
    </row>
    <row r="650" spans="1:9" ht="12.75" customHeight="1" x14ac:dyDescent="0.2">
      <c r="A650" s="10" t="s">
        <v>2077</v>
      </c>
      <c r="B650" s="10">
        <v>1000079359</v>
      </c>
      <c r="C650" s="10" t="s">
        <v>1490</v>
      </c>
      <c r="D650" s="85" t="s">
        <v>2092</v>
      </c>
      <c r="E650" s="13">
        <v>10224.48</v>
      </c>
      <c r="F650" s="129">
        <v>60131865</v>
      </c>
      <c r="G650" s="10" t="s">
        <v>280</v>
      </c>
      <c r="H650" s="10" t="s">
        <v>952</v>
      </c>
      <c r="I650" s="10" t="s">
        <v>2447</v>
      </c>
    </row>
    <row r="651" spans="1:9" ht="12.75" customHeight="1" x14ac:dyDescent="0.2">
      <c r="A651" s="10" t="s">
        <v>2078</v>
      </c>
      <c r="B651" s="10">
        <v>1000079359</v>
      </c>
      <c r="C651" s="10" t="s">
        <v>1490</v>
      </c>
      <c r="D651" s="85" t="s">
        <v>2093</v>
      </c>
      <c r="E651" s="13">
        <v>11712</v>
      </c>
      <c r="F651" s="191">
        <v>60122896</v>
      </c>
      <c r="G651" s="23" t="s">
        <v>1822</v>
      </c>
      <c r="H651" s="23" t="s">
        <v>161</v>
      </c>
      <c r="I651" s="10" t="s">
        <v>2447</v>
      </c>
    </row>
    <row r="652" spans="1:9" ht="12.75" customHeight="1" x14ac:dyDescent="0.2">
      <c r="A652" s="10" t="s">
        <v>2079</v>
      </c>
      <c r="B652" s="10">
        <v>1000079359</v>
      </c>
      <c r="C652" s="10" t="s">
        <v>1490</v>
      </c>
      <c r="D652" s="17" t="s">
        <v>2094</v>
      </c>
      <c r="E652" s="13">
        <v>8784</v>
      </c>
      <c r="F652" s="129">
        <v>60135459</v>
      </c>
      <c r="G652" s="10" t="s">
        <v>280</v>
      </c>
      <c r="H652" s="10" t="s">
        <v>161</v>
      </c>
      <c r="I652" s="10" t="s">
        <v>2447</v>
      </c>
    </row>
    <row r="653" spans="1:9" ht="12.75" customHeight="1" x14ac:dyDescent="0.2">
      <c r="A653" s="10" t="s">
        <v>2080</v>
      </c>
      <c r="B653" s="10">
        <v>1000079359</v>
      </c>
      <c r="C653" s="10" t="s">
        <v>1490</v>
      </c>
      <c r="D653" s="29" t="s">
        <v>2095</v>
      </c>
      <c r="E653" s="13">
        <v>12289.2</v>
      </c>
      <c r="F653" s="129">
        <v>60136708</v>
      </c>
      <c r="G653" s="10" t="s">
        <v>280</v>
      </c>
      <c r="H653" s="10" t="s">
        <v>216</v>
      </c>
      <c r="I653" s="10" t="s">
        <v>2447</v>
      </c>
    </row>
    <row r="654" spans="1:9" ht="12.75" customHeight="1" x14ac:dyDescent="0.2">
      <c r="A654" s="10" t="s">
        <v>2081</v>
      </c>
      <c r="B654" s="10">
        <v>1000079359</v>
      </c>
      <c r="C654" s="10" t="s">
        <v>1490</v>
      </c>
      <c r="D654" s="17" t="s">
        <v>2096</v>
      </c>
      <c r="E654" s="13">
        <v>11304</v>
      </c>
      <c r="F654" s="191">
        <v>60137359</v>
      </c>
      <c r="G654" s="23" t="s">
        <v>280</v>
      </c>
      <c r="H654" s="23" t="s">
        <v>1774</v>
      </c>
      <c r="I654" s="23" t="s">
        <v>2759</v>
      </c>
    </row>
    <row r="655" spans="1:9" ht="12.75" customHeight="1" x14ac:dyDescent="0.2">
      <c r="A655" s="10" t="s">
        <v>2082</v>
      </c>
      <c r="B655" s="10">
        <v>1000079359</v>
      </c>
      <c r="C655" s="10" t="s">
        <v>1490</v>
      </c>
      <c r="D655" s="17" t="s">
        <v>2097</v>
      </c>
      <c r="E655" s="13">
        <v>10728</v>
      </c>
      <c r="F655" s="191">
        <v>60132660</v>
      </c>
      <c r="G655" s="23" t="s">
        <v>280</v>
      </c>
      <c r="H655" s="141" t="s">
        <v>1278</v>
      </c>
      <c r="I655" s="10" t="s">
        <v>2447</v>
      </c>
    </row>
    <row r="656" spans="1:9" ht="12.75" customHeight="1" x14ac:dyDescent="0.2">
      <c r="A656" s="10" t="s">
        <v>2083</v>
      </c>
      <c r="B656" s="10">
        <v>1000079359</v>
      </c>
      <c r="C656" s="10" t="s">
        <v>1490</v>
      </c>
      <c r="D656" s="17" t="s">
        <v>2098</v>
      </c>
      <c r="E656" s="13">
        <v>840</v>
      </c>
      <c r="F656" s="191">
        <v>60131330</v>
      </c>
      <c r="G656" s="10" t="s">
        <v>280</v>
      </c>
      <c r="H656" s="10" t="s">
        <v>1204</v>
      </c>
      <c r="I656" s="10" t="s">
        <v>2447</v>
      </c>
    </row>
    <row r="657" spans="1:9" ht="12.75" customHeight="1" x14ac:dyDescent="0.2">
      <c r="A657" s="10" t="s">
        <v>2084</v>
      </c>
      <c r="B657" s="10">
        <v>1000079359</v>
      </c>
      <c r="C657" s="10" t="s">
        <v>1490</v>
      </c>
      <c r="D657" s="17" t="s">
        <v>2099</v>
      </c>
      <c r="E657" s="13">
        <v>10346.4</v>
      </c>
      <c r="F657" s="191">
        <v>60130249</v>
      </c>
      <c r="G657" s="23" t="s">
        <v>1822</v>
      </c>
      <c r="H657" s="23" t="s">
        <v>1278</v>
      </c>
      <c r="I657" s="10" t="s">
        <v>2447</v>
      </c>
    </row>
    <row r="658" spans="1:9" ht="12.75" customHeight="1" x14ac:dyDescent="0.2">
      <c r="A658" s="10" t="s">
        <v>2085</v>
      </c>
      <c r="B658" s="10">
        <v>1000079359</v>
      </c>
      <c r="C658" s="10" t="s">
        <v>1490</v>
      </c>
      <c r="D658" s="17" t="s">
        <v>2100</v>
      </c>
      <c r="E658" s="13">
        <v>11112</v>
      </c>
      <c r="F658" s="191">
        <v>60130250</v>
      </c>
      <c r="G658" s="23" t="s">
        <v>280</v>
      </c>
      <c r="H658" s="141" t="s">
        <v>1278</v>
      </c>
      <c r="I658" s="10" t="s">
        <v>2447</v>
      </c>
    </row>
    <row r="659" spans="1:9" s="38" customFormat="1" ht="12.75" customHeight="1" x14ac:dyDescent="0.2">
      <c r="A659" s="23" t="s">
        <v>2086</v>
      </c>
      <c r="B659" s="23">
        <v>1000079359</v>
      </c>
      <c r="C659" s="23" t="s">
        <v>1490</v>
      </c>
      <c r="D659" s="29" t="s">
        <v>2101</v>
      </c>
      <c r="E659" s="39">
        <v>996</v>
      </c>
      <c r="F659" s="129">
        <v>60144668</v>
      </c>
      <c r="G659" s="23" t="s">
        <v>280</v>
      </c>
      <c r="H659" s="23" t="s">
        <v>1278</v>
      </c>
      <c r="I659" s="23" t="s">
        <v>3099</v>
      </c>
    </row>
    <row r="660" spans="1:9" s="38" customFormat="1" ht="12.75" customHeight="1" x14ac:dyDescent="0.2">
      <c r="A660" s="23" t="s">
        <v>2087</v>
      </c>
      <c r="B660" s="23">
        <v>1000079359</v>
      </c>
      <c r="C660" s="23" t="s">
        <v>1490</v>
      </c>
      <c r="D660" s="29" t="s">
        <v>2102</v>
      </c>
      <c r="E660" s="39">
        <v>2988</v>
      </c>
      <c r="F660" s="191">
        <v>60144610</v>
      </c>
      <c r="G660" s="23" t="s">
        <v>280</v>
      </c>
      <c r="H660" s="23" t="s">
        <v>1278</v>
      </c>
      <c r="I660" s="23" t="s">
        <v>3099</v>
      </c>
    </row>
    <row r="661" spans="1:9" s="38" customFormat="1" ht="12.75" customHeight="1" x14ac:dyDescent="0.2">
      <c r="A661" s="23" t="s">
        <v>2103</v>
      </c>
      <c r="B661" s="23">
        <v>1000079359</v>
      </c>
      <c r="C661" s="23" t="s">
        <v>1490</v>
      </c>
      <c r="D661" s="29" t="s">
        <v>2104</v>
      </c>
      <c r="E661" s="39">
        <v>11112</v>
      </c>
      <c r="F661" s="191">
        <v>60141314</v>
      </c>
      <c r="G661" s="23" t="s">
        <v>280</v>
      </c>
      <c r="H661" s="23" t="s">
        <v>322</v>
      </c>
      <c r="I661" s="23" t="s">
        <v>2663</v>
      </c>
    </row>
    <row r="662" spans="1:9" ht="12.75" customHeight="1" x14ac:dyDescent="0.2">
      <c r="A662" s="10" t="s">
        <v>2105</v>
      </c>
      <c r="B662" s="10">
        <v>1000095634</v>
      </c>
      <c r="C662" s="10" t="s">
        <v>1490</v>
      </c>
      <c r="D662" s="17" t="s">
        <v>2109</v>
      </c>
      <c r="E662" s="13">
        <v>3651.6</v>
      </c>
      <c r="F662" s="191">
        <v>60118058</v>
      </c>
      <c r="G662" s="23" t="s">
        <v>280</v>
      </c>
      <c r="H662" s="23" t="s">
        <v>1575</v>
      </c>
      <c r="I662" s="10" t="s">
        <v>2447</v>
      </c>
    </row>
    <row r="663" spans="1:9" ht="12.75" customHeight="1" x14ac:dyDescent="0.2">
      <c r="A663" s="10" t="s">
        <v>2106</v>
      </c>
      <c r="B663" s="10">
        <v>1000095634</v>
      </c>
      <c r="C663" s="10" t="s">
        <v>1490</v>
      </c>
      <c r="D663" s="17" t="s">
        <v>2110</v>
      </c>
      <c r="E663" s="13">
        <v>15457.2</v>
      </c>
      <c r="F663" s="191">
        <v>60129799</v>
      </c>
      <c r="G663" s="23" t="s">
        <v>280</v>
      </c>
      <c r="H663" s="23" t="s">
        <v>1575</v>
      </c>
      <c r="I663" s="10" t="s">
        <v>2447</v>
      </c>
    </row>
    <row r="664" spans="1:9" ht="12.75" customHeight="1" x14ac:dyDescent="0.2">
      <c r="A664" s="10" t="s">
        <v>2107</v>
      </c>
      <c r="B664" s="10">
        <v>1000095634</v>
      </c>
      <c r="C664" s="10" t="s">
        <v>1490</v>
      </c>
      <c r="D664" s="17" t="s">
        <v>2111</v>
      </c>
      <c r="E664" s="13">
        <v>17524.8</v>
      </c>
      <c r="F664" s="129">
        <v>60142645</v>
      </c>
      <c r="G664" s="23" t="s">
        <v>280</v>
      </c>
      <c r="H664" s="23" t="s">
        <v>1575</v>
      </c>
      <c r="I664" s="10" t="s">
        <v>2883</v>
      </c>
    </row>
    <row r="665" spans="1:9" s="22" customFormat="1" ht="12.75" customHeight="1" x14ac:dyDescent="0.2">
      <c r="A665" s="17" t="s">
        <v>2108</v>
      </c>
      <c r="B665" s="17">
        <v>1000095634</v>
      </c>
      <c r="C665" s="17" t="s">
        <v>1490</v>
      </c>
      <c r="D665" s="17" t="s">
        <v>2112</v>
      </c>
      <c r="E665" s="85">
        <v>4081.2</v>
      </c>
      <c r="F665" s="130">
        <v>60129792</v>
      </c>
      <c r="G665" s="29" t="s">
        <v>280</v>
      </c>
      <c r="H665" s="29" t="s">
        <v>1575</v>
      </c>
      <c r="I665" s="17" t="s">
        <v>2447</v>
      </c>
    </row>
    <row r="666" spans="1:9" ht="12.75" customHeight="1" x14ac:dyDescent="0.2">
      <c r="A666" s="10" t="s">
        <v>2113</v>
      </c>
      <c r="B666" s="10">
        <v>1000109237</v>
      </c>
      <c r="C666" s="10" t="s">
        <v>1490</v>
      </c>
      <c r="D666" s="17" t="s">
        <v>2118</v>
      </c>
      <c r="E666" s="13">
        <v>59198.22</v>
      </c>
      <c r="F666" s="756">
        <v>60131329</v>
      </c>
      <c r="G666" s="125" t="s">
        <v>280</v>
      </c>
      <c r="H666" s="177" t="s">
        <v>171</v>
      </c>
      <c r="I666" s="10" t="s">
        <v>2447</v>
      </c>
    </row>
    <row r="667" spans="1:9" s="22" customFormat="1" ht="12.75" customHeight="1" x14ac:dyDescent="0.2">
      <c r="A667" s="17" t="s">
        <v>2114</v>
      </c>
      <c r="B667" s="17">
        <v>1000109237</v>
      </c>
      <c r="C667" s="17" t="s">
        <v>1490</v>
      </c>
      <c r="D667" s="17" t="s">
        <v>2119</v>
      </c>
      <c r="E667" s="85">
        <v>10381.31</v>
      </c>
      <c r="F667" s="130">
        <v>60132658</v>
      </c>
      <c r="G667" s="600" t="s">
        <v>280</v>
      </c>
      <c r="H667" s="29" t="s">
        <v>211</v>
      </c>
      <c r="I667" s="17" t="s">
        <v>3307</v>
      </c>
    </row>
    <row r="668" spans="1:9" ht="12.75" customHeight="1" x14ac:dyDescent="0.2">
      <c r="A668" s="29" t="s">
        <v>2115</v>
      </c>
      <c r="B668" s="10">
        <v>1000109237</v>
      </c>
      <c r="C668" s="10" t="s">
        <v>1490</v>
      </c>
      <c r="D668" s="17" t="s">
        <v>2120</v>
      </c>
      <c r="E668" s="13">
        <v>2628.18</v>
      </c>
      <c r="F668" s="129" t="s">
        <v>431</v>
      </c>
      <c r="G668" s="10" t="s">
        <v>92</v>
      </c>
      <c r="H668" s="10" t="s">
        <v>171</v>
      </c>
      <c r="I668" s="10" t="s">
        <v>3241</v>
      </c>
    </row>
    <row r="669" spans="1:9" ht="12.75" customHeight="1" x14ac:dyDescent="0.2">
      <c r="A669" s="29" t="s">
        <v>2310</v>
      </c>
      <c r="B669" s="10">
        <v>1000109237</v>
      </c>
      <c r="C669" s="10" t="s">
        <v>1490</v>
      </c>
      <c r="D669" s="17" t="s">
        <v>2120</v>
      </c>
      <c r="E669" s="13">
        <v>-2628.18</v>
      </c>
      <c r="F669" s="129" t="s">
        <v>431</v>
      </c>
      <c r="G669" s="10" t="s">
        <v>92</v>
      </c>
      <c r="H669" s="10" t="s">
        <v>171</v>
      </c>
      <c r="I669" s="10" t="s">
        <v>3241</v>
      </c>
    </row>
    <row r="670" spans="1:9" ht="12.75" customHeight="1" x14ac:dyDescent="0.2">
      <c r="A670" s="29" t="s">
        <v>2664</v>
      </c>
      <c r="B670" s="10">
        <v>1000109237</v>
      </c>
      <c r="C670" s="10" t="s">
        <v>1490</v>
      </c>
      <c r="D670" s="17" t="s">
        <v>2665</v>
      </c>
      <c r="E670" s="13">
        <v>2628.18</v>
      </c>
      <c r="F670" s="129" t="s">
        <v>431</v>
      </c>
      <c r="G670" s="10" t="s">
        <v>92</v>
      </c>
      <c r="H670" s="10" t="s">
        <v>211</v>
      </c>
      <c r="I670" s="10" t="s">
        <v>2741</v>
      </c>
    </row>
    <row r="671" spans="1:9" ht="12.75" customHeight="1" x14ac:dyDescent="0.2">
      <c r="A671" s="17" t="s">
        <v>2116</v>
      </c>
      <c r="B671" s="10">
        <v>1000109237</v>
      </c>
      <c r="C671" s="10" t="s">
        <v>1490</v>
      </c>
      <c r="D671" s="17" t="s">
        <v>2121</v>
      </c>
      <c r="E671" s="13">
        <v>60915.74</v>
      </c>
      <c r="F671" s="129">
        <v>60131330</v>
      </c>
      <c r="G671" s="10" t="s">
        <v>280</v>
      </c>
      <c r="H671" s="10" t="s">
        <v>1204</v>
      </c>
      <c r="I671" s="10" t="s">
        <v>2447</v>
      </c>
    </row>
    <row r="672" spans="1:9" ht="12.75" customHeight="1" x14ac:dyDescent="0.2">
      <c r="A672" s="29" t="s">
        <v>2117</v>
      </c>
      <c r="B672" s="10">
        <v>1000109237</v>
      </c>
      <c r="C672" s="10" t="s">
        <v>1490</v>
      </c>
      <c r="D672" s="17" t="s">
        <v>2122</v>
      </c>
      <c r="E672" s="13">
        <v>2723.04</v>
      </c>
      <c r="F672" s="129" t="s">
        <v>431</v>
      </c>
      <c r="G672" s="10" t="s">
        <v>92</v>
      </c>
      <c r="H672" s="10" t="s">
        <v>171</v>
      </c>
      <c r="I672" s="10" t="s">
        <v>3241</v>
      </c>
    </row>
    <row r="673" spans="1:9" ht="12.75" customHeight="1" x14ac:dyDescent="0.2">
      <c r="A673" s="29" t="s">
        <v>2311</v>
      </c>
      <c r="B673" s="10">
        <v>1000109237</v>
      </c>
      <c r="C673" s="10" t="s">
        <v>1490</v>
      </c>
      <c r="D673" s="17" t="s">
        <v>2122</v>
      </c>
      <c r="E673" s="13">
        <v>-2723.04</v>
      </c>
      <c r="F673" s="129" t="s">
        <v>431</v>
      </c>
      <c r="G673" s="10" t="s">
        <v>92</v>
      </c>
      <c r="H673" s="10" t="s">
        <v>171</v>
      </c>
      <c r="I673" s="10" t="s">
        <v>3241</v>
      </c>
    </row>
    <row r="674" spans="1:9" ht="12.75" customHeight="1" x14ac:dyDescent="0.2">
      <c r="A674" s="17" t="s">
        <v>2668</v>
      </c>
      <c r="B674" s="10">
        <v>1000109237</v>
      </c>
      <c r="C674" s="10" t="s">
        <v>1490</v>
      </c>
      <c r="D674" s="17" t="s">
        <v>2669</v>
      </c>
      <c r="E674" s="13">
        <v>2723.04</v>
      </c>
      <c r="F674" s="129" t="s">
        <v>431</v>
      </c>
      <c r="G674" s="10" t="s">
        <v>92</v>
      </c>
      <c r="H674" s="10" t="s">
        <v>171</v>
      </c>
      <c r="I674" s="10" t="s">
        <v>2741</v>
      </c>
    </row>
    <row r="675" spans="1:9" s="22" customFormat="1" ht="12.75" customHeight="1" x14ac:dyDescent="0.2">
      <c r="A675" s="29" t="s">
        <v>2208</v>
      </c>
      <c r="B675" s="17">
        <v>1000103407</v>
      </c>
      <c r="C675" s="17" t="s">
        <v>1490</v>
      </c>
      <c r="D675" s="17" t="s">
        <v>2209</v>
      </c>
      <c r="E675" s="85">
        <v>23929.200000000001</v>
      </c>
      <c r="F675" s="449">
        <v>60136718</v>
      </c>
      <c r="G675" s="17" t="s">
        <v>280</v>
      </c>
      <c r="H675" s="17" t="s">
        <v>910</v>
      </c>
      <c r="I675" s="17" t="s">
        <v>2447</v>
      </c>
    </row>
    <row r="676" spans="1:9" s="22" customFormat="1" ht="12.75" customHeight="1" x14ac:dyDescent="0.2">
      <c r="A676" s="29" t="s">
        <v>2210</v>
      </c>
      <c r="B676" s="17">
        <v>1000108766</v>
      </c>
      <c r="C676" s="17" t="s">
        <v>1490</v>
      </c>
      <c r="D676" s="17" t="s">
        <v>2211</v>
      </c>
      <c r="E676" s="85">
        <v>21912</v>
      </c>
      <c r="F676" s="130">
        <v>60143620</v>
      </c>
      <c r="G676" s="29" t="s">
        <v>280</v>
      </c>
      <c r="H676" s="29" t="s">
        <v>1278</v>
      </c>
      <c r="I676" s="17" t="s">
        <v>2979</v>
      </c>
    </row>
    <row r="677" spans="1:9" ht="12.75" customHeight="1" x14ac:dyDescent="0.2">
      <c r="A677" s="23" t="s">
        <v>2212</v>
      </c>
      <c r="B677" s="10">
        <v>1000108176</v>
      </c>
      <c r="C677" s="10" t="s">
        <v>1490</v>
      </c>
      <c r="D677" s="17" t="s">
        <v>2213</v>
      </c>
      <c r="E677" s="13">
        <v>19114.8</v>
      </c>
      <c r="F677" s="129">
        <v>60131327</v>
      </c>
      <c r="G677" s="10" t="s">
        <v>280</v>
      </c>
      <c r="H677" s="10" t="s">
        <v>1365</v>
      </c>
      <c r="I677" s="10" t="s">
        <v>2447</v>
      </c>
    </row>
    <row r="678" spans="1:9" s="38" customFormat="1" ht="12.75" customHeight="1" x14ac:dyDescent="0.2">
      <c r="A678" s="23" t="s">
        <v>2214</v>
      </c>
      <c r="B678" s="23">
        <v>1000083056</v>
      </c>
      <c r="C678" s="23" t="s">
        <v>1490</v>
      </c>
      <c r="D678" s="29" t="s">
        <v>2215</v>
      </c>
      <c r="E678" s="39">
        <v>60336</v>
      </c>
      <c r="F678" s="191">
        <v>60135855</v>
      </c>
      <c r="G678" s="23" t="s">
        <v>280</v>
      </c>
      <c r="H678" s="141" t="s">
        <v>903</v>
      </c>
      <c r="I678" s="23" t="s">
        <v>2447</v>
      </c>
    </row>
    <row r="679" spans="1:9" s="38" customFormat="1" ht="12.75" customHeight="1" x14ac:dyDescent="0.2">
      <c r="A679" s="23" t="s">
        <v>2230</v>
      </c>
      <c r="B679" s="23">
        <v>1000083056</v>
      </c>
      <c r="C679" s="23" t="s">
        <v>1490</v>
      </c>
      <c r="D679" s="29" t="s">
        <v>2216</v>
      </c>
      <c r="E679" s="39">
        <v>23496</v>
      </c>
      <c r="F679" s="191">
        <v>60122421</v>
      </c>
      <c r="G679" s="39" t="s">
        <v>280</v>
      </c>
      <c r="H679" s="141" t="s">
        <v>1278</v>
      </c>
      <c r="I679" s="23" t="s">
        <v>2447</v>
      </c>
    </row>
    <row r="680" spans="1:9" s="253" customFormat="1" ht="12.75" customHeight="1" x14ac:dyDescent="0.2">
      <c r="A680" s="29" t="s">
        <v>2225</v>
      </c>
      <c r="B680" s="29">
        <v>1000109733</v>
      </c>
      <c r="C680" s="29" t="s">
        <v>1490</v>
      </c>
      <c r="D680" s="29" t="s">
        <v>2226</v>
      </c>
      <c r="E680" s="86">
        <v>18285.599999999999</v>
      </c>
      <c r="F680" s="130">
        <v>60136710</v>
      </c>
      <c r="G680" s="29" t="s">
        <v>280</v>
      </c>
      <c r="H680" s="29" t="s">
        <v>216</v>
      </c>
      <c r="I680" s="29" t="s">
        <v>2447</v>
      </c>
    </row>
    <row r="681" spans="1:9" s="38" customFormat="1" ht="12.75" customHeight="1" x14ac:dyDescent="0.2">
      <c r="A681" s="23" t="s">
        <v>2227</v>
      </c>
      <c r="B681" s="23">
        <v>1000109733</v>
      </c>
      <c r="C681" s="23" t="s">
        <v>1490</v>
      </c>
      <c r="D681" s="29" t="s">
        <v>2226</v>
      </c>
      <c r="E681" s="39">
        <v>19989.599999999999</v>
      </c>
      <c r="F681" s="191">
        <v>60139118</v>
      </c>
      <c r="G681" s="29" t="s">
        <v>280</v>
      </c>
      <c r="H681" s="23" t="s">
        <v>216</v>
      </c>
      <c r="I681" s="23" t="s">
        <v>3099</v>
      </c>
    </row>
    <row r="682" spans="1:9" s="38" customFormat="1" ht="12.75" customHeight="1" x14ac:dyDescent="0.2">
      <c r="A682" s="23" t="s">
        <v>2218</v>
      </c>
      <c r="B682" s="23">
        <v>1000105043</v>
      </c>
      <c r="C682" s="23" t="s">
        <v>1490</v>
      </c>
      <c r="D682" s="29" t="s">
        <v>2217</v>
      </c>
      <c r="E682" s="39">
        <v>90326.399999999994</v>
      </c>
      <c r="F682" s="130">
        <v>60135460</v>
      </c>
      <c r="G682" s="23" t="s">
        <v>280</v>
      </c>
      <c r="H682" s="141" t="s">
        <v>161</v>
      </c>
      <c r="I682" s="23" t="s">
        <v>2447</v>
      </c>
    </row>
    <row r="683" spans="1:9" s="38" customFormat="1" ht="12.75" customHeight="1" x14ac:dyDescent="0.2">
      <c r="A683" s="23" t="s">
        <v>2219</v>
      </c>
      <c r="B683" s="23">
        <v>1000105043</v>
      </c>
      <c r="C683" s="23" t="s">
        <v>1490</v>
      </c>
      <c r="D683" s="29" t="s">
        <v>2220</v>
      </c>
      <c r="E683" s="39">
        <v>53701.2</v>
      </c>
      <c r="F683" s="759">
        <v>60138502</v>
      </c>
      <c r="G683" s="23" t="s">
        <v>280</v>
      </c>
      <c r="H683" s="29" t="s">
        <v>171</v>
      </c>
      <c r="I683" s="23" t="s">
        <v>2447</v>
      </c>
    </row>
    <row r="684" spans="1:9" s="38" customFormat="1" ht="12.75" customHeight="1" x14ac:dyDescent="0.2">
      <c r="A684" s="23" t="s">
        <v>2222</v>
      </c>
      <c r="B684" s="23">
        <v>1000105043</v>
      </c>
      <c r="C684" s="23" t="s">
        <v>1490</v>
      </c>
      <c r="D684" s="29" t="s">
        <v>2221</v>
      </c>
      <c r="E684" s="39">
        <v>12547.2</v>
      </c>
      <c r="F684" s="130">
        <v>60128095</v>
      </c>
      <c r="G684" s="86" t="s">
        <v>280</v>
      </c>
      <c r="H684" s="254" t="s">
        <v>1278</v>
      </c>
      <c r="I684" s="23" t="s">
        <v>2447</v>
      </c>
    </row>
    <row r="685" spans="1:9" s="38" customFormat="1" ht="12.75" customHeight="1" x14ac:dyDescent="0.2">
      <c r="A685" s="23" t="s">
        <v>2223</v>
      </c>
      <c r="B685" s="23">
        <v>1000105043</v>
      </c>
      <c r="C685" s="23" t="s">
        <v>1490</v>
      </c>
      <c r="D685" s="29" t="s">
        <v>2224</v>
      </c>
      <c r="E685" s="39">
        <v>11424</v>
      </c>
      <c r="F685" s="130">
        <v>60133913</v>
      </c>
      <c r="G685" s="23" t="s">
        <v>280</v>
      </c>
      <c r="H685" s="29" t="s">
        <v>1278</v>
      </c>
      <c r="I685" s="23" t="s">
        <v>2447</v>
      </c>
    </row>
    <row r="686" spans="1:9" s="38" customFormat="1" ht="12.75" customHeight="1" x14ac:dyDescent="0.2">
      <c r="A686" s="23" t="s">
        <v>2231</v>
      </c>
      <c r="B686" s="23">
        <v>1000105043</v>
      </c>
      <c r="C686" s="23" t="s">
        <v>1490</v>
      </c>
      <c r="D686" s="29" t="s">
        <v>2232</v>
      </c>
      <c r="E686" s="39">
        <v>32726.400000000001</v>
      </c>
      <c r="F686" s="130">
        <v>60128272</v>
      </c>
      <c r="G686" s="86" t="s">
        <v>280</v>
      </c>
      <c r="H686" s="254" t="s">
        <v>1278</v>
      </c>
      <c r="I686" s="23" t="s">
        <v>2447</v>
      </c>
    </row>
    <row r="687" spans="1:9" s="22" customFormat="1" ht="12.75" customHeight="1" x14ac:dyDescent="0.2">
      <c r="A687" s="29" t="s">
        <v>2228</v>
      </c>
      <c r="B687" s="17">
        <v>1000095634</v>
      </c>
      <c r="C687" s="17" t="s">
        <v>1490</v>
      </c>
      <c r="D687" s="29" t="s">
        <v>2229</v>
      </c>
      <c r="E687" s="85">
        <v>2184</v>
      </c>
      <c r="F687" s="449">
        <v>60142645</v>
      </c>
      <c r="G687" s="23" t="s">
        <v>280</v>
      </c>
      <c r="H687" s="29" t="s">
        <v>1575</v>
      </c>
      <c r="I687" s="17" t="s">
        <v>3102</v>
      </c>
    </row>
    <row r="688" spans="1:9" ht="12.75" customHeight="1" x14ac:dyDescent="0.2">
      <c r="A688" s="23" t="s">
        <v>2300</v>
      </c>
      <c r="B688" s="23">
        <v>1000109733</v>
      </c>
      <c r="C688" s="10" t="s">
        <v>1490</v>
      </c>
      <c r="D688" s="17" t="s">
        <v>2301</v>
      </c>
      <c r="E688" s="13">
        <v>5563.2</v>
      </c>
      <c r="F688" s="129">
        <v>60136709</v>
      </c>
      <c r="G688" s="10" t="s">
        <v>280</v>
      </c>
      <c r="H688" s="10" t="s">
        <v>216</v>
      </c>
      <c r="I688" s="10" t="s">
        <v>2663</v>
      </c>
    </row>
    <row r="689" spans="1:9" ht="12.75" customHeight="1" x14ac:dyDescent="0.2">
      <c r="A689" s="28" t="s">
        <v>2307</v>
      </c>
      <c r="B689" s="10">
        <v>1000108766</v>
      </c>
      <c r="C689" s="10" t="s">
        <v>1491</v>
      </c>
      <c r="D689" s="17" t="s">
        <v>2306</v>
      </c>
      <c r="E689" s="10">
        <v>242.16</v>
      </c>
      <c r="F689" s="129">
        <v>60132350</v>
      </c>
      <c r="G689" s="10" t="s">
        <v>280</v>
      </c>
      <c r="H689" s="29" t="s">
        <v>1278</v>
      </c>
      <c r="I689" s="10" t="s">
        <v>3099</v>
      </c>
    </row>
    <row r="690" spans="1:9" ht="12.75" customHeight="1" x14ac:dyDescent="0.2">
      <c r="A690" s="10" t="s">
        <v>2418</v>
      </c>
      <c r="B690" s="17">
        <v>1000108766</v>
      </c>
      <c r="C690" s="10" t="s">
        <v>1491</v>
      </c>
      <c r="D690" s="17" t="s">
        <v>2419</v>
      </c>
      <c r="E690" s="13">
        <v>5652</v>
      </c>
      <c r="F690" s="130">
        <v>60143620</v>
      </c>
      <c r="G690" s="29" t="s">
        <v>280</v>
      </c>
      <c r="H690" s="29" t="s">
        <v>1278</v>
      </c>
      <c r="I690" s="10" t="s">
        <v>2979</v>
      </c>
    </row>
    <row r="691" spans="1:9" ht="12.75" customHeight="1" x14ac:dyDescent="0.2">
      <c r="A691" s="10" t="s">
        <v>2420</v>
      </c>
      <c r="B691" s="17">
        <v>1000108766</v>
      </c>
      <c r="C691" s="10" t="s">
        <v>1491</v>
      </c>
      <c r="D691" s="17" t="s">
        <v>2421</v>
      </c>
      <c r="E691" s="13">
        <v>2826</v>
      </c>
      <c r="F691" s="130">
        <v>60143222</v>
      </c>
      <c r="G691" s="29" t="s">
        <v>280</v>
      </c>
      <c r="H691" s="29" t="s">
        <v>1278</v>
      </c>
      <c r="I691" s="10" t="s">
        <v>2985</v>
      </c>
    </row>
    <row r="692" spans="1:9" s="38" customFormat="1" ht="12.75" customHeight="1" x14ac:dyDescent="0.2">
      <c r="A692" s="23" t="s">
        <v>2349</v>
      </c>
      <c r="B692" s="23">
        <v>1000105043</v>
      </c>
      <c r="C692" s="23" t="s">
        <v>1491</v>
      </c>
      <c r="D692" s="29" t="s">
        <v>2354</v>
      </c>
      <c r="E692" s="39">
        <v>13802.4</v>
      </c>
      <c r="F692" s="130">
        <v>60128095</v>
      </c>
      <c r="G692" s="86" t="s">
        <v>280</v>
      </c>
      <c r="H692" s="254" t="s">
        <v>1278</v>
      </c>
      <c r="I692" s="23" t="s">
        <v>2759</v>
      </c>
    </row>
    <row r="693" spans="1:9" s="38" customFormat="1" ht="12.75" customHeight="1" x14ac:dyDescent="0.2">
      <c r="A693" s="23" t="s">
        <v>2350</v>
      </c>
      <c r="B693" s="23">
        <v>1000105043</v>
      </c>
      <c r="C693" s="23" t="s">
        <v>1491</v>
      </c>
      <c r="D693" s="29" t="s">
        <v>2355</v>
      </c>
      <c r="E693" s="39">
        <v>12566.4</v>
      </c>
      <c r="F693" s="130">
        <v>60133913</v>
      </c>
      <c r="G693" s="86" t="s">
        <v>280</v>
      </c>
      <c r="H693" s="29" t="s">
        <v>1278</v>
      </c>
      <c r="I693" s="23" t="s">
        <v>2759</v>
      </c>
    </row>
    <row r="694" spans="1:9" s="38" customFormat="1" ht="12.75" customHeight="1" x14ac:dyDescent="0.2">
      <c r="A694" s="23" t="s">
        <v>2351</v>
      </c>
      <c r="B694" s="23">
        <v>1000105043</v>
      </c>
      <c r="C694" s="23" t="s">
        <v>1491</v>
      </c>
      <c r="D694" s="29" t="s">
        <v>2356</v>
      </c>
      <c r="E694" s="39">
        <v>8872.5</v>
      </c>
      <c r="F694" s="759">
        <v>60137489</v>
      </c>
      <c r="G694" s="23" t="s">
        <v>280</v>
      </c>
      <c r="H694" s="29" t="s">
        <v>171</v>
      </c>
      <c r="I694" s="23" t="s">
        <v>2759</v>
      </c>
    </row>
    <row r="695" spans="1:9" s="38" customFormat="1" ht="12.75" customHeight="1" x14ac:dyDescent="0.2">
      <c r="A695" s="23" t="s">
        <v>2352</v>
      </c>
      <c r="B695" s="23">
        <v>1000105043</v>
      </c>
      <c r="C695" s="23" t="s">
        <v>1491</v>
      </c>
      <c r="D695" s="29" t="s">
        <v>2357</v>
      </c>
      <c r="E695" s="39">
        <v>53464.800000000003</v>
      </c>
      <c r="F695" s="191">
        <v>60138502</v>
      </c>
      <c r="G695" s="23" t="s">
        <v>280</v>
      </c>
      <c r="H695" s="29" t="s">
        <v>171</v>
      </c>
      <c r="I695" s="23" t="s">
        <v>2883</v>
      </c>
    </row>
    <row r="696" spans="1:9" s="38" customFormat="1" ht="12.75" customHeight="1" x14ac:dyDescent="0.2">
      <c r="A696" s="23" t="s">
        <v>2353</v>
      </c>
      <c r="B696" s="23">
        <v>1000105043</v>
      </c>
      <c r="C696" s="23" t="s">
        <v>1491</v>
      </c>
      <c r="D696" s="29" t="s">
        <v>2358</v>
      </c>
      <c r="E696" s="39">
        <v>2040</v>
      </c>
      <c r="F696" s="759">
        <v>60137242</v>
      </c>
      <c r="G696" s="23" t="s">
        <v>280</v>
      </c>
      <c r="H696" s="23" t="s">
        <v>216</v>
      </c>
      <c r="I696" s="23" t="s">
        <v>2759</v>
      </c>
    </row>
    <row r="697" spans="1:9" s="253" customFormat="1" ht="12.75" customHeight="1" x14ac:dyDescent="0.2">
      <c r="A697" s="29" t="s">
        <v>2367</v>
      </c>
      <c r="B697" s="29">
        <v>1000105043</v>
      </c>
      <c r="C697" s="29" t="s">
        <v>1491</v>
      </c>
      <c r="D697" s="86" t="s">
        <v>2366</v>
      </c>
      <c r="E697" s="86">
        <v>32846.879999999997</v>
      </c>
      <c r="F697" s="760">
        <v>60146577</v>
      </c>
      <c r="G697" s="29" t="s">
        <v>280</v>
      </c>
      <c r="H697" s="254" t="s">
        <v>161</v>
      </c>
      <c r="I697" s="29" t="s">
        <v>3296</v>
      </c>
    </row>
    <row r="698" spans="1:9" ht="12.75" customHeight="1" x14ac:dyDescent="0.2">
      <c r="A698" s="23" t="s">
        <v>2441</v>
      </c>
      <c r="B698" s="10">
        <v>1000105043</v>
      </c>
      <c r="C698" s="10" t="s">
        <v>1491</v>
      </c>
      <c r="D698" s="86" t="s">
        <v>2387</v>
      </c>
      <c r="E698" s="39">
        <v>32846.879999999997</v>
      </c>
      <c r="F698" s="761" t="s">
        <v>431</v>
      </c>
      <c r="G698" s="23" t="s">
        <v>92</v>
      </c>
      <c r="H698" s="141" t="s">
        <v>161</v>
      </c>
      <c r="I698" s="10"/>
    </row>
    <row r="699" spans="1:9" s="22" customFormat="1" ht="12.75" customHeight="1" x14ac:dyDescent="0.2">
      <c r="A699" s="29" t="s">
        <v>2595</v>
      </c>
      <c r="B699" s="17">
        <v>1000105043</v>
      </c>
      <c r="C699" s="17" t="s">
        <v>1491</v>
      </c>
      <c r="D699" s="86" t="s">
        <v>2387</v>
      </c>
      <c r="E699" s="86">
        <v>33694.080000000002</v>
      </c>
      <c r="F699" s="759">
        <v>60141500</v>
      </c>
      <c r="G699" s="29" t="s">
        <v>280</v>
      </c>
      <c r="H699" s="254" t="s">
        <v>161</v>
      </c>
      <c r="I699" s="17" t="s">
        <v>3168</v>
      </c>
    </row>
    <row r="700" spans="1:9" ht="12.75" customHeight="1" x14ac:dyDescent="0.2">
      <c r="A700" s="23" t="s">
        <v>2385</v>
      </c>
      <c r="B700" s="10">
        <v>1000105043</v>
      </c>
      <c r="C700" s="10" t="s">
        <v>1491</v>
      </c>
      <c r="D700" s="86" t="s">
        <v>2386</v>
      </c>
      <c r="E700" s="39">
        <v>35998.800000000003</v>
      </c>
      <c r="F700" s="130">
        <v>60128272</v>
      </c>
      <c r="G700" s="23" t="s">
        <v>92</v>
      </c>
      <c r="H700" s="254" t="s">
        <v>1278</v>
      </c>
      <c r="I700" s="10"/>
    </row>
    <row r="701" spans="1:9" ht="12.75" customHeight="1" x14ac:dyDescent="0.2">
      <c r="A701" s="29" t="s">
        <v>2594</v>
      </c>
      <c r="B701" s="10">
        <v>1000105043</v>
      </c>
      <c r="C701" s="10" t="s">
        <v>1491</v>
      </c>
      <c r="D701" s="86" t="s">
        <v>2386</v>
      </c>
      <c r="E701" s="39">
        <v>36770.639999999999</v>
      </c>
      <c r="F701" s="130">
        <v>60128272</v>
      </c>
      <c r="G701" s="23" t="s">
        <v>1822</v>
      </c>
      <c r="H701" s="254" t="s">
        <v>1278</v>
      </c>
      <c r="I701" s="10" t="s">
        <v>2859</v>
      </c>
    </row>
    <row r="702" spans="1:9" ht="12.75" customHeight="1" x14ac:dyDescent="0.2">
      <c r="A702" s="23" t="s">
        <v>2383</v>
      </c>
      <c r="B702" s="10">
        <v>1000083056</v>
      </c>
      <c r="C702" s="10" t="s">
        <v>1491</v>
      </c>
      <c r="D702" s="29" t="s">
        <v>2384</v>
      </c>
      <c r="E702" s="39">
        <v>25845.599999999999</v>
      </c>
      <c r="F702" s="191">
        <v>60122421</v>
      </c>
      <c r="G702" s="23" t="s">
        <v>92</v>
      </c>
      <c r="H702" s="141" t="s">
        <v>1278</v>
      </c>
      <c r="I702" s="10"/>
    </row>
    <row r="703" spans="1:9" ht="12.75" customHeight="1" x14ac:dyDescent="0.2">
      <c r="A703" s="29" t="s">
        <v>2593</v>
      </c>
      <c r="B703" s="10">
        <v>1000083056</v>
      </c>
      <c r="C703" s="10" t="s">
        <v>1491</v>
      </c>
      <c r="D703" s="29" t="s">
        <v>2384</v>
      </c>
      <c r="E703" s="39">
        <v>27020.400000000001</v>
      </c>
      <c r="F703" s="191">
        <v>60122421</v>
      </c>
      <c r="G703" s="23" t="s">
        <v>280</v>
      </c>
      <c r="H703" s="141" t="s">
        <v>1278</v>
      </c>
      <c r="I703" s="10" t="s">
        <v>2859</v>
      </c>
    </row>
    <row r="704" spans="1:9" s="38" customFormat="1" x14ac:dyDescent="0.2">
      <c r="A704" s="23" t="s">
        <v>2359</v>
      </c>
      <c r="B704" s="23">
        <v>1000083056</v>
      </c>
      <c r="C704" s="23" t="s">
        <v>1491</v>
      </c>
      <c r="D704" s="29" t="s">
        <v>2361</v>
      </c>
      <c r="E704" s="39">
        <v>28627.200000000001</v>
      </c>
      <c r="F704" s="191">
        <v>60135855</v>
      </c>
      <c r="G704" s="23" t="s">
        <v>280</v>
      </c>
      <c r="H704" s="141" t="s">
        <v>903</v>
      </c>
      <c r="I704" s="23" t="s">
        <v>2759</v>
      </c>
    </row>
    <row r="705" spans="1:9" s="38" customFormat="1" x14ac:dyDescent="0.2">
      <c r="A705" s="29" t="s">
        <v>2360</v>
      </c>
      <c r="B705" s="23">
        <v>1000083056</v>
      </c>
      <c r="C705" s="23" t="s">
        <v>1491</v>
      </c>
      <c r="D705" s="29" t="s">
        <v>2361</v>
      </c>
      <c r="E705" s="39">
        <v>45379.199999999997</v>
      </c>
      <c r="F705" s="191" t="s">
        <v>431</v>
      </c>
      <c r="G705" s="23" t="s">
        <v>92</v>
      </c>
      <c r="H705" s="141" t="s">
        <v>903</v>
      </c>
      <c r="I705" s="23"/>
    </row>
    <row r="706" spans="1:9" s="38" customFormat="1" x14ac:dyDescent="0.2">
      <c r="A706" s="29" t="s">
        <v>2982</v>
      </c>
      <c r="B706" s="23">
        <v>1000083056</v>
      </c>
      <c r="C706" s="23" t="s">
        <v>1491</v>
      </c>
      <c r="D706" s="29" t="s">
        <v>2983</v>
      </c>
      <c r="E706" s="39">
        <v>45379.199999999997</v>
      </c>
      <c r="F706" s="191" t="s">
        <v>431</v>
      </c>
      <c r="G706" s="23" t="s">
        <v>92</v>
      </c>
      <c r="H706" s="141" t="s">
        <v>903</v>
      </c>
      <c r="I706" s="23"/>
    </row>
    <row r="707" spans="1:9" s="38" customFormat="1" x14ac:dyDescent="0.2">
      <c r="A707" s="29" t="s">
        <v>2984</v>
      </c>
      <c r="B707" s="23">
        <v>1000083056</v>
      </c>
      <c r="C707" s="23" t="s">
        <v>1491</v>
      </c>
      <c r="D707" s="29" t="s">
        <v>2361</v>
      </c>
      <c r="E707" s="39">
        <v>24979.200000000001</v>
      </c>
      <c r="F707" s="191">
        <v>60141183</v>
      </c>
      <c r="G707" s="23" t="s">
        <v>1822</v>
      </c>
      <c r="H707" s="141" t="s">
        <v>903</v>
      </c>
      <c r="I707" s="23" t="s">
        <v>3168</v>
      </c>
    </row>
    <row r="708" spans="1:9" s="38" customFormat="1" ht="12.75" customHeight="1" x14ac:dyDescent="0.2">
      <c r="A708" s="23" t="s">
        <v>2362</v>
      </c>
      <c r="B708" s="23">
        <v>1000109733</v>
      </c>
      <c r="C708" s="23" t="s">
        <v>1491</v>
      </c>
      <c r="D708" s="29" t="s">
        <v>2364</v>
      </c>
      <c r="E708" s="39">
        <v>17990.400000000001</v>
      </c>
      <c r="F708" s="191">
        <v>60139118</v>
      </c>
      <c r="G708" s="23" t="s">
        <v>280</v>
      </c>
      <c r="H708" s="23" t="s">
        <v>216</v>
      </c>
      <c r="I708" s="23" t="s">
        <v>2759</v>
      </c>
    </row>
    <row r="709" spans="1:9" s="38" customFormat="1" ht="12.75" customHeight="1" x14ac:dyDescent="0.2">
      <c r="A709" s="23" t="s">
        <v>2363</v>
      </c>
      <c r="B709" s="23">
        <v>1000109733</v>
      </c>
      <c r="C709" s="23" t="s">
        <v>1491</v>
      </c>
      <c r="D709" s="29" t="s">
        <v>2365</v>
      </c>
      <c r="E709" s="39">
        <v>20365.68</v>
      </c>
      <c r="F709" s="191">
        <v>60141189</v>
      </c>
      <c r="G709" s="23" t="s">
        <v>280</v>
      </c>
      <c r="H709" s="23" t="s">
        <v>216</v>
      </c>
      <c r="I709" s="130" t="s">
        <v>3278</v>
      </c>
    </row>
    <row r="710" spans="1:9" ht="12.75" customHeight="1" x14ac:dyDescent="0.2">
      <c r="A710" s="10" t="s">
        <v>2368</v>
      </c>
      <c r="B710" s="10">
        <v>1000095634</v>
      </c>
      <c r="C710" s="10" t="s">
        <v>1491</v>
      </c>
      <c r="D710" s="17" t="s">
        <v>2375</v>
      </c>
      <c r="E710" s="39">
        <v>5370</v>
      </c>
      <c r="F710" s="191">
        <v>60118058</v>
      </c>
      <c r="G710" s="23" t="s">
        <v>280</v>
      </c>
      <c r="H710" s="23" t="s">
        <v>1575</v>
      </c>
      <c r="I710" s="10" t="s">
        <v>2759</v>
      </c>
    </row>
    <row r="711" spans="1:9" ht="12.75" customHeight="1" x14ac:dyDescent="0.2">
      <c r="A711" s="10" t="s">
        <v>2369</v>
      </c>
      <c r="B711" s="10">
        <v>1000095634</v>
      </c>
      <c r="C711" s="10" t="s">
        <v>1491</v>
      </c>
      <c r="D711" s="17" t="s">
        <v>2376</v>
      </c>
      <c r="E711" s="13">
        <v>11324.4</v>
      </c>
      <c r="F711" s="191">
        <v>60129799</v>
      </c>
      <c r="G711" s="23" t="s">
        <v>280</v>
      </c>
      <c r="H711" s="23" t="s">
        <v>1575</v>
      </c>
      <c r="I711" s="10" t="s">
        <v>2759</v>
      </c>
    </row>
    <row r="712" spans="1:9" s="38" customFormat="1" ht="12.75" customHeight="1" x14ac:dyDescent="0.2">
      <c r="A712" s="23" t="s">
        <v>2370</v>
      </c>
      <c r="B712" s="23">
        <v>1000095634</v>
      </c>
      <c r="C712" s="23" t="s">
        <v>1491</v>
      </c>
      <c r="D712" s="29" t="s">
        <v>2377</v>
      </c>
      <c r="E712" s="39">
        <v>5940</v>
      </c>
      <c r="F712" s="191">
        <v>60139861</v>
      </c>
      <c r="G712" s="23" t="s">
        <v>280</v>
      </c>
      <c r="H712" s="23" t="s">
        <v>1575</v>
      </c>
      <c r="I712" s="23" t="s">
        <v>2759</v>
      </c>
    </row>
    <row r="713" spans="1:9" ht="12.75" customHeight="1" x14ac:dyDescent="0.2">
      <c r="A713" s="10" t="s">
        <v>2371</v>
      </c>
      <c r="B713" s="10">
        <v>1000095634</v>
      </c>
      <c r="C713" s="10" t="s">
        <v>1491</v>
      </c>
      <c r="D713" s="17" t="s">
        <v>2378</v>
      </c>
      <c r="E713" s="13">
        <v>3651.6</v>
      </c>
      <c r="F713" s="129">
        <v>60145358</v>
      </c>
      <c r="G713" s="23" t="s">
        <v>280</v>
      </c>
      <c r="H713" s="23" t="s">
        <v>1575</v>
      </c>
      <c r="I713" s="10" t="s">
        <v>3168</v>
      </c>
    </row>
    <row r="714" spans="1:9" ht="12.75" customHeight="1" x14ac:dyDescent="0.2">
      <c r="A714" s="10" t="s">
        <v>2372</v>
      </c>
      <c r="B714" s="10">
        <v>1000095634</v>
      </c>
      <c r="C714" s="10" t="s">
        <v>1491</v>
      </c>
      <c r="D714" s="17" t="s">
        <v>2379</v>
      </c>
      <c r="E714" s="13">
        <v>20497.2</v>
      </c>
      <c r="F714" s="129">
        <v>60142645</v>
      </c>
      <c r="G714" s="23" t="s">
        <v>280</v>
      </c>
      <c r="H714" s="23" t="s">
        <v>1575</v>
      </c>
      <c r="I714" s="10" t="s">
        <v>2883</v>
      </c>
    </row>
    <row r="715" spans="1:9" ht="12.75" customHeight="1" x14ac:dyDescent="0.2">
      <c r="A715" s="10" t="s">
        <v>2373</v>
      </c>
      <c r="B715" s="10">
        <v>1000095634</v>
      </c>
      <c r="C715" s="10" t="s">
        <v>1491</v>
      </c>
      <c r="D715" s="17" t="s">
        <v>2378</v>
      </c>
      <c r="E715" s="13">
        <v>4510.8</v>
      </c>
      <c r="F715" s="130">
        <v>60129792</v>
      </c>
      <c r="G715" s="23" t="s">
        <v>280</v>
      </c>
      <c r="H715" s="29" t="s">
        <v>1575</v>
      </c>
      <c r="I715" s="10" t="s">
        <v>2759</v>
      </c>
    </row>
    <row r="716" spans="1:9" s="22" customFormat="1" ht="12.75" customHeight="1" x14ac:dyDescent="0.2">
      <c r="A716" s="17" t="s">
        <v>2374</v>
      </c>
      <c r="B716" s="17">
        <v>1000095634</v>
      </c>
      <c r="C716" s="17" t="s">
        <v>1491</v>
      </c>
      <c r="D716" s="17" t="s">
        <v>2380</v>
      </c>
      <c r="E716" s="85">
        <v>1814.4</v>
      </c>
      <c r="F716" s="449">
        <v>60145237</v>
      </c>
      <c r="G716" s="29" t="s">
        <v>280</v>
      </c>
      <c r="H716" s="29" t="s">
        <v>1575</v>
      </c>
      <c r="I716" s="17" t="s">
        <v>3296</v>
      </c>
    </row>
    <row r="717" spans="1:9" s="22" customFormat="1" ht="12.75" customHeight="1" x14ac:dyDescent="0.2">
      <c r="A717" s="17" t="s">
        <v>2422</v>
      </c>
      <c r="B717" s="17">
        <v>1000116575</v>
      </c>
      <c r="C717" s="17" t="s">
        <v>1491</v>
      </c>
      <c r="D717" s="17" t="s">
        <v>2424</v>
      </c>
      <c r="E717" s="85">
        <v>9160.7999999999993</v>
      </c>
      <c r="F717" s="449">
        <v>60145764</v>
      </c>
      <c r="G717" s="17" t="s">
        <v>280</v>
      </c>
      <c r="H717" s="29" t="s">
        <v>2423</v>
      </c>
      <c r="I717" s="130" t="s">
        <v>3278</v>
      </c>
    </row>
    <row r="718" spans="1:9" ht="12.75" customHeight="1" x14ac:dyDescent="0.2">
      <c r="A718" s="10" t="s">
        <v>2382</v>
      </c>
      <c r="B718" s="17">
        <v>1000103407</v>
      </c>
      <c r="C718" s="10" t="s">
        <v>1491</v>
      </c>
      <c r="D718" s="17" t="s">
        <v>2381</v>
      </c>
      <c r="E718" s="13">
        <v>34308</v>
      </c>
      <c r="F718" s="129">
        <v>60136718</v>
      </c>
      <c r="G718" s="10" t="s">
        <v>280</v>
      </c>
      <c r="H718" s="17" t="s">
        <v>910</v>
      </c>
      <c r="I718" s="10" t="s">
        <v>2759</v>
      </c>
    </row>
    <row r="719" spans="1:9" s="38" customFormat="1" ht="12.75" customHeight="1" x14ac:dyDescent="0.2">
      <c r="A719" s="23" t="s">
        <v>2388</v>
      </c>
      <c r="B719" s="23">
        <v>1000079359</v>
      </c>
      <c r="C719" s="23" t="s">
        <v>1491</v>
      </c>
      <c r="D719" s="86" t="s">
        <v>2403</v>
      </c>
      <c r="E719" s="39">
        <v>13220.4</v>
      </c>
      <c r="F719" s="191">
        <v>60144582</v>
      </c>
      <c r="G719" s="23" t="s">
        <v>280</v>
      </c>
      <c r="H719" s="23" t="s">
        <v>161</v>
      </c>
      <c r="I719" s="23" t="s">
        <v>3099</v>
      </c>
    </row>
    <row r="720" spans="1:9" ht="12.75" customHeight="1" x14ac:dyDescent="0.2">
      <c r="A720" s="10" t="s">
        <v>2389</v>
      </c>
      <c r="B720" s="10">
        <v>1000079359</v>
      </c>
      <c r="C720" s="10" t="s">
        <v>1491</v>
      </c>
      <c r="D720" s="86" t="s">
        <v>2404</v>
      </c>
      <c r="E720" s="13">
        <v>2928</v>
      </c>
      <c r="F720" s="129">
        <v>60132661</v>
      </c>
      <c r="G720" s="10" t="s">
        <v>280</v>
      </c>
      <c r="H720" s="10" t="s">
        <v>171</v>
      </c>
      <c r="I720" s="10" t="s">
        <v>2759</v>
      </c>
    </row>
    <row r="721" spans="1:9" ht="12.75" customHeight="1" x14ac:dyDescent="0.2">
      <c r="A721" s="10" t="s">
        <v>2390</v>
      </c>
      <c r="B721" s="10">
        <v>1000079359</v>
      </c>
      <c r="C721" s="10" t="s">
        <v>1491</v>
      </c>
      <c r="D721" s="86" t="s">
        <v>2405</v>
      </c>
      <c r="E721" s="13">
        <v>11642.4</v>
      </c>
      <c r="F721" s="129">
        <v>60135457</v>
      </c>
      <c r="G721" s="10" t="s">
        <v>280</v>
      </c>
      <c r="H721" s="10" t="s">
        <v>1278</v>
      </c>
      <c r="I721" s="10" t="s">
        <v>2759</v>
      </c>
    </row>
    <row r="722" spans="1:9" ht="12.75" customHeight="1" x14ac:dyDescent="0.2">
      <c r="A722" s="10" t="s">
        <v>2391</v>
      </c>
      <c r="B722" s="10">
        <v>1000079359</v>
      </c>
      <c r="C722" s="10" t="s">
        <v>1491</v>
      </c>
      <c r="D722" s="86" t="s">
        <v>2406</v>
      </c>
      <c r="E722" s="13">
        <v>14054.4</v>
      </c>
      <c r="F722" s="191">
        <v>60135459</v>
      </c>
      <c r="G722" s="10" t="s">
        <v>280</v>
      </c>
      <c r="H722" s="23" t="s">
        <v>161</v>
      </c>
      <c r="I722" s="10" t="s">
        <v>2759</v>
      </c>
    </row>
    <row r="723" spans="1:9" ht="12.75" customHeight="1" x14ac:dyDescent="0.2">
      <c r="A723" s="10" t="s">
        <v>2392</v>
      </c>
      <c r="B723" s="10">
        <v>1000079359</v>
      </c>
      <c r="C723" s="10" t="s">
        <v>1491</v>
      </c>
      <c r="D723" s="86" t="s">
        <v>2407</v>
      </c>
      <c r="E723" s="13">
        <v>9306.24</v>
      </c>
      <c r="F723" s="129">
        <v>60131865</v>
      </c>
      <c r="G723" s="10" t="s">
        <v>280</v>
      </c>
      <c r="H723" s="10" t="s">
        <v>952</v>
      </c>
      <c r="I723" s="10" t="s">
        <v>2759</v>
      </c>
    </row>
    <row r="724" spans="1:9" ht="12.75" customHeight="1" x14ac:dyDescent="0.2">
      <c r="A724" s="23" t="s">
        <v>2393</v>
      </c>
      <c r="B724" s="10">
        <v>1000079359</v>
      </c>
      <c r="C724" s="10" t="s">
        <v>1491</v>
      </c>
      <c r="D724" s="86" t="s">
        <v>2408</v>
      </c>
      <c r="E724" s="13">
        <v>11712</v>
      </c>
      <c r="F724" s="191">
        <v>60122896</v>
      </c>
      <c r="G724" s="10" t="s">
        <v>92</v>
      </c>
      <c r="H724" s="23" t="s">
        <v>161</v>
      </c>
      <c r="I724" s="10"/>
    </row>
    <row r="725" spans="1:9" ht="12.75" customHeight="1" x14ac:dyDescent="0.2">
      <c r="A725" s="23" t="s">
        <v>2446</v>
      </c>
      <c r="B725" s="10">
        <v>1000079359</v>
      </c>
      <c r="C725" s="10" t="s">
        <v>1491</v>
      </c>
      <c r="D725" s="86" t="s">
        <v>2408</v>
      </c>
      <c r="E725" s="13">
        <v>11126.4</v>
      </c>
      <c r="F725" s="191">
        <v>60122896</v>
      </c>
      <c r="G725" s="10" t="s">
        <v>280</v>
      </c>
      <c r="H725" s="23" t="s">
        <v>161</v>
      </c>
      <c r="I725" s="10" t="s">
        <v>2759</v>
      </c>
    </row>
    <row r="726" spans="1:9" ht="12.75" customHeight="1" x14ac:dyDescent="0.2">
      <c r="A726" s="10" t="s">
        <v>2394</v>
      </c>
      <c r="B726" s="10">
        <v>1000079359</v>
      </c>
      <c r="C726" s="10" t="s">
        <v>1491</v>
      </c>
      <c r="D726" s="86" t="s">
        <v>2409</v>
      </c>
      <c r="E726" s="13">
        <v>12936</v>
      </c>
      <c r="F726" s="129">
        <v>60136708</v>
      </c>
      <c r="G726" s="10" t="s">
        <v>280</v>
      </c>
      <c r="H726" s="10" t="s">
        <v>216</v>
      </c>
      <c r="I726" s="10" t="s">
        <v>2759</v>
      </c>
    </row>
    <row r="727" spans="1:9" ht="12.75" customHeight="1" x14ac:dyDescent="0.2">
      <c r="A727" s="10" t="s">
        <v>2395</v>
      </c>
      <c r="B727" s="10">
        <v>1000079359</v>
      </c>
      <c r="C727" s="10" t="s">
        <v>1491</v>
      </c>
      <c r="D727" s="86" t="s">
        <v>2410</v>
      </c>
      <c r="E727" s="13">
        <v>13564.8</v>
      </c>
      <c r="F727" s="191">
        <v>60137359</v>
      </c>
      <c r="G727" s="10" t="s">
        <v>280</v>
      </c>
      <c r="H727" s="23" t="s">
        <v>1774</v>
      </c>
      <c r="I727" s="10" t="s">
        <v>2759</v>
      </c>
    </row>
    <row r="728" spans="1:9" ht="12.75" customHeight="1" x14ac:dyDescent="0.2">
      <c r="A728" s="10" t="s">
        <v>2396</v>
      </c>
      <c r="B728" s="10">
        <v>1000079359</v>
      </c>
      <c r="C728" s="10" t="s">
        <v>1491</v>
      </c>
      <c r="D728" s="86" t="s">
        <v>2411</v>
      </c>
      <c r="E728" s="13">
        <v>5364</v>
      </c>
      <c r="F728" s="191">
        <v>60132660</v>
      </c>
      <c r="G728" s="10" t="s">
        <v>280</v>
      </c>
      <c r="H728" s="141" t="s">
        <v>1278</v>
      </c>
      <c r="I728" s="10" t="s">
        <v>2759</v>
      </c>
    </row>
    <row r="729" spans="1:9" ht="12.75" customHeight="1" x14ac:dyDescent="0.2">
      <c r="A729" s="10" t="s">
        <v>2397</v>
      </c>
      <c r="B729" s="10">
        <v>1000079359</v>
      </c>
      <c r="C729" s="10" t="s">
        <v>1491</v>
      </c>
      <c r="D729" s="86" t="s">
        <v>2412</v>
      </c>
      <c r="E729" s="13">
        <v>3696</v>
      </c>
      <c r="F729" s="191">
        <v>60131330</v>
      </c>
      <c r="G729" s="10" t="s">
        <v>280</v>
      </c>
      <c r="H729" s="10" t="s">
        <v>1204</v>
      </c>
      <c r="I729" s="10" t="s">
        <v>2759</v>
      </c>
    </row>
    <row r="730" spans="1:9" ht="12.75" customHeight="1" x14ac:dyDescent="0.2">
      <c r="A730" s="10" t="s">
        <v>2398</v>
      </c>
      <c r="B730" s="10">
        <v>1000079359</v>
      </c>
      <c r="C730" s="10" t="s">
        <v>1491</v>
      </c>
      <c r="D730" s="86" t="s">
        <v>2413</v>
      </c>
      <c r="E730" s="13">
        <v>2342.4</v>
      </c>
      <c r="F730" s="191">
        <v>60141179</v>
      </c>
      <c r="G730" s="10" t="s">
        <v>280</v>
      </c>
      <c r="H730" s="10" t="s">
        <v>216</v>
      </c>
      <c r="I730" s="130" t="s">
        <v>3278</v>
      </c>
    </row>
    <row r="731" spans="1:9" ht="12.75" customHeight="1" x14ac:dyDescent="0.2">
      <c r="A731" s="10" t="s">
        <v>2399</v>
      </c>
      <c r="B731" s="10">
        <v>1000079359</v>
      </c>
      <c r="C731" s="10" t="s">
        <v>1491</v>
      </c>
      <c r="D731" s="86" t="s">
        <v>2414</v>
      </c>
      <c r="E731" s="13">
        <v>13795.2</v>
      </c>
      <c r="F731" s="191">
        <v>60130249</v>
      </c>
      <c r="G731" s="10" t="s">
        <v>280</v>
      </c>
      <c r="H731" s="23" t="s">
        <v>1278</v>
      </c>
      <c r="I731" s="10" t="s">
        <v>2759</v>
      </c>
    </row>
    <row r="732" spans="1:9" s="38" customFormat="1" ht="12.75" customHeight="1" x14ac:dyDescent="0.2">
      <c r="A732" s="23" t="s">
        <v>2400</v>
      </c>
      <c r="B732" s="23">
        <v>1000079359</v>
      </c>
      <c r="C732" s="23" t="s">
        <v>1491</v>
      </c>
      <c r="D732" s="86" t="s">
        <v>2415</v>
      </c>
      <c r="E732" s="39">
        <v>3369.6</v>
      </c>
      <c r="F732" s="191">
        <v>60145923</v>
      </c>
      <c r="G732" s="23" t="s">
        <v>280</v>
      </c>
      <c r="H732" s="23" t="s">
        <v>994</v>
      </c>
      <c r="I732" s="130" t="s">
        <v>3278</v>
      </c>
    </row>
    <row r="733" spans="1:9" ht="12.75" customHeight="1" x14ac:dyDescent="0.2">
      <c r="A733" s="10" t="s">
        <v>2401</v>
      </c>
      <c r="B733" s="10">
        <v>1000079359</v>
      </c>
      <c r="C733" s="10" t="s">
        <v>1491</v>
      </c>
      <c r="D733" s="86" t="s">
        <v>2416</v>
      </c>
      <c r="E733" s="13">
        <v>13334.4</v>
      </c>
      <c r="F733" s="191">
        <v>60130250</v>
      </c>
      <c r="G733" s="10" t="s">
        <v>280</v>
      </c>
      <c r="H733" s="141" t="s">
        <v>1278</v>
      </c>
      <c r="I733" s="10" t="s">
        <v>2759</v>
      </c>
    </row>
    <row r="734" spans="1:9" ht="12.75" customHeight="1" x14ac:dyDescent="0.2">
      <c r="A734" s="10" t="s">
        <v>2402</v>
      </c>
      <c r="B734" s="10">
        <v>1000079359</v>
      </c>
      <c r="C734" s="10" t="s">
        <v>1491</v>
      </c>
      <c r="D734" s="86" t="s">
        <v>2417</v>
      </c>
      <c r="E734" s="13">
        <v>2390.4</v>
      </c>
      <c r="F734" s="191">
        <v>60144610</v>
      </c>
      <c r="G734" s="23" t="s">
        <v>280</v>
      </c>
      <c r="H734" s="23" t="s">
        <v>1278</v>
      </c>
      <c r="I734" s="10" t="s">
        <v>3099</v>
      </c>
    </row>
    <row r="735" spans="1:9" ht="12.75" customHeight="1" x14ac:dyDescent="0.2">
      <c r="A735" s="10" t="s">
        <v>2425</v>
      </c>
      <c r="B735" s="10">
        <v>1000109237</v>
      </c>
      <c r="C735" s="10" t="s">
        <v>1491</v>
      </c>
      <c r="D735" s="17" t="s">
        <v>2433</v>
      </c>
      <c r="E735" s="13">
        <v>57794.29</v>
      </c>
      <c r="F735" s="129">
        <v>60138120</v>
      </c>
      <c r="G735" s="10" t="s">
        <v>280</v>
      </c>
      <c r="H735" s="10" t="s">
        <v>1204</v>
      </c>
      <c r="I735" s="10" t="s">
        <v>2759</v>
      </c>
    </row>
    <row r="736" spans="1:9" ht="12.75" customHeight="1" x14ac:dyDescent="0.2">
      <c r="A736" s="10" t="s">
        <v>2426</v>
      </c>
      <c r="B736" s="10">
        <v>1000109237</v>
      </c>
      <c r="C736" s="10" t="s">
        <v>1491</v>
      </c>
      <c r="D736" s="17" t="s">
        <v>2434</v>
      </c>
      <c r="E736" s="13">
        <v>22939.38</v>
      </c>
      <c r="F736" s="756">
        <v>60131329</v>
      </c>
      <c r="G736" s="10" t="s">
        <v>280</v>
      </c>
      <c r="H736" s="177" t="s">
        <v>171</v>
      </c>
      <c r="I736" s="10" t="s">
        <v>2759</v>
      </c>
    </row>
    <row r="737" spans="1:9" ht="12.75" customHeight="1" x14ac:dyDescent="0.2">
      <c r="A737" s="10" t="s">
        <v>2427</v>
      </c>
      <c r="B737" s="10">
        <v>1000109237</v>
      </c>
      <c r="C737" s="10" t="s">
        <v>1491</v>
      </c>
      <c r="D737" s="17" t="s">
        <v>2435</v>
      </c>
      <c r="E737" s="13">
        <v>12534.91</v>
      </c>
      <c r="F737" s="129">
        <v>60131330</v>
      </c>
      <c r="G737" s="10" t="s">
        <v>280</v>
      </c>
      <c r="H737" s="10" t="s">
        <v>1204</v>
      </c>
      <c r="I737" s="10" t="s">
        <v>2759</v>
      </c>
    </row>
    <row r="738" spans="1:9" ht="12.75" customHeight="1" x14ac:dyDescent="0.2">
      <c r="A738" s="10" t="s">
        <v>2428</v>
      </c>
      <c r="B738" s="10">
        <v>1000109237</v>
      </c>
      <c r="C738" s="10" t="s">
        <v>1491</v>
      </c>
      <c r="D738" s="17" t="s">
        <v>2436</v>
      </c>
      <c r="E738" s="13">
        <v>19295.64</v>
      </c>
      <c r="F738" s="129">
        <v>60138116</v>
      </c>
      <c r="G738" s="10" t="s">
        <v>280</v>
      </c>
      <c r="H738" s="10" t="s">
        <v>171</v>
      </c>
      <c r="I738" s="10" t="s">
        <v>3102</v>
      </c>
    </row>
    <row r="739" spans="1:9" ht="12.75" customHeight="1" x14ac:dyDescent="0.2">
      <c r="A739" s="10" t="s">
        <v>2429</v>
      </c>
      <c r="B739" s="10">
        <v>1000109237</v>
      </c>
      <c r="C739" s="10" t="s">
        <v>1491</v>
      </c>
      <c r="D739" s="17" t="s">
        <v>2437</v>
      </c>
      <c r="E739" s="13">
        <v>21204</v>
      </c>
      <c r="F739" s="129">
        <v>60138115</v>
      </c>
      <c r="G739" s="10" t="s">
        <v>280</v>
      </c>
      <c r="H739" s="10" t="s">
        <v>171</v>
      </c>
      <c r="I739" s="10" t="s">
        <v>3089</v>
      </c>
    </row>
    <row r="740" spans="1:9" s="22" customFormat="1" ht="12.75" customHeight="1" x14ac:dyDescent="0.2">
      <c r="A740" s="17" t="s">
        <v>2430</v>
      </c>
      <c r="B740" s="17">
        <v>1000109237</v>
      </c>
      <c r="C740" s="17" t="s">
        <v>1491</v>
      </c>
      <c r="D740" s="17" t="s">
        <v>2438</v>
      </c>
      <c r="E740" s="85">
        <v>10512.72</v>
      </c>
      <c r="F740" s="449">
        <v>60145762</v>
      </c>
      <c r="G740" s="17" t="s">
        <v>280</v>
      </c>
      <c r="H740" s="29" t="s">
        <v>211</v>
      </c>
      <c r="I740" s="130" t="s">
        <v>3278</v>
      </c>
    </row>
    <row r="741" spans="1:9" ht="12.75" customHeight="1" x14ac:dyDescent="0.2">
      <c r="A741" s="10" t="s">
        <v>2431</v>
      </c>
      <c r="B741" s="10">
        <v>1000109237</v>
      </c>
      <c r="C741" s="10" t="s">
        <v>1491</v>
      </c>
      <c r="D741" s="17" t="s">
        <v>2439</v>
      </c>
      <c r="E741" s="13">
        <v>1995.41</v>
      </c>
      <c r="F741" s="129">
        <v>60141329</v>
      </c>
      <c r="G741" s="10" t="s">
        <v>280</v>
      </c>
      <c r="H741" s="10" t="s">
        <v>171</v>
      </c>
      <c r="I741" s="10" t="s">
        <v>3168</v>
      </c>
    </row>
    <row r="742" spans="1:9" ht="12.75" customHeight="1" x14ac:dyDescent="0.2">
      <c r="A742" s="29" t="s">
        <v>2432</v>
      </c>
      <c r="B742" s="10">
        <v>1000109237</v>
      </c>
      <c r="C742" s="10" t="s">
        <v>1491</v>
      </c>
      <c r="D742" s="17" t="s">
        <v>2440</v>
      </c>
      <c r="E742" s="13">
        <v>1576.91</v>
      </c>
      <c r="F742" s="191">
        <v>60132658</v>
      </c>
      <c r="G742" s="10" t="s">
        <v>280</v>
      </c>
      <c r="H742" s="23" t="s">
        <v>211</v>
      </c>
      <c r="I742" s="10" t="s">
        <v>2759</v>
      </c>
    </row>
    <row r="743" spans="1:9" s="11" customFormat="1" ht="12.75" customHeight="1" x14ac:dyDescent="0.2">
      <c r="A743" s="17" t="s">
        <v>2666</v>
      </c>
      <c r="B743" s="10">
        <v>1000109237</v>
      </c>
      <c r="C743" s="10" t="s">
        <v>1491</v>
      </c>
      <c r="D743" s="17" t="s">
        <v>2667</v>
      </c>
      <c r="E743" s="13">
        <v>13140.9</v>
      </c>
      <c r="F743" s="129" t="s">
        <v>431</v>
      </c>
      <c r="G743" s="10" t="s">
        <v>92</v>
      </c>
      <c r="H743" s="10" t="s">
        <v>211</v>
      </c>
      <c r="I743" s="10" t="s">
        <v>2741</v>
      </c>
    </row>
    <row r="744" spans="1:9" s="11" customFormat="1" ht="12.75" customHeight="1" x14ac:dyDescent="0.2">
      <c r="A744" s="17" t="s">
        <v>2670</v>
      </c>
      <c r="B744" s="10">
        <v>1000109237</v>
      </c>
      <c r="C744" s="10" t="s">
        <v>1491</v>
      </c>
      <c r="D744" s="86" t="s">
        <v>2671</v>
      </c>
      <c r="E744" s="13">
        <v>13615.2</v>
      </c>
      <c r="F744" s="129" t="s">
        <v>431</v>
      </c>
      <c r="G744" s="10" t="s">
        <v>92</v>
      </c>
      <c r="H744" s="10" t="s">
        <v>171</v>
      </c>
      <c r="I744" s="10" t="s">
        <v>2741</v>
      </c>
    </row>
    <row r="745" spans="1:9" s="11" customFormat="1" ht="12.75" customHeight="1" x14ac:dyDescent="0.2">
      <c r="A745" s="453" t="s">
        <v>2742</v>
      </c>
      <c r="B745" s="10">
        <v>1000083056</v>
      </c>
      <c r="C745" s="23" t="s">
        <v>1492</v>
      </c>
      <c r="D745" s="39" t="s">
        <v>2678</v>
      </c>
      <c r="E745" s="13">
        <v>4980</v>
      </c>
      <c r="F745" s="129">
        <v>60145525</v>
      </c>
      <c r="G745" s="83" t="s">
        <v>280</v>
      </c>
      <c r="H745" s="23" t="s">
        <v>1278</v>
      </c>
      <c r="I745" s="10" t="s">
        <v>3168</v>
      </c>
    </row>
    <row r="746" spans="1:9" s="437" customFormat="1" ht="12.75" customHeight="1" x14ac:dyDescent="0.2">
      <c r="A746" s="436" t="s">
        <v>2679</v>
      </c>
      <c r="B746" s="23">
        <v>1000083056</v>
      </c>
      <c r="C746" s="23" t="s">
        <v>1492</v>
      </c>
      <c r="D746" s="29" t="s">
        <v>2682</v>
      </c>
      <c r="E746" s="39">
        <v>11748</v>
      </c>
      <c r="F746" s="191">
        <v>60122421</v>
      </c>
      <c r="G746" s="23" t="s">
        <v>280</v>
      </c>
      <c r="H746" s="23" t="s">
        <v>1278</v>
      </c>
      <c r="I746" s="23" t="s">
        <v>2886</v>
      </c>
    </row>
    <row r="747" spans="1:9" s="437" customFormat="1" ht="12.75" customHeight="1" x14ac:dyDescent="0.2">
      <c r="A747" s="436" t="s">
        <v>2680</v>
      </c>
      <c r="B747" s="23">
        <v>1000083056</v>
      </c>
      <c r="C747" s="23" t="s">
        <v>1492</v>
      </c>
      <c r="D747" s="39" t="s">
        <v>2683</v>
      </c>
      <c r="E747" s="39">
        <v>20484</v>
      </c>
      <c r="F747" s="191">
        <v>60147847</v>
      </c>
      <c r="G747" s="10" t="s">
        <v>280</v>
      </c>
      <c r="H747" s="141" t="s">
        <v>903</v>
      </c>
      <c r="I747" s="23" t="s">
        <v>3378</v>
      </c>
    </row>
    <row r="748" spans="1:9" s="437" customFormat="1" ht="12.75" customHeight="1" x14ac:dyDescent="0.2">
      <c r="A748" s="436" t="s">
        <v>2681</v>
      </c>
      <c r="B748" s="23">
        <v>1000083056</v>
      </c>
      <c r="C748" s="23" t="s">
        <v>1492</v>
      </c>
      <c r="D748" s="39" t="s">
        <v>2682</v>
      </c>
      <c r="E748" s="39">
        <v>14382.72</v>
      </c>
      <c r="F748" s="191">
        <v>60141325</v>
      </c>
      <c r="G748" s="23" t="s">
        <v>280</v>
      </c>
      <c r="H748" s="23" t="s">
        <v>1278</v>
      </c>
      <c r="I748" s="23" t="s">
        <v>2886</v>
      </c>
    </row>
    <row r="749" spans="1:9" s="437" customFormat="1" ht="12.75" customHeight="1" x14ac:dyDescent="0.2">
      <c r="A749" s="39" t="s">
        <v>2686</v>
      </c>
      <c r="B749" s="23">
        <v>1000105043</v>
      </c>
      <c r="C749" s="23" t="s">
        <v>1492</v>
      </c>
      <c r="D749" s="39" t="s">
        <v>2692</v>
      </c>
      <c r="E749" s="39">
        <v>41320.69</v>
      </c>
      <c r="F749" s="191">
        <v>60138502</v>
      </c>
      <c r="G749" s="23" t="s">
        <v>280</v>
      </c>
      <c r="H749" s="29" t="s">
        <v>171</v>
      </c>
      <c r="I749" s="23" t="s">
        <v>2886</v>
      </c>
    </row>
    <row r="750" spans="1:9" s="437" customFormat="1" ht="12.75" customHeight="1" x14ac:dyDescent="0.2">
      <c r="A750" s="39" t="s">
        <v>2687</v>
      </c>
      <c r="B750" s="23">
        <v>1000105043</v>
      </c>
      <c r="C750" s="23" t="s">
        <v>1492</v>
      </c>
      <c r="D750" s="39" t="s">
        <v>2693</v>
      </c>
      <c r="E750" s="39">
        <v>29860.799999999999</v>
      </c>
      <c r="F750" s="760">
        <v>60146577</v>
      </c>
      <c r="G750" s="29" t="s">
        <v>1822</v>
      </c>
      <c r="H750" s="23" t="s">
        <v>161</v>
      </c>
      <c r="I750" s="23" t="s">
        <v>3296</v>
      </c>
    </row>
    <row r="751" spans="1:9" s="437" customFormat="1" ht="12.75" customHeight="1" x14ac:dyDescent="0.2">
      <c r="A751" s="39" t="s">
        <v>2688</v>
      </c>
      <c r="B751" s="23">
        <v>1000105043</v>
      </c>
      <c r="C751" s="23" t="s">
        <v>1492</v>
      </c>
      <c r="D751" s="39" t="s">
        <v>2694</v>
      </c>
      <c r="E751" s="39">
        <v>29860.799999999999</v>
      </c>
      <c r="F751" s="130">
        <v>60141500</v>
      </c>
      <c r="G751" s="23" t="s">
        <v>280</v>
      </c>
      <c r="H751" s="23" t="s">
        <v>161</v>
      </c>
      <c r="I751" s="175" t="s">
        <v>2886</v>
      </c>
    </row>
    <row r="752" spans="1:9" s="437" customFormat="1" ht="12.75" customHeight="1" x14ac:dyDescent="0.2">
      <c r="A752" s="39" t="s">
        <v>2689</v>
      </c>
      <c r="B752" s="23">
        <v>1000105043</v>
      </c>
      <c r="C752" s="23" t="s">
        <v>1492</v>
      </c>
      <c r="D752" s="39" t="s">
        <v>2695</v>
      </c>
      <c r="E752" s="39">
        <v>32488.799999999999</v>
      </c>
      <c r="F752" s="191">
        <v>60141188</v>
      </c>
      <c r="G752" s="23" t="s">
        <v>280</v>
      </c>
      <c r="H752" s="23" t="s">
        <v>1476</v>
      </c>
      <c r="I752" s="23" t="s">
        <v>2886</v>
      </c>
    </row>
    <row r="753" spans="1:9" s="437" customFormat="1" ht="12.75" customHeight="1" x14ac:dyDescent="0.2">
      <c r="A753" s="39" t="s">
        <v>2690</v>
      </c>
      <c r="B753" s="23">
        <v>1000105043</v>
      </c>
      <c r="C753" s="23" t="s">
        <v>1492</v>
      </c>
      <c r="D753" s="39" t="s">
        <v>2697</v>
      </c>
      <c r="E753" s="39">
        <v>26368.32</v>
      </c>
      <c r="F753" s="191">
        <v>60141330</v>
      </c>
      <c r="G753" s="23" t="s">
        <v>280</v>
      </c>
      <c r="H753" s="29" t="s">
        <v>1278</v>
      </c>
      <c r="I753" s="23" t="s">
        <v>2886</v>
      </c>
    </row>
    <row r="754" spans="1:9" s="437" customFormat="1" ht="12.75" customHeight="1" x14ac:dyDescent="0.2">
      <c r="A754" s="39" t="s">
        <v>2691</v>
      </c>
      <c r="B754" s="23">
        <v>1000105043</v>
      </c>
      <c r="C754" s="23" t="s">
        <v>1492</v>
      </c>
      <c r="D754" s="39" t="s">
        <v>2696</v>
      </c>
      <c r="E754" s="39">
        <v>35476.32</v>
      </c>
      <c r="F754" s="191">
        <v>60141324</v>
      </c>
      <c r="G754" s="23" t="s">
        <v>280</v>
      </c>
      <c r="H754" s="29" t="s">
        <v>1278</v>
      </c>
      <c r="I754" s="23" t="s">
        <v>2886</v>
      </c>
    </row>
    <row r="755" spans="1:9" s="437" customFormat="1" ht="12.75" customHeight="1" x14ac:dyDescent="0.2">
      <c r="A755" s="23" t="s">
        <v>2684</v>
      </c>
      <c r="B755" s="23">
        <v>1000109733</v>
      </c>
      <c r="C755" s="23" t="s">
        <v>1492</v>
      </c>
      <c r="D755" s="191" t="s">
        <v>2685</v>
      </c>
      <c r="E755" s="39">
        <v>28267.200000000001</v>
      </c>
      <c r="F755" s="191">
        <v>60141189</v>
      </c>
      <c r="G755" s="23" t="s">
        <v>280</v>
      </c>
      <c r="H755" s="23" t="s">
        <v>216</v>
      </c>
      <c r="I755" s="23" t="s">
        <v>2886</v>
      </c>
    </row>
    <row r="756" spans="1:9" s="11" customFormat="1" ht="12.75" customHeight="1" x14ac:dyDescent="0.2">
      <c r="A756" s="17" t="s">
        <v>2705</v>
      </c>
      <c r="B756" s="10">
        <v>1000116575</v>
      </c>
      <c r="C756" s="23" t="s">
        <v>1492</v>
      </c>
      <c r="D756" s="129" t="s">
        <v>2706</v>
      </c>
      <c r="E756" s="13">
        <v>8328</v>
      </c>
      <c r="F756" s="129">
        <v>60147206</v>
      </c>
      <c r="G756" s="10" t="s">
        <v>1822</v>
      </c>
      <c r="H756" s="23" t="s">
        <v>2423</v>
      </c>
      <c r="I756" s="10" t="s">
        <v>3307</v>
      </c>
    </row>
    <row r="757" spans="1:9" s="11" customFormat="1" ht="12.75" customHeight="1" x14ac:dyDescent="0.2">
      <c r="A757" s="10" t="s">
        <v>2707</v>
      </c>
      <c r="B757" s="10">
        <v>1000109237</v>
      </c>
      <c r="C757" s="23" t="s">
        <v>1492</v>
      </c>
      <c r="D757" s="129" t="s">
        <v>2714</v>
      </c>
      <c r="E757" s="13">
        <v>62581.93</v>
      </c>
      <c r="F757" s="129">
        <v>60138120</v>
      </c>
      <c r="G757" s="10" t="s">
        <v>280</v>
      </c>
      <c r="H757" s="10" t="s">
        <v>1204</v>
      </c>
      <c r="I757" s="10" t="s">
        <v>2886</v>
      </c>
    </row>
    <row r="758" spans="1:9" s="145" customFormat="1" ht="12.75" customHeight="1" x14ac:dyDescent="0.2">
      <c r="A758" s="17" t="s">
        <v>2708</v>
      </c>
      <c r="B758" s="17">
        <v>1000109237</v>
      </c>
      <c r="C758" s="29" t="s">
        <v>1492</v>
      </c>
      <c r="D758" s="449" t="s">
        <v>2715</v>
      </c>
      <c r="E758" s="85">
        <v>10892.16</v>
      </c>
      <c r="F758" s="449" t="s">
        <v>431</v>
      </c>
      <c r="G758" s="17" t="s">
        <v>92</v>
      </c>
      <c r="H758" s="17" t="s">
        <v>171</v>
      </c>
      <c r="I758" s="17" t="s">
        <v>2741</v>
      </c>
    </row>
    <row r="759" spans="1:9" s="11" customFormat="1" ht="12.75" customHeight="1" x14ac:dyDescent="0.2">
      <c r="A759" s="10" t="s">
        <v>2709</v>
      </c>
      <c r="B759" s="10">
        <v>1000109237</v>
      </c>
      <c r="C759" s="23" t="s">
        <v>1492</v>
      </c>
      <c r="D759" s="129" t="s">
        <v>2716</v>
      </c>
      <c r="E759" s="13">
        <v>21204</v>
      </c>
      <c r="F759" s="129">
        <v>60138115</v>
      </c>
      <c r="G759" s="10" t="s">
        <v>280</v>
      </c>
      <c r="H759" s="10" t="s">
        <v>171</v>
      </c>
      <c r="I759" s="10" t="s">
        <v>3089</v>
      </c>
    </row>
    <row r="760" spans="1:9" s="11" customFormat="1" ht="12.75" customHeight="1" x14ac:dyDescent="0.2">
      <c r="A760" s="10" t="s">
        <v>2710</v>
      </c>
      <c r="B760" s="10">
        <v>1000109237</v>
      </c>
      <c r="C760" s="23" t="s">
        <v>1492</v>
      </c>
      <c r="D760" s="10" t="s">
        <v>2717</v>
      </c>
      <c r="E760" s="13">
        <v>10512.72</v>
      </c>
      <c r="F760" s="129">
        <v>60145762</v>
      </c>
      <c r="G760" s="10" t="s">
        <v>280</v>
      </c>
      <c r="H760" s="23" t="s">
        <v>211</v>
      </c>
      <c r="I760" s="130" t="s">
        <v>3278</v>
      </c>
    </row>
    <row r="761" spans="1:9" s="11" customFormat="1" ht="12.75" customHeight="1" x14ac:dyDescent="0.2">
      <c r="A761" s="17" t="s">
        <v>2711</v>
      </c>
      <c r="B761" s="10">
        <v>1000109237</v>
      </c>
      <c r="C761" s="23" t="s">
        <v>1492</v>
      </c>
      <c r="D761" s="10" t="s">
        <v>2718</v>
      </c>
      <c r="E761" s="13">
        <v>10512.72</v>
      </c>
      <c r="F761" s="129" t="s">
        <v>431</v>
      </c>
      <c r="G761" s="10" t="s">
        <v>92</v>
      </c>
      <c r="H761" s="23" t="s">
        <v>211</v>
      </c>
      <c r="I761" s="10" t="s">
        <v>2741</v>
      </c>
    </row>
    <row r="762" spans="1:9" s="38" customFormat="1" ht="12.75" customHeight="1" x14ac:dyDescent="0.2">
      <c r="A762" s="23" t="s">
        <v>2712</v>
      </c>
      <c r="B762" s="23">
        <v>1000109237</v>
      </c>
      <c r="C762" s="23" t="s">
        <v>1492</v>
      </c>
      <c r="D762" s="23" t="s">
        <v>2719</v>
      </c>
      <c r="E762" s="39">
        <v>9977.0400000000009</v>
      </c>
      <c r="F762" s="191">
        <v>60141329</v>
      </c>
      <c r="G762" s="23" t="s">
        <v>280</v>
      </c>
      <c r="H762" s="23" t="s">
        <v>171</v>
      </c>
      <c r="I762" s="23" t="s">
        <v>2886</v>
      </c>
    </row>
    <row r="763" spans="1:9" ht="12.75" customHeight="1" x14ac:dyDescent="0.2">
      <c r="A763" s="10" t="s">
        <v>2713</v>
      </c>
      <c r="B763" s="10">
        <v>1000109237</v>
      </c>
      <c r="C763" s="23" t="s">
        <v>1492</v>
      </c>
      <c r="D763" s="10" t="s">
        <v>2720</v>
      </c>
      <c r="E763" s="13">
        <v>20311.2</v>
      </c>
      <c r="F763" s="129">
        <v>60138116</v>
      </c>
      <c r="G763" s="10" t="s">
        <v>280</v>
      </c>
      <c r="H763" s="10" t="s">
        <v>171</v>
      </c>
      <c r="I763" s="10" t="s">
        <v>3089</v>
      </c>
    </row>
    <row r="764" spans="1:9" ht="12.75" customHeight="1" x14ac:dyDescent="0.2">
      <c r="A764" s="10" t="s">
        <v>2721</v>
      </c>
      <c r="B764" s="10">
        <v>1000079359</v>
      </c>
      <c r="C764" s="23" t="s">
        <v>1492</v>
      </c>
      <c r="D764" s="10" t="s">
        <v>2731</v>
      </c>
      <c r="E764" s="13">
        <v>12289.2</v>
      </c>
      <c r="F764" s="129">
        <v>60141322</v>
      </c>
      <c r="G764" s="10" t="s">
        <v>280</v>
      </c>
      <c r="H764" s="10" t="s">
        <v>1278</v>
      </c>
      <c r="I764" s="10" t="s">
        <v>2886</v>
      </c>
    </row>
    <row r="765" spans="1:9" ht="12.75" customHeight="1" x14ac:dyDescent="0.2">
      <c r="A765" s="10" t="s">
        <v>2722</v>
      </c>
      <c r="B765" s="10">
        <v>1000079359</v>
      </c>
      <c r="C765" s="23" t="s">
        <v>1492</v>
      </c>
      <c r="D765" s="10" t="s">
        <v>2732</v>
      </c>
      <c r="E765" s="13">
        <v>9955.2000000000007</v>
      </c>
      <c r="F765" s="129">
        <v>60141323</v>
      </c>
      <c r="G765" s="10" t="s">
        <v>280</v>
      </c>
      <c r="H765" s="23" t="s">
        <v>161</v>
      </c>
      <c r="I765" s="10" t="s">
        <v>2886</v>
      </c>
    </row>
    <row r="766" spans="1:9" s="38" customFormat="1" ht="12.75" customHeight="1" x14ac:dyDescent="0.2">
      <c r="A766" s="23" t="s">
        <v>2723</v>
      </c>
      <c r="B766" s="23">
        <v>1000079359</v>
      </c>
      <c r="C766" s="23" t="s">
        <v>1492</v>
      </c>
      <c r="D766" s="23" t="s">
        <v>2733</v>
      </c>
      <c r="E766" s="39">
        <v>7584</v>
      </c>
      <c r="F766" s="191">
        <v>60144153</v>
      </c>
      <c r="G766" s="23" t="s">
        <v>280</v>
      </c>
      <c r="H766" s="23" t="s">
        <v>952</v>
      </c>
      <c r="I766" s="23" t="s">
        <v>2985</v>
      </c>
    </row>
    <row r="767" spans="1:9" ht="12.75" customHeight="1" x14ac:dyDescent="0.2">
      <c r="A767" s="10" t="s">
        <v>2724</v>
      </c>
      <c r="B767" s="10">
        <v>1000079359</v>
      </c>
      <c r="C767" s="23" t="s">
        <v>1492</v>
      </c>
      <c r="D767" s="10" t="s">
        <v>2734</v>
      </c>
      <c r="E767" s="13">
        <v>10540.8</v>
      </c>
      <c r="F767" s="191">
        <v>60122896</v>
      </c>
      <c r="G767" s="10" t="s">
        <v>280</v>
      </c>
      <c r="H767" s="23" t="s">
        <v>161</v>
      </c>
      <c r="I767" s="10" t="s">
        <v>2886</v>
      </c>
    </row>
    <row r="768" spans="1:9" s="38" customFormat="1" ht="12.75" customHeight="1" x14ac:dyDescent="0.2">
      <c r="A768" s="23" t="s">
        <v>2725</v>
      </c>
      <c r="B768" s="23">
        <v>1000079359</v>
      </c>
      <c r="C768" s="23" t="s">
        <v>1492</v>
      </c>
      <c r="D768" s="23" t="s">
        <v>2735</v>
      </c>
      <c r="E768" s="39">
        <v>11642.4</v>
      </c>
      <c r="F768" s="191">
        <v>60146084</v>
      </c>
      <c r="G768" s="23" t="s">
        <v>280</v>
      </c>
      <c r="H768" s="23" t="s">
        <v>216</v>
      </c>
      <c r="I768" s="130" t="s">
        <v>3278</v>
      </c>
    </row>
    <row r="769" spans="1:9" ht="12.75" customHeight="1" x14ac:dyDescent="0.2">
      <c r="A769" s="10" t="s">
        <v>2726</v>
      </c>
      <c r="B769" s="10">
        <v>1000079359</v>
      </c>
      <c r="C769" s="23" t="s">
        <v>1492</v>
      </c>
      <c r="D769" s="10" t="s">
        <v>2736</v>
      </c>
      <c r="E769" s="13">
        <v>11304</v>
      </c>
      <c r="F769" s="191">
        <v>60137359</v>
      </c>
      <c r="G769" s="10" t="s">
        <v>280</v>
      </c>
      <c r="H769" s="23" t="s">
        <v>1774</v>
      </c>
      <c r="I769" s="10" t="s">
        <v>2886</v>
      </c>
    </row>
    <row r="770" spans="1:9" ht="12.75" customHeight="1" x14ac:dyDescent="0.2">
      <c r="A770" s="10" t="s">
        <v>2727</v>
      </c>
      <c r="B770" s="10">
        <v>1000079359</v>
      </c>
      <c r="C770" s="23" t="s">
        <v>1492</v>
      </c>
      <c r="D770" s="10" t="s">
        <v>2737</v>
      </c>
      <c r="E770" s="13">
        <v>3360</v>
      </c>
      <c r="F770" s="191">
        <v>60131330</v>
      </c>
      <c r="G770" s="10" t="s">
        <v>280</v>
      </c>
      <c r="H770" s="10" t="s">
        <v>1204</v>
      </c>
      <c r="I770" s="10" t="s">
        <v>2886</v>
      </c>
    </row>
    <row r="771" spans="1:9" ht="12.75" customHeight="1" x14ac:dyDescent="0.2">
      <c r="A771" s="10" t="s">
        <v>2728</v>
      </c>
      <c r="B771" s="10">
        <v>1000079359</v>
      </c>
      <c r="C771" s="23" t="s">
        <v>1492</v>
      </c>
      <c r="D771" s="10" t="s">
        <v>2738</v>
      </c>
      <c r="E771" s="13">
        <v>11126.4</v>
      </c>
      <c r="F771" s="129">
        <v>60141179</v>
      </c>
      <c r="G771" s="10" t="s">
        <v>280</v>
      </c>
      <c r="H771" s="10" t="s">
        <v>216</v>
      </c>
      <c r="I771" s="10" t="s">
        <v>2886</v>
      </c>
    </row>
    <row r="772" spans="1:9" s="38" customFormat="1" ht="12.75" customHeight="1" x14ac:dyDescent="0.2">
      <c r="A772" s="23" t="s">
        <v>2729</v>
      </c>
      <c r="B772" s="23">
        <v>1000079359</v>
      </c>
      <c r="C772" s="23" t="s">
        <v>1492</v>
      </c>
      <c r="D772" s="23" t="s">
        <v>2739</v>
      </c>
      <c r="E772" s="39">
        <v>5634</v>
      </c>
      <c r="F772" s="191">
        <v>60145923</v>
      </c>
      <c r="G772" s="23" t="s">
        <v>280</v>
      </c>
      <c r="H772" s="23" t="s">
        <v>994</v>
      </c>
      <c r="I772" s="130" t="s">
        <v>3278</v>
      </c>
    </row>
    <row r="773" spans="1:9" ht="12.75" customHeight="1" x14ac:dyDescent="0.2">
      <c r="A773" s="10" t="s">
        <v>2730</v>
      </c>
      <c r="B773" s="10">
        <v>1000079359</v>
      </c>
      <c r="C773" s="23" t="s">
        <v>1492</v>
      </c>
      <c r="D773" s="10" t="s">
        <v>2740</v>
      </c>
      <c r="E773" s="13">
        <v>3187.2</v>
      </c>
      <c r="F773" s="129">
        <v>60141499</v>
      </c>
      <c r="G773" s="10" t="s">
        <v>280</v>
      </c>
      <c r="H773" s="23" t="s">
        <v>1278</v>
      </c>
      <c r="I773" s="10" t="s">
        <v>2886</v>
      </c>
    </row>
    <row r="774" spans="1:9" ht="12.75" customHeight="1" x14ac:dyDescent="0.2">
      <c r="A774" s="17" t="s">
        <v>2743</v>
      </c>
      <c r="B774" s="10">
        <v>1000095634</v>
      </c>
      <c r="C774" s="23" t="s">
        <v>1492</v>
      </c>
      <c r="D774" s="10" t="s">
        <v>2751</v>
      </c>
      <c r="E774" s="13">
        <v>8595.6</v>
      </c>
      <c r="F774" s="129">
        <v>60139859</v>
      </c>
      <c r="G774" s="10" t="s">
        <v>280</v>
      </c>
      <c r="H774" s="23" t="s">
        <v>1575</v>
      </c>
      <c r="I774" s="10" t="s">
        <v>2886</v>
      </c>
    </row>
    <row r="775" spans="1:9" s="22" customFormat="1" ht="12.75" customHeight="1" x14ac:dyDescent="0.2">
      <c r="A775" s="17" t="s">
        <v>2744</v>
      </c>
      <c r="B775" s="17">
        <v>1000095634</v>
      </c>
      <c r="C775" s="29" t="s">
        <v>1492</v>
      </c>
      <c r="D775" s="17" t="s">
        <v>2752</v>
      </c>
      <c r="E775" s="85">
        <v>11260.8</v>
      </c>
      <c r="F775" s="130">
        <v>60139861</v>
      </c>
      <c r="G775" s="29" t="s">
        <v>280</v>
      </c>
      <c r="H775" s="29" t="s">
        <v>1575</v>
      </c>
      <c r="I775" s="17" t="s">
        <v>2886</v>
      </c>
    </row>
    <row r="776" spans="1:9" s="22" customFormat="1" ht="12.75" customHeight="1" x14ac:dyDescent="0.2">
      <c r="A776" s="17" t="s">
        <v>2745</v>
      </c>
      <c r="B776" s="17">
        <v>1000095634</v>
      </c>
      <c r="C776" s="29" t="s">
        <v>1492</v>
      </c>
      <c r="D776" s="17" t="s">
        <v>2753</v>
      </c>
      <c r="E776" s="85">
        <v>3759</v>
      </c>
      <c r="F776" s="449">
        <v>60145358</v>
      </c>
      <c r="G776" s="29" t="s">
        <v>280</v>
      </c>
      <c r="H776" s="29" t="s">
        <v>1575</v>
      </c>
      <c r="I776" s="17" t="s">
        <v>3168</v>
      </c>
    </row>
    <row r="777" spans="1:9" s="22" customFormat="1" ht="12.75" customHeight="1" x14ac:dyDescent="0.2">
      <c r="A777" s="17" t="s">
        <v>2746</v>
      </c>
      <c r="B777" s="17">
        <v>1000095634</v>
      </c>
      <c r="C777" s="29" t="s">
        <v>1492</v>
      </c>
      <c r="D777" s="17" t="s">
        <v>2754</v>
      </c>
      <c r="E777" s="85">
        <v>2376</v>
      </c>
      <c r="F777" s="449">
        <v>60150235</v>
      </c>
      <c r="G777" s="29" t="s">
        <v>280</v>
      </c>
      <c r="H777" s="29" t="s">
        <v>1575</v>
      </c>
      <c r="I777" s="17" t="s">
        <v>3526</v>
      </c>
    </row>
    <row r="778" spans="1:9" s="22" customFormat="1" ht="12.75" customHeight="1" x14ac:dyDescent="0.2">
      <c r="A778" s="17" t="s">
        <v>2747</v>
      </c>
      <c r="B778" s="17">
        <v>1000095634</v>
      </c>
      <c r="C778" s="29" t="s">
        <v>1492</v>
      </c>
      <c r="D778" s="17" t="s">
        <v>2755</v>
      </c>
      <c r="E778" s="85">
        <v>11830.2</v>
      </c>
      <c r="F778" s="449">
        <v>60145354</v>
      </c>
      <c r="G778" s="29" t="s">
        <v>280</v>
      </c>
      <c r="H778" s="29" t="s">
        <v>1575</v>
      </c>
      <c r="I778" s="17" t="s">
        <v>3168</v>
      </c>
    </row>
    <row r="779" spans="1:9" s="22" customFormat="1" ht="12.75" customHeight="1" x14ac:dyDescent="0.2">
      <c r="A779" s="17" t="s">
        <v>2748</v>
      </c>
      <c r="B779" s="17">
        <v>1000095634</v>
      </c>
      <c r="C779" s="29" t="s">
        <v>1492</v>
      </c>
      <c r="D779" s="17" t="s">
        <v>2753</v>
      </c>
      <c r="E779" s="85">
        <v>4752</v>
      </c>
      <c r="F779" s="449">
        <v>60139858</v>
      </c>
      <c r="G779" s="17" t="s">
        <v>280</v>
      </c>
      <c r="H779" s="29" t="s">
        <v>1575</v>
      </c>
      <c r="I779" s="17" t="s">
        <v>2886</v>
      </c>
    </row>
    <row r="780" spans="1:9" s="22" customFormat="1" ht="12.75" customHeight="1" x14ac:dyDescent="0.2">
      <c r="A780" s="17" t="s">
        <v>2749</v>
      </c>
      <c r="B780" s="17">
        <v>1000095634</v>
      </c>
      <c r="C780" s="29" t="s">
        <v>1492</v>
      </c>
      <c r="D780" s="17" t="s">
        <v>2753</v>
      </c>
      <c r="E780" s="85">
        <v>4081.2</v>
      </c>
      <c r="F780" s="130">
        <v>60129792</v>
      </c>
      <c r="G780" s="29" t="s">
        <v>280</v>
      </c>
      <c r="H780" s="29" t="s">
        <v>1575</v>
      </c>
      <c r="I780" s="17" t="s">
        <v>2886</v>
      </c>
    </row>
    <row r="781" spans="1:9" s="22" customFormat="1" x14ac:dyDescent="0.2">
      <c r="A781" s="17" t="s">
        <v>2750</v>
      </c>
      <c r="B781" s="17">
        <v>1000095634</v>
      </c>
      <c r="C781" s="29" t="s">
        <v>1492</v>
      </c>
      <c r="D781" s="17" t="s">
        <v>2756</v>
      </c>
      <c r="E781" s="85">
        <v>3024</v>
      </c>
      <c r="F781" s="449">
        <v>60145237</v>
      </c>
      <c r="G781" s="29" t="s">
        <v>280</v>
      </c>
      <c r="H781" s="29" t="s">
        <v>1575</v>
      </c>
      <c r="I781" s="17" t="s">
        <v>3296</v>
      </c>
    </row>
    <row r="782" spans="1:9" x14ac:dyDescent="0.2">
      <c r="A782" s="17" t="s">
        <v>2757</v>
      </c>
      <c r="B782" s="10">
        <v>1000103407</v>
      </c>
      <c r="C782" s="23" t="s">
        <v>1492</v>
      </c>
      <c r="D782" s="10" t="s">
        <v>2758</v>
      </c>
      <c r="E782" s="13">
        <v>19284</v>
      </c>
      <c r="F782" s="129">
        <v>60136718</v>
      </c>
      <c r="G782" s="10" t="s">
        <v>92</v>
      </c>
      <c r="H782" s="17" t="s">
        <v>910</v>
      </c>
      <c r="I782" s="10"/>
    </row>
    <row r="783" spans="1:9" x14ac:dyDescent="0.2">
      <c r="A783" s="17" t="s">
        <v>3011</v>
      </c>
      <c r="B783" s="10">
        <v>1000103407</v>
      </c>
      <c r="C783" s="23" t="s">
        <v>1492</v>
      </c>
      <c r="D783" s="10" t="s">
        <v>3010</v>
      </c>
      <c r="E783" s="13">
        <v>554.4</v>
      </c>
      <c r="F783" s="129">
        <v>60136718</v>
      </c>
      <c r="G783" s="10" t="s">
        <v>280</v>
      </c>
      <c r="H783" s="17" t="s">
        <v>910</v>
      </c>
      <c r="I783" s="10" t="s">
        <v>3168</v>
      </c>
    </row>
    <row r="784" spans="1:9" ht="12.75" customHeight="1" x14ac:dyDescent="0.2">
      <c r="A784" s="17" t="s">
        <v>3012</v>
      </c>
      <c r="B784" s="10">
        <v>1000103407</v>
      </c>
      <c r="C784" s="23" t="s">
        <v>1492</v>
      </c>
      <c r="D784" s="10" t="s">
        <v>3010</v>
      </c>
      <c r="E784" s="13">
        <v>17670</v>
      </c>
      <c r="F784" s="129">
        <v>60143619</v>
      </c>
      <c r="G784" s="10" t="s">
        <v>280</v>
      </c>
      <c r="H784" s="17" t="s">
        <v>910</v>
      </c>
      <c r="I784" s="10" t="s">
        <v>3168</v>
      </c>
    </row>
    <row r="785" spans="1:9" s="38" customFormat="1" ht="12.75" customHeight="1" x14ac:dyDescent="0.2">
      <c r="A785" s="29" t="s">
        <v>2887</v>
      </c>
      <c r="B785" s="23">
        <v>1000105043</v>
      </c>
      <c r="C785" s="23" t="s">
        <v>1493</v>
      </c>
      <c r="D785" s="29" t="s">
        <v>2888</v>
      </c>
      <c r="E785" s="39">
        <v>18880.38</v>
      </c>
      <c r="F785" s="191">
        <v>60138502</v>
      </c>
      <c r="G785" s="23" t="s">
        <v>280</v>
      </c>
      <c r="H785" s="29" t="s">
        <v>171</v>
      </c>
      <c r="I785" s="23" t="s">
        <v>3099</v>
      </c>
    </row>
    <row r="786" spans="1:9" s="38" customFormat="1" ht="12.75" customHeight="1" x14ac:dyDescent="0.2">
      <c r="A786" s="29" t="s">
        <v>2889</v>
      </c>
      <c r="B786" s="23">
        <v>1000105043</v>
      </c>
      <c r="C786" s="23" t="s">
        <v>1493</v>
      </c>
      <c r="D786" s="29" t="s">
        <v>2890</v>
      </c>
      <c r="E786" s="39">
        <v>23888.639999999999</v>
      </c>
      <c r="F786" s="760">
        <v>60146577</v>
      </c>
      <c r="G786" s="29" t="s">
        <v>280</v>
      </c>
      <c r="H786" s="23" t="s">
        <v>161</v>
      </c>
      <c r="I786" s="23" t="s">
        <v>3296</v>
      </c>
    </row>
    <row r="787" spans="1:9" s="38" customFormat="1" ht="12.75" customHeight="1" x14ac:dyDescent="0.2">
      <c r="A787" s="39" t="s">
        <v>2892</v>
      </c>
      <c r="B787" s="23">
        <v>1000105043</v>
      </c>
      <c r="C787" s="23" t="s">
        <v>1493</v>
      </c>
      <c r="D787" s="29" t="s">
        <v>2891</v>
      </c>
      <c r="E787" s="39">
        <v>23888.639999999999</v>
      </c>
      <c r="F787" s="191">
        <v>60141500</v>
      </c>
      <c r="G787" s="23" t="s">
        <v>280</v>
      </c>
      <c r="H787" s="23" t="s">
        <v>161</v>
      </c>
      <c r="I787" s="23" t="s">
        <v>3099</v>
      </c>
    </row>
    <row r="788" spans="1:9" s="38" customFormat="1" ht="12.75" customHeight="1" x14ac:dyDescent="0.2">
      <c r="A788" s="39" t="s">
        <v>2893</v>
      </c>
      <c r="B788" s="23">
        <v>1000105043</v>
      </c>
      <c r="C788" s="23" t="s">
        <v>1493</v>
      </c>
      <c r="D788" s="29" t="s">
        <v>2894</v>
      </c>
      <c r="E788" s="39">
        <v>25991.040000000001</v>
      </c>
      <c r="F788" s="191">
        <v>60141188</v>
      </c>
      <c r="G788" s="23" t="s">
        <v>280</v>
      </c>
      <c r="H788" s="23" t="s">
        <v>1476</v>
      </c>
      <c r="I788" s="23" t="s">
        <v>3099</v>
      </c>
    </row>
    <row r="789" spans="1:9" s="38" customFormat="1" ht="12.75" customHeight="1" x14ac:dyDescent="0.2">
      <c r="A789" s="39" t="s">
        <v>2895</v>
      </c>
      <c r="B789" s="23">
        <v>1000105043</v>
      </c>
      <c r="C789" s="23" t="s">
        <v>1493</v>
      </c>
      <c r="D789" s="29" t="s">
        <v>2896</v>
      </c>
      <c r="E789" s="39">
        <v>21212.880000000001</v>
      </c>
      <c r="F789" s="191">
        <v>60143614</v>
      </c>
      <c r="G789" s="23" t="s">
        <v>280</v>
      </c>
      <c r="H789" s="29" t="s">
        <v>1278</v>
      </c>
      <c r="I789" s="23" t="s">
        <v>3099</v>
      </c>
    </row>
    <row r="790" spans="1:9" s="38" customFormat="1" ht="12.75" customHeight="1" x14ac:dyDescent="0.2">
      <c r="A790" s="39" t="s">
        <v>2897</v>
      </c>
      <c r="B790" s="23">
        <v>1000109733</v>
      </c>
      <c r="C790" s="23" t="s">
        <v>1493</v>
      </c>
      <c r="D790" s="29" t="s">
        <v>2898</v>
      </c>
      <c r="E790" s="39">
        <v>22613.759999999998</v>
      </c>
      <c r="F790" s="191">
        <v>60141189</v>
      </c>
      <c r="G790" s="23" t="s">
        <v>280</v>
      </c>
      <c r="H790" s="23" t="s">
        <v>216</v>
      </c>
      <c r="I790" s="23" t="s">
        <v>3099</v>
      </c>
    </row>
    <row r="791" spans="1:9" ht="12.75" customHeight="1" x14ac:dyDescent="0.2">
      <c r="A791" s="39" t="s">
        <v>2907</v>
      </c>
      <c r="B791" s="23">
        <v>1000079359</v>
      </c>
      <c r="C791" s="23" t="s">
        <v>1493</v>
      </c>
      <c r="D791" s="10" t="s">
        <v>2921</v>
      </c>
      <c r="E791" s="13">
        <v>11642.4</v>
      </c>
      <c r="F791" s="129">
        <v>60141322</v>
      </c>
      <c r="G791" s="10" t="s">
        <v>280</v>
      </c>
      <c r="H791" s="10" t="s">
        <v>1278</v>
      </c>
      <c r="I791" s="10" t="s">
        <v>3099</v>
      </c>
    </row>
    <row r="792" spans="1:9" ht="12.75" customHeight="1" x14ac:dyDescent="0.2">
      <c r="A792" s="17" t="s">
        <v>2908</v>
      </c>
      <c r="B792" s="23">
        <v>1000079359</v>
      </c>
      <c r="C792" s="23" t="s">
        <v>1493</v>
      </c>
      <c r="D792" s="10" t="s">
        <v>2922</v>
      </c>
      <c r="E792" s="13">
        <v>10540.8</v>
      </c>
      <c r="F792" s="129">
        <v>60141323</v>
      </c>
      <c r="G792" s="10" t="s">
        <v>280</v>
      </c>
      <c r="H792" s="23" t="s">
        <v>161</v>
      </c>
      <c r="I792" s="10" t="s">
        <v>3099</v>
      </c>
    </row>
    <row r="793" spans="1:9" ht="12.75" customHeight="1" x14ac:dyDescent="0.2">
      <c r="A793" s="17" t="s">
        <v>2909</v>
      </c>
      <c r="B793" s="23">
        <v>1000079359</v>
      </c>
      <c r="C793" s="23" t="s">
        <v>1493</v>
      </c>
      <c r="D793" s="10" t="s">
        <v>2923</v>
      </c>
      <c r="E793" s="13">
        <v>1684.8</v>
      </c>
      <c r="F793" s="191">
        <v>60145401</v>
      </c>
      <c r="G793" s="10" t="s">
        <v>280</v>
      </c>
      <c r="H793" s="17" t="s">
        <v>171</v>
      </c>
      <c r="I793" s="10" t="s">
        <v>3168</v>
      </c>
    </row>
    <row r="794" spans="1:9" s="38" customFormat="1" ht="12.75" customHeight="1" x14ac:dyDescent="0.2">
      <c r="A794" s="29" t="s">
        <v>2910</v>
      </c>
      <c r="B794" s="23">
        <v>1000079359</v>
      </c>
      <c r="C794" s="23" t="s">
        <v>1493</v>
      </c>
      <c r="D794" s="23" t="s">
        <v>2924</v>
      </c>
      <c r="E794" s="39">
        <v>6303.6</v>
      </c>
      <c r="F794" s="191">
        <v>60144153</v>
      </c>
      <c r="G794" s="23" t="s">
        <v>280</v>
      </c>
      <c r="H794" s="23" t="s">
        <v>952</v>
      </c>
      <c r="I794" s="23" t="s">
        <v>3099</v>
      </c>
    </row>
    <row r="795" spans="1:9" ht="12.75" customHeight="1" x14ac:dyDescent="0.2">
      <c r="A795" s="17" t="s">
        <v>2911</v>
      </c>
      <c r="B795" s="23">
        <v>1000079359</v>
      </c>
      <c r="C795" s="23" t="s">
        <v>1493</v>
      </c>
      <c r="D795" s="10" t="s">
        <v>2925</v>
      </c>
      <c r="E795" s="13">
        <v>7612.8</v>
      </c>
      <c r="F795" s="191">
        <v>60122896</v>
      </c>
      <c r="G795" s="10" t="s">
        <v>280</v>
      </c>
      <c r="H795" s="23" t="s">
        <v>161</v>
      </c>
      <c r="I795" s="10" t="s">
        <v>3099</v>
      </c>
    </row>
    <row r="796" spans="1:9" s="38" customFormat="1" ht="12.75" customHeight="1" x14ac:dyDescent="0.2">
      <c r="A796" s="29" t="s">
        <v>2912</v>
      </c>
      <c r="B796" s="23">
        <v>1000079359</v>
      </c>
      <c r="C796" s="23" t="s">
        <v>1493</v>
      </c>
      <c r="D796" s="23" t="s">
        <v>2926</v>
      </c>
      <c r="E796" s="39">
        <v>4099.2</v>
      </c>
      <c r="F796" s="191">
        <v>60143325</v>
      </c>
      <c r="G796" s="23" t="s">
        <v>280</v>
      </c>
      <c r="H796" s="23" t="s">
        <v>161</v>
      </c>
      <c r="I796" s="23" t="s">
        <v>3099</v>
      </c>
    </row>
    <row r="797" spans="1:9" s="38" customFormat="1" ht="12.75" customHeight="1" x14ac:dyDescent="0.2">
      <c r="A797" s="29" t="s">
        <v>2913</v>
      </c>
      <c r="B797" s="23">
        <v>1000079359</v>
      </c>
      <c r="C797" s="23" t="s">
        <v>1493</v>
      </c>
      <c r="D797" s="23" t="s">
        <v>2927</v>
      </c>
      <c r="E797" s="39">
        <v>11642.4</v>
      </c>
      <c r="F797" s="191">
        <v>60146084</v>
      </c>
      <c r="G797" s="23" t="s">
        <v>280</v>
      </c>
      <c r="H797" s="23" t="s">
        <v>216</v>
      </c>
      <c r="I797" s="130" t="s">
        <v>3278</v>
      </c>
    </row>
    <row r="798" spans="1:9" ht="12.75" customHeight="1" x14ac:dyDescent="0.2">
      <c r="A798" s="17" t="s">
        <v>2914</v>
      </c>
      <c r="B798" s="23">
        <v>1000079359</v>
      </c>
      <c r="C798" s="23" t="s">
        <v>1493</v>
      </c>
      <c r="D798" s="10" t="s">
        <v>2928</v>
      </c>
      <c r="E798" s="13">
        <v>1130.4000000000001</v>
      </c>
      <c r="F798" s="191">
        <v>60137359</v>
      </c>
      <c r="G798" s="10" t="s">
        <v>280</v>
      </c>
      <c r="H798" s="23" t="s">
        <v>1774</v>
      </c>
      <c r="I798" s="10" t="s">
        <v>3099</v>
      </c>
    </row>
    <row r="799" spans="1:9" s="38" customFormat="1" ht="12.75" customHeight="1" x14ac:dyDescent="0.2">
      <c r="A799" s="29" t="s">
        <v>2915</v>
      </c>
      <c r="B799" s="23">
        <v>1000079359</v>
      </c>
      <c r="C799" s="23" t="s">
        <v>1493</v>
      </c>
      <c r="D799" s="23" t="s">
        <v>2929</v>
      </c>
      <c r="E799" s="39">
        <v>2826</v>
      </c>
      <c r="F799" s="191">
        <v>60143527</v>
      </c>
      <c r="G799" s="23" t="s">
        <v>280</v>
      </c>
      <c r="H799" s="23" t="s">
        <v>1774</v>
      </c>
      <c r="I799" s="23" t="s">
        <v>3099</v>
      </c>
    </row>
    <row r="800" spans="1:9" s="38" customFormat="1" ht="12.75" customHeight="1" x14ac:dyDescent="0.2">
      <c r="A800" s="29" t="s">
        <v>2916</v>
      </c>
      <c r="B800" s="23">
        <v>1000079359</v>
      </c>
      <c r="C800" s="23" t="s">
        <v>1493</v>
      </c>
      <c r="D800" s="23" t="s">
        <v>2930</v>
      </c>
      <c r="E800" s="39">
        <v>7347.6</v>
      </c>
      <c r="F800" s="191">
        <v>60148052</v>
      </c>
      <c r="G800" s="23" t="s">
        <v>1822</v>
      </c>
      <c r="H800" s="23" t="s">
        <v>1774</v>
      </c>
      <c r="I800" s="23" t="s">
        <v>3379</v>
      </c>
    </row>
    <row r="801" spans="1:9" ht="12.75" customHeight="1" x14ac:dyDescent="0.2">
      <c r="A801" s="17" t="s">
        <v>2917</v>
      </c>
      <c r="B801" s="23">
        <v>1000079359</v>
      </c>
      <c r="C801" s="23" t="s">
        <v>1493</v>
      </c>
      <c r="D801" s="10" t="s">
        <v>2931</v>
      </c>
      <c r="E801" s="13">
        <v>504</v>
      </c>
      <c r="F801" s="191">
        <v>60131330</v>
      </c>
      <c r="G801" s="10" t="s">
        <v>280</v>
      </c>
      <c r="H801" s="10" t="s">
        <v>1204</v>
      </c>
      <c r="I801" s="10" t="s">
        <v>3099</v>
      </c>
    </row>
    <row r="802" spans="1:9" ht="12.75" customHeight="1" x14ac:dyDescent="0.2">
      <c r="A802" s="17" t="s">
        <v>2918</v>
      </c>
      <c r="B802" s="23">
        <v>1000079359</v>
      </c>
      <c r="C802" s="23" t="s">
        <v>1493</v>
      </c>
      <c r="D802" s="10" t="s">
        <v>2932</v>
      </c>
      <c r="E802" s="13">
        <v>11419.2</v>
      </c>
      <c r="F802" s="129">
        <v>60141179</v>
      </c>
      <c r="G802" s="10" t="s">
        <v>280</v>
      </c>
      <c r="H802" s="10" t="s">
        <v>216</v>
      </c>
      <c r="I802" s="10" t="s">
        <v>3099</v>
      </c>
    </row>
    <row r="803" spans="1:9" s="38" customFormat="1" ht="12.75" customHeight="1" x14ac:dyDescent="0.2">
      <c r="A803" s="29" t="s">
        <v>2919</v>
      </c>
      <c r="B803" s="23">
        <v>1000079359</v>
      </c>
      <c r="C803" s="23" t="s">
        <v>1493</v>
      </c>
      <c r="D803" s="23" t="s">
        <v>2933</v>
      </c>
      <c r="E803" s="39">
        <v>11304</v>
      </c>
      <c r="F803" s="191">
        <v>60145923</v>
      </c>
      <c r="G803" s="23" t="s">
        <v>280</v>
      </c>
      <c r="H803" s="23" t="s">
        <v>994</v>
      </c>
      <c r="I803" s="130" t="s">
        <v>3278</v>
      </c>
    </row>
    <row r="804" spans="1:9" ht="12.75" customHeight="1" x14ac:dyDescent="0.2">
      <c r="A804" s="17" t="s">
        <v>2920</v>
      </c>
      <c r="B804" s="23">
        <v>1000079359</v>
      </c>
      <c r="C804" s="23" t="s">
        <v>1493</v>
      </c>
      <c r="D804" s="10" t="s">
        <v>2934</v>
      </c>
      <c r="E804" s="13">
        <v>11304</v>
      </c>
      <c r="F804" s="129">
        <v>60141499</v>
      </c>
      <c r="G804" s="10" t="s">
        <v>280</v>
      </c>
      <c r="H804" s="23" t="s">
        <v>1278</v>
      </c>
      <c r="I804" s="10" t="s">
        <v>3099</v>
      </c>
    </row>
    <row r="805" spans="1:9" ht="12.75" customHeight="1" x14ac:dyDescent="0.2">
      <c r="A805" s="17" t="s">
        <v>2973</v>
      </c>
      <c r="B805" s="10">
        <v>1000116575</v>
      </c>
      <c r="C805" s="23" t="s">
        <v>1493</v>
      </c>
      <c r="D805" s="10" t="s">
        <v>2974</v>
      </c>
      <c r="E805" s="13">
        <v>7078.8</v>
      </c>
      <c r="F805" s="129">
        <v>60147206</v>
      </c>
      <c r="G805" s="10" t="s">
        <v>280</v>
      </c>
      <c r="H805" s="23" t="s">
        <v>2423</v>
      </c>
      <c r="I805" s="10" t="s">
        <v>3307</v>
      </c>
    </row>
    <row r="806" spans="1:9" ht="12.75" customHeight="1" x14ac:dyDescent="0.2">
      <c r="A806" s="17" t="s">
        <v>2935</v>
      </c>
      <c r="B806" s="10">
        <v>1000095634</v>
      </c>
      <c r="C806" s="23" t="s">
        <v>1493</v>
      </c>
      <c r="D806" s="10" t="s">
        <v>2943</v>
      </c>
      <c r="E806" s="13">
        <v>5835.6</v>
      </c>
      <c r="F806" s="129">
        <v>60139859</v>
      </c>
      <c r="G806" s="10" t="s">
        <v>280</v>
      </c>
      <c r="H806" s="23" t="s">
        <v>1575</v>
      </c>
      <c r="I806" s="10" t="s">
        <v>3099</v>
      </c>
    </row>
    <row r="807" spans="1:9" ht="12.75" customHeight="1" x14ac:dyDescent="0.2">
      <c r="A807" s="17" t="s">
        <v>2936</v>
      </c>
      <c r="B807" s="10">
        <v>1000095634</v>
      </c>
      <c r="C807" s="23" t="s">
        <v>1493</v>
      </c>
      <c r="D807" s="10" t="s">
        <v>2944</v>
      </c>
      <c r="E807" s="13">
        <v>1933.2</v>
      </c>
      <c r="F807" s="449">
        <v>60144584</v>
      </c>
      <c r="G807" s="29" t="s">
        <v>280</v>
      </c>
      <c r="H807" s="29" t="s">
        <v>1575</v>
      </c>
      <c r="I807" s="10" t="s">
        <v>3089</v>
      </c>
    </row>
    <row r="808" spans="1:9" ht="12.75" customHeight="1" x14ac:dyDescent="0.2">
      <c r="A808" s="17" t="s">
        <v>2937</v>
      </c>
      <c r="B808" s="10">
        <v>1000095634</v>
      </c>
      <c r="C808" s="23" t="s">
        <v>1493</v>
      </c>
      <c r="D808" s="10" t="s">
        <v>2945</v>
      </c>
      <c r="E808" s="13">
        <v>10022.4</v>
      </c>
      <c r="F808" s="130">
        <v>60139861</v>
      </c>
      <c r="G808" s="29" t="s">
        <v>280</v>
      </c>
      <c r="H808" s="29" t="s">
        <v>1575</v>
      </c>
      <c r="I808" s="10" t="s">
        <v>3099</v>
      </c>
    </row>
    <row r="809" spans="1:9" ht="12.75" customHeight="1" x14ac:dyDescent="0.2">
      <c r="A809" s="17" t="s">
        <v>2938</v>
      </c>
      <c r="B809" s="10">
        <v>1000095634</v>
      </c>
      <c r="C809" s="23" t="s">
        <v>1493</v>
      </c>
      <c r="D809" s="10" t="s">
        <v>2946</v>
      </c>
      <c r="E809" s="13">
        <v>3436.8</v>
      </c>
      <c r="F809" s="449">
        <v>60145358</v>
      </c>
      <c r="G809" s="29" t="s">
        <v>280</v>
      </c>
      <c r="H809" s="29" t="s">
        <v>1575</v>
      </c>
      <c r="I809" s="10" t="s">
        <v>3168</v>
      </c>
    </row>
    <row r="810" spans="1:9" ht="12.75" customHeight="1" x14ac:dyDescent="0.2">
      <c r="A810" s="17" t="s">
        <v>2939</v>
      </c>
      <c r="B810" s="10">
        <v>1000095634</v>
      </c>
      <c r="C810" s="23" t="s">
        <v>1493</v>
      </c>
      <c r="D810" s="10" t="s">
        <v>2947</v>
      </c>
      <c r="E810" s="13">
        <v>9819.6</v>
      </c>
      <c r="F810" s="449">
        <v>60145354</v>
      </c>
      <c r="G810" s="29" t="s">
        <v>280</v>
      </c>
      <c r="H810" s="29" t="s">
        <v>1575</v>
      </c>
      <c r="I810" s="10" t="s">
        <v>3168</v>
      </c>
    </row>
    <row r="811" spans="1:9" ht="12.75" customHeight="1" x14ac:dyDescent="0.2">
      <c r="A811" s="17" t="s">
        <v>2940</v>
      </c>
      <c r="B811" s="10">
        <v>1000095634</v>
      </c>
      <c r="C811" s="23" t="s">
        <v>1493</v>
      </c>
      <c r="D811" s="10" t="s">
        <v>2948</v>
      </c>
      <c r="E811" s="13">
        <v>6181.2</v>
      </c>
      <c r="F811" s="449">
        <v>60150235</v>
      </c>
      <c r="G811" s="29" t="s">
        <v>280</v>
      </c>
      <c r="H811" s="29" t="s">
        <v>1575</v>
      </c>
      <c r="I811" s="10" t="s">
        <v>3526</v>
      </c>
    </row>
    <row r="812" spans="1:9" ht="12.75" customHeight="1" x14ac:dyDescent="0.2">
      <c r="A812" s="17" t="s">
        <v>2941</v>
      </c>
      <c r="B812" s="10">
        <v>1000095634</v>
      </c>
      <c r="C812" s="23" t="s">
        <v>1493</v>
      </c>
      <c r="D812" s="10" t="s">
        <v>2946</v>
      </c>
      <c r="E812" s="13">
        <v>7023.6</v>
      </c>
      <c r="F812" s="449">
        <v>60139858</v>
      </c>
      <c r="G812" s="17" t="s">
        <v>280</v>
      </c>
      <c r="H812" s="29" t="s">
        <v>1575</v>
      </c>
      <c r="I812" s="10" t="s">
        <v>3099</v>
      </c>
    </row>
    <row r="813" spans="1:9" s="38" customFormat="1" ht="12.75" customHeight="1" x14ac:dyDescent="0.2">
      <c r="A813" s="29" t="s">
        <v>2942</v>
      </c>
      <c r="B813" s="23">
        <v>1000095634</v>
      </c>
      <c r="C813" s="23" t="s">
        <v>1493</v>
      </c>
      <c r="D813" s="23" t="s">
        <v>2949</v>
      </c>
      <c r="E813" s="39">
        <v>3628.8</v>
      </c>
      <c r="F813" s="130">
        <v>60149046</v>
      </c>
      <c r="G813" s="29" t="s">
        <v>280</v>
      </c>
      <c r="H813" s="29" t="s">
        <v>1575</v>
      </c>
      <c r="I813" s="23" t="s">
        <v>3447</v>
      </c>
    </row>
    <row r="814" spans="1:9" ht="12.75" customHeight="1" x14ac:dyDescent="0.2">
      <c r="A814" s="17" t="s">
        <v>2950</v>
      </c>
      <c r="B814" s="10">
        <v>1000109237</v>
      </c>
      <c r="C814" s="23" t="s">
        <v>1493</v>
      </c>
      <c r="D814" s="10" t="s">
        <v>2961</v>
      </c>
      <c r="E814" s="13">
        <v>5077.8</v>
      </c>
      <c r="F814" s="129">
        <v>60138116</v>
      </c>
      <c r="G814" s="10" t="s">
        <v>280</v>
      </c>
      <c r="H814" s="10" t="s">
        <v>171</v>
      </c>
      <c r="I814" s="10" t="s">
        <v>3089</v>
      </c>
    </row>
    <row r="815" spans="1:9" ht="12.75" customHeight="1" x14ac:dyDescent="0.2">
      <c r="A815" s="17" t="s">
        <v>2951</v>
      </c>
      <c r="B815" s="10">
        <v>1000109237</v>
      </c>
      <c r="C815" s="23" t="s">
        <v>1493</v>
      </c>
      <c r="D815" s="10" t="s">
        <v>2962</v>
      </c>
      <c r="E815" s="13">
        <v>7482.78</v>
      </c>
      <c r="F815" s="129">
        <v>60145424</v>
      </c>
      <c r="G815" s="10" t="s">
        <v>280</v>
      </c>
      <c r="H815" s="10" t="s">
        <v>171</v>
      </c>
      <c r="I815" s="10" t="s">
        <v>3168</v>
      </c>
    </row>
    <row r="816" spans="1:9" ht="12.75" customHeight="1" x14ac:dyDescent="0.2">
      <c r="A816" s="17" t="s">
        <v>2952</v>
      </c>
      <c r="B816" s="10">
        <v>1000109237</v>
      </c>
      <c r="C816" s="23" t="s">
        <v>1493</v>
      </c>
      <c r="D816" s="10" t="s">
        <v>2963</v>
      </c>
      <c r="E816" s="13">
        <v>15774.66</v>
      </c>
      <c r="F816" s="129">
        <v>60138120</v>
      </c>
      <c r="G816" s="10" t="s">
        <v>280</v>
      </c>
      <c r="H816" s="10" t="s">
        <v>1204</v>
      </c>
      <c r="I816" s="10" t="s">
        <v>3099</v>
      </c>
    </row>
    <row r="817" spans="1:9" ht="12.75" customHeight="1" x14ac:dyDescent="0.2">
      <c r="A817" s="17" t="s">
        <v>2953</v>
      </c>
      <c r="B817" s="10">
        <v>1000109237</v>
      </c>
      <c r="C817" s="23" t="s">
        <v>1493</v>
      </c>
      <c r="D817" s="10" t="s">
        <v>2964</v>
      </c>
      <c r="E817" s="13">
        <v>5301</v>
      </c>
      <c r="F817" s="129">
        <v>60138115</v>
      </c>
      <c r="G817" s="10" t="s">
        <v>280</v>
      </c>
      <c r="H817" s="10" t="s">
        <v>171</v>
      </c>
      <c r="I817" s="10" t="s">
        <v>3089</v>
      </c>
    </row>
    <row r="818" spans="1:9" ht="12.75" customHeight="1" x14ac:dyDescent="0.2">
      <c r="A818" s="10" t="s">
        <v>2954</v>
      </c>
      <c r="B818" s="10">
        <v>1000109237</v>
      </c>
      <c r="C818" s="23" t="s">
        <v>1493</v>
      </c>
      <c r="D818" s="10" t="s">
        <v>2965</v>
      </c>
      <c r="E818" s="13">
        <v>8169.12</v>
      </c>
      <c r="F818" s="129">
        <v>60145422</v>
      </c>
      <c r="G818" s="10" t="s">
        <v>280</v>
      </c>
      <c r="H818" s="10" t="s">
        <v>171</v>
      </c>
      <c r="I818" s="10" t="s">
        <v>3168</v>
      </c>
    </row>
    <row r="819" spans="1:9" s="38" customFormat="1" ht="12.75" customHeight="1" x14ac:dyDescent="0.2">
      <c r="A819" s="23" t="s">
        <v>2955</v>
      </c>
      <c r="B819" s="23">
        <v>1000109237</v>
      </c>
      <c r="C819" s="23" t="s">
        <v>1493</v>
      </c>
      <c r="D819" s="23" t="s">
        <v>2966</v>
      </c>
      <c r="E819" s="39">
        <v>2628.18</v>
      </c>
      <c r="F819" s="191">
        <v>60145401</v>
      </c>
      <c r="G819" s="23" t="s">
        <v>280</v>
      </c>
      <c r="H819" s="23" t="s">
        <v>171</v>
      </c>
      <c r="I819" s="23" t="s">
        <v>3168</v>
      </c>
    </row>
    <row r="820" spans="1:9" ht="12.75" customHeight="1" x14ac:dyDescent="0.2">
      <c r="A820" s="17" t="s">
        <v>2956</v>
      </c>
      <c r="B820" s="10">
        <v>1000109237</v>
      </c>
      <c r="C820" s="23" t="s">
        <v>1493</v>
      </c>
      <c r="D820" s="10" t="s">
        <v>2967</v>
      </c>
      <c r="E820" s="13">
        <v>10892.16</v>
      </c>
      <c r="F820" s="129" t="s">
        <v>431</v>
      </c>
      <c r="G820" s="10" t="s">
        <v>92</v>
      </c>
      <c r="H820" s="10" t="s">
        <v>171</v>
      </c>
      <c r="I820" s="10" t="s">
        <v>2741</v>
      </c>
    </row>
    <row r="821" spans="1:9" ht="12.75" customHeight="1" x14ac:dyDescent="0.2">
      <c r="A821" s="10" t="s">
        <v>2957</v>
      </c>
      <c r="B821" s="10">
        <v>1000109237</v>
      </c>
      <c r="C821" s="23" t="s">
        <v>1493</v>
      </c>
      <c r="D821" s="10" t="s">
        <v>2968</v>
      </c>
      <c r="E821" s="13">
        <v>9987.08</v>
      </c>
      <c r="F821" s="129">
        <v>60145762</v>
      </c>
      <c r="G821" s="10" t="s">
        <v>280</v>
      </c>
      <c r="H821" s="23" t="s">
        <v>211</v>
      </c>
      <c r="I821" s="130" t="s">
        <v>3278</v>
      </c>
    </row>
    <row r="822" spans="1:9" ht="12.75" customHeight="1" x14ac:dyDescent="0.2">
      <c r="A822" s="17" t="s">
        <v>2958</v>
      </c>
      <c r="B822" s="10">
        <v>1000109237</v>
      </c>
      <c r="C822" s="23" t="s">
        <v>1493</v>
      </c>
      <c r="D822" s="10" t="s">
        <v>2969</v>
      </c>
      <c r="E822" s="13">
        <v>10512.72</v>
      </c>
      <c r="F822" s="129" t="s">
        <v>431</v>
      </c>
      <c r="G822" s="10" t="s">
        <v>92</v>
      </c>
      <c r="H822" s="23" t="s">
        <v>211</v>
      </c>
      <c r="I822" s="10" t="s">
        <v>2741</v>
      </c>
    </row>
    <row r="823" spans="1:9" ht="12.75" customHeight="1" x14ac:dyDescent="0.2">
      <c r="A823" s="10" t="s">
        <v>2959</v>
      </c>
      <c r="B823" s="10">
        <v>1000109237</v>
      </c>
      <c r="C823" s="23" t="s">
        <v>1493</v>
      </c>
      <c r="D823" s="10" t="s">
        <v>2970</v>
      </c>
      <c r="E823" s="13">
        <v>2494.2600000000002</v>
      </c>
      <c r="F823" s="191">
        <v>60141329</v>
      </c>
      <c r="G823" s="23" t="s">
        <v>280</v>
      </c>
      <c r="H823" s="23" t="s">
        <v>171</v>
      </c>
      <c r="I823" s="10" t="s">
        <v>3099</v>
      </c>
    </row>
    <row r="824" spans="1:9" ht="12.75" customHeight="1" x14ac:dyDescent="0.2">
      <c r="A824" s="10" t="s">
        <v>2960</v>
      </c>
      <c r="B824" s="10">
        <v>1000109237</v>
      </c>
      <c r="C824" s="23" t="s">
        <v>1493</v>
      </c>
      <c r="D824" s="10" t="s">
        <v>2971</v>
      </c>
      <c r="E824" s="13">
        <v>7482.78</v>
      </c>
      <c r="F824" s="129">
        <v>60145761</v>
      </c>
      <c r="G824" s="10" t="s">
        <v>280</v>
      </c>
      <c r="H824" s="10" t="s">
        <v>171</v>
      </c>
      <c r="I824" s="130" t="s">
        <v>3278</v>
      </c>
    </row>
    <row r="825" spans="1:9" s="11" customFormat="1" ht="12.75" customHeight="1" x14ac:dyDescent="0.2">
      <c r="A825" s="17" t="s">
        <v>2977</v>
      </c>
      <c r="B825" s="10">
        <v>1000103407</v>
      </c>
      <c r="C825" s="23" t="s">
        <v>1493</v>
      </c>
      <c r="D825" s="10" t="s">
        <v>2978</v>
      </c>
      <c r="E825" s="13">
        <v>1555.2</v>
      </c>
      <c r="F825" s="129">
        <v>60143639</v>
      </c>
      <c r="G825" s="10" t="s">
        <v>280</v>
      </c>
      <c r="H825" s="17" t="s">
        <v>2976</v>
      </c>
      <c r="I825" s="10" t="s">
        <v>3378</v>
      </c>
    </row>
    <row r="826" spans="1:9" s="11" customFormat="1" ht="12.75" customHeight="1" x14ac:dyDescent="0.2">
      <c r="A826" s="17" t="s">
        <v>2981</v>
      </c>
      <c r="B826" s="10">
        <v>1000079359</v>
      </c>
      <c r="C826" s="23" t="s">
        <v>1493</v>
      </c>
      <c r="D826" s="10" t="s">
        <v>2980</v>
      </c>
      <c r="E826" s="13">
        <v>8760</v>
      </c>
      <c r="F826" s="129">
        <v>60144153</v>
      </c>
      <c r="G826" s="23" t="s">
        <v>280</v>
      </c>
      <c r="H826" s="17" t="s">
        <v>952</v>
      </c>
      <c r="I826" s="10" t="s">
        <v>3307</v>
      </c>
    </row>
    <row r="827" spans="1:9" s="11" customFormat="1" ht="12.75" customHeight="1" x14ac:dyDescent="0.2">
      <c r="A827" s="10" t="s">
        <v>3061</v>
      </c>
      <c r="B827" s="10">
        <v>1000116575</v>
      </c>
      <c r="C827" s="23" t="s">
        <v>1494</v>
      </c>
      <c r="D827" s="10" t="s">
        <v>3019</v>
      </c>
      <c r="E827" s="13">
        <v>10410</v>
      </c>
      <c r="F827" s="129">
        <v>60147206</v>
      </c>
      <c r="G827" s="10" t="s">
        <v>280</v>
      </c>
      <c r="H827" s="23" t="s">
        <v>2423</v>
      </c>
      <c r="I827" s="10" t="s">
        <v>3307</v>
      </c>
    </row>
    <row r="828" spans="1:9" s="11" customFormat="1" ht="12.75" customHeight="1" x14ac:dyDescent="0.2">
      <c r="A828" s="10" t="s">
        <v>3062</v>
      </c>
      <c r="B828" s="10">
        <v>1000095634</v>
      </c>
      <c r="C828" s="23" t="s">
        <v>1494</v>
      </c>
      <c r="D828" s="10" t="s">
        <v>3069</v>
      </c>
      <c r="E828" s="13">
        <v>11095.2</v>
      </c>
      <c r="F828" s="449">
        <v>60139858</v>
      </c>
      <c r="G828" s="17" t="s">
        <v>280</v>
      </c>
      <c r="H828" s="29" t="s">
        <v>1575</v>
      </c>
      <c r="I828" s="10" t="s">
        <v>3168</v>
      </c>
    </row>
    <row r="829" spans="1:9" s="11" customFormat="1" ht="12.75" customHeight="1" x14ac:dyDescent="0.2">
      <c r="A829" s="10" t="s">
        <v>3063</v>
      </c>
      <c r="B829" s="10">
        <v>1000095634</v>
      </c>
      <c r="C829" s="23" t="s">
        <v>1494</v>
      </c>
      <c r="D829" s="10" t="s">
        <v>3070</v>
      </c>
      <c r="E829" s="13">
        <v>14850</v>
      </c>
      <c r="F829" s="130">
        <v>60139861</v>
      </c>
      <c r="G829" s="29" t="s">
        <v>280</v>
      </c>
      <c r="H829" s="29" t="s">
        <v>1575</v>
      </c>
      <c r="I829" s="10" t="s">
        <v>3168</v>
      </c>
    </row>
    <row r="830" spans="1:9" s="11" customFormat="1" ht="12.75" customHeight="1" x14ac:dyDescent="0.2">
      <c r="A830" s="10" t="s">
        <v>3064</v>
      </c>
      <c r="B830" s="10">
        <v>1000095634</v>
      </c>
      <c r="C830" s="23" t="s">
        <v>1494</v>
      </c>
      <c r="D830" s="10" t="s">
        <v>3071</v>
      </c>
      <c r="E830" s="13">
        <v>10857.6</v>
      </c>
      <c r="F830" s="129">
        <v>60139859</v>
      </c>
      <c r="G830" s="10" t="s">
        <v>280</v>
      </c>
      <c r="H830" s="23" t="s">
        <v>1575</v>
      </c>
      <c r="I830" s="10" t="s">
        <v>3168</v>
      </c>
    </row>
    <row r="831" spans="1:9" s="11" customFormat="1" ht="12.75" customHeight="1" x14ac:dyDescent="0.2">
      <c r="A831" s="10" t="s">
        <v>3065</v>
      </c>
      <c r="B831" s="10">
        <v>1000095634</v>
      </c>
      <c r="C831" s="23" t="s">
        <v>1494</v>
      </c>
      <c r="D831" s="10" t="s">
        <v>3072</v>
      </c>
      <c r="E831" s="13">
        <v>15162</v>
      </c>
      <c r="F831" s="129">
        <v>60145354</v>
      </c>
      <c r="G831" s="10" t="s">
        <v>280</v>
      </c>
      <c r="H831" s="23" t="s">
        <v>1575</v>
      </c>
      <c r="I831" s="10" t="s">
        <v>3168</v>
      </c>
    </row>
    <row r="832" spans="1:9" s="11" customFormat="1" ht="12.75" customHeight="1" x14ac:dyDescent="0.2">
      <c r="A832" s="10" t="s">
        <v>3066</v>
      </c>
      <c r="B832" s="10">
        <v>1000095634</v>
      </c>
      <c r="C832" s="23" t="s">
        <v>1494</v>
      </c>
      <c r="D832" s="10" t="s">
        <v>3073</v>
      </c>
      <c r="E832" s="13">
        <v>4296</v>
      </c>
      <c r="F832" s="129">
        <v>60144469</v>
      </c>
      <c r="G832" s="10" t="s">
        <v>280</v>
      </c>
      <c r="H832" s="23" t="s">
        <v>1575</v>
      </c>
      <c r="I832" s="10" t="s">
        <v>3168</v>
      </c>
    </row>
    <row r="833" spans="1:9" s="437" customFormat="1" ht="12.75" customHeight="1" x14ac:dyDescent="0.2">
      <c r="A833" s="23" t="s">
        <v>3067</v>
      </c>
      <c r="B833" s="23">
        <v>1000095634</v>
      </c>
      <c r="C833" s="23" t="s">
        <v>1494</v>
      </c>
      <c r="D833" s="23" t="s">
        <v>3071</v>
      </c>
      <c r="E833" s="39">
        <v>10740</v>
      </c>
      <c r="F833" s="191">
        <v>60144584</v>
      </c>
      <c r="G833" s="23" t="s">
        <v>280</v>
      </c>
      <c r="H833" s="23" t="s">
        <v>1575</v>
      </c>
      <c r="I833" s="23" t="s">
        <v>3168</v>
      </c>
    </row>
    <row r="834" spans="1:9" s="11" customFormat="1" ht="12.75" customHeight="1" x14ac:dyDescent="0.2">
      <c r="A834" s="10" t="s">
        <v>3068</v>
      </c>
      <c r="B834" s="10">
        <v>1000095634</v>
      </c>
      <c r="C834" s="23" t="s">
        <v>1494</v>
      </c>
      <c r="D834" s="10" t="s">
        <v>3074</v>
      </c>
      <c r="E834" s="13">
        <v>1074</v>
      </c>
      <c r="F834" s="129">
        <v>60145358</v>
      </c>
      <c r="G834" s="10" t="s">
        <v>280</v>
      </c>
      <c r="H834" s="23" t="s">
        <v>1575</v>
      </c>
      <c r="I834" s="10" t="s">
        <v>3168</v>
      </c>
    </row>
    <row r="835" spans="1:9" s="437" customFormat="1" ht="12.75" customHeight="1" x14ac:dyDescent="0.2">
      <c r="A835" s="29" t="s">
        <v>3037</v>
      </c>
      <c r="B835" s="23">
        <v>1000079359</v>
      </c>
      <c r="C835" s="23" t="s">
        <v>1494</v>
      </c>
      <c r="D835" s="23" t="s">
        <v>3049</v>
      </c>
      <c r="E835" s="39">
        <v>9480</v>
      </c>
      <c r="F835" s="191">
        <v>60144153</v>
      </c>
      <c r="G835" s="23" t="s">
        <v>92</v>
      </c>
      <c r="H835" s="29" t="s">
        <v>952</v>
      </c>
      <c r="I835" s="23" t="s">
        <v>2741</v>
      </c>
    </row>
    <row r="836" spans="1:9" s="11" customFormat="1" ht="12.75" customHeight="1" x14ac:dyDescent="0.2">
      <c r="A836" s="10" t="s">
        <v>3038</v>
      </c>
      <c r="B836" s="10">
        <v>1000079359</v>
      </c>
      <c r="C836" s="23" t="s">
        <v>1494</v>
      </c>
      <c r="D836" s="10" t="s">
        <v>3050</v>
      </c>
      <c r="E836" s="13">
        <v>16934.400000000001</v>
      </c>
      <c r="F836" s="129">
        <v>60141499</v>
      </c>
      <c r="G836" s="10" t="s">
        <v>280</v>
      </c>
      <c r="H836" s="23" t="s">
        <v>1278</v>
      </c>
      <c r="I836" s="10" t="s">
        <v>3168</v>
      </c>
    </row>
    <row r="837" spans="1:9" s="437" customFormat="1" ht="12.75" customHeight="1" x14ac:dyDescent="0.2">
      <c r="A837" s="23" t="s">
        <v>3039</v>
      </c>
      <c r="B837" s="23">
        <v>1000079359</v>
      </c>
      <c r="C837" s="23" t="s">
        <v>1494</v>
      </c>
      <c r="D837" s="23" t="s">
        <v>3051</v>
      </c>
      <c r="E837" s="39">
        <v>14130</v>
      </c>
      <c r="F837" s="191">
        <v>60145923</v>
      </c>
      <c r="G837" s="23" t="s">
        <v>280</v>
      </c>
      <c r="H837" s="23" t="s">
        <v>994</v>
      </c>
      <c r="I837" s="130" t="s">
        <v>3278</v>
      </c>
    </row>
    <row r="838" spans="1:9" s="11" customFormat="1" ht="12.75" customHeight="1" x14ac:dyDescent="0.2">
      <c r="A838" s="10" t="s">
        <v>3040</v>
      </c>
      <c r="B838" s="10">
        <v>1000079359</v>
      </c>
      <c r="C838" s="23" t="s">
        <v>1494</v>
      </c>
      <c r="D838" s="10" t="s">
        <v>3052</v>
      </c>
      <c r="E838" s="13">
        <v>5856</v>
      </c>
      <c r="F838" s="191">
        <v>60143325</v>
      </c>
      <c r="G838" s="23" t="s">
        <v>280</v>
      </c>
      <c r="H838" s="23" t="s">
        <v>161</v>
      </c>
      <c r="I838" s="10" t="s">
        <v>3168</v>
      </c>
    </row>
    <row r="839" spans="1:9" s="11" customFormat="1" ht="12.75" customHeight="1" x14ac:dyDescent="0.2">
      <c r="A839" s="10" t="s">
        <v>3041</v>
      </c>
      <c r="B839" s="10">
        <v>1000079359</v>
      </c>
      <c r="C839" s="23" t="s">
        <v>1494</v>
      </c>
      <c r="D839" s="10" t="s">
        <v>3053</v>
      </c>
      <c r="E839" s="13">
        <v>2928</v>
      </c>
      <c r="F839" s="129">
        <v>60141179</v>
      </c>
      <c r="G839" s="10" t="s">
        <v>280</v>
      </c>
      <c r="H839" s="10" t="s">
        <v>216</v>
      </c>
      <c r="I839" s="10" t="s">
        <v>3168</v>
      </c>
    </row>
    <row r="840" spans="1:9" s="11" customFormat="1" ht="12.75" customHeight="1" x14ac:dyDescent="0.2">
      <c r="A840" s="10" t="s">
        <v>3042</v>
      </c>
      <c r="B840" s="10">
        <v>1000079359</v>
      </c>
      <c r="C840" s="23" t="s">
        <v>1494</v>
      </c>
      <c r="D840" s="10" t="s">
        <v>3054</v>
      </c>
      <c r="E840" s="13">
        <v>11126.4</v>
      </c>
      <c r="F840" s="129">
        <v>60143618</v>
      </c>
      <c r="G840" s="10" t="s">
        <v>280</v>
      </c>
      <c r="H840" s="10" t="s">
        <v>216</v>
      </c>
      <c r="I840" s="10" t="s">
        <v>3168</v>
      </c>
    </row>
    <row r="841" spans="1:9" s="11" customFormat="1" ht="12.75" customHeight="1" x14ac:dyDescent="0.2">
      <c r="A841" s="10" t="s">
        <v>3043</v>
      </c>
      <c r="B841" s="10">
        <v>1000079359</v>
      </c>
      <c r="C841" s="23" t="s">
        <v>1494</v>
      </c>
      <c r="D841" s="10" t="s">
        <v>3055</v>
      </c>
      <c r="E841" s="13">
        <v>13582.8</v>
      </c>
      <c r="F841" s="129">
        <v>60141322</v>
      </c>
      <c r="G841" s="10" t="s">
        <v>280</v>
      </c>
      <c r="H841" s="10" t="s">
        <v>1278</v>
      </c>
      <c r="I841" s="10" t="s">
        <v>3168</v>
      </c>
    </row>
    <row r="842" spans="1:9" s="437" customFormat="1" ht="12.75" customHeight="1" x14ac:dyDescent="0.2">
      <c r="A842" s="23" t="s">
        <v>3044</v>
      </c>
      <c r="B842" s="23">
        <v>1000079359</v>
      </c>
      <c r="C842" s="23" t="s">
        <v>1494</v>
      </c>
      <c r="D842" s="23" t="s">
        <v>3056</v>
      </c>
      <c r="E842" s="39">
        <v>16170</v>
      </c>
      <c r="F842" s="191">
        <v>60146084</v>
      </c>
      <c r="G842" s="23" t="s">
        <v>280</v>
      </c>
      <c r="H842" s="23" t="s">
        <v>216</v>
      </c>
      <c r="I842" s="130" t="s">
        <v>3278</v>
      </c>
    </row>
    <row r="843" spans="1:9" s="437" customFormat="1" ht="12.75" customHeight="1" x14ac:dyDescent="0.2">
      <c r="A843" s="23" t="s">
        <v>3045</v>
      </c>
      <c r="B843" s="23">
        <v>1000079359</v>
      </c>
      <c r="C843" s="23" t="s">
        <v>1494</v>
      </c>
      <c r="D843" s="23" t="s">
        <v>3057</v>
      </c>
      <c r="E843" s="39">
        <v>936</v>
      </c>
      <c r="F843" s="191">
        <v>60145401</v>
      </c>
      <c r="G843" s="23" t="s">
        <v>280</v>
      </c>
      <c r="H843" s="29" t="s">
        <v>171</v>
      </c>
      <c r="I843" s="23" t="s">
        <v>3168</v>
      </c>
    </row>
    <row r="844" spans="1:9" s="437" customFormat="1" ht="12.75" customHeight="1" x14ac:dyDescent="0.2">
      <c r="A844" s="23" t="s">
        <v>3046</v>
      </c>
      <c r="B844" s="23">
        <v>1000079359</v>
      </c>
      <c r="C844" s="23" t="s">
        <v>1494</v>
      </c>
      <c r="D844" s="23" t="s">
        <v>3058</v>
      </c>
      <c r="E844" s="39">
        <v>7905.6</v>
      </c>
      <c r="F844" s="191">
        <v>60145763</v>
      </c>
      <c r="G844" s="23" t="s">
        <v>280</v>
      </c>
      <c r="H844" s="23" t="s">
        <v>161</v>
      </c>
      <c r="I844" s="130" t="s">
        <v>3278</v>
      </c>
    </row>
    <row r="845" spans="1:9" s="11" customFormat="1" ht="12.75" customHeight="1" x14ac:dyDescent="0.2">
      <c r="A845" s="10" t="s">
        <v>3047</v>
      </c>
      <c r="B845" s="10">
        <v>1000079359</v>
      </c>
      <c r="C845" s="23" t="s">
        <v>1494</v>
      </c>
      <c r="D845" s="10" t="s">
        <v>3059</v>
      </c>
      <c r="E845" s="13">
        <v>2826</v>
      </c>
      <c r="F845" s="191">
        <v>60143527</v>
      </c>
      <c r="G845" s="23" t="s">
        <v>280</v>
      </c>
      <c r="H845" s="23" t="s">
        <v>1774</v>
      </c>
      <c r="I845" s="10" t="s">
        <v>3168</v>
      </c>
    </row>
    <row r="846" spans="1:9" s="11" customFormat="1" ht="12.75" customHeight="1" x14ac:dyDescent="0.2">
      <c r="A846" s="10" t="s">
        <v>3048</v>
      </c>
      <c r="B846" s="10">
        <v>1000079359</v>
      </c>
      <c r="C846" s="23" t="s">
        <v>1494</v>
      </c>
      <c r="D846" s="10" t="s">
        <v>3060</v>
      </c>
      <c r="E846" s="13">
        <v>14640</v>
      </c>
      <c r="F846" s="129">
        <v>60141323</v>
      </c>
      <c r="G846" s="10" t="s">
        <v>280</v>
      </c>
      <c r="H846" s="23" t="s">
        <v>161</v>
      </c>
      <c r="I846" s="10" t="s">
        <v>3168</v>
      </c>
    </row>
    <row r="847" spans="1:9" s="437" customFormat="1" ht="12.75" customHeight="1" x14ac:dyDescent="0.2">
      <c r="A847" s="23" t="s">
        <v>3021</v>
      </c>
      <c r="B847" s="23">
        <v>1000105043</v>
      </c>
      <c r="C847" s="23" t="s">
        <v>1494</v>
      </c>
      <c r="D847" s="23" t="s">
        <v>3029</v>
      </c>
      <c r="E847" s="39">
        <v>4027.2</v>
      </c>
      <c r="F847" s="191">
        <v>60141328</v>
      </c>
      <c r="G847" s="23" t="s">
        <v>280</v>
      </c>
      <c r="H847" s="29" t="s">
        <v>171</v>
      </c>
      <c r="I847" s="23" t="s">
        <v>3168</v>
      </c>
    </row>
    <row r="848" spans="1:9" s="45" customFormat="1" ht="12.75" customHeight="1" x14ac:dyDescent="0.2">
      <c r="A848" s="29" t="s">
        <v>3022</v>
      </c>
      <c r="B848" s="29">
        <v>1000105043</v>
      </c>
      <c r="C848" s="29" t="s">
        <v>1494</v>
      </c>
      <c r="D848" s="29" t="s">
        <v>3030</v>
      </c>
      <c r="E848" s="86">
        <v>37326</v>
      </c>
      <c r="F848" s="760">
        <v>60146577</v>
      </c>
      <c r="G848" s="29" t="s">
        <v>280</v>
      </c>
      <c r="H848" s="29" t="s">
        <v>161</v>
      </c>
      <c r="I848" s="29" t="s">
        <v>3296</v>
      </c>
    </row>
    <row r="849" spans="1:9" s="437" customFormat="1" ht="12.75" customHeight="1" x14ac:dyDescent="0.2">
      <c r="A849" s="23" t="s">
        <v>3023</v>
      </c>
      <c r="B849" s="23">
        <v>1000105043</v>
      </c>
      <c r="C849" s="23" t="s">
        <v>1494</v>
      </c>
      <c r="D849" s="29" t="s">
        <v>3031</v>
      </c>
      <c r="E849" s="39">
        <v>39006</v>
      </c>
      <c r="F849" s="191">
        <v>60141500</v>
      </c>
      <c r="G849" s="23" t="s">
        <v>280</v>
      </c>
      <c r="H849" s="23" t="s">
        <v>161</v>
      </c>
      <c r="I849" s="23" t="s">
        <v>3168</v>
      </c>
    </row>
    <row r="850" spans="1:9" s="437" customFormat="1" ht="12.75" customHeight="1" x14ac:dyDescent="0.2">
      <c r="A850" s="29" t="s">
        <v>3024</v>
      </c>
      <c r="B850" s="23">
        <v>1000105043</v>
      </c>
      <c r="C850" s="23" t="s">
        <v>1494</v>
      </c>
      <c r="D850" s="29" t="s">
        <v>3032</v>
      </c>
      <c r="E850" s="39">
        <v>40611</v>
      </c>
      <c r="F850" s="191">
        <v>60141188</v>
      </c>
      <c r="G850" s="23" t="s">
        <v>92</v>
      </c>
      <c r="H850" s="23" t="s">
        <v>1476</v>
      </c>
      <c r="I850" s="23" t="s">
        <v>2741</v>
      </c>
    </row>
    <row r="851" spans="1:9" s="437" customFormat="1" ht="12.75" customHeight="1" x14ac:dyDescent="0.2">
      <c r="A851" s="23" t="s">
        <v>3025</v>
      </c>
      <c r="B851" s="23">
        <v>1000105043</v>
      </c>
      <c r="C851" s="23" t="s">
        <v>1494</v>
      </c>
      <c r="D851" s="23" t="s">
        <v>3033</v>
      </c>
      <c r="E851" s="39">
        <v>45158.400000000001</v>
      </c>
      <c r="F851" s="191">
        <v>60145364</v>
      </c>
      <c r="G851" s="23" t="s">
        <v>280</v>
      </c>
      <c r="H851" s="29" t="s">
        <v>216</v>
      </c>
      <c r="I851" s="23" t="s">
        <v>3296</v>
      </c>
    </row>
    <row r="852" spans="1:9" s="437" customFormat="1" x14ac:dyDescent="0.2">
      <c r="A852" s="23" t="s">
        <v>3026</v>
      </c>
      <c r="B852" s="23">
        <v>1000105043</v>
      </c>
      <c r="C852" s="23" t="s">
        <v>1494</v>
      </c>
      <c r="D852" s="29" t="s">
        <v>3034</v>
      </c>
      <c r="E852" s="39">
        <v>26996.400000000001</v>
      </c>
      <c r="F852" s="191">
        <v>60148321</v>
      </c>
      <c r="G852" s="23" t="s">
        <v>280</v>
      </c>
      <c r="H852" s="29" t="s">
        <v>1278</v>
      </c>
      <c r="I852" s="23" t="s">
        <v>3379</v>
      </c>
    </row>
    <row r="853" spans="1:9" s="437" customFormat="1" ht="12.75" customHeight="1" x14ac:dyDescent="0.2">
      <c r="A853" s="23" t="s">
        <v>3027</v>
      </c>
      <c r="B853" s="23">
        <v>1000105043</v>
      </c>
      <c r="C853" s="23" t="s">
        <v>1494</v>
      </c>
      <c r="D853" s="23" t="s">
        <v>3035</v>
      </c>
      <c r="E853" s="39">
        <v>9230.4</v>
      </c>
      <c r="F853" s="191">
        <v>60157589</v>
      </c>
      <c r="G853" s="23" t="s">
        <v>280</v>
      </c>
      <c r="H853" s="29" t="s">
        <v>171</v>
      </c>
      <c r="I853" s="23" t="s">
        <v>4642</v>
      </c>
    </row>
    <row r="854" spans="1:9" s="437" customFormat="1" ht="12.75" customHeight="1" x14ac:dyDescent="0.2">
      <c r="A854" s="29" t="s">
        <v>3088</v>
      </c>
      <c r="B854" s="23">
        <v>1000105043</v>
      </c>
      <c r="C854" s="23" t="s">
        <v>1494</v>
      </c>
      <c r="D854" s="23" t="s">
        <v>3087</v>
      </c>
      <c r="E854" s="39">
        <v>16317.6</v>
      </c>
      <c r="F854" s="191">
        <v>60143614</v>
      </c>
      <c r="G854" s="23" t="s">
        <v>280</v>
      </c>
      <c r="H854" s="29" t="s">
        <v>1278</v>
      </c>
      <c r="I854" s="23" t="s">
        <v>3379</v>
      </c>
    </row>
    <row r="855" spans="1:9" s="437" customFormat="1" ht="12.75" customHeight="1" x14ac:dyDescent="0.2">
      <c r="A855" s="23" t="s">
        <v>3028</v>
      </c>
      <c r="B855" s="23">
        <v>1000109733</v>
      </c>
      <c r="C855" s="23" t="s">
        <v>1494</v>
      </c>
      <c r="D855" s="29" t="s">
        <v>3036</v>
      </c>
      <c r="E855" s="39">
        <v>35334</v>
      </c>
      <c r="F855" s="191">
        <v>60143723</v>
      </c>
      <c r="G855" s="23" t="s">
        <v>280</v>
      </c>
      <c r="H855" s="23" t="s">
        <v>216</v>
      </c>
      <c r="I855" s="23" t="s">
        <v>3168</v>
      </c>
    </row>
    <row r="856" spans="1:9" s="11" customFormat="1" ht="12.75" customHeight="1" x14ac:dyDescent="0.2">
      <c r="A856" s="10" t="s">
        <v>3075</v>
      </c>
      <c r="B856" s="23">
        <v>1000109237</v>
      </c>
      <c r="C856" s="23" t="s">
        <v>1494</v>
      </c>
      <c r="D856" s="10" t="s">
        <v>3081</v>
      </c>
      <c r="E856" s="13">
        <v>12471.3</v>
      </c>
      <c r="F856" s="129">
        <v>60145761</v>
      </c>
      <c r="G856" s="10" t="s">
        <v>280</v>
      </c>
      <c r="H856" s="10" t="s">
        <v>171</v>
      </c>
      <c r="I856" s="130" t="s">
        <v>3278</v>
      </c>
    </row>
    <row r="857" spans="1:9" s="11" customFormat="1" ht="12.75" customHeight="1" x14ac:dyDescent="0.2">
      <c r="A857" s="10" t="s">
        <v>3076</v>
      </c>
      <c r="B857" s="10">
        <v>1000109237</v>
      </c>
      <c r="C857" s="23" t="s">
        <v>1494</v>
      </c>
      <c r="D857" s="10" t="s">
        <v>3082</v>
      </c>
      <c r="E857" s="13">
        <v>13615.2</v>
      </c>
      <c r="F857" s="129">
        <v>60145422</v>
      </c>
      <c r="G857" s="10" t="s">
        <v>280</v>
      </c>
      <c r="H857" s="10" t="s">
        <v>171</v>
      </c>
      <c r="I857" s="10" t="s">
        <v>3168</v>
      </c>
    </row>
    <row r="858" spans="1:9" s="11" customFormat="1" ht="12.75" customHeight="1" x14ac:dyDescent="0.2">
      <c r="A858" s="17" t="s">
        <v>3077</v>
      </c>
      <c r="B858" s="10">
        <v>1000109237</v>
      </c>
      <c r="C858" s="23" t="s">
        <v>1494</v>
      </c>
      <c r="D858" s="10" t="s">
        <v>3083</v>
      </c>
      <c r="E858" s="13">
        <v>13140.9</v>
      </c>
      <c r="F858" s="129" t="s">
        <v>431</v>
      </c>
      <c r="G858" s="10" t="s">
        <v>92</v>
      </c>
      <c r="H858" s="23" t="s">
        <v>211</v>
      </c>
      <c r="I858" s="10" t="s">
        <v>2741</v>
      </c>
    </row>
    <row r="859" spans="1:9" s="11" customFormat="1" ht="12.75" customHeight="1" x14ac:dyDescent="0.2">
      <c r="A859" s="17" t="s">
        <v>3078</v>
      </c>
      <c r="B859" s="10">
        <v>1000109237</v>
      </c>
      <c r="C859" s="23" t="s">
        <v>1494</v>
      </c>
      <c r="D859" s="10" t="s">
        <v>3084</v>
      </c>
      <c r="E859" s="13">
        <v>13615.2</v>
      </c>
      <c r="F859" s="129" t="s">
        <v>431</v>
      </c>
      <c r="G859" s="10" t="s">
        <v>92</v>
      </c>
      <c r="H859" s="10" t="s">
        <v>171</v>
      </c>
      <c r="I859" s="10" t="s">
        <v>2741</v>
      </c>
    </row>
    <row r="860" spans="1:9" s="11" customFormat="1" ht="12.75" customHeight="1" x14ac:dyDescent="0.2">
      <c r="A860" s="10" t="s">
        <v>3079</v>
      </c>
      <c r="B860" s="10">
        <v>1000109237</v>
      </c>
      <c r="C860" s="23" t="s">
        <v>1494</v>
      </c>
      <c r="D860" s="10" t="s">
        <v>3085</v>
      </c>
      <c r="E860" s="13">
        <v>12471.3</v>
      </c>
      <c r="F860" s="129">
        <v>60145424</v>
      </c>
      <c r="G860" s="10" t="s">
        <v>280</v>
      </c>
      <c r="H860" s="10" t="s">
        <v>171</v>
      </c>
      <c r="I860" s="10" t="s">
        <v>3307</v>
      </c>
    </row>
    <row r="861" spans="1:9" s="11" customFormat="1" ht="12.75" customHeight="1" x14ac:dyDescent="0.2">
      <c r="A861" s="10" t="s">
        <v>3080</v>
      </c>
      <c r="B861" s="10">
        <v>1000109237</v>
      </c>
      <c r="C861" s="23" t="s">
        <v>1494</v>
      </c>
      <c r="D861" s="10" t="s">
        <v>3086</v>
      </c>
      <c r="E861" s="13">
        <v>6833.27</v>
      </c>
      <c r="F861" s="129">
        <v>60145423</v>
      </c>
      <c r="G861" s="10" t="s">
        <v>280</v>
      </c>
      <c r="H861" s="23" t="s">
        <v>211</v>
      </c>
      <c r="I861" s="10" t="s">
        <v>3168</v>
      </c>
    </row>
    <row r="862" spans="1:9" s="11" customFormat="1" ht="12.75" customHeight="1" x14ac:dyDescent="0.2">
      <c r="A862" s="10" t="s">
        <v>3176</v>
      </c>
      <c r="B862" s="10">
        <v>1000105043</v>
      </c>
      <c r="C862" s="23" t="s">
        <v>1495</v>
      </c>
      <c r="D862" s="29" t="s">
        <v>3177</v>
      </c>
      <c r="E862" s="13">
        <v>28367.759999999998</v>
      </c>
      <c r="F862" s="760">
        <v>60146577</v>
      </c>
      <c r="G862" s="29" t="s">
        <v>280</v>
      </c>
      <c r="H862" s="29" t="s">
        <v>161</v>
      </c>
      <c r="I862" s="10" t="s">
        <v>3307</v>
      </c>
    </row>
    <row r="863" spans="1:9" s="437" customFormat="1" ht="12.75" customHeight="1" x14ac:dyDescent="0.2">
      <c r="A863" s="23" t="s">
        <v>3178</v>
      </c>
      <c r="B863" s="23">
        <v>1000105043</v>
      </c>
      <c r="C863" s="23" t="s">
        <v>1495</v>
      </c>
      <c r="D863" s="29" t="s">
        <v>3179</v>
      </c>
      <c r="E863" s="39">
        <v>14930.4</v>
      </c>
      <c r="F863" s="191">
        <v>60141500</v>
      </c>
      <c r="G863" s="23" t="s">
        <v>280</v>
      </c>
      <c r="H863" s="29" t="s">
        <v>161</v>
      </c>
      <c r="I863" s="23" t="s">
        <v>3307</v>
      </c>
    </row>
    <row r="864" spans="1:9" s="437" customFormat="1" ht="12.75" customHeight="1" x14ac:dyDescent="0.2">
      <c r="A864" s="23" t="s">
        <v>3180</v>
      </c>
      <c r="B864" s="23">
        <v>1000105043</v>
      </c>
      <c r="C864" s="23" t="s">
        <v>1495</v>
      </c>
      <c r="D864" s="29" t="s">
        <v>3181</v>
      </c>
      <c r="E864" s="39">
        <v>30864.36</v>
      </c>
      <c r="F864" s="191">
        <v>60141188</v>
      </c>
      <c r="G864" s="23" t="s">
        <v>92</v>
      </c>
      <c r="H864" s="23" t="s">
        <v>1476</v>
      </c>
      <c r="I864" s="23" t="s">
        <v>2741</v>
      </c>
    </row>
    <row r="865" spans="1:9" s="437" customFormat="1" ht="12.75" customHeight="1" x14ac:dyDescent="0.2">
      <c r="A865" s="23" t="s">
        <v>3182</v>
      </c>
      <c r="B865" s="23">
        <v>1000105043</v>
      </c>
      <c r="C865" s="23" t="s">
        <v>1495</v>
      </c>
      <c r="D865" s="29" t="s">
        <v>3183</v>
      </c>
      <c r="E865" s="39">
        <v>55267.44</v>
      </c>
      <c r="F865" s="191">
        <v>60145364</v>
      </c>
      <c r="G865" s="23" t="s">
        <v>280</v>
      </c>
      <c r="H865" s="29" t="s">
        <v>216</v>
      </c>
      <c r="I865" s="23" t="s">
        <v>3307</v>
      </c>
    </row>
    <row r="866" spans="1:9" s="437" customFormat="1" ht="12.75" customHeight="1" x14ac:dyDescent="0.2">
      <c r="A866" s="23" t="s">
        <v>3184</v>
      </c>
      <c r="B866" s="23">
        <v>1000105043</v>
      </c>
      <c r="C866" s="23" t="s">
        <v>1495</v>
      </c>
      <c r="D866" s="29" t="s">
        <v>3185</v>
      </c>
      <c r="E866" s="86">
        <v>34195.440000000002</v>
      </c>
      <c r="F866" s="191">
        <v>60148321</v>
      </c>
      <c r="G866" s="23" t="s">
        <v>280</v>
      </c>
      <c r="H866" s="29" t="s">
        <v>1278</v>
      </c>
      <c r="I866" s="23" t="s">
        <v>3379</v>
      </c>
    </row>
    <row r="867" spans="1:9" s="437" customFormat="1" ht="12.75" customHeight="1" x14ac:dyDescent="0.2">
      <c r="A867" s="23" t="s">
        <v>3186</v>
      </c>
      <c r="B867" s="23">
        <v>1000105043</v>
      </c>
      <c r="C867" s="23" t="s">
        <v>1495</v>
      </c>
      <c r="D867" s="29" t="s">
        <v>3187</v>
      </c>
      <c r="E867" s="39">
        <v>13437.36</v>
      </c>
      <c r="F867" s="191">
        <v>60149054</v>
      </c>
      <c r="G867" s="23" t="s">
        <v>280</v>
      </c>
      <c r="H867" s="29" t="s">
        <v>161</v>
      </c>
      <c r="I867" s="23" t="s">
        <v>3510</v>
      </c>
    </row>
    <row r="868" spans="1:9" s="437" customFormat="1" ht="12.75" customHeight="1" x14ac:dyDescent="0.2">
      <c r="A868" s="23" t="s">
        <v>3188</v>
      </c>
      <c r="B868" s="23">
        <v>1000105043</v>
      </c>
      <c r="C868" s="23" t="s">
        <v>1495</v>
      </c>
      <c r="D868" s="29" t="s">
        <v>3189</v>
      </c>
      <c r="E868" s="39">
        <v>1944</v>
      </c>
      <c r="F868" s="191">
        <v>60141328</v>
      </c>
      <c r="G868" s="23" t="s">
        <v>280</v>
      </c>
      <c r="H868" s="29" t="s">
        <v>171</v>
      </c>
      <c r="I868" s="23" t="s">
        <v>3307</v>
      </c>
    </row>
    <row r="869" spans="1:9" s="437" customFormat="1" ht="12.75" customHeight="1" x14ac:dyDescent="0.2">
      <c r="A869" s="23" t="s">
        <v>3190</v>
      </c>
      <c r="B869" s="23">
        <v>1000109733</v>
      </c>
      <c r="C869" s="23" t="s">
        <v>1495</v>
      </c>
      <c r="D869" s="29" t="s">
        <v>3191</v>
      </c>
      <c r="E869" s="39">
        <v>26853.84</v>
      </c>
      <c r="F869" s="191">
        <v>60143723</v>
      </c>
      <c r="G869" s="23" t="s">
        <v>92</v>
      </c>
      <c r="H869" s="23" t="s">
        <v>216</v>
      </c>
      <c r="I869" s="23" t="s">
        <v>2741</v>
      </c>
    </row>
    <row r="870" spans="1:9" s="11" customFormat="1" ht="12.75" customHeight="1" x14ac:dyDescent="0.2">
      <c r="A870" s="10" t="s">
        <v>3197</v>
      </c>
      <c r="B870" s="10">
        <v>1000079359</v>
      </c>
      <c r="C870" s="23" t="s">
        <v>1495</v>
      </c>
      <c r="D870" s="23" t="s">
        <v>3207</v>
      </c>
      <c r="E870" s="13">
        <v>9702</v>
      </c>
      <c r="F870" s="129">
        <v>60141322</v>
      </c>
      <c r="G870" s="10" t="s">
        <v>280</v>
      </c>
      <c r="H870" s="10" t="s">
        <v>1278</v>
      </c>
      <c r="I870" s="10" t="s">
        <v>3307</v>
      </c>
    </row>
    <row r="871" spans="1:9" s="11" customFormat="1" ht="12.75" customHeight="1" x14ac:dyDescent="0.2">
      <c r="A871" s="10" t="s">
        <v>3198</v>
      </c>
      <c r="B871" s="10">
        <v>1000079359</v>
      </c>
      <c r="C871" s="23" t="s">
        <v>1495</v>
      </c>
      <c r="D871" s="10" t="s">
        <v>3208</v>
      </c>
      <c r="E871" s="13">
        <v>10248</v>
      </c>
      <c r="F871" s="129">
        <v>60141323</v>
      </c>
      <c r="G871" s="10" t="s">
        <v>280</v>
      </c>
      <c r="H871" s="23" t="s">
        <v>161</v>
      </c>
      <c r="I871" s="10" t="s">
        <v>3307</v>
      </c>
    </row>
    <row r="872" spans="1:9" s="437" customFormat="1" ht="12.75" customHeight="1" x14ac:dyDescent="0.2">
      <c r="A872" s="23" t="s">
        <v>3199</v>
      </c>
      <c r="B872" s="23">
        <v>1000079359</v>
      </c>
      <c r="C872" s="23" t="s">
        <v>1495</v>
      </c>
      <c r="D872" s="23" t="s">
        <v>3209</v>
      </c>
      <c r="E872" s="39">
        <v>2433.6</v>
      </c>
      <c r="F872" s="191">
        <v>60145765</v>
      </c>
      <c r="G872" s="23" t="s">
        <v>280</v>
      </c>
      <c r="H872" s="29" t="s">
        <v>171</v>
      </c>
      <c r="I872" s="23" t="s">
        <v>3307</v>
      </c>
    </row>
    <row r="873" spans="1:9" s="11" customFormat="1" ht="12.75" customHeight="1" x14ac:dyDescent="0.2">
      <c r="A873" s="10" t="s">
        <v>3200</v>
      </c>
      <c r="B873" s="10">
        <v>1000079359</v>
      </c>
      <c r="C873" s="23" t="s">
        <v>1495</v>
      </c>
      <c r="D873" s="10" t="s">
        <v>3194</v>
      </c>
      <c r="E873" s="13">
        <v>7005.6</v>
      </c>
      <c r="F873" s="191">
        <v>60144153</v>
      </c>
      <c r="G873" s="23" t="s">
        <v>92</v>
      </c>
      <c r="H873" s="29" t="s">
        <v>952</v>
      </c>
      <c r="I873" s="10" t="s">
        <v>2741</v>
      </c>
    </row>
    <row r="874" spans="1:9" s="437" customFormat="1" ht="12.75" customHeight="1" x14ac:dyDescent="0.2">
      <c r="A874" s="23" t="s">
        <v>3201</v>
      </c>
      <c r="B874" s="23">
        <v>1000079359</v>
      </c>
      <c r="C874" s="23" t="s">
        <v>1495</v>
      </c>
      <c r="D874" s="23" t="s">
        <v>3210</v>
      </c>
      <c r="E874" s="39">
        <v>9955.2000000000007</v>
      </c>
      <c r="F874" s="191">
        <v>60145763</v>
      </c>
      <c r="G874" s="23" t="s">
        <v>280</v>
      </c>
      <c r="H874" s="23" t="s">
        <v>161</v>
      </c>
      <c r="I874" s="23" t="s">
        <v>3307</v>
      </c>
    </row>
    <row r="875" spans="1:9" s="437" customFormat="1" ht="12.75" customHeight="1" x14ac:dyDescent="0.2">
      <c r="A875" s="23" t="s">
        <v>3202</v>
      </c>
      <c r="B875" s="23">
        <v>1000079359</v>
      </c>
      <c r="C875" s="23" t="s">
        <v>1495</v>
      </c>
      <c r="D875" s="23" t="s">
        <v>3211</v>
      </c>
      <c r="E875" s="39">
        <v>11319</v>
      </c>
      <c r="F875" s="191">
        <v>60146084</v>
      </c>
      <c r="G875" s="23" t="s">
        <v>280</v>
      </c>
      <c r="H875" s="23" t="s">
        <v>216</v>
      </c>
      <c r="I875" s="23" t="s">
        <v>3307</v>
      </c>
    </row>
    <row r="876" spans="1:9" s="11" customFormat="1" ht="12.75" customHeight="1" x14ac:dyDescent="0.2">
      <c r="A876" s="10" t="s">
        <v>3203</v>
      </c>
      <c r="B876" s="10">
        <v>1000079359</v>
      </c>
      <c r="C876" s="23" t="s">
        <v>1495</v>
      </c>
      <c r="D876" s="10" t="s">
        <v>3212</v>
      </c>
      <c r="E876" s="13">
        <v>13168.8</v>
      </c>
      <c r="F876" s="129">
        <v>60141499</v>
      </c>
      <c r="G876" s="10" t="s">
        <v>280</v>
      </c>
      <c r="H876" s="23" t="s">
        <v>1278</v>
      </c>
      <c r="I876" s="10" t="s">
        <v>3307</v>
      </c>
    </row>
    <row r="877" spans="1:9" s="11" customFormat="1" ht="12.75" customHeight="1" x14ac:dyDescent="0.2">
      <c r="A877" s="10" t="s">
        <v>3204</v>
      </c>
      <c r="B877" s="10">
        <v>1000079359</v>
      </c>
      <c r="C877" s="23" t="s">
        <v>1495</v>
      </c>
      <c r="D877" s="10" t="s">
        <v>3213</v>
      </c>
      <c r="E877" s="13">
        <v>10540.8</v>
      </c>
      <c r="F877" s="129">
        <v>60143618</v>
      </c>
      <c r="G877" s="10" t="s">
        <v>280</v>
      </c>
      <c r="H877" s="10" t="s">
        <v>216</v>
      </c>
      <c r="I877" s="10" t="s">
        <v>3307</v>
      </c>
    </row>
    <row r="878" spans="1:9" s="437" customFormat="1" ht="12.75" customHeight="1" x14ac:dyDescent="0.2">
      <c r="A878" s="23" t="s">
        <v>3205</v>
      </c>
      <c r="B878" s="23">
        <v>1000079359</v>
      </c>
      <c r="C878" s="23" t="s">
        <v>1495</v>
      </c>
      <c r="D878" s="23" t="s">
        <v>3214</v>
      </c>
      <c r="E878" s="39">
        <v>1497.6</v>
      </c>
      <c r="F878" s="191">
        <v>60147123</v>
      </c>
      <c r="G878" s="23" t="s">
        <v>280</v>
      </c>
      <c r="H878" s="29" t="s">
        <v>3215</v>
      </c>
      <c r="I878" s="23" t="s">
        <v>3307</v>
      </c>
    </row>
    <row r="879" spans="1:9" s="437" customFormat="1" ht="12.75" customHeight="1" x14ac:dyDescent="0.2">
      <c r="A879" s="23" t="s">
        <v>3206</v>
      </c>
      <c r="B879" s="23">
        <v>1000079359</v>
      </c>
      <c r="C879" s="23" t="s">
        <v>1495</v>
      </c>
      <c r="D879" s="23" t="s">
        <v>3216</v>
      </c>
      <c r="E879" s="39">
        <v>9608.4</v>
      </c>
      <c r="F879" s="191">
        <v>60145923</v>
      </c>
      <c r="G879" s="23" t="s">
        <v>280</v>
      </c>
      <c r="H879" s="23" t="s">
        <v>994</v>
      </c>
      <c r="I879" s="23" t="s">
        <v>3307</v>
      </c>
    </row>
    <row r="880" spans="1:9" s="11" customFormat="1" ht="12.75" customHeight="1" x14ac:dyDescent="0.2">
      <c r="A880" s="10" t="s">
        <v>3217</v>
      </c>
      <c r="B880" s="10">
        <v>1000116575</v>
      </c>
      <c r="C880" s="23" t="s">
        <v>1495</v>
      </c>
      <c r="D880" s="10" t="s">
        <v>3218</v>
      </c>
      <c r="E880" s="13">
        <v>7911.6</v>
      </c>
      <c r="F880" s="129">
        <v>60147206</v>
      </c>
      <c r="G880" s="10" t="s">
        <v>280</v>
      </c>
      <c r="H880" s="23" t="s">
        <v>2423</v>
      </c>
      <c r="I880" s="10" t="s">
        <v>3307</v>
      </c>
    </row>
    <row r="881" spans="1:9" s="11" customFormat="1" ht="12.75" customHeight="1" x14ac:dyDescent="0.2">
      <c r="A881" s="10" t="s">
        <v>3219</v>
      </c>
      <c r="B881" s="10">
        <v>1000095634</v>
      </c>
      <c r="C881" s="23" t="s">
        <v>1495</v>
      </c>
      <c r="D881" s="10" t="s">
        <v>3220</v>
      </c>
      <c r="E881" s="13">
        <v>15163.2</v>
      </c>
      <c r="F881" s="191">
        <v>60144584</v>
      </c>
      <c r="G881" s="23" t="s">
        <v>280</v>
      </c>
      <c r="H881" s="23" t="s">
        <v>1575</v>
      </c>
      <c r="I881" s="10" t="s">
        <v>3307</v>
      </c>
    </row>
    <row r="882" spans="1:9" s="11" customFormat="1" ht="12.75" customHeight="1" x14ac:dyDescent="0.2">
      <c r="A882" s="10" t="s">
        <v>3222</v>
      </c>
      <c r="B882" s="10">
        <v>1000095634</v>
      </c>
      <c r="C882" s="23" t="s">
        <v>1495</v>
      </c>
      <c r="D882" s="10" t="s">
        <v>3221</v>
      </c>
      <c r="E882" s="13">
        <v>9883.2000000000007</v>
      </c>
      <c r="F882" s="130">
        <v>60149789</v>
      </c>
      <c r="G882" s="29" t="s">
        <v>280</v>
      </c>
      <c r="H882" s="29" t="s">
        <v>1575</v>
      </c>
      <c r="I882" s="10" t="s">
        <v>3520</v>
      </c>
    </row>
    <row r="883" spans="1:9" s="11" customFormat="1" ht="12.75" customHeight="1" x14ac:dyDescent="0.2">
      <c r="A883" s="10" t="s">
        <v>3223</v>
      </c>
      <c r="B883" s="10">
        <v>1000095634</v>
      </c>
      <c r="C883" s="23" t="s">
        <v>1495</v>
      </c>
      <c r="D883" s="10" t="s">
        <v>3224</v>
      </c>
      <c r="E883" s="13">
        <v>1074</v>
      </c>
      <c r="F883" s="129">
        <v>60144469</v>
      </c>
      <c r="G883" s="10" t="s">
        <v>280</v>
      </c>
      <c r="H883" s="23" t="s">
        <v>1575</v>
      </c>
      <c r="I883" s="10" t="s">
        <v>3307</v>
      </c>
    </row>
    <row r="884" spans="1:9" s="11" customFormat="1" ht="12.75" customHeight="1" x14ac:dyDescent="0.2">
      <c r="A884" s="23" t="s">
        <v>3225</v>
      </c>
      <c r="B884" s="10">
        <v>1000095634</v>
      </c>
      <c r="C884" s="23" t="s">
        <v>1495</v>
      </c>
      <c r="D884" s="10" t="s">
        <v>3228</v>
      </c>
      <c r="E884" s="13">
        <v>1503.6</v>
      </c>
      <c r="F884" s="130">
        <v>60154580</v>
      </c>
      <c r="G884" s="29" t="s">
        <v>280</v>
      </c>
      <c r="H884" s="29" t="s">
        <v>1575</v>
      </c>
      <c r="I884" s="10" t="s">
        <v>4047</v>
      </c>
    </row>
    <row r="885" spans="1:9" s="11" customFormat="1" ht="12.75" customHeight="1" x14ac:dyDescent="0.2">
      <c r="A885" s="10" t="s">
        <v>3226</v>
      </c>
      <c r="B885" s="10">
        <v>1000095634</v>
      </c>
      <c r="C885" s="23" t="s">
        <v>1495</v>
      </c>
      <c r="D885" s="10" t="s">
        <v>3229</v>
      </c>
      <c r="E885" s="13">
        <v>10776.6</v>
      </c>
      <c r="F885" s="130">
        <v>60144585</v>
      </c>
      <c r="G885" s="29" t="s">
        <v>280</v>
      </c>
      <c r="H885" s="29" t="s">
        <v>1575</v>
      </c>
      <c r="I885" s="10" t="s">
        <v>3307</v>
      </c>
    </row>
    <row r="886" spans="1:9" s="11" customFormat="1" ht="12.75" customHeight="1" x14ac:dyDescent="0.2">
      <c r="A886" s="10" t="s">
        <v>3227</v>
      </c>
      <c r="B886" s="10">
        <v>1000095634</v>
      </c>
      <c r="C886" s="23" t="s">
        <v>1495</v>
      </c>
      <c r="D886" s="10" t="s">
        <v>3230</v>
      </c>
      <c r="E886" s="13">
        <v>8380.7999999999993</v>
      </c>
      <c r="F886" s="129">
        <v>60144583</v>
      </c>
      <c r="G886" s="10" t="s">
        <v>280</v>
      </c>
      <c r="H886" s="17" t="s">
        <v>1575</v>
      </c>
      <c r="I886" s="10" t="s">
        <v>3307</v>
      </c>
    </row>
    <row r="887" spans="1:9" s="437" customFormat="1" ht="12.75" customHeight="1" x14ac:dyDescent="0.2">
      <c r="A887" s="23" t="s">
        <v>3231</v>
      </c>
      <c r="B887" s="23">
        <v>1000109237</v>
      </c>
      <c r="C887" s="23" t="s">
        <v>1495</v>
      </c>
      <c r="D887" s="23" t="s">
        <v>3232</v>
      </c>
      <c r="E887" s="39">
        <v>8713.73</v>
      </c>
      <c r="F887" s="191">
        <v>60145422</v>
      </c>
      <c r="G887" s="23" t="s">
        <v>280</v>
      </c>
      <c r="H887" s="23" t="s">
        <v>171</v>
      </c>
      <c r="I887" s="23" t="s">
        <v>3307</v>
      </c>
    </row>
    <row r="888" spans="1:9" s="437" customFormat="1" ht="12.75" customHeight="1" x14ac:dyDescent="0.2">
      <c r="A888" s="23" t="s">
        <v>3233</v>
      </c>
      <c r="B888" s="23">
        <v>1000109237</v>
      </c>
      <c r="C888" s="23" t="s">
        <v>1495</v>
      </c>
      <c r="D888" s="23" t="s">
        <v>3234</v>
      </c>
      <c r="E888" s="39">
        <v>4901.47</v>
      </c>
      <c r="F888" s="191">
        <v>60149811</v>
      </c>
      <c r="G888" s="23" t="s">
        <v>280</v>
      </c>
      <c r="H888" s="23" t="s">
        <v>171</v>
      </c>
      <c r="I888" s="23" t="s">
        <v>3520</v>
      </c>
    </row>
    <row r="889" spans="1:9" s="437" customFormat="1" ht="12.75" customHeight="1" x14ac:dyDescent="0.2">
      <c r="A889" s="23" t="s">
        <v>3235</v>
      </c>
      <c r="B889" s="23">
        <v>1000109237</v>
      </c>
      <c r="C889" s="23" t="s">
        <v>1495</v>
      </c>
      <c r="D889" s="23" t="s">
        <v>3236</v>
      </c>
      <c r="E889" s="39">
        <v>9461.4500000000007</v>
      </c>
      <c r="F889" s="191">
        <v>60145423</v>
      </c>
      <c r="G889" s="23" t="s">
        <v>280</v>
      </c>
      <c r="H889" s="23" t="s">
        <v>211</v>
      </c>
      <c r="I889" s="23" t="s">
        <v>3307</v>
      </c>
    </row>
    <row r="890" spans="1:9" s="437" customFormat="1" ht="12.75" customHeight="1" x14ac:dyDescent="0.2">
      <c r="A890" s="29" t="s">
        <v>3237</v>
      </c>
      <c r="B890" s="23">
        <v>1000109237</v>
      </c>
      <c r="C890" s="23" t="s">
        <v>1495</v>
      </c>
      <c r="D890" s="23" t="s">
        <v>3238</v>
      </c>
      <c r="E890" s="39">
        <v>7358.9</v>
      </c>
      <c r="F890" s="191">
        <v>60143616</v>
      </c>
      <c r="G890" s="23" t="s">
        <v>280</v>
      </c>
      <c r="H890" s="23" t="s">
        <v>211</v>
      </c>
      <c r="I890" s="23" t="s">
        <v>3307</v>
      </c>
    </row>
    <row r="891" spans="1:9" s="437" customFormat="1" ht="12.75" customHeight="1" x14ac:dyDescent="0.2">
      <c r="A891" s="23" t="s">
        <v>3239</v>
      </c>
      <c r="B891" s="23">
        <v>1000109237</v>
      </c>
      <c r="C891" s="23" t="s">
        <v>1495</v>
      </c>
      <c r="D891" s="23" t="s">
        <v>3240</v>
      </c>
      <c r="E891" s="39">
        <v>5769.72</v>
      </c>
      <c r="F891" s="191">
        <v>60145424</v>
      </c>
      <c r="G891" s="23" t="s">
        <v>280</v>
      </c>
      <c r="H891" s="29" t="s">
        <v>171</v>
      </c>
      <c r="I891" s="23" t="s">
        <v>3307</v>
      </c>
    </row>
    <row r="892" spans="1:9" s="437" customFormat="1" ht="25.5" customHeight="1" x14ac:dyDescent="0.2">
      <c r="A892" s="23" t="s">
        <v>3196</v>
      </c>
      <c r="B892" s="23">
        <v>1000105043</v>
      </c>
      <c r="C892" s="23" t="s">
        <v>1495</v>
      </c>
      <c r="D892" s="36" t="s">
        <v>3195</v>
      </c>
      <c r="E892" s="39">
        <v>4980</v>
      </c>
      <c r="F892" s="191">
        <v>60153458</v>
      </c>
      <c r="G892" s="23" t="s">
        <v>280</v>
      </c>
      <c r="H892" s="29" t="s">
        <v>1278</v>
      </c>
      <c r="I892" s="23" t="s">
        <v>4004</v>
      </c>
    </row>
    <row r="893" spans="1:9" s="437" customFormat="1" ht="12.75" customHeight="1" x14ac:dyDescent="0.2">
      <c r="A893" s="23" t="s">
        <v>3193</v>
      </c>
      <c r="B893" s="23">
        <v>1000079359</v>
      </c>
      <c r="C893" s="23" t="s">
        <v>1495</v>
      </c>
      <c r="D893" s="23" t="s">
        <v>3192</v>
      </c>
      <c r="E893" s="39">
        <v>8760</v>
      </c>
      <c r="F893" s="191">
        <v>60144153</v>
      </c>
      <c r="G893" s="23" t="s">
        <v>280</v>
      </c>
      <c r="H893" s="29" t="s">
        <v>952</v>
      </c>
      <c r="I893" s="23" t="s">
        <v>3307</v>
      </c>
    </row>
    <row r="894" spans="1:9" s="437" customFormat="1" ht="12.75" customHeight="1" x14ac:dyDescent="0.2">
      <c r="A894" s="23" t="s">
        <v>3322</v>
      </c>
      <c r="B894" s="23">
        <v>1000079359</v>
      </c>
      <c r="C894" s="23" t="s">
        <v>2282</v>
      </c>
      <c r="D894" s="23" t="s">
        <v>3192</v>
      </c>
      <c r="E894" s="39">
        <v>2340</v>
      </c>
      <c r="F894" s="191">
        <v>60147604</v>
      </c>
      <c r="G894" s="23" t="s">
        <v>280</v>
      </c>
      <c r="H894" s="29" t="s">
        <v>952</v>
      </c>
      <c r="I894" s="23" t="s">
        <v>3510</v>
      </c>
    </row>
    <row r="895" spans="1:9" s="437" customFormat="1" ht="12.75" customHeight="1" x14ac:dyDescent="0.2">
      <c r="A895" s="23" t="s">
        <v>3308</v>
      </c>
      <c r="B895" s="23">
        <v>1000105043</v>
      </c>
      <c r="C895" s="23" t="s">
        <v>2282</v>
      </c>
      <c r="D895" s="23" t="s">
        <v>3312</v>
      </c>
      <c r="E895" s="39">
        <v>28367.759999999998</v>
      </c>
      <c r="F895" s="191">
        <v>60146577</v>
      </c>
      <c r="G895" s="23" t="s">
        <v>280</v>
      </c>
      <c r="H895" s="29" t="s">
        <v>161</v>
      </c>
      <c r="I895" s="23" t="s">
        <v>3447</v>
      </c>
    </row>
    <row r="896" spans="1:9" s="437" customFormat="1" ht="12.75" customHeight="1" x14ac:dyDescent="0.2">
      <c r="A896" s="23" t="s">
        <v>3309</v>
      </c>
      <c r="B896" s="23">
        <v>1000105043</v>
      </c>
      <c r="C896" s="23" t="s">
        <v>2282</v>
      </c>
      <c r="D896" s="29" t="s">
        <v>3313</v>
      </c>
      <c r="E896" s="39">
        <v>30864.36</v>
      </c>
      <c r="F896" s="191">
        <v>60141188</v>
      </c>
      <c r="G896" s="23" t="s">
        <v>280</v>
      </c>
      <c r="H896" s="23" t="s">
        <v>1476</v>
      </c>
      <c r="I896" s="23" t="s">
        <v>3447</v>
      </c>
    </row>
    <row r="897" spans="1:9" s="437" customFormat="1" ht="12.75" customHeight="1" x14ac:dyDescent="0.2">
      <c r="A897" s="23" t="s">
        <v>3310</v>
      </c>
      <c r="B897" s="23">
        <v>1000105043</v>
      </c>
      <c r="C897" s="23" t="s">
        <v>2282</v>
      </c>
      <c r="D897" s="29" t="s">
        <v>3314</v>
      </c>
      <c r="E897" s="39">
        <v>52749.84</v>
      </c>
      <c r="F897" s="191">
        <v>60145364</v>
      </c>
      <c r="G897" s="23" t="s">
        <v>280</v>
      </c>
      <c r="H897" s="29" t="s">
        <v>216</v>
      </c>
      <c r="I897" s="23" t="s">
        <v>3447</v>
      </c>
    </row>
    <row r="898" spans="1:9" s="437" customFormat="1" ht="12.75" customHeight="1" x14ac:dyDescent="0.2">
      <c r="A898" s="23" t="s">
        <v>3311</v>
      </c>
      <c r="B898" s="23">
        <v>1000105043</v>
      </c>
      <c r="C898" s="23" t="s">
        <v>2282</v>
      </c>
      <c r="D898" s="29" t="s">
        <v>3315</v>
      </c>
      <c r="E898" s="39">
        <v>28367.759999999998</v>
      </c>
      <c r="F898" s="191">
        <v>60149054</v>
      </c>
      <c r="G898" s="23" t="s">
        <v>280</v>
      </c>
      <c r="H898" s="29" t="s">
        <v>161</v>
      </c>
      <c r="I898" s="23" t="s">
        <v>3510</v>
      </c>
    </row>
    <row r="899" spans="1:9" s="437" customFormat="1" ht="12.75" customHeight="1" x14ac:dyDescent="0.2">
      <c r="A899" s="23" t="s">
        <v>3316</v>
      </c>
      <c r="B899" s="23">
        <v>1000109733</v>
      </c>
      <c r="C899" s="23" t="s">
        <v>2282</v>
      </c>
      <c r="D899" s="29" t="s">
        <v>3317</v>
      </c>
      <c r="E899" s="39">
        <v>5653.44</v>
      </c>
      <c r="F899" s="191">
        <v>60143723</v>
      </c>
      <c r="G899" s="23" t="s">
        <v>280</v>
      </c>
      <c r="H899" s="23" t="s">
        <v>216</v>
      </c>
      <c r="I899" s="23" t="s">
        <v>3447</v>
      </c>
    </row>
    <row r="900" spans="1:9" s="437" customFormat="1" ht="12.75" customHeight="1" x14ac:dyDescent="0.2">
      <c r="A900" s="23" t="s">
        <v>3318</v>
      </c>
      <c r="B900" s="23">
        <v>1000109733</v>
      </c>
      <c r="C900" s="23" t="s">
        <v>2282</v>
      </c>
      <c r="D900" s="29" t="s">
        <v>3319</v>
      </c>
      <c r="E900" s="39">
        <v>21200.400000000001</v>
      </c>
      <c r="F900" s="191">
        <v>60150757</v>
      </c>
      <c r="G900" s="23" t="s">
        <v>280</v>
      </c>
      <c r="H900" s="23" t="s">
        <v>216</v>
      </c>
      <c r="I900" s="23" t="s">
        <v>3581</v>
      </c>
    </row>
    <row r="901" spans="1:9" s="11" customFormat="1" ht="12.75" customHeight="1" x14ac:dyDescent="0.2">
      <c r="A901" s="10" t="s">
        <v>3350</v>
      </c>
      <c r="B901" s="23">
        <v>1000079359</v>
      </c>
      <c r="C901" s="23" t="s">
        <v>2282</v>
      </c>
      <c r="D901" s="10" t="s">
        <v>3364</v>
      </c>
      <c r="E901" s="13">
        <v>12603.6</v>
      </c>
      <c r="F901" s="129">
        <v>60141499</v>
      </c>
      <c r="G901" s="10" t="s">
        <v>280</v>
      </c>
      <c r="H901" s="23" t="s">
        <v>1278</v>
      </c>
      <c r="I901" s="10" t="s">
        <v>3447</v>
      </c>
    </row>
    <row r="902" spans="1:9" s="11" customFormat="1" ht="12.75" customHeight="1" x14ac:dyDescent="0.2">
      <c r="A902" s="10" t="s">
        <v>3351</v>
      </c>
      <c r="B902" s="23">
        <v>1000079359</v>
      </c>
      <c r="C902" s="23" t="s">
        <v>2282</v>
      </c>
      <c r="D902" s="10" t="s">
        <v>3365</v>
      </c>
      <c r="E902" s="13">
        <v>10738.8</v>
      </c>
      <c r="F902" s="191">
        <v>60145923</v>
      </c>
      <c r="G902" s="23" t="s">
        <v>280</v>
      </c>
      <c r="H902" s="23" t="s">
        <v>994</v>
      </c>
      <c r="I902" s="10" t="s">
        <v>3447</v>
      </c>
    </row>
    <row r="903" spans="1:9" s="11" customFormat="1" ht="12.75" customHeight="1" x14ac:dyDescent="0.2">
      <c r="A903" s="10" t="s">
        <v>3352</v>
      </c>
      <c r="B903" s="23">
        <v>1000079359</v>
      </c>
      <c r="C903" s="23" t="s">
        <v>2282</v>
      </c>
      <c r="D903" s="10" t="s">
        <v>3366</v>
      </c>
      <c r="E903" s="13">
        <v>9226.7999999999993</v>
      </c>
      <c r="F903" s="191">
        <v>60147123</v>
      </c>
      <c r="G903" s="23" t="s">
        <v>280</v>
      </c>
      <c r="H903" s="29" t="s">
        <v>3215</v>
      </c>
      <c r="I903" s="10" t="s">
        <v>3447</v>
      </c>
    </row>
    <row r="904" spans="1:9" s="11" customFormat="1" ht="12.75" customHeight="1" x14ac:dyDescent="0.2">
      <c r="A904" s="10" t="s">
        <v>3353</v>
      </c>
      <c r="B904" s="23">
        <v>1000079359</v>
      </c>
      <c r="C904" s="23" t="s">
        <v>2282</v>
      </c>
      <c r="D904" s="10" t="s">
        <v>3367</v>
      </c>
      <c r="E904" s="13">
        <v>1756.8</v>
      </c>
      <c r="F904" s="129">
        <v>60141323</v>
      </c>
      <c r="G904" s="10" t="s">
        <v>280</v>
      </c>
      <c r="H904" s="23" t="s">
        <v>161</v>
      </c>
      <c r="I904" s="10" t="s">
        <v>3447</v>
      </c>
    </row>
    <row r="905" spans="1:9" s="437" customFormat="1" ht="12.75" customHeight="1" x14ac:dyDescent="0.2">
      <c r="A905" s="23" t="s">
        <v>3354</v>
      </c>
      <c r="B905" s="23">
        <v>1000079359</v>
      </c>
      <c r="C905" s="23" t="s">
        <v>2282</v>
      </c>
      <c r="D905" s="23" t="s">
        <v>3368</v>
      </c>
      <c r="E905" s="39">
        <v>8491.2000000000007</v>
      </c>
      <c r="F905" s="191">
        <v>60154602</v>
      </c>
      <c r="G905" s="23" t="s">
        <v>280</v>
      </c>
      <c r="H905" s="23" t="s">
        <v>216</v>
      </c>
      <c r="I905" s="23" t="s">
        <v>4176</v>
      </c>
    </row>
    <row r="906" spans="1:9" s="11" customFormat="1" ht="12.75" customHeight="1" x14ac:dyDescent="0.2">
      <c r="A906" s="10" t="s">
        <v>3355</v>
      </c>
      <c r="B906" s="23">
        <v>1000079359</v>
      </c>
      <c r="C906" s="23" t="s">
        <v>2282</v>
      </c>
      <c r="D906" s="10" t="s">
        <v>3369</v>
      </c>
      <c r="E906" s="13">
        <v>646.79999999999995</v>
      </c>
      <c r="F906" s="129">
        <v>60141322</v>
      </c>
      <c r="G906" s="10" t="s">
        <v>280</v>
      </c>
      <c r="H906" s="10" t="s">
        <v>1278</v>
      </c>
      <c r="I906" s="10" t="s">
        <v>3447</v>
      </c>
    </row>
    <row r="907" spans="1:9" s="11" customFormat="1" ht="12.75" customHeight="1" x14ac:dyDescent="0.2">
      <c r="A907" s="10" t="s">
        <v>3356</v>
      </c>
      <c r="B907" s="23">
        <v>1000079359</v>
      </c>
      <c r="C907" s="23" t="s">
        <v>2282</v>
      </c>
      <c r="D907" s="10" t="s">
        <v>3370</v>
      </c>
      <c r="E907" s="13">
        <v>10048.799999999999</v>
      </c>
      <c r="F907" s="191">
        <v>60144153</v>
      </c>
      <c r="G907" s="23" t="s">
        <v>280</v>
      </c>
      <c r="H907" s="29" t="s">
        <v>952</v>
      </c>
      <c r="I907" s="10" t="s">
        <v>3447</v>
      </c>
    </row>
    <row r="908" spans="1:9" s="437" customFormat="1" ht="12.75" customHeight="1" x14ac:dyDescent="0.2">
      <c r="A908" s="23" t="s">
        <v>3357</v>
      </c>
      <c r="B908" s="23">
        <v>1000079359</v>
      </c>
      <c r="C908" s="23" t="s">
        <v>2282</v>
      </c>
      <c r="D908" s="23" t="s">
        <v>3371</v>
      </c>
      <c r="E908" s="39">
        <v>8408.4</v>
      </c>
      <c r="F908" s="191">
        <v>60154434</v>
      </c>
      <c r="G908" s="23" t="s">
        <v>280</v>
      </c>
      <c r="H908" s="23" t="s">
        <v>216</v>
      </c>
      <c r="I908" s="23" t="s">
        <v>4176</v>
      </c>
    </row>
    <row r="909" spans="1:9" s="11" customFormat="1" ht="12.75" customHeight="1" x14ac:dyDescent="0.2">
      <c r="A909" s="10" t="s">
        <v>3358</v>
      </c>
      <c r="B909" s="23">
        <v>1000079359</v>
      </c>
      <c r="C909" s="23" t="s">
        <v>2282</v>
      </c>
      <c r="D909" s="10" t="s">
        <v>3372</v>
      </c>
      <c r="E909" s="13">
        <v>3182.4</v>
      </c>
      <c r="F909" s="191">
        <v>60145765</v>
      </c>
      <c r="G909" s="23" t="s">
        <v>280</v>
      </c>
      <c r="H909" s="29" t="s">
        <v>171</v>
      </c>
      <c r="I909" s="10" t="s">
        <v>3447</v>
      </c>
    </row>
    <row r="910" spans="1:9" s="11" customFormat="1" ht="12.75" customHeight="1" x14ac:dyDescent="0.2">
      <c r="A910" s="10" t="s">
        <v>3359</v>
      </c>
      <c r="B910" s="23">
        <v>1000079359</v>
      </c>
      <c r="C910" s="23" t="s">
        <v>2282</v>
      </c>
      <c r="D910" s="10" t="s">
        <v>3373</v>
      </c>
      <c r="E910" s="13">
        <v>9369.6</v>
      </c>
      <c r="F910" s="129">
        <v>60147114</v>
      </c>
      <c r="G910" s="10" t="s">
        <v>280</v>
      </c>
      <c r="H910" s="17" t="s">
        <v>161</v>
      </c>
      <c r="I910" s="10" t="s">
        <v>3447</v>
      </c>
    </row>
    <row r="911" spans="1:9" s="11" customFormat="1" ht="12.75" customHeight="1" x14ac:dyDescent="0.2">
      <c r="A911" s="10" t="s">
        <v>3360</v>
      </c>
      <c r="B911" s="23">
        <v>1000079359</v>
      </c>
      <c r="C911" s="23" t="s">
        <v>2282</v>
      </c>
      <c r="D911" s="10" t="s">
        <v>3374</v>
      </c>
      <c r="E911" s="13">
        <v>9055.2000000000007</v>
      </c>
      <c r="F911" s="129">
        <v>60147115</v>
      </c>
      <c r="G911" s="10" t="s">
        <v>280</v>
      </c>
      <c r="H911" s="10" t="s">
        <v>1278</v>
      </c>
      <c r="I911" s="10" t="s">
        <v>3447</v>
      </c>
    </row>
    <row r="912" spans="1:9" s="11" customFormat="1" ht="12.75" customHeight="1" x14ac:dyDescent="0.2">
      <c r="A912" s="10" t="s">
        <v>3361</v>
      </c>
      <c r="B912" s="23">
        <v>1000079359</v>
      </c>
      <c r="C912" s="23" t="s">
        <v>2282</v>
      </c>
      <c r="D912" s="10" t="s">
        <v>3375</v>
      </c>
      <c r="E912" s="13">
        <v>1756.8</v>
      </c>
      <c r="F912" s="129">
        <v>60143618</v>
      </c>
      <c r="G912" s="10" t="s">
        <v>280</v>
      </c>
      <c r="H912" s="10" t="s">
        <v>216</v>
      </c>
      <c r="I912" s="10" t="s">
        <v>3447</v>
      </c>
    </row>
    <row r="913" spans="1:9" s="11" customFormat="1" ht="12.75" customHeight="1" x14ac:dyDescent="0.2">
      <c r="A913" s="10" t="s">
        <v>3362</v>
      </c>
      <c r="B913" s="23">
        <v>1000079359</v>
      </c>
      <c r="C913" s="23" t="s">
        <v>2282</v>
      </c>
      <c r="D913" s="10" t="s">
        <v>3376</v>
      </c>
      <c r="E913" s="13">
        <v>5856</v>
      </c>
      <c r="F913" s="129">
        <v>60146530</v>
      </c>
      <c r="G913" s="10" t="s">
        <v>280</v>
      </c>
      <c r="H913" s="17" t="s">
        <v>161</v>
      </c>
      <c r="I913" s="10" t="s">
        <v>3447</v>
      </c>
    </row>
    <row r="914" spans="1:9" s="437" customFormat="1" ht="12.75" customHeight="1" x14ac:dyDescent="0.2">
      <c r="A914" s="23" t="s">
        <v>3363</v>
      </c>
      <c r="B914" s="23">
        <v>1000079359</v>
      </c>
      <c r="C914" s="23" t="s">
        <v>2282</v>
      </c>
      <c r="D914" s="23" t="s">
        <v>3377</v>
      </c>
      <c r="E914" s="39">
        <v>4698</v>
      </c>
      <c r="F914" s="191">
        <v>60148305</v>
      </c>
      <c r="G914" s="23" t="s">
        <v>280</v>
      </c>
      <c r="H914" s="29" t="s">
        <v>171</v>
      </c>
      <c r="I914" s="23" t="s">
        <v>3510</v>
      </c>
    </row>
    <row r="915" spans="1:9" s="11" customFormat="1" ht="12.75" customHeight="1" x14ac:dyDescent="0.2">
      <c r="A915" s="10" t="s">
        <v>3320</v>
      </c>
      <c r="B915" s="10">
        <v>1000116575</v>
      </c>
      <c r="C915" s="23" t="s">
        <v>2282</v>
      </c>
      <c r="D915" s="10" t="s">
        <v>3321</v>
      </c>
      <c r="E915" s="13">
        <v>7911.6</v>
      </c>
      <c r="F915" s="129">
        <v>60147206</v>
      </c>
      <c r="G915" s="10" t="s">
        <v>280</v>
      </c>
      <c r="H915" s="23" t="s">
        <v>2423</v>
      </c>
      <c r="I915" s="10" t="s">
        <v>3447</v>
      </c>
    </row>
    <row r="916" spans="1:9" s="437" customFormat="1" ht="12.75" customHeight="1" x14ac:dyDescent="0.2">
      <c r="A916" s="23" t="s">
        <v>3338</v>
      </c>
      <c r="B916" s="23">
        <v>1000095634</v>
      </c>
      <c r="C916" s="23" t="s">
        <v>2282</v>
      </c>
      <c r="D916" s="23" t="s">
        <v>3344</v>
      </c>
      <c r="E916" s="39">
        <v>10490.4</v>
      </c>
      <c r="F916" s="130">
        <v>60144585</v>
      </c>
      <c r="G916" s="29" t="s">
        <v>280</v>
      </c>
      <c r="H916" s="29" t="s">
        <v>1575</v>
      </c>
      <c r="I916" s="23" t="s">
        <v>3447</v>
      </c>
    </row>
    <row r="917" spans="1:9" s="11" customFormat="1" ht="12.75" customHeight="1" x14ac:dyDescent="0.2">
      <c r="A917" s="10" t="s">
        <v>3339</v>
      </c>
      <c r="B917" s="10">
        <v>1000095634</v>
      </c>
      <c r="C917" s="23" t="s">
        <v>2282</v>
      </c>
      <c r="D917" s="10" t="s">
        <v>3345</v>
      </c>
      <c r="E917" s="13">
        <v>8143.2</v>
      </c>
      <c r="F917" s="129">
        <v>60144583</v>
      </c>
      <c r="G917" s="10" t="s">
        <v>280</v>
      </c>
      <c r="H917" s="29" t="s">
        <v>1575</v>
      </c>
      <c r="I917" s="10" t="s">
        <v>3447</v>
      </c>
    </row>
    <row r="918" spans="1:9" s="11" customFormat="1" ht="12.75" customHeight="1" x14ac:dyDescent="0.2">
      <c r="A918" s="10" t="s">
        <v>3340</v>
      </c>
      <c r="B918" s="10">
        <v>1000095634</v>
      </c>
      <c r="C918" s="23" t="s">
        <v>2282</v>
      </c>
      <c r="D918" s="10" t="s">
        <v>3346</v>
      </c>
      <c r="E918" s="13">
        <v>10692</v>
      </c>
      <c r="F918" s="130">
        <v>60149789</v>
      </c>
      <c r="G918" s="29" t="s">
        <v>280</v>
      </c>
      <c r="H918" s="29" t="s">
        <v>1575</v>
      </c>
      <c r="I918" s="10" t="s">
        <v>3520</v>
      </c>
    </row>
    <row r="919" spans="1:9" s="11" customFormat="1" ht="12.75" customHeight="1" x14ac:dyDescent="0.2">
      <c r="A919" s="10" t="s">
        <v>3341</v>
      </c>
      <c r="B919" s="10">
        <v>1000095634</v>
      </c>
      <c r="C919" s="23" t="s">
        <v>2282</v>
      </c>
      <c r="D919" s="10" t="s">
        <v>3347</v>
      </c>
      <c r="E919" s="13">
        <v>4410</v>
      </c>
      <c r="F919" s="130">
        <v>60148307</v>
      </c>
      <c r="G919" s="29" t="s">
        <v>280</v>
      </c>
      <c r="H919" s="29" t="s">
        <v>1575</v>
      </c>
      <c r="I919" s="10" t="s">
        <v>3447</v>
      </c>
    </row>
    <row r="920" spans="1:9" s="437" customFormat="1" ht="12.75" customHeight="1" x14ac:dyDescent="0.2">
      <c r="A920" s="23" t="s">
        <v>3342</v>
      </c>
      <c r="B920" s="23">
        <v>1000095634</v>
      </c>
      <c r="C920" s="23" t="s">
        <v>2282</v>
      </c>
      <c r="D920" s="23" t="s">
        <v>3348</v>
      </c>
      <c r="E920" s="39">
        <v>12133.2</v>
      </c>
      <c r="F920" s="191">
        <v>60144584</v>
      </c>
      <c r="G920" s="23" t="s">
        <v>280</v>
      </c>
      <c r="H920" s="23" t="s">
        <v>1575</v>
      </c>
      <c r="I920" s="23" t="s">
        <v>3447</v>
      </c>
    </row>
    <row r="921" spans="1:9" s="11" customFormat="1" ht="12.75" customHeight="1" x14ac:dyDescent="0.2">
      <c r="A921" s="23" t="s">
        <v>3343</v>
      </c>
      <c r="B921" s="10">
        <v>1000095634</v>
      </c>
      <c r="C921" s="23" t="s">
        <v>2282</v>
      </c>
      <c r="D921" s="10" t="s">
        <v>3349</v>
      </c>
      <c r="E921" s="13">
        <v>859.2</v>
      </c>
      <c r="F921" s="130">
        <v>60154580</v>
      </c>
      <c r="G921" s="29" t="s">
        <v>280</v>
      </c>
      <c r="H921" s="29" t="s">
        <v>1575</v>
      </c>
      <c r="I921" s="10" t="s">
        <v>4047</v>
      </c>
    </row>
    <row r="922" spans="1:9" s="11" customFormat="1" ht="12.75" customHeight="1" x14ac:dyDescent="0.2">
      <c r="A922" s="10" t="s">
        <v>3326</v>
      </c>
      <c r="B922" s="23">
        <v>1000109237</v>
      </c>
      <c r="C922" s="23" t="s">
        <v>2282</v>
      </c>
      <c r="D922" s="10" t="s">
        <v>3333</v>
      </c>
      <c r="E922" s="13">
        <v>1971.13</v>
      </c>
      <c r="F922" s="129">
        <v>60132658</v>
      </c>
      <c r="G922" s="10" t="s">
        <v>280</v>
      </c>
      <c r="H922" s="23" t="s">
        <v>211</v>
      </c>
      <c r="I922" s="10" t="s">
        <v>3447</v>
      </c>
    </row>
    <row r="923" spans="1:9" s="11" customFormat="1" ht="12.75" customHeight="1" x14ac:dyDescent="0.2">
      <c r="A923" s="10" t="s">
        <v>3327</v>
      </c>
      <c r="B923" s="23">
        <v>1000109237</v>
      </c>
      <c r="C923" s="23" t="s">
        <v>2282</v>
      </c>
      <c r="D923" s="10" t="s">
        <v>3334</v>
      </c>
      <c r="E923" s="13">
        <v>7079.9</v>
      </c>
      <c r="F923" s="191">
        <v>60149811</v>
      </c>
      <c r="G923" s="23" t="s">
        <v>280</v>
      </c>
      <c r="H923" s="23" t="s">
        <v>171</v>
      </c>
      <c r="I923" s="10" t="s">
        <v>3520</v>
      </c>
    </row>
    <row r="924" spans="1:9" s="11" customFormat="1" ht="12.75" customHeight="1" x14ac:dyDescent="0.2">
      <c r="A924" s="10" t="s">
        <v>3328</v>
      </c>
      <c r="B924" s="23">
        <v>1000109237</v>
      </c>
      <c r="C924" s="23" t="s">
        <v>2282</v>
      </c>
      <c r="D924" s="10" t="s">
        <v>3335</v>
      </c>
      <c r="E924" s="13">
        <v>7795.26</v>
      </c>
      <c r="F924" s="191">
        <v>60145424</v>
      </c>
      <c r="G924" s="23" t="s">
        <v>280</v>
      </c>
      <c r="H924" s="29" t="s">
        <v>171</v>
      </c>
      <c r="I924" s="10" t="s">
        <v>3447</v>
      </c>
    </row>
    <row r="925" spans="1:9" s="11" customFormat="1" ht="12.75" customHeight="1" x14ac:dyDescent="0.2">
      <c r="A925" s="10" t="s">
        <v>3329</v>
      </c>
      <c r="B925" s="23">
        <v>1000109237</v>
      </c>
      <c r="C925" s="23" t="s">
        <v>2282</v>
      </c>
      <c r="D925" s="10" t="s">
        <v>3332</v>
      </c>
      <c r="E925" s="13">
        <v>7490.32</v>
      </c>
      <c r="F925" s="191">
        <v>60145423</v>
      </c>
      <c r="G925" s="23" t="s">
        <v>280</v>
      </c>
      <c r="H925" s="23" t="s">
        <v>211</v>
      </c>
      <c r="I925" s="10" t="s">
        <v>3447</v>
      </c>
    </row>
    <row r="926" spans="1:9" s="11" customFormat="1" ht="12.75" customHeight="1" x14ac:dyDescent="0.2">
      <c r="A926" s="10" t="s">
        <v>3330</v>
      </c>
      <c r="B926" s="23">
        <v>1000109237</v>
      </c>
      <c r="C926" s="23" t="s">
        <v>2282</v>
      </c>
      <c r="D926" s="10" t="s">
        <v>3336</v>
      </c>
      <c r="E926" s="13">
        <v>8713.73</v>
      </c>
      <c r="F926" s="191">
        <v>60145422</v>
      </c>
      <c r="G926" s="23" t="s">
        <v>280</v>
      </c>
      <c r="H926" s="23" t="s">
        <v>171</v>
      </c>
      <c r="I926" s="10" t="s">
        <v>3447</v>
      </c>
    </row>
    <row r="927" spans="1:9" s="11" customFormat="1" ht="12.75" customHeight="1" x14ac:dyDescent="0.2">
      <c r="A927" s="17" t="s">
        <v>3331</v>
      </c>
      <c r="B927" s="23">
        <v>1000109237</v>
      </c>
      <c r="C927" s="23" t="s">
        <v>2282</v>
      </c>
      <c r="D927" s="10" t="s">
        <v>3337</v>
      </c>
      <c r="E927" s="13">
        <v>5256.36</v>
      </c>
      <c r="F927" s="191">
        <v>60143616</v>
      </c>
      <c r="G927" s="23" t="s">
        <v>280</v>
      </c>
      <c r="H927" s="23" t="s">
        <v>211</v>
      </c>
      <c r="I927" s="10" t="s">
        <v>3447</v>
      </c>
    </row>
    <row r="928" spans="1:9" s="11" customFormat="1" x14ac:dyDescent="0.2">
      <c r="A928" s="10" t="s">
        <v>3431</v>
      </c>
      <c r="B928" s="10">
        <v>1000105043</v>
      </c>
      <c r="C928" s="23" t="s">
        <v>2329</v>
      </c>
      <c r="D928" s="23" t="s">
        <v>3434</v>
      </c>
      <c r="E928" s="39">
        <v>5972.16</v>
      </c>
      <c r="F928" s="191">
        <v>60146577</v>
      </c>
      <c r="G928" s="23" t="s">
        <v>280</v>
      </c>
      <c r="H928" s="29" t="s">
        <v>161</v>
      </c>
      <c r="I928" s="10" t="s">
        <v>3557</v>
      </c>
    </row>
    <row r="929" spans="1:9" s="11" customFormat="1" x14ac:dyDescent="0.2">
      <c r="A929" s="10" t="s">
        <v>3432</v>
      </c>
      <c r="B929" s="10">
        <v>1000105043</v>
      </c>
      <c r="C929" s="23" t="s">
        <v>2329</v>
      </c>
      <c r="D929" s="29" t="s">
        <v>3435</v>
      </c>
      <c r="E929" s="39">
        <v>38986.559999999998</v>
      </c>
      <c r="F929" s="191">
        <v>60141188</v>
      </c>
      <c r="G929" s="23" t="s">
        <v>280</v>
      </c>
      <c r="H929" s="23" t="s">
        <v>1476</v>
      </c>
      <c r="I929" s="10" t="s">
        <v>3557</v>
      </c>
    </row>
    <row r="930" spans="1:9" s="11" customFormat="1" x14ac:dyDescent="0.2">
      <c r="A930" s="23" t="s">
        <v>3433</v>
      </c>
      <c r="B930" s="10">
        <v>1000105043</v>
      </c>
      <c r="C930" s="23" t="s">
        <v>2329</v>
      </c>
      <c r="D930" s="23" t="s">
        <v>3436</v>
      </c>
      <c r="E930" s="85">
        <v>22395.599999999999</v>
      </c>
      <c r="F930" s="129">
        <v>60159501</v>
      </c>
      <c r="G930" s="23" t="s">
        <v>280</v>
      </c>
      <c r="H930" s="17" t="s">
        <v>161</v>
      </c>
      <c r="I930" s="10" t="s">
        <v>4793</v>
      </c>
    </row>
    <row r="931" spans="1:9" s="437" customFormat="1" x14ac:dyDescent="0.2">
      <c r="A931" s="23" t="s">
        <v>3441</v>
      </c>
      <c r="B931" s="23">
        <v>1000105043</v>
      </c>
      <c r="C931" s="23" t="s">
        <v>2329</v>
      </c>
      <c r="D931" s="29" t="s">
        <v>3444</v>
      </c>
      <c r="E931" s="39">
        <v>71487.839999999997</v>
      </c>
      <c r="F931" s="191">
        <v>60145364</v>
      </c>
      <c r="G931" s="23" t="s">
        <v>280</v>
      </c>
      <c r="H931" s="29" t="s">
        <v>216</v>
      </c>
      <c r="I931" s="23" t="s">
        <v>3557</v>
      </c>
    </row>
    <row r="932" spans="1:9" s="437" customFormat="1" x14ac:dyDescent="0.2">
      <c r="A932" s="23" t="s">
        <v>3442</v>
      </c>
      <c r="B932" s="23">
        <v>1000105043</v>
      </c>
      <c r="C932" s="23" t="s">
        <v>2329</v>
      </c>
      <c r="D932" s="29" t="s">
        <v>3445</v>
      </c>
      <c r="E932" s="39">
        <v>35832.959999999999</v>
      </c>
      <c r="F932" s="191">
        <v>60149054</v>
      </c>
      <c r="G932" s="23" t="s">
        <v>280</v>
      </c>
      <c r="H932" s="29" t="s">
        <v>161</v>
      </c>
      <c r="I932" s="23" t="s">
        <v>3557</v>
      </c>
    </row>
    <row r="933" spans="1:9" s="437" customFormat="1" x14ac:dyDescent="0.2">
      <c r="A933" s="23" t="s">
        <v>3443</v>
      </c>
      <c r="B933" s="23">
        <v>1000105043</v>
      </c>
      <c r="C933" s="23" t="s">
        <v>2329</v>
      </c>
      <c r="D933" s="23" t="s">
        <v>3446</v>
      </c>
      <c r="E933" s="86">
        <v>7465.2</v>
      </c>
      <c r="F933" s="191">
        <v>60159500</v>
      </c>
      <c r="G933" s="23" t="s">
        <v>280</v>
      </c>
      <c r="H933" s="29" t="s">
        <v>161</v>
      </c>
      <c r="I933" s="23" t="s">
        <v>4793</v>
      </c>
    </row>
    <row r="934" spans="1:9" s="437" customFormat="1" x14ac:dyDescent="0.2">
      <c r="A934" s="23" t="s">
        <v>3438</v>
      </c>
      <c r="B934" s="23">
        <v>1000109733</v>
      </c>
      <c r="C934" s="23" t="s">
        <v>2329</v>
      </c>
      <c r="D934" s="29" t="s">
        <v>3439</v>
      </c>
      <c r="E934" s="39">
        <v>33920.639999999999</v>
      </c>
      <c r="F934" s="191">
        <v>60150757</v>
      </c>
      <c r="G934" s="23" t="s">
        <v>280</v>
      </c>
      <c r="H934" s="23" t="s">
        <v>216</v>
      </c>
      <c r="I934" s="23" t="s">
        <v>3581</v>
      </c>
    </row>
    <row r="935" spans="1:9" s="437" customFormat="1" x14ac:dyDescent="0.2">
      <c r="A935" s="23" t="s">
        <v>3437</v>
      </c>
      <c r="B935" s="23">
        <v>1000109733</v>
      </c>
      <c r="C935" s="23" t="s">
        <v>2329</v>
      </c>
      <c r="D935" s="29" t="s">
        <v>3440</v>
      </c>
      <c r="E935" s="39">
        <v>5241.6000000000004</v>
      </c>
      <c r="F935" s="191">
        <v>60155343</v>
      </c>
      <c r="G935" s="23" t="s">
        <v>280</v>
      </c>
      <c r="H935" s="23" t="s">
        <v>216</v>
      </c>
      <c r="I935" s="23" t="s">
        <v>4195</v>
      </c>
    </row>
    <row r="936" spans="1:9" s="437" customFormat="1" x14ac:dyDescent="0.2">
      <c r="A936" s="23" t="s">
        <v>3449</v>
      </c>
      <c r="B936" s="23">
        <v>1000116575</v>
      </c>
      <c r="C936" s="23" t="s">
        <v>2329</v>
      </c>
      <c r="D936" s="23" t="s">
        <v>3448</v>
      </c>
      <c r="E936" s="39">
        <v>9993.6</v>
      </c>
      <c r="F936" s="191">
        <v>60147206</v>
      </c>
      <c r="G936" s="23" t="s">
        <v>280</v>
      </c>
      <c r="H936" s="23" t="s">
        <v>2423</v>
      </c>
      <c r="I936" s="23" t="s">
        <v>3557</v>
      </c>
    </row>
    <row r="937" spans="1:9" s="11" customFormat="1" x14ac:dyDescent="0.2">
      <c r="A937" s="10" t="s">
        <v>3463</v>
      </c>
      <c r="B937" s="10">
        <v>1000109237</v>
      </c>
      <c r="C937" s="23" t="s">
        <v>2329</v>
      </c>
      <c r="D937" s="23" t="s">
        <v>3468</v>
      </c>
      <c r="E937" s="13">
        <v>13615.2</v>
      </c>
      <c r="F937" s="191">
        <v>60145422</v>
      </c>
      <c r="G937" s="23" t="s">
        <v>280</v>
      </c>
      <c r="H937" s="23" t="s">
        <v>171</v>
      </c>
      <c r="I937" s="10" t="s">
        <v>3557</v>
      </c>
    </row>
    <row r="938" spans="1:9" s="11" customFormat="1" x14ac:dyDescent="0.2">
      <c r="A938" s="10" t="s">
        <v>3464</v>
      </c>
      <c r="B938" s="10">
        <v>1000109237</v>
      </c>
      <c r="C938" s="23" t="s">
        <v>2329</v>
      </c>
      <c r="D938" s="10" t="s">
        <v>3469</v>
      </c>
      <c r="E938" s="13">
        <v>12525.98</v>
      </c>
      <c r="F938" s="191">
        <v>60149811</v>
      </c>
      <c r="G938" s="661" t="s">
        <v>280</v>
      </c>
      <c r="H938" s="23" t="s">
        <v>171</v>
      </c>
      <c r="I938" s="10" t="s">
        <v>3557</v>
      </c>
    </row>
    <row r="939" spans="1:9" s="11" customFormat="1" x14ac:dyDescent="0.2">
      <c r="A939" s="10" t="s">
        <v>3465</v>
      </c>
      <c r="B939" s="10">
        <v>1000109237</v>
      </c>
      <c r="C939" s="23" t="s">
        <v>2329</v>
      </c>
      <c r="D939" s="10" t="s">
        <v>3470</v>
      </c>
      <c r="E939" s="13">
        <v>12615.26</v>
      </c>
      <c r="F939" s="191">
        <v>60145423</v>
      </c>
      <c r="G939" s="661" t="s">
        <v>280</v>
      </c>
      <c r="H939" s="23" t="s">
        <v>211</v>
      </c>
      <c r="I939" s="10" t="s">
        <v>3557</v>
      </c>
    </row>
    <row r="940" spans="1:9" x14ac:dyDescent="0.2">
      <c r="A940" s="17" t="s">
        <v>3466</v>
      </c>
      <c r="B940" s="10">
        <v>1000109237</v>
      </c>
      <c r="C940" s="23" t="s">
        <v>2329</v>
      </c>
      <c r="D940" s="10" t="s">
        <v>3471</v>
      </c>
      <c r="E940" s="13">
        <v>12615.26</v>
      </c>
      <c r="F940" s="191">
        <v>60143616</v>
      </c>
      <c r="G940" s="661" t="s">
        <v>280</v>
      </c>
      <c r="H940" s="23" t="s">
        <v>211</v>
      </c>
      <c r="I940" s="10" t="s">
        <v>3557</v>
      </c>
    </row>
    <row r="941" spans="1:9" x14ac:dyDescent="0.2">
      <c r="A941" s="10" t="s">
        <v>3467</v>
      </c>
      <c r="B941" s="10">
        <v>1000109237</v>
      </c>
      <c r="C941" s="23" t="s">
        <v>2329</v>
      </c>
      <c r="D941" s="10" t="s">
        <v>3472</v>
      </c>
      <c r="E941" s="13">
        <v>12471.3</v>
      </c>
      <c r="F941" s="191">
        <v>60145424</v>
      </c>
      <c r="G941" s="23" t="s">
        <v>280</v>
      </c>
      <c r="H941" s="29" t="s">
        <v>171</v>
      </c>
      <c r="I941" s="10" t="s">
        <v>3557</v>
      </c>
    </row>
    <row r="942" spans="1:9" s="38" customFormat="1" x14ac:dyDescent="0.2">
      <c r="A942" s="23" t="s">
        <v>3473</v>
      </c>
      <c r="B942" s="23">
        <v>1000079359</v>
      </c>
      <c r="C942" s="23" t="s">
        <v>2329</v>
      </c>
      <c r="D942" s="23" t="s">
        <v>3486</v>
      </c>
      <c r="E942" s="39">
        <v>15684.9</v>
      </c>
      <c r="F942" s="191">
        <v>60154434</v>
      </c>
      <c r="G942" s="23" t="s">
        <v>280</v>
      </c>
      <c r="H942" s="23" t="s">
        <v>216</v>
      </c>
      <c r="I942" s="23" t="s">
        <v>4176</v>
      </c>
    </row>
    <row r="943" spans="1:9" x14ac:dyDescent="0.2">
      <c r="A943" s="10" t="s">
        <v>3474</v>
      </c>
      <c r="B943" s="10">
        <v>1000079359</v>
      </c>
      <c r="C943" s="23" t="s">
        <v>2329</v>
      </c>
      <c r="D943" s="10" t="s">
        <v>3487</v>
      </c>
      <c r="E943" s="13">
        <v>7689.6</v>
      </c>
      <c r="F943" s="129">
        <v>60148306</v>
      </c>
      <c r="G943" s="23" t="s">
        <v>280</v>
      </c>
      <c r="H943" s="10" t="s">
        <v>952</v>
      </c>
      <c r="I943" s="10" t="s">
        <v>3557</v>
      </c>
    </row>
    <row r="944" spans="1:9" x14ac:dyDescent="0.2">
      <c r="A944" s="10" t="s">
        <v>3475</v>
      </c>
      <c r="B944" s="10">
        <v>1000079359</v>
      </c>
      <c r="C944" s="23" t="s">
        <v>2329</v>
      </c>
      <c r="D944" s="10" t="s">
        <v>3488</v>
      </c>
      <c r="E944" s="13">
        <v>7771.2</v>
      </c>
      <c r="F944" s="191">
        <v>60144153</v>
      </c>
      <c r="G944" s="23" t="s">
        <v>280</v>
      </c>
      <c r="H944" s="29" t="s">
        <v>952</v>
      </c>
      <c r="I944" s="10" t="s">
        <v>3557</v>
      </c>
    </row>
    <row r="945" spans="1:9" x14ac:dyDescent="0.2">
      <c r="A945" s="10" t="s">
        <v>3476</v>
      </c>
      <c r="B945" s="10">
        <v>1000079359</v>
      </c>
      <c r="C945" s="23" t="s">
        <v>2329</v>
      </c>
      <c r="D945" s="10" t="s">
        <v>3489</v>
      </c>
      <c r="E945" s="13">
        <v>8478</v>
      </c>
      <c r="F945" s="129">
        <v>60148322</v>
      </c>
      <c r="G945" s="23" t="s">
        <v>280</v>
      </c>
      <c r="H945" s="23" t="s">
        <v>994</v>
      </c>
      <c r="I945" s="10" t="s">
        <v>3557</v>
      </c>
    </row>
    <row r="946" spans="1:9" x14ac:dyDescent="0.2">
      <c r="A946" s="10" t="s">
        <v>3477</v>
      </c>
      <c r="B946" s="10">
        <v>1000079359</v>
      </c>
      <c r="C946" s="23" t="s">
        <v>2329</v>
      </c>
      <c r="D946" s="10" t="s">
        <v>3490</v>
      </c>
      <c r="E946" s="13">
        <v>17330.72</v>
      </c>
      <c r="F946" s="129">
        <v>60141499</v>
      </c>
      <c r="G946" s="661" t="s">
        <v>280</v>
      </c>
      <c r="H946" s="23" t="s">
        <v>1278</v>
      </c>
      <c r="I946" s="10" t="s">
        <v>3557</v>
      </c>
    </row>
    <row r="947" spans="1:9" x14ac:dyDescent="0.2">
      <c r="A947" s="10" t="s">
        <v>3478</v>
      </c>
      <c r="B947" s="10">
        <v>1000079359</v>
      </c>
      <c r="C947" s="23" t="s">
        <v>2329</v>
      </c>
      <c r="D947" s="10" t="s">
        <v>3491</v>
      </c>
      <c r="E947" s="13">
        <v>13176</v>
      </c>
      <c r="F947" s="129">
        <v>60146530</v>
      </c>
      <c r="G947" s="23" t="s">
        <v>280</v>
      </c>
      <c r="H947" s="17" t="s">
        <v>161</v>
      </c>
      <c r="I947" s="10" t="s">
        <v>3557</v>
      </c>
    </row>
    <row r="948" spans="1:9" x14ac:dyDescent="0.2">
      <c r="A948" s="10" t="s">
        <v>3479</v>
      </c>
      <c r="B948" s="10">
        <v>1000079359</v>
      </c>
      <c r="C948" s="23" t="s">
        <v>2329</v>
      </c>
      <c r="D948" s="10" t="s">
        <v>3492</v>
      </c>
      <c r="E948" s="13">
        <v>14130</v>
      </c>
      <c r="F948" s="191">
        <v>60147123</v>
      </c>
      <c r="G948" s="23" t="s">
        <v>280</v>
      </c>
      <c r="H948" s="29" t="s">
        <v>3215</v>
      </c>
      <c r="I948" s="10" t="s">
        <v>3557</v>
      </c>
    </row>
    <row r="949" spans="1:9" x14ac:dyDescent="0.2">
      <c r="A949" s="10" t="s">
        <v>3480</v>
      </c>
      <c r="B949" s="10">
        <v>1000079359</v>
      </c>
      <c r="C949" s="23" t="s">
        <v>2329</v>
      </c>
      <c r="D949" s="10" t="s">
        <v>3493</v>
      </c>
      <c r="E949" s="13">
        <v>14229.6</v>
      </c>
      <c r="F949" s="129">
        <v>60147115</v>
      </c>
      <c r="G949" s="23" t="s">
        <v>280</v>
      </c>
      <c r="H949" s="10" t="s">
        <v>1278</v>
      </c>
      <c r="I949" s="10" t="s">
        <v>3557</v>
      </c>
    </row>
    <row r="950" spans="1:9" x14ac:dyDescent="0.2">
      <c r="A950" s="10" t="s">
        <v>3481</v>
      </c>
      <c r="B950" s="10">
        <v>1000079359</v>
      </c>
      <c r="C950" s="23" t="s">
        <v>2329</v>
      </c>
      <c r="D950" s="10" t="s">
        <v>3494</v>
      </c>
      <c r="E950" s="13">
        <v>14347.2</v>
      </c>
      <c r="F950" s="129">
        <v>60147114</v>
      </c>
      <c r="G950" s="23" t="s">
        <v>280</v>
      </c>
      <c r="H950" s="17" t="s">
        <v>161</v>
      </c>
      <c r="I950" s="10" t="s">
        <v>3557</v>
      </c>
    </row>
    <row r="951" spans="1:9" s="38" customFormat="1" x14ac:dyDescent="0.2">
      <c r="A951" s="23" t="s">
        <v>3482</v>
      </c>
      <c r="B951" s="23">
        <v>1000079359</v>
      </c>
      <c r="C951" s="23" t="s">
        <v>2329</v>
      </c>
      <c r="D951" s="23" t="s">
        <v>3495</v>
      </c>
      <c r="E951" s="39">
        <v>14640</v>
      </c>
      <c r="F951" s="191">
        <v>60154602</v>
      </c>
      <c r="G951" s="23" t="s">
        <v>280</v>
      </c>
      <c r="H951" s="23" t="s">
        <v>216</v>
      </c>
      <c r="I951" s="23" t="s">
        <v>4374</v>
      </c>
    </row>
    <row r="952" spans="1:9" x14ac:dyDescent="0.2">
      <c r="A952" s="10" t="s">
        <v>3483</v>
      </c>
      <c r="B952" s="10">
        <v>1000079359</v>
      </c>
      <c r="C952" s="23" t="s">
        <v>2329</v>
      </c>
      <c r="D952" s="10" t="s">
        <v>3496</v>
      </c>
      <c r="E952" s="13">
        <v>14130</v>
      </c>
      <c r="F952" s="191">
        <v>60148305</v>
      </c>
      <c r="G952" s="23" t="s">
        <v>280</v>
      </c>
      <c r="H952" s="29" t="s">
        <v>171</v>
      </c>
      <c r="I952" s="10" t="s">
        <v>3557</v>
      </c>
    </row>
    <row r="953" spans="1:9" x14ac:dyDescent="0.2">
      <c r="A953" s="10" t="s">
        <v>3484</v>
      </c>
      <c r="B953" s="10">
        <v>1000079359</v>
      </c>
      <c r="C953" s="23" t="s">
        <v>2329</v>
      </c>
      <c r="D953" s="10" t="s">
        <v>3497</v>
      </c>
      <c r="E953" s="13">
        <v>3650.4</v>
      </c>
      <c r="F953" s="191">
        <v>60145765</v>
      </c>
      <c r="G953" s="23" t="s">
        <v>280</v>
      </c>
      <c r="H953" s="29" t="s">
        <v>171</v>
      </c>
      <c r="I953" s="10" t="s">
        <v>3557</v>
      </c>
    </row>
    <row r="954" spans="1:9" x14ac:dyDescent="0.2">
      <c r="A954" s="10" t="s">
        <v>3485</v>
      </c>
      <c r="B954" s="10">
        <v>1000079359</v>
      </c>
      <c r="C954" s="23" t="s">
        <v>2329</v>
      </c>
      <c r="D954" s="10" t="s">
        <v>3498</v>
      </c>
      <c r="E954" s="13">
        <v>5652</v>
      </c>
      <c r="F954" s="129">
        <v>60145923</v>
      </c>
      <c r="G954" s="23" t="s">
        <v>280</v>
      </c>
      <c r="H954" s="23" t="s">
        <v>994</v>
      </c>
      <c r="I954" s="10" t="s">
        <v>3557</v>
      </c>
    </row>
    <row r="955" spans="1:9" s="38" customFormat="1" x14ac:dyDescent="0.2">
      <c r="A955" s="23" t="s">
        <v>3502</v>
      </c>
      <c r="B955" s="23">
        <v>1000095634</v>
      </c>
      <c r="C955" s="23" t="s">
        <v>2329</v>
      </c>
      <c r="D955" s="23" t="s">
        <v>3506</v>
      </c>
      <c r="E955" s="39">
        <v>16588.8</v>
      </c>
      <c r="F955" s="130">
        <v>60148307</v>
      </c>
      <c r="G955" s="29" t="s">
        <v>280</v>
      </c>
      <c r="H955" s="29" t="s">
        <v>1575</v>
      </c>
      <c r="I955" s="23" t="s">
        <v>3792</v>
      </c>
    </row>
    <row r="956" spans="1:9" s="38" customFormat="1" x14ac:dyDescent="0.2">
      <c r="A956" s="23" t="s">
        <v>3503</v>
      </c>
      <c r="B956" s="23">
        <v>1000095634</v>
      </c>
      <c r="C956" s="23" t="s">
        <v>2329</v>
      </c>
      <c r="D956" s="23" t="s">
        <v>3507</v>
      </c>
      <c r="E956" s="39">
        <v>11437.2</v>
      </c>
      <c r="F956" s="130">
        <v>60149789</v>
      </c>
      <c r="G956" s="29" t="s">
        <v>280</v>
      </c>
      <c r="H956" s="29" t="s">
        <v>1575</v>
      </c>
      <c r="I956" s="23" t="s">
        <v>3557</v>
      </c>
    </row>
    <row r="957" spans="1:9" s="38" customFormat="1" x14ac:dyDescent="0.2">
      <c r="A957" s="23" t="s">
        <v>3504</v>
      </c>
      <c r="B957" s="23">
        <v>1000095634</v>
      </c>
      <c r="C957" s="23" t="s">
        <v>2329</v>
      </c>
      <c r="D957" s="23" t="s">
        <v>3508</v>
      </c>
      <c r="E957" s="39">
        <v>10642.8</v>
      </c>
      <c r="F957" s="191">
        <v>60144583</v>
      </c>
      <c r="G957" s="29" t="s">
        <v>280</v>
      </c>
      <c r="H957" s="29" t="s">
        <v>1575</v>
      </c>
      <c r="I957" s="23" t="s">
        <v>3792</v>
      </c>
    </row>
    <row r="958" spans="1:9" s="38" customFormat="1" x14ac:dyDescent="0.2">
      <c r="A958" s="23" t="s">
        <v>3505</v>
      </c>
      <c r="B958" s="23">
        <v>1000095634</v>
      </c>
      <c r="C958" s="23" t="s">
        <v>2329</v>
      </c>
      <c r="D958" s="23" t="s">
        <v>3509</v>
      </c>
      <c r="E958" s="39">
        <v>13561.2</v>
      </c>
      <c r="F958" s="130">
        <v>60144585</v>
      </c>
      <c r="G958" s="29" t="s">
        <v>280</v>
      </c>
      <c r="H958" s="29" t="s">
        <v>1575</v>
      </c>
      <c r="I958" s="23" t="s">
        <v>3792</v>
      </c>
    </row>
    <row r="959" spans="1:9" x14ac:dyDescent="0.2">
      <c r="A959" s="10" t="s">
        <v>3499</v>
      </c>
      <c r="B959" s="10">
        <v>1000125792</v>
      </c>
      <c r="C959" s="23" t="s">
        <v>2329</v>
      </c>
      <c r="D959" s="10" t="s">
        <v>3500</v>
      </c>
      <c r="E959" s="13">
        <v>45979.199999999997</v>
      </c>
      <c r="F959" s="129">
        <v>60152816</v>
      </c>
      <c r="G959" s="10" t="s">
        <v>280</v>
      </c>
      <c r="H959" s="10" t="s">
        <v>3501</v>
      </c>
      <c r="I959" s="10" t="s">
        <v>3881</v>
      </c>
    </row>
    <row r="960" spans="1:9" s="38" customFormat="1" x14ac:dyDescent="0.2">
      <c r="A960" s="23" t="s">
        <v>3523</v>
      </c>
      <c r="B960" s="23">
        <v>1000129672</v>
      </c>
      <c r="C960" s="23" t="s">
        <v>1548</v>
      </c>
      <c r="D960" s="23" t="s">
        <v>3521</v>
      </c>
      <c r="E960" s="39">
        <v>40800</v>
      </c>
      <c r="F960" s="191">
        <v>60149810</v>
      </c>
      <c r="G960" s="23" t="s">
        <v>280</v>
      </c>
      <c r="H960" s="23" t="s">
        <v>216</v>
      </c>
      <c r="I960" s="23" t="s">
        <v>3738</v>
      </c>
    </row>
    <row r="961" spans="1:9" s="38" customFormat="1" x14ac:dyDescent="0.2">
      <c r="A961" s="23" t="s">
        <v>3564</v>
      </c>
      <c r="B961" s="23">
        <v>1000105043</v>
      </c>
      <c r="C961" s="23" t="s">
        <v>1548</v>
      </c>
      <c r="D961" s="29" t="s">
        <v>3571</v>
      </c>
      <c r="E961" s="39">
        <v>13154.64</v>
      </c>
      <c r="F961" s="191">
        <v>60145364</v>
      </c>
      <c r="G961" s="23" t="s">
        <v>280</v>
      </c>
      <c r="H961" s="29" t="s">
        <v>216</v>
      </c>
      <c r="I961" s="23" t="s">
        <v>3792</v>
      </c>
    </row>
    <row r="962" spans="1:9" s="38" customFormat="1" x14ac:dyDescent="0.2">
      <c r="A962" s="23" t="s">
        <v>3565</v>
      </c>
      <c r="B962" s="23">
        <v>1000105043</v>
      </c>
      <c r="C962" s="23" t="s">
        <v>1548</v>
      </c>
      <c r="D962" s="29" t="s">
        <v>3572</v>
      </c>
      <c r="E962" s="39">
        <v>32894.76</v>
      </c>
      <c r="F962" s="191">
        <v>60149054</v>
      </c>
      <c r="G962" s="23" t="s">
        <v>280</v>
      </c>
      <c r="H962" s="29" t="s">
        <v>161</v>
      </c>
      <c r="I962" s="23" t="s">
        <v>3792</v>
      </c>
    </row>
    <row r="963" spans="1:9" s="38" customFormat="1" x14ac:dyDescent="0.2">
      <c r="A963" s="23" t="s">
        <v>3566</v>
      </c>
      <c r="B963" s="23">
        <v>1000105043</v>
      </c>
      <c r="C963" s="23" t="s">
        <v>1548</v>
      </c>
      <c r="D963" s="23" t="s">
        <v>3575</v>
      </c>
      <c r="E963" s="86">
        <v>5972.16</v>
      </c>
      <c r="F963" s="191">
        <v>60159500</v>
      </c>
      <c r="G963" s="23" t="s">
        <v>280</v>
      </c>
      <c r="H963" s="29" t="s">
        <v>161</v>
      </c>
      <c r="I963" s="23" t="s">
        <v>4793</v>
      </c>
    </row>
    <row r="964" spans="1:9" s="38" customFormat="1" x14ac:dyDescent="0.2">
      <c r="A964" s="23" t="s">
        <v>3567</v>
      </c>
      <c r="B964" s="23">
        <v>1000105043</v>
      </c>
      <c r="C964" s="23" t="s">
        <v>1548</v>
      </c>
      <c r="D964" s="29" t="s">
        <v>3573</v>
      </c>
      <c r="E964" s="39">
        <v>30864.36</v>
      </c>
      <c r="F964" s="191">
        <v>60157016</v>
      </c>
      <c r="G964" s="23" t="s">
        <v>280</v>
      </c>
      <c r="H964" s="23" t="s">
        <v>1476</v>
      </c>
      <c r="I964" s="23" t="s">
        <v>4794</v>
      </c>
    </row>
    <row r="965" spans="1:9" s="38" customFormat="1" x14ac:dyDescent="0.2">
      <c r="A965" s="23" t="s">
        <v>3568</v>
      </c>
      <c r="B965" s="23">
        <v>1000105043</v>
      </c>
      <c r="C965" s="23" t="s">
        <v>1548</v>
      </c>
      <c r="D965" s="29" t="s">
        <v>3574</v>
      </c>
      <c r="E965" s="39">
        <v>43978.8</v>
      </c>
      <c r="F965" s="191">
        <v>60152024</v>
      </c>
      <c r="G965" s="23" t="s">
        <v>280</v>
      </c>
      <c r="H965" s="29" t="s">
        <v>216</v>
      </c>
      <c r="I965" s="23" t="s">
        <v>4004</v>
      </c>
    </row>
    <row r="966" spans="1:9" s="38" customFormat="1" x14ac:dyDescent="0.2">
      <c r="A966" s="23" t="s">
        <v>3569</v>
      </c>
      <c r="B966" s="23">
        <v>1000105043</v>
      </c>
      <c r="C966" s="23" t="s">
        <v>1548</v>
      </c>
      <c r="D966" s="23" t="s">
        <v>3576</v>
      </c>
      <c r="E966" s="39">
        <v>5544</v>
      </c>
      <c r="F966" s="191">
        <v>60146577</v>
      </c>
      <c r="G966" s="23" t="s">
        <v>280</v>
      </c>
      <c r="H966" s="29" t="s">
        <v>161</v>
      </c>
      <c r="I966" s="23" t="s">
        <v>3792</v>
      </c>
    </row>
    <row r="967" spans="1:9" s="38" customFormat="1" x14ac:dyDescent="0.2">
      <c r="A967" s="23" t="s">
        <v>3570</v>
      </c>
      <c r="B967" s="23">
        <v>1000105043</v>
      </c>
      <c r="C967" s="23" t="s">
        <v>1548</v>
      </c>
      <c r="D967" s="23" t="s">
        <v>3555</v>
      </c>
      <c r="E967" s="39">
        <v>23940</v>
      </c>
      <c r="F967" s="191" t="s">
        <v>431</v>
      </c>
      <c r="G967" s="23"/>
      <c r="H967" s="29" t="s">
        <v>161</v>
      </c>
      <c r="I967" s="23"/>
    </row>
    <row r="968" spans="1:9" x14ac:dyDescent="0.2">
      <c r="A968" s="10" t="s">
        <v>3577</v>
      </c>
      <c r="B968" s="10">
        <v>1000109733</v>
      </c>
      <c r="C968" s="10" t="s">
        <v>1548</v>
      </c>
      <c r="D968" s="29" t="s">
        <v>3579</v>
      </c>
      <c r="E968" s="13">
        <v>26853.84</v>
      </c>
      <c r="F968" s="191">
        <v>60150757</v>
      </c>
      <c r="G968" s="23" t="s">
        <v>280</v>
      </c>
      <c r="H968" s="23" t="s">
        <v>216</v>
      </c>
      <c r="I968" s="10" t="s">
        <v>3792</v>
      </c>
    </row>
    <row r="969" spans="1:9" s="38" customFormat="1" x14ac:dyDescent="0.2">
      <c r="A969" s="23" t="s">
        <v>3578</v>
      </c>
      <c r="B969" s="23">
        <v>1000109733</v>
      </c>
      <c r="C969" s="23" t="s">
        <v>1548</v>
      </c>
      <c r="D969" s="29" t="s">
        <v>3580</v>
      </c>
      <c r="E969" s="39">
        <v>10852.8</v>
      </c>
      <c r="F969" s="191">
        <v>60155343</v>
      </c>
      <c r="G969" s="23" t="s">
        <v>280</v>
      </c>
      <c r="H969" s="23" t="s">
        <v>216</v>
      </c>
      <c r="I969" s="23" t="s">
        <v>4195</v>
      </c>
    </row>
    <row r="970" spans="1:9" x14ac:dyDescent="0.2">
      <c r="A970" s="10" t="s">
        <v>3606</v>
      </c>
      <c r="B970" s="10">
        <v>1000079359</v>
      </c>
      <c r="C970" s="10" t="s">
        <v>1548</v>
      </c>
      <c r="D970" s="10" t="s">
        <v>3623</v>
      </c>
      <c r="E970" s="13">
        <v>13259.4</v>
      </c>
      <c r="F970" s="129">
        <v>60147115</v>
      </c>
      <c r="G970" s="23" t="s">
        <v>280</v>
      </c>
      <c r="H970" s="10" t="s">
        <v>1278</v>
      </c>
      <c r="I970" s="10" t="s">
        <v>3792</v>
      </c>
    </row>
    <row r="971" spans="1:9" x14ac:dyDescent="0.2">
      <c r="A971" s="10" t="s">
        <v>3607</v>
      </c>
      <c r="B971" s="10">
        <v>1000079359</v>
      </c>
      <c r="C971" s="10" t="s">
        <v>1548</v>
      </c>
      <c r="D971" s="10" t="s">
        <v>3624</v>
      </c>
      <c r="E971" s="13">
        <v>11419.2</v>
      </c>
      <c r="F971" s="129">
        <v>60147114</v>
      </c>
      <c r="G971" s="23" t="s">
        <v>280</v>
      </c>
      <c r="H971" s="17" t="s">
        <v>161</v>
      </c>
      <c r="I971" s="10" t="s">
        <v>3792</v>
      </c>
    </row>
    <row r="972" spans="1:9" x14ac:dyDescent="0.2">
      <c r="A972" s="10" t="s">
        <v>3608</v>
      </c>
      <c r="B972" s="10">
        <v>1000079359</v>
      </c>
      <c r="C972" s="10" t="s">
        <v>1548</v>
      </c>
      <c r="D972" s="10" t="s">
        <v>3625</v>
      </c>
      <c r="E972" s="13">
        <v>3182.4</v>
      </c>
      <c r="F972" s="129">
        <v>60148304</v>
      </c>
      <c r="G972" s="23" t="s">
        <v>280</v>
      </c>
      <c r="H972" s="29" t="s">
        <v>171</v>
      </c>
      <c r="I972" s="10" t="s">
        <v>3792</v>
      </c>
    </row>
    <row r="973" spans="1:9" x14ac:dyDescent="0.2">
      <c r="A973" s="10" t="s">
        <v>3609</v>
      </c>
      <c r="B973" s="10">
        <v>1000079359</v>
      </c>
      <c r="C973" s="10" t="s">
        <v>1548</v>
      </c>
      <c r="D973" s="10" t="s">
        <v>3626</v>
      </c>
      <c r="E973" s="13">
        <v>10833.6</v>
      </c>
      <c r="F973" s="129">
        <v>60146530</v>
      </c>
      <c r="G973" s="23" t="s">
        <v>280</v>
      </c>
      <c r="H973" s="17" t="s">
        <v>161</v>
      </c>
      <c r="I973" s="10" t="s">
        <v>3792</v>
      </c>
    </row>
    <row r="974" spans="1:9" x14ac:dyDescent="0.2">
      <c r="A974" s="10" t="s">
        <v>3610</v>
      </c>
      <c r="B974" s="10">
        <v>1000079359</v>
      </c>
      <c r="C974" s="10" t="s">
        <v>1548</v>
      </c>
      <c r="D974" s="10" t="s">
        <v>3627</v>
      </c>
      <c r="E974" s="13">
        <v>4356</v>
      </c>
      <c r="F974" s="191">
        <v>60144153</v>
      </c>
      <c r="G974" s="23" t="s">
        <v>280</v>
      </c>
      <c r="H974" s="29" t="s">
        <v>952</v>
      </c>
      <c r="I974" s="10" t="s">
        <v>3792</v>
      </c>
    </row>
    <row r="975" spans="1:9" s="38" customFormat="1" x14ac:dyDescent="0.2">
      <c r="A975" s="23" t="s">
        <v>3611</v>
      </c>
      <c r="B975" s="23">
        <v>1000079359</v>
      </c>
      <c r="C975" s="23" t="s">
        <v>1548</v>
      </c>
      <c r="D975" s="23" t="s">
        <v>3628</v>
      </c>
      <c r="E975" s="39">
        <v>12936</v>
      </c>
      <c r="F975" s="191">
        <v>60154434</v>
      </c>
      <c r="G975" s="23" t="s">
        <v>280</v>
      </c>
      <c r="H975" s="23" t="s">
        <v>216</v>
      </c>
      <c r="I975" s="23" t="s">
        <v>4176</v>
      </c>
    </row>
    <row r="976" spans="1:9" x14ac:dyDescent="0.2">
      <c r="A976" s="10" t="s">
        <v>3612</v>
      </c>
      <c r="B976" s="10">
        <v>1000079359</v>
      </c>
      <c r="C976" s="10" t="s">
        <v>1548</v>
      </c>
      <c r="D976" s="10" t="s">
        <v>3629</v>
      </c>
      <c r="E976" s="13">
        <v>14673.6</v>
      </c>
      <c r="F976" s="129">
        <v>60141499</v>
      </c>
      <c r="G976" s="23" t="s">
        <v>280</v>
      </c>
      <c r="H976" s="23" t="s">
        <v>1278</v>
      </c>
      <c r="I976" s="10" t="s">
        <v>3792</v>
      </c>
    </row>
    <row r="977" spans="1:9" s="38" customFormat="1" x14ac:dyDescent="0.2">
      <c r="A977" s="23" t="s">
        <v>3613</v>
      </c>
      <c r="B977" s="23">
        <v>1000079359</v>
      </c>
      <c r="C977" s="23" t="s">
        <v>1548</v>
      </c>
      <c r="D977" s="23" t="s">
        <v>3630</v>
      </c>
      <c r="E977" s="39">
        <v>8784</v>
      </c>
      <c r="F977" s="191">
        <v>60156910</v>
      </c>
      <c r="G977" s="23" t="s">
        <v>280</v>
      </c>
      <c r="H977" s="29" t="s">
        <v>161</v>
      </c>
      <c r="I977" s="23" t="s">
        <v>4386</v>
      </c>
    </row>
    <row r="978" spans="1:9" s="38" customFormat="1" x14ac:dyDescent="0.2">
      <c r="A978" s="23" t="s">
        <v>3614</v>
      </c>
      <c r="B978" s="23">
        <v>1000079359</v>
      </c>
      <c r="C978" s="23" t="s">
        <v>1548</v>
      </c>
      <c r="D978" s="23" t="s">
        <v>3631</v>
      </c>
      <c r="E978" s="39">
        <v>2998.27</v>
      </c>
      <c r="F978" s="191">
        <v>60154602</v>
      </c>
      <c r="G978" s="23" t="s">
        <v>280</v>
      </c>
      <c r="H978" s="23" t="s">
        <v>216</v>
      </c>
      <c r="I978" s="23" t="s">
        <v>4374</v>
      </c>
    </row>
    <row r="979" spans="1:9" s="38" customFormat="1" x14ac:dyDescent="0.2">
      <c r="A979" s="23" t="s">
        <v>3615</v>
      </c>
      <c r="B979" s="23">
        <v>1000079359</v>
      </c>
      <c r="C979" s="23" t="s">
        <v>1548</v>
      </c>
      <c r="D979" s="23" t="s">
        <v>3632</v>
      </c>
      <c r="E979" s="39">
        <v>11304</v>
      </c>
      <c r="F979" s="191">
        <v>60151978</v>
      </c>
      <c r="G979" s="23" t="s">
        <v>280</v>
      </c>
      <c r="H979" s="29" t="s">
        <v>3215</v>
      </c>
      <c r="I979" s="23" t="s">
        <v>4608</v>
      </c>
    </row>
    <row r="980" spans="1:9" x14ac:dyDescent="0.2">
      <c r="A980" s="10" t="s">
        <v>3616</v>
      </c>
      <c r="B980" s="10">
        <v>1000079359</v>
      </c>
      <c r="C980" s="10" t="s">
        <v>1548</v>
      </c>
      <c r="D980" s="10" t="s">
        <v>3633</v>
      </c>
      <c r="E980" s="13">
        <v>11304</v>
      </c>
      <c r="F980" s="129">
        <v>60148322</v>
      </c>
      <c r="G980" s="23" t="s">
        <v>280</v>
      </c>
      <c r="H980" s="23" t="s">
        <v>994</v>
      </c>
      <c r="I980" s="10" t="s">
        <v>3792</v>
      </c>
    </row>
    <row r="981" spans="1:9" s="38" customFormat="1" x14ac:dyDescent="0.2">
      <c r="A981" s="23" t="s">
        <v>3617</v>
      </c>
      <c r="B981" s="23">
        <v>1000079359</v>
      </c>
      <c r="C981" s="23" t="s">
        <v>1548</v>
      </c>
      <c r="D981" s="23" t="s">
        <v>3634</v>
      </c>
      <c r="E981" s="39">
        <v>5856</v>
      </c>
      <c r="F981" s="191">
        <v>60153347</v>
      </c>
      <c r="G981" s="23" t="s">
        <v>280</v>
      </c>
      <c r="H981" s="23" t="s">
        <v>216</v>
      </c>
      <c r="I981" s="23" t="s">
        <v>4004</v>
      </c>
    </row>
    <row r="982" spans="1:9" s="38" customFormat="1" x14ac:dyDescent="0.2">
      <c r="A982" s="23" t="s">
        <v>3618</v>
      </c>
      <c r="B982" s="23">
        <v>1000079359</v>
      </c>
      <c r="C982" s="23" t="s">
        <v>1548</v>
      </c>
      <c r="D982" s="23" t="s">
        <v>3635</v>
      </c>
      <c r="E982" s="39">
        <v>3006</v>
      </c>
      <c r="F982" s="191">
        <v>60152026</v>
      </c>
      <c r="G982" s="23" t="s">
        <v>280</v>
      </c>
      <c r="H982" s="23" t="s">
        <v>3636</v>
      </c>
      <c r="I982" s="23" t="s">
        <v>4004</v>
      </c>
    </row>
    <row r="983" spans="1:9" x14ac:dyDescent="0.2">
      <c r="A983" s="10" t="s">
        <v>3619</v>
      </c>
      <c r="B983" s="10">
        <v>1000079359</v>
      </c>
      <c r="C983" s="10" t="s">
        <v>1548</v>
      </c>
      <c r="D983" s="10" t="s">
        <v>3637</v>
      </c>
      <c r="E983" s="13">
        <v>5980.8</v>
      </c>
      <c r="F983" s="129">
        <v>60148306</v>
      </c>
      <c r="G983" s="23" t="s">
        <v>280</v>
      </c>
      <c r="H983" s="10" t="s">
        <v>952</v>
      </c>
      <c r="I983" s="10" t="s">
        <v>3792</v>
      </c>
    </row>
    <row r="984" spans="1:9" s="38" customFormat="1" x14ac:dyDescent="0.2">
      <c r="A984" s="23" t="s">
        <v>3620</v>
      </c>
      <c r="B984" s="23">
        <v>1000079359</v>
      </c>
      <c r="C984" s="23" t="s">
        <v>1548</v>
      </c>
      <c r="D984" s="23" t="s">
        <v>3638</v>
      </c>
      <c r="E984" s="39">
        <v>5856</v>
      </c>
      <c r="F984" s="191">
        <v>60153350</v>
      </c>
      <c r="G984" s="23" t="s">
        <v>280</v>
      </c>
      <c r="H984" s="23" t="s">
        <v>216</v>
      </c>
      <c r="I984" s="23" t="s">
        <v>4004</v>
      </c>
    </row>
    <row r="985" spans="1:9" s="38" customFormat="1" x14ac:dyDescent="0.2">
      <c r="A985" s="23" t="s">
        <v>3621</v>
      </c>
      <c r="B985" s="23">
        <v>1000079359</v>
      </c>
      <c r="C985" s="23" t="s">
        <v>1548</v>
      </c>
      <c r="D985" s="23" t="s">
        <v>3639</v>
      </c>
      <c r="E985" s="39">
        <v>2928</v>
      </c>
      <c r="F985" s="191">
        <v>60153333</v>
      </c>
      <c r="G985" s="23" t="s">
        <v>280</v>
      </c>
      <c r="H985" s="29" t="s">
        <v>161</v>
      </c>
      <c r="I985" s="23" t="s">
        <v>4004</v>
      </c>
    </row>
    <row r="986" spans="1:9" x14ac:dyDescent="0.2">
      <c r="A986" s="10" t="s">
        <v>3622</v>
      </c>
      <c r="B986" s="10">
        <v>1000079359</v>
      </c>
      <c r="C986" s="10" t="s">
        <v>1548</v>
      </c>
      <c r="D986" s="10" t="s">
        <v>3640</v>
      </c>
      <c r="E986" s="13">
        <v>11304</v>
      </c>
      <c r="F986" s="191">
        <v>60148305</v>
      </c>
      <c r="G986" s="23" t="s">
        <v>280</v>
      </c>
      <c r="H986" s="29" t="s">
        <v>171</v>
      </c>
      <c r="I986" s="10" t="s">
        <v>3792</v>
      </c>
    </row>
    <row r="987" spans="1:9" x14ac:dyDescent="0.2">
      <c r="A987" s="10" t="s">
        <v>3592</v>
      </c>
      <c r="B987" s="10">
        <v>1000125792</v>
      </c>
      <c r="C987" s="10" t="s">
        <v>1548</v>
      </c>
      <c r="D987" s="10" t="s">
        <v>3594</v>
      </c>
      <c r="E987" s="13">
        <v>35876.400000000001</v>
      </c>
      <c r="F987" s="129">
        <v>60148984</v>
      </c>
      <c r="G987" s="10" t="s">
        <v>280</v>
      </c>
      <c r="H987" s="10" t="s">
        <v>3501</v>
      </c>
      <c r="I987" s="10" t="s">
        <v>3792</v>
      </c>
    </row>
    <row r="988" spans="1:9" s="38" customFormat="1" x14ac:dyDescent="0.2">
      <c r="A988" s="23" t="s">
        <v>3593</v>
      </c>
      <c r="B988" s="23">
        <v>1000125792</v>
      </c>
      <c r="C988" s="23" t="s">
        <v>1548</v>
      </c>
      <c r="D988" s="23" t="s">
        <v>3595</v>
      </c>
      <c r="E988" s="39">
        <v>9102</v>
      </c>
      <c r="F988" s="191">
        <v>60153396</v>
      </c>
      <c r="G988" s="23"/>
      <c r="H988" s="23" t="s">
        <v>3501</v>
      </c>
      <c r="I988" s="23"/>
    </row>
    <row r="989" spans="1:9" x14ac:dyDescent="0.2">
      <c r="A989" s="23" t="s">
        <v>3584</v>
      </c>
      <c r="B989" s="10">
        <v>1000095634</v>
      </c>
      <c r="C989" s="10" t="s">
        <v>1548</v>
      </c>
      <c r="D989" s="10" t="s">
        <v>3588</v>
      </c>
      <c r="E989" s="13">
        <v>16520.400000000001</v>
      </c>
      <c r="F989" s="130">
        <v>60148307</v>
      </c>
      <c r="G989" s="29" t="s">
        <v>280</v>
      </c>
      <c r="H989" s="29" t="s">
        <v>1575</v>
      </c>
      <c r="I989" s="10" t="s">
        <v>3792</v>
      </c>
    </row>
    <row r="990" spans="1:9" x14ac:dyDescent="0.2">
      <c r="A990" s="23" t="s">
        <v>3585</v>
      </c>
      <c r="B990" s="10">
        <v>1000095634</v>
      </c>
      <c r="C990" s="10" t="s">
        <v>1548</v>
      </c>
      <c r="D990" s="10" t="s">
        <v>3589</v>
      </c>
      <c r="E990" s="13">
        <v>9984</v>
      </c>
      <c r="F990" s="129">
        <v>60154605</v>
      </c>
      <c r="G990" s="29" t="s">
        <v>280</v>
      </c>
      <c r="H990" s="29" t="s">
        <v>1575</v>
      </c>
      <c r="I990" s="10" t="s">
        <v>4047</v>
      </c>
    </row>
    <row r="991" spans="1:9" x14ac:dyDescent="0.2">
      <c r="A991" s="23" t="s">
        <v>3586</v>
      </c>
      <c r="B991" s="10">
        <v>1000095634</v>
      </c>
      <c r="C991" s="10" t="s">
        <v>1548</v>
      </c>
      <c r="D991" s="10" t="s">
        <v>3590</v>
      </c>
      <c r="E991" s="13">
        <v>8120.4</v>
      </c>
      <c r="F991" s="129">
        <v>60154606</v>
      </c>
      <c r="G991" s="29" t="s">
        <v>280</v>
      </c>
      <c r="H991" s="29" t="s">
        <v>1575</v>
      </c>
      <c r="I991" s="10" t="s">
        <v>4386</v>
      </c>
    </row>
    <row r="992" spans="1:9" x14ac:dyDescent="0.2">
      <c r="A992" s="23" t="s">
        <v>3587</v>
      </c>
      <c r="B992" s="10">
        <v>1000095634</v>
      </c>
      <c r="C992" s="10" t="s">
        <v>1548</v>
      </c>
      <c r="D992" s="10" t="s">
        <v>3591</v>
      </c>
      <c r="E992" s="13">
        <v>12367.2</v>
      </c>
      <c r="F992" s="129">
        <v>60154604</v>
      </c>
      <c r="G992" s="29" t="s">
        <v>280</v>
      </c>
      <c r="H992" s="29" t="s">
        <v>1575</v>
      </c>
      <c r="I992" s="10" t="s">
        <v>4047</v>
      </c>
    </row>
    <row r="993" spans="1:9" x14ac:dyDescent="0.2">
      <c r="A993" s="10" t="s">
        <v>3596</v>
      </c>
      <c r="B993" s="10">
        <v>1000109237</v>
      </c>
      <c r="C993" s="10" t="s">
        <v>1548</v>
      </c>
      <c r="D993" s="10" t="s">
        <v>3601</v>
      </c>
      <c r="E993" s="13">
        <v>10892.16</v>
      </c>
      <c r="F993" s="191">
        <v>60145422</v>
      </c>
      <c r="G993" s="23" t="s">
        <v>280</v>
      </c>
      <c r="H993" s="23" t="s">
        <v>171</v>
      </c>
      <c r="I993" s="10" t="s">
        <v>3792</v>
      </c>
    </row>
    <row r="994" spans="1:9" x14ac:dyDescent="0.2">
      <c r="A994" s="10" t="s">
        <v>3597</v>
      </c>
      <c r="B994" s="10">
        <v>1000109237</v>
      </c>
      <c r="C994" s="10" t="s">
        <v>1548</v>
      </c>
      <c r="D994" s="10" t="s">
        <v>3602</v>
      </c>
      <c r="E994" s="13">
        <v>10892.16</v>
      </c>
      <c r="F994" s="191">
        <v>60149811</v>
      </c>
      <c r="G994" s="23" t="s">
        <v>280</v>
      </c>
      <c r="H994" s="23" t="s">
        <v>171</v>
      </c>
      <c r="I994" s="10" t="s">
        <v>3792</v>
      </c>
    </row>
    <row r="995" spans="1:9" x14ac:dyDescent="0.2">
      <c r="A995" s="10" t="s">
        <v>3598</v>
      </c>
      <c r="B995" s="10">
        <v>1000109237</v>
      </c>
      <c r="C995" s="10" t="s">
        <v>1548</v>
      </c>
      <c r="D995" s="10" t="s">
        <v>3603</v>
      </c>
      <c r="E995" s="13">
        <v>9987.08</v>
      </c>
      <c r="F995" s="191">
        <v>60145423</v>
      </c>
      <c r="G995" s="23" t="s">
        <v>280</v>
      </c>
      <c r="H995" s="23" t="s">
        <v>211</v>
      </c>
      <c r="I995" s="10" t="s">
        <v>3792</v>
      </c>
    </row>
    <row r="996" spans="1:9" s="38" customFormat="1" x14ac:dyDescent="0.2">
      <c r="A996" s="23" t="s">
        <v>3599</v>
      </c>
      <c r="B996" s="23">
        <v>1000109237</v>
      </c>
      <c r="C996" s="23" t="s">
        <v>1548</v>
      </c>
      <c r="D996" s="23" t="s">
        <v>3604</v>
      </c>
      <c r="E996" s="39">
        <v>10512.72</v>
      </c>
      <c r="F996" s="191">
        <v>60143616</v>
      </c>
      <c r="G996" s="23"/>
      <c r="H996" s="23" t="s">
        <v>211</v>
      </c>
      <c r="I996" s="23"/>
    </row>
    <row r="997" spans="1:9" x14ac:dyDescent="0.2">
      <c r="A997" s="10" t="s">
        <v>3600</v>
      </c>
      <c r="B997" s="10">
        <v>1000109237</v>
      </c>
      <c r="C997" s="10" t="s">
        <v>1548</v>
      </c>
      <c r="D997" s="10" t="s">
        <v>3605</v>
      </c>
      <c r="E997" s="13">
        <v>9478.19</v>
      </c>
      <c r="F997" s="191">
        <v>60145424</v>
      </c>
      <c r="G997" s="23" t="s">
        <v>280</v>
      </c>
      <c r="H997" s="29" t="s">
        <v>171</v>
      </c>
      <c r="I997" s="10" t="s">
        <v>3792</v>
      </c>
    </row>
    <row r="998" spans="1:9" x14ac:dyDescent="0.2">
      <c r="A998" s="10" t="s">
        <v>3582</v>
      </c>
      <c r="B998" s="10">
        <v>1000116575</v>
      </c>
      <c r="C998" s="10" t="s">
        <v>1548</v>
      </c>
      <c r="D998" s="10" t="s">
        <v>3583</v>
      </c>
      <c r="E998" s="13">
        <v>7911.6</v>
      </c>
      <c r="F998" s="129">
        <v>60147206</v>
      </c>
      <c r="G998" s="10" t="s">
        <v>280</v>
      </c>
      <c r="H998" s="23" t="s">
        <v>2423</v>
      </c>
      <c r="I998" s="10" t="s">
        <v>3792</v>
      </c>
    </row>
    <row r="999" spans="1:9" s="38" customFormat="1" x14ac:dyDescent="0.2">
      <c r="A999" s="23" t="s">
        <v>3673</v>
      </c>
      <c r="B999" s="23">
        <v>1000129672</v>
      </c>
      <c r="C999" s="23" t="s">
        <v>2330</v>
      </c>
      <c r="D999" s="23" t="s">
        <v>3641</v>
      </c>
      <c r="E999" s="39">
        <v>36000</v>
      </c>
      <c r="F999" s="191">
        <v>60149810</v>
      </c>
      <c r="G999" s="23" t="s">
        <v>280</v>
      </c>
      <c r="H999" s="23" t="s">
        <v>216</v>
      </c>
      <c r="I999" s="23" t="s">
        <v>4045</v>
      </c>
    </row>
    <row r="1000" spans="1:9" s="38" customFormat="1" x14ac:dyDescent="0.2">
      <c r="A1000" s="23" t="s">
        <v>3777</v>
      </c>
      <c r="B1000" s="23">
        <v>1000109733</v>
      </c>
      <c r="C1000" s="23" t="s">
        <v>2330</v>
      </c>
      <c r="D1000" s="23" t="s">
        <v>3780</v>
      </c>
      <c r="E1000" s="39">
        <v>7066.8</v>
      </c>
      <c r="F1000" s="191">
        <v>60150757</v>
      </c>
      <c r="G1000" s="23" t="s">
        <v>280</v>
      </c>
      <c r="H1000" s="23" t="s">
        <v>216</v>
      </c>
      <c r="I1000" s="23" t="s">
        <v>4004</v>
      </c>
    </row>
    <row r="1001" spans="1:9" s="38" customFormat="1" x14ac:dyDescent="0.2">
      <c r="A1001" s="23" t="s">
        <v>3778</v>
      </c>
      <c r="B1001" s="23">
        <v>1000109733</v>
      </c>
      <c r="C1001" s="23" t="s">
        <v>2330</v>
      </c>
      <c r="D1001" s="29" t="s">
        <v>3781</v>
      </c>
      <c r="E1001" s="39">
        <v>2856</v>
      </c>
      <c r="F1001" s="191">
        <v>60155343</v>
      </c>
      <c r="G1001" s="23" t="s">
        <v>280</v>
      </c>
      <c r="H1001" s="23" t="s">
        <v>216</v>
      </c>
      <c r="I1001" s="23" t="s">
        <v>4195</v>
      </c>
    </row>
    <row r="1002" spans="1:9" s="38" customFormat="1" x14ac:dyDescent="0.2">
      <c r="A1002" s="23" t="s">
        <v>3779</v>
      </c>
      <c r="B1002" s="23">
        <v>1000109733</v>
      </c>
      <c r="C1002" s="23" t="s">
        <v>2330</v>
      </c>
      <c r="D1002" s="23" t="s">
        <v>3782</v>
      </c>
      <c r="E1002" s="39">
        <v>21200.400000000001</v>
      </c>
      <c r="F1002" s="191">
        <v>60153395</v>
      </c>
      <c r="G1002" s="23" t="s">
        <v>280</v>
      </c>
      <c r="H1002" s="23" t="s">
        <v>216</v>
      </c>
      <c r="I1002" s="23" t="s">
        <v>4004</v>
      </c>
    </row>
    <row r="1003" spans="1:9" s="38" customFormat="1" x14ac:dyDescent="0.2">
      <c r="A1003" s="23" t="s">
        <v>3772</v>
      </c>
      <c r="B1003" s="23">
        <v>1000105043</v>
      </c>
      <c r="C1003" s="23" t="s">
        <v>2330</v>
      </c>
      <c r="D1003" s="23" t="s">
        <v>3773</v>
      </c>
      <c r="E1003" s="39">
        <v>3589.68</v>
      </c>
      <c r="F1003" s="191">
        <v>60149054</v>
      </c>
      <c r="G1003" s="23" t="s">
        <v>280</v>
      </c>
      <c r="H1003" s="29" t="s">
        <v>161</v>
      </c>
      <c r="I1003" s="23" t="s">
        <v>4004</v>
      </c>
    </row>
    <row r="1004" spans="1:9" s="38" customFormat="1" x14ac:dyDescent="0.2">
      <c r="A1004" s="23" t="s">
        <v>3769</v>
      </c>
      <c r="B1004" s="23">
        <v>1000105043</v>
      </c>
      <c r="C1004" s="23" t="s">
        <v>2330</v>
      </c>
      <c r="D1004" s="23" t="s">
        <v>3774</v>
      </c>
      <c r="E1004" s="39">
        <v>32488.799999999999</v>
      </c>
      <c r="F1004" s="191">
        <v>60157016</v>
      </c>
      <c r="G1004" s="23" t="s">
        <v>280</v>
      </c>
      <c r="H1004" s="23" t="s">
        <v>1476</v>
      </c>
      <c r="I1004" s="23" t="s">
        <v>4386</v>
      </c>
    </row>
    <row r="1005" spans="1:9" s="38" customFormat="1" x14ac:dyDescent="0.2">
      <c r="A1005" s="23" t="s">
        <v>3770</v>
      </c>
      <c r="B1005" s="23">
        <v>1000105043</v>
      </c>
      <c r="C1005" s="23" t="s">
        <v>2330</v>
      </c>
      <c r="D1005" s="23" t="s">
        <v>3775</v>
      </c>
      <c r="E1005" s="39">
        <v>57098.400000000001</v>
      </c>
      <c r="F1005" s="191">
        <v>60152024</v>
      </c>
      <c r="G1005" s="23" t="s">
        <v>280</v>
      </c>
      <c r="H1005" s="29" t="s">
        <v>216</v>
      </c>
      <c r="I1005" s="23" t="s">
        <v>4004</v>
      </c>
    </row>
    <row r="1006" spans="1:9" s="38" customFormat="1" x14ac:dyDescent="0.2">
      <c r="A1006" s="23" t="s">
        <v>3771</v>
      </c>
      <c r="B1006" s="23">
        <v>1000105043</v>
      </c>
      <c r="C1006" s="23" t="s">
        <v>2330</v>
      </c>
      <c r="D1006" s="23" t="s">
        <v>3776</v>
      </c>
      <c r="E1006" s="39">
        <v>32307.119999999999</v>
      </c>
      <c r="F1006" s="191">
        <v>60152023</v>
      </c>
      <c r="G1006" s="23" t="s">
        <v>280</v>
      </c>
      <c r="H1006" s="29" t="s">
        <v>161</v>
      </c>
      <c r="I1006" s="23" t="s">
        <v>4004</v>
      </c>
    </row>
    <row r="1007" spans="1:9" s="38" customFormat="1" x14ac:dyDescent="0.2">
      <c r="A1007" s="23" t="s">
        <v>3783</v>
      </c>
      <c r="B1007" s="23">
        <v>1000079359</v>
      </c>
      <c r="C1007" s="23" t="s">
        <v>2330</v>
      </c>
      <c r="D1007" s="23" t="s">
        <v>3768</v>
      </c>
      <c r="E1007" s="23">
        <f>4900*1.2</f>
        <v>5880</v>
      </c>
      <c r="F1007" s="191">
        <v>60144153</v>
      </c>
      <c r="G1007" s="23" t="s">
        <v>280</v>
      </c>
      <c r="H1007" s="29" t="s">
        <v>952</v>
      </c>
      <c r="I1007" s="23" t="s">
        <v>4004</v>
      </c>
    </row>
    <row r="1008" spans="1:9" s="38" customFormat="1" x14ac:dyDescent="0.2">
      <c r="A1008" s="23" t="s">
        <v>3785</v>
      </c>
      <c r="B1008" s="23">
        <v>1000116575</v>
      </c>
      <c r="C1008" s="23" t="s">
        <v>2330</v>
      </c>
      <c r="D1008" s="23" t="s">
        <v>3784</v>
      </c>
      <c r="E1008" s="39">
        <v>7118.4</v>
      </c>
      <c r="F1008" s="191">
        <v>60147206</v>
      </c>
      <c r="G1008" s="23" t="s">
        <v>280</v>
      </c>
      <c r="H1008" s="23" t="s">
        <v>2423</v>
      </c>
      <c r="I1008" s="23" t="s">
        <v>4004</v>
      </c>
    </row>
    <row r="1009" spans="1:9" x14ac:dyDescent="0.2">
      <c r="A1009" s="23" t="s">
        <v>3803</v>
      </c>
      <c r="B1009" s="10">
        <v>1000095634</v>
      </c>
      <c r="C1009" s="23" t="s">
        <v>2330</v>
      </c>
      <c r="D1009" s="10" t="s">
        <v>3808</v>
      </c>
      <c r="E1009" s="13">
        <v>11096.4</v>
      </c>
      <c r="F1009" s="129">
        <v>60154605</v>
      </c>
      <c r="G1009" s="29" t="s">
        <v>280</v>
      </c>
      <c r="H1009" s="29" t="s">
        <v>1575</v>
      </c>
      <c r="I1009" s="10" t="s">
        <v>4047</v>
      </c>
    </row>
    <row r="1010" spans="1:9" x14ac:dyDescent="0.2">
      <c r="A1010" s="23" t="s">
        <v>3804</v>
      </c>
      <c r="B1010" s="10">
        <v>1000095634</v>
      </c>
      <c r="C1010" s="23" t="s">
        <v>2330</v>
      </c>
      <c r="D1010" s="10" t="s">
        <v>3809</v>
      </c>
      <c r="E1010" s="13">
        <v>6434.4</v>
      </c>
      <c r="F1010" s="130">
        <v>60148307</v>
      </c>
      <c r="G1010" s="29" t="s">
        <v>280</v>
      </c>
      <c r="H1010" s="29" t="s">
        <v>1575</v>
      </c>
      <c r="I1010" s="10" t="s">
        <v>4004</v>
      </c>
    </row>
    <row r="1011" spans="1:9" x14ac:dyDescent="0.2">
      <c r="A1011" s="23" t="s">
        <v>3805</v>
      </c>
      <c r="B1011" s="10">
        <v>1000095634</v>
      </c>
      <c r="C1011" s="23" t="s">
        <v>2330</v>
      </c>
      <c r="D1011" s="10" t="s">
        <v>3810</v>
      </c>
      <c r="E1011" s="13">
        <v>7316.4</v>
      </c>
      <c r="F1011" s="129">
        <v>60154603</v>
      </c>
      <c r="G1011" s="29" t="s">
        <v>280</v>
      </c>
      <c r="H1011" s="29" t="s">
        <v>1575</v>
      </c>
      <c r="I1011" s="10" t="s">
        <v>4047</v>
      </c>
    </row>
    <row r="1012" spans="1:9" x14ac:dyDescent="0.2">
      <c r="A1012" s="23" t="s">
        <v>3806</v>
      </c>
      <c r="B1012" s="10">
        <v>1000095634</v>
      </c>
      <c r="C1012" s="23" t="s">
        <v>2330</v>
      </c>
      <c r="D1012" s="10" t="s">
        <v>3811</v>
      </c>
      <c r="E1012" s="13">
        <v>12188.4</v>
      </c>
      <c r="F1012" s="129">
        <v>60154604</v>
      </c>
      <c r="G1012" s="29" t="s">
        <v>280</v>
      </c>
      <c r="H1012" s="29" t="s">
        <v>1575</v>
      </c>
      <c r="I1012" s="10" t="s">
        <v>4047</v>
      </c>
    </row>
    <row r="1013" spans="1:9" x14ac:dyDescent="0.2">
      <c r="A1013" s="23" t="s">
        <v>3807</v>
      </c>
      <c r="B1013" s="10">
        <v>1000095634</v>
      </c>
      <c r="C1013" s="23" t="s">
        <v>2330</v>
      </c>
      <c r="D1013" s="10" t="s">
        <v>3812</v>
      </c>
      <c r="E1013" s="13">
        <v>8833.2000000000007</v>
      </c>
      <c r="F1013" s="129">
        <v>60154606</v>
      </c>
      <c r="G1013" s="29" t="s">
        <v>280</v>
      </c>
      <c r="H1013" s="29" t="s">
        <v>1575</v>
      </c>
      <c r="I1013" s="10" t="s">
        <v>4642</v>
      </c>
    </row>
    <row r="1014" spans="1:9" x14ac:dyDescent="0.2">
      <c r="A1014" s="23" t="s">
        <v>3789</v>
      </c>
      <c r="B1014" s="10">
        <v>1000125792</v>
      </c>
      <c r="C1014" s="23" t="s">
        <v>2330</v>
      </c>
      <c r="D1014" s="10" t="s">
        <v>3790</v>
      </c>
      <c r="E1014" s="13">
        <v>14527.2</v>
      </c>
      <c r="F1014" s="129">
        <v>60148984</v>
      </c>
      <c r="G1014" s="10" t="s">
        <v>280</v>
      </c>
      <c r="H1014" s="10" t="s">
        <v>3501</v>
      </c>
      <c r="I1014" s="10" t="s">
        <v>4004</v>
      </c>
    </row>
    <row r="1015" spans="1:9" x14ac:dyDescent="0.2">
      <c r="A1015" s="23" t="s">
        <v>3788</v>
      </c>
      <c r="B1015" s="10">
        <v>1000125792</v>
      </c>
      <c r="C1015" s="23" t="s">
        <v>2330</v>
      </c>
      <c r="D1015" s="10" t="s">
        <v>3791</v>
      </c>
      <c r="E1015" s="13">
        <v>24236.400000000001</v>
      </c>
      <c r="F1015" s="129">
        <v>60153396</v>
      </c>
      <c r="G1015" s="10" t="s">
        <v>280</v>
      </c>
      <c r="H1015" s="10" t="s">
        <v>3501</v>
      </c>
      <c r="I1015" s="10" t="s">
        <v>4004</v>
      </c>
    </row>
    <row r="1016" spans="1:9" x14ac:dyDescent="0.2">
      <c r="A1016" s="23" t="s">
        <v>3793</v>
      </c>
      <c r="B1016" s="10">
        <v>1000109237</v>
      </c>
      <c r="C1016" s="23" t="s">
        <v>2330</v>
      </c>
      <c r="D1016" s="10" t="s">
        <v>3798</v>
      </c>
      <c r="E1016" s="13">
        <v>1995.41</v>
      </c>
      <c r="F1016" s="191">
        <v>60145424</v>
      </c>
      <c r="G1016" s="23" t="s">
        <v>280</v>
      </c>
      <c r="H1016" s="29" t="s">
        <v>171</v>
      </c>
      <c r="I1016" s="10" t="s">
        <v>4004</v>
      </c>
    </row>
    <row r="1017" spans="1:9" x14ac:dyDescent="0.2">
      <c r="A1017" s="23" t="s">
        <v>3794</v>
      </c>
      <c r="B1017" s="10">
        <v>1000109237</v>
      </c>
      <c r="C1017" s="23" t="s">
        <v>2330</v>
      </c>
      <c r="D1017" s="10" t="s">
        <v>3799</v>
      </c>
      <c r="E1017" s="13">
        <v>2102.54</v>
      </c>
      <c r="F1017" s="191">
        <v>60145423</v>
      </c>
      <c r="G1017" s="23" t="s">
        <v>280</v>
      </c>
      <c r="H1017" s="23" t="s">
        <v>211</v>
      </c>
      <c r="I1017" s="10" t="s">
        <v>4004</v>
      </c>
    </row>
    <row r="1018" spans="1:9" x14ac:dyDescent="0.2">
      <c r="A1018" s="23" t="s">
        <v>3795</v>
      </c>
      <c r="B1018" s="10">
        <v>1000109237</v>
      </c>
      <c r="C1018" s="23" t="s">
        <v>2330</v>
      </c>
      <c r="D1018" s="10" t="s">
        <v>3800</v>
      </c>
      <c r="E1018" s="13">
        <v>2102.54</v>
      </c>
      <c r="F1018" s="191">
        <v>60143616</v>
      </c>
      <c r="G1018" s="23"/>
      <c r="H1018" s="23" t="s">
        <v>211</v>
      </c>
      <c r="I1018" s="10"/>
    </row>
    <row r="1019" spans="1:9" x14ac:dyDescent="0.2">
      <c r="A1019" s="23" t="s">
        <v>3796</v>
      </c>
      <c r="B1019" s="10">
        <v>1000109237</v>
      </c>
      <c r="C1019" s="23" t="s">
        <v>2330</v>
      </c>
      <c r="D1019" s="10" t="s">
        <v>3801</v>
      </c>
      <c r="E1019" s="13">
        <v>9258.34</v>
      </c>
      <c r="F1019" s="191">
        <v>60145422</v>
      </c>
      <c r="G1019" s="23" t="s">
        <v>280</v>
      </c>
      <c r="H1019" s="23" t="s">
        <v>171</v>
      </c>
      <c r="I1019" s="10" t="s">
        <v>4004</v>
      </c>
    </row>
    <row r="1020" spans="1:9" x14ac:dyDescent="0.2">
      <c r="A1020" s="23" t="s">
        <v>3797</v>
      </c>
      <c r="B1020" s="10">
        <v>1000109237</v>
      </c>
      <c r="C1020" s="23" t="s">
        <v>2330</v>
      </c>
      <c r="D1020" s="10" t="s">
        <v>3802</v>
      </c>
      <c r="E1020" s="13">
        <v>9802.94</v>
      </c>
      <c r="F1020" s="191">
        <v>60149811</v>
      </c>
      <c r="G1020" s="23" t="s">
        <v>280</v>
      </c>
      <c r="H1020" s="23" t="s">
        <v>171</v>
      </c>
      <c r="I1020" s="10" t="s">
        <v>4004</v>
      </c>
    </row>
    <row r="1021" spans="1:9" s="38" customFormat="1" x14ac:dyDescent="0.2">
      <c r="A1021" s="23" t="s">
        <v>3813</v>
      </c>
      <c r="B1021" s="23">
        <v>1000079359</v>
      </c>
      <c r="C1021" s="23" t="s">
        <v>2330</v>
      </c>
      <c r="D1021" s="23" t="s">
        <v>3827</v>
      </c>
      <c r="E1021" s="39">
        <v>6554.4</v>
      </c>
      <c r="F1021" s="191">
        <v>60144153</v>
      </c>
      <c r="G1021" s="23" t="s">
        <v>280</v>
      </c>
      <c r="H1021" s="29" t="s">
        <v>952</v>
      </c>
      <c r="I1021" s="23" t="s">
        <v>4004</v>
      </c>
    </row>
    <row r="1022" spans="1:9" s="38" customFormat="1" x14ac:dyDescent="0.2">
      <c r="A1022" s="23" t="s">
        <v>3814</v>
      </c>
      <c r="B1022" s="23">
        <v>1000079359</v>
      </c>
      <c r="C1022" s="23" t="s">
        <v>2330</v>
      </c>
      <c r="D1022" s="23" t="s">
        <v>3828</v>
      </c>
      <c r="E1022" s="39">
        <v>6148.8</v>
      </c>
      <c r="F1022" s="191">
        <v>60155342</v>
      </c>
      <c r="G1022" s="23" t="s">
        <v>280</v>
      </c>
      <c r="H1022" s="29" t="s">
        <v>161</v>
      </c>
      <c r="I1022" s="23" t="s">
        <v>4195</v>
      </c>
    </row>
    <row r="1023" spans="1:9" s="38" customFormat="1" x14ac:dyDescent="0.2">
      <c r="A1023" s="23" t="s">
        <v>3815</v>
      </c>
      <c r="B1023" s="23">
        <v>1000079359</v>
      </c>
      <c r="C1023" s="23" t="s">
        <v>2330</v>
      </c>
      <c r="D1023" s="23" t="s">
        <v>3829</v>
      </c>
      <c r="E1023" s="39">
        <v>10173.6</v>
      </c>
      <c r="F1023" s="191">
        <v>60152026</v>
      </c>
      <c r="G1023" s="23" t="s">
        <v>280</v>
      </c>
      <c r="H1023" s="23" t="s">
        <v>3636</v>
      </c>
      <c r="I1023" s="23" t="s">
        <v>4004</v>
      </c>
    </row>
    <row r="1024" spans="1:9" s="38" customFormat="1" x14ac:dyDescent="0.2">
      <c r="A1024" s="23" t="s">
        <v>3816</v>
      </c>
      <c r="B1024" s="23">
        <v>1000079359</v>
      </c>
      <c r="C1024" s="23" t="s">
        <v>2330</v>
      </c>
      <c r="D1024" s="23" t="s">
        <v>3830</v>
      </c>
      <c r="E1024" s="39">
        <v>1504.8</v>
      </c>
      <c r="F1024" s="191">
        <v>60141499</v>
      </c>
      <c r="G1024" s="23" t="s">
        <v>280</v>
      </c>
      <c r="H1024" s="23" t="s">
        <v>1278</v>
      </c>
      <c r="I1024" s="23" t="s">
        <v>4004</v>
      </c>
    </row>
    <row r="1025" spans="1:9" s="38" customFormat="1" x14ac:dyDescent="0.2">
      <c r="A1025" s="23" t="s">
        <v>3817</v>
      </c>
      <c r="B1025" s="23">
        <v>1000079359</v>
      </c>
      <c r="C1025" s="23" t="s">
        <v>2330</v>
      </c>
      <c r="D1025" s="23" t="s">
        <v>3831</v>
      </c>
      <c r="E1025" s="39">
        <v>6037.2</v>
      </c>
      <c r="F1025" s="191">
        <v>60157072</v>
      </c>
      <c r="G1025" s="23" t="s">
        <v>280</v>
      </c>
      <c r="H1025" s="23" t="s">
        <v>216</v>
      </c>
      <c r="I1025" s="23" t="s">
        <v>4642</v>
      </c>
    </row>
    <row r="1026" spans="1:9" s="38" customFormat="1" x14ac:dyDescent="0.2">
      <c r="A1026" s="23" t="s">
        <v>3818</v>
      </c>
      <c r="B1026" s="23">
        <v>1000079359</v>
      </c>
      <c r="C1026" s="23" t="s">
        <v>2330</v>
      </c>
      <c r="D1026" s="23" t="s">
        <v>3832</v>
      </c>
      <c r="E1026" s="39">
        <v>7612.8</v>
      </c>
      <c r="F1026" s="191">
        <v>60153333</v>
      </c>
      <c r="G1026" s="23" t="s">
        <v>280</v>
      </c>
      <c r="H1026" s="29" t="s">
        <v>161</v>
      </c>
      <c r="I1026" s="23" t="s">
        <v>4004</v>
      </c>
    </row>
    <row r="1027" spans="1:9" s="38" customFormat="1" x14ac:dyDescent="0.2">
      <c r="A1027" s="23" t="s">
        <v>3819</v>
      </c>
      <c r="B1027" s="23">
        <v>1000079359</v>
      </c>
      <c r="C1027" s="23" t="s">
        <v>2330</v>
      </c>
      <c r="D1027" s="23" t="s">
        <v>3833</v>
      </c>
      <c r="E1027" s="39">
        <v>3744</v>
      </c>
      <c r="F1027" s="191">
        <v>60151977</v>
      </c>
      <c r="G1027" s="23" t="s">
        <v>280</v>
      </c>
      <c r="H1027" s="23" t="s">
        <v>3636</v>
      </c>
      <c r="I1027" s="23" t="s">
        <v>4004</v>
      </c>
    </row>
    <row r="1028" spans="1:9" s="38" customFormat="1" x14ac:dyDescent="0.2">
      <c r="A1028" s="23" t="s">
        <v>3820</v>
      </c>
      <c r="B1028" s="23">
        <v>1000079359</v>
      </c>
      <c r="C1028" s="23" t="s">
        <v>2330</v>
      </c>
      <c r="D1028" s="23" t="s">
        <v>3834</v>
      </c>
      <c r="E1028" s="39">
        <v>2260.8000000000002</v>
      </c>
      <c r="F1028" s="191">
        <v>60148305</v>
      </c>
      <c r="G1028" s="23" t="s">
        <v>280</v>
      </c>
      <c r="H1028" s="29" t="s">
        <v>171</v>
      </c>
      <c r="I1028" s="23" t="s">
        <v>4004</v>
      </c>
    </row>
    <row r="1029" spans="1:9" s="38" customFormat="1" x14ac:dyDescent="0.2">
      <c r="A1029" s="23" t="s">
        <v>3821</v>
      </c>
      <c r="B1029" s="23">
        <v>1000079359</v>
      </c>
      <c r="C1029" s="23" t="s">
        <v>2330</v>
      </c>
      <c r="D1029" s="23" t="s">
        <v>3835</v>
      </c>
      <c r="E1029" s="39">
        <v>7509.6</v>
      </c>
      <c r="F1029" s="191">
        <v>60151994</v>
      </c>
      <c r="G1029" s="23" t="s">
        <v>280</v>
      </c>
      <c r="H1029" s="29" t="s">
        <v>171</v>
      </c>
      <c r="I1029" s="23" t="s">
        <v>4047</v>
      </c>
    </row>
    <row r="1030" spans="1:9" s="38" customFormat="1" x14ac:dyDescent="0.2">
      <c r="A1030" s="23" t="s">
        <v>3822</v>
      </c>
      <c r="B1030" s="23">
        <v>1000079359</v>
      </c>
      <c r="C1030" s="23" t="s">
        <v>2330</v>
      </c>
      <c r="D1030" s="23" t="s">
        <v>3836</v>
      </c>
      <c r="E1030" s="39">
        <v>12038.4</v>
      </c>
      <c r="F1030" s="191" t="s">
        <v>431</v>
      </c>
      <c r="G1030" s="23"/>
      <c r="H1030" s="23" t="s">
        <v>1278</v>
      </c>
      <c r="I1030" s="23"/>
    </row>
    <row r="1031" spans="1:9" s="38" customFormat="1" x14ac:dyDescent="0.2">
      <c r="A1031" s="23" t="s">
        <v>3823</v>
      </c>
      <c r="B1031" s="23">
        <v>1000079359</v>
      </c>
      <c r="C1031" s="23" t="s">
        <v>2330</v>
      </c>
      <c r="D1031" s="23" t="s">
        <v>3837</v>
      </c>
      <c r="E1031" s="39">
        <v>2587.1999999999998</v>
      </c>
      <c r="F1031" s="191">
        <v>60147115</v>
      </c>
      <c r="G1031" s="23" t="s">
        <v>280</v>
      </c>
      <c r="H1031" s="23" t="s">
        <v>1278</v>
      </c>
      <c r="I1031" s="23" t="s">
        <v>4004</v>
      </c>
    </row>
    <row r="1032" spans="1:9" s="38" customFormat="1" x14ac:dyDescent="0.2">
      <c r="A1032" s="23" t="s">
        <v>3824</v>
      </c>
      <c r="B1032" s="23">
        <v>1000079359</v>
      </c>
      <c r="C1032" s="23" t="s">
        <v>2330</v>
      </c>
      <c r="D1032" s="23" t="s">
        <v>3838</v>
      </c>
      <c r="E1032" s="23">
        <v>878.4</v>
      </c>
      <c r="F1032" s="191">
        <v>60146530</v>
      </c>
      <c r="G1032" s="23" t="s">
        <v>280</v>
      </c>
      <c r="H1032" s="29" t="s">
        <v>161</v>
      </c>
      <c r="I1032" s="23" t="s">
        <v>4047</v>
      </c>
    </row>
    <row r="1033" spans="1:9" s="38" customFormat="1" x14ac:dyDescent="0.2">
      <c r="A1033" s="23" t="s">
        <v>3825</v>
      </c>
      <c r="B1033" s="23">
        <v>1000079359</v>
      </c>
      <c r="C1033" s="23" t="s">
        <v>2330</v>
      </c>
      <c r="D1033" s="23" t="s">
        <v>3839</v>
      </c>
      <c r="E1033" s="39">
        <v>10173.6</v>
      </c>
      <c r="F1033" s="191">
        <v>60148322</v>
      </c>
      <c r="G1033" s="23" t="s">
        <v>280</v>
      </c>
      <c r="H1033" s="23" t="s">
        <v>994</v>
      </c>
      <c r="I1033" s="23" t="s">
        <v>4004</v>
      </c>
    </row>
    <row r="1034" spans="1:9" s="38" customFormat="1" x14ac:dyDescent="0.2">
      <c r="A1034" s="23" t="s">
        <v>3826</v>
      </c>
      <c r="B1034" s="23">
        <v>1000079359</v>
      </c>
      <c r="C1034" s="23" t="s">
        <v>2330</v>
      </c>
      <c r="D1034" s="39" t="s">
        <v>3840</v>
      </c>
      <c r="E1034" s="39">
        <v>8198.4</v>
      </c>
      <c r="F1034" s="191">
        <v>60151991</v>
      </c>
      <c r="G1034" s="23" t="s">
        <v>280</v>
      </c>
      <c r="H1034" s="29" t="s">
        <v>161</v>
      </c>
      <c r="I1034" s="23" t="s">
        <v>4004</v>
      </c>
    </row>
    <row r="1035" spans="1:9" s="38" customFormat="1" x14ac:dyDescent="0.2">
      <c r="A1035" s="23" t="s">
        <v>3841</v>
      </c>
      <c r="B1035" s="23">
        <v>1000079359</v>
      </c>
      <c r="C1035" s="23" t="s">
        <v>2330</v>
      </c>
      <c r="D1035" s="23" t="s">
        <v>3842</v>
      </c>
      <c r="E1035" s="39">
        <v>7612.8</v>
      </c>
      <c r="F1035" s="191">
        <v>60156910</v>
      </c>
      <c r="G1035" s="23" t="s">
        <v>280</v>
      </c>
      <c r="H1035" s="29" t="s">
        <v>161</v>
      </c>
      <c r="I1035" s="23" t="s">
        <v>4386</v>
      </c>
    </row>
    <row r="1036" spans="1:9" s="38" customFormat="1" x14ac:dyDescent="0.2">
      <c r="A1036" s="23" t="s">
        <v>3843</v>
      </c>
      <c r="B1036" s="23">
        <v>1000079359</v>
      </c>
      <c r="C1036" s="23" t="s">
        <v>2330</v>
      </c>
      <c r="D1036" s="23" t="s">
        <v>3844</v>
      </c>
      <c r="E1036" s="39">
        <v>1310.4000000000001</v>
      </c>
      <c r="F1036" s="191">
        <v>60156912</v>
      </c>
      <c r="G1036" s="23" t="s">
        <v>280</v>
      </c>
      <c r="H1036" s="23" t="s">
        <v>3845</v>
      </c>
      <c r="I1036" s="23" t="s">
        <v>4386</v>
      </c>
    </row>
    <row r="1037" spans="1:9" s="38" customFormat="1" x14ac:dyDescent="0.2">
      <c r="A1037" s="23" t="s">
        <v>3846</v>
      </c>
      <c r="B1037" s="23">
        <v>1000079359</v>
      </c>
      <c r="C1037" s="23" t="s">
        <v>2330</v>
      </c>
      <c r="D1037" s="23" t="s">
        <v>3847</v>
      </c>
      <c r="E1037" s="39">
        <v>7065</v>
      </c>
      <c r="F1037" s="191">
        <v>60152019</v>
      </c>
      <c r="G1037" s="23" t="s">
        <v>280</v>
      </c>
      <c r="H1037" s="23" t="s">
        <v>211</v>
      </c>
      <c r="I1037" s="23" t="s">
        <v>4047</v>
      </c>
    </row>
    <row r="1038" spans="1:9" s="38" customFormat="1" x14ac:dyDescent="0.2">
      <c r="A1038" s="23" t="s">
        <v>3848</v>
      </c>
      <c r="B1038" s="23">
        <v>1000079359</v>
      </c>
      <c r="C1038" s="23" t="s">
        <v>2330</v>
      </c>
      <c r="D1038" s="23" t="s">
        <v>3849</v>
      </c>
      <c r="E1038" s="39">
        <v>10540.8</v>
      </c>
      <c r="F1038" s="191">
        <v>60153350</v>
      </c>
      <c r="G1038" s="23" t="s">
        <v>280</v>
      </c>
      <c r="H1038" s="23" t="s">
        <v>216</v>
      </c>
      <c r="I1038" s="23" t="s">
        <v>4004</v>
      </c>
    </row>
    <row r="1039" spans="1:9" s="38" customFormat="1" x14ac:dyDescent="0.2">
      <c r="A1039" s="23" t="s">
        <v>3850</v>
      </c>
      <c r="B1039" s="23">
        <v>1000079359</v>
      </c>
      <c r="C1039" s="23" t="s">
        <v>2330</v>
      </c>
      <c r="D1039" s="23" t="s">
        <v>3851</v>
      </c>
      <c r="E1039" s="39">
        <v>9955.2000000000007</v>
      </c>
      <c r="F1039" s="191">
        <v>60153347</v>
      </c>
      <c r="G1039" s="23" t="s">
        <v>280</v>
      </c>
      <c r="H1039" s="23" t="s">
        <v>216</v>
      </c>
      <c r="I1039" s="23" t="s">
        <v>4004</v>
      </c>
    </row>
    <row r="1040" spans="1:9" s="38" customFormat="1" x14ac:dyDescent="0.2">
      <c r="A1040" s="23" t="s">
        <v>3852</v>
      </c>
      <c r="B1040" s="23">
        <v>1000079359</v>
      </c>
      <c r="C1040" s="23" t="s">
        <v>2330</v>
      </c>
      <c r="D1040" s="23" t="s">
        <v>3853</v>
      </c>
      <c r="E1040" s="39">
        <v>5652</v>
      </c>
      <c r="F1040" s="191" t="s">
        <v>431</v>
      </c>
      <c r="G1040" s="23"/>
      <c r="H1040" s="23" t="s">
        <v>171</v>
      </c>
      <c r="I1040" s="23"/>
    </row>
    <row r="1041" spans="1:9" s="38" customFormat="1" x14ac:dyDescent="0.2">
      <c r="A1041" s="23" t="s">
        <v>3854</v>
      </c>
      <c r="B1041" s="23">
        <v>1000079359</v>
      </c>
      <c r="C1041" s="23" t="s">
        <v>2330</v>
      </c>
      <c r="D1041" s="23" t="s">
        <v>3855</v>
      </c>
      <c r="E1041" s="39">
        <v>7912.8</v>
      </c>
      <c r="F1041" s="191">
        <v>60151993</v>
      </c>
      <c r="G1041" s="23" t="s">
        <v>280</v>
      </c>
      <c r="H1041" s="23" t="s">
        <v>171</v>
      </c>
      <c r="I1041" s="23" t="s">
        <v>4004</v>
      </c>
    </row>
    <row r="1042" spans="1:9" s="38" customFormat="1" x14ac:dyDescent="0.2">
      <c r="A1042" s="23" t="s">
        <v>3856</v>
      </c>
      <c r="B1042" s="23">
        <v>1000079359</v>
      </c>
      <c r="C1042" s="23" t="s">
        <v>2330</v>
      </c>
      <c r="D1042" s="23" t="s">
        <v>3857</v>
      </c>
      <c r="E1042" s="39">
        <v>1591.2</v>
      </c>
      <c r="F1042" s="191">
        <v>60148304</v>
      </c>
      <c r="G1042" s="23" t="s">
        <v>280</v>
      </c>
      <c r="H1042" s="29" t="s">
        <v>171</v>
      </c>
      <c r="I1042" s="23" t="s">
        <v>4004</v>
      </c>
    </row>
    <row r="1043" spans="1:9" s="38" customFormat="1" x14ac:dyDescent="0.2">
      <c r="A1043" s="23" t="s">
        <v>3858</v>
      </c>
      <c r="B1043" s="23">
        <v>1000079359</v>
      </c>
      <c r="C1043" s="23" t="s">
        <v>2330</v>
      </c>
      <c r="D1043" s="23" t="s">
        <v>3859</v>
      </c>
      <c r="E1043" s="39">
        <v>1756.8</v>
      </c>
      <c r="F1043" s="191">
        <v>60147114</v>
      </c>
      <c r="G1043" s="23" t="s">
        <v>280</v>
      </c>
      <c r="H1043" s="29" t="s">
        <v>161</v>
      </c>
      <c r="I1043" s="23" t="s">
        <v>4004</v>
      </c>
    </row>
    <row r="1044" spans="1:9" s="38" customFormat="1" x14ac:dyDescent="0.2">
      <c r="A1044" s="23" t="s">
        <v>3860</v>
      </c>
      <c r="B1044" s="23">
        <v>1000079359</v>
      </c>
      <c r="C1044" s="23" t="s">
        <v>2330</v>
      </c>
      <c r="D1044" s="23" t="s">
        <v>3861</v>
      </c>
      <c r="E1044" s="39">
        <v>7912.8</v>
      </c>
      <c r="F1044" s="191">
        <v>60153349</v>
      </c>
      <c r="G1044" s="23" t="s">
        <v>280</v>
      </c>
      <c r="H1044" s="23" t="s">
        <v>216</v>
      </c>
      <c r="I1044" s="23" t="s">
        <v>4046</v>
      </c>
    </row>
    <row r="1045" spans="1:9" s="38" customFormat="1" x14ac:dyDescent="0.2">
      <c r="A1045" s="23" t="s">
        <v>3862</v>
      </c>
      <c r="B1045" s="23">
        <v>1000079359</v>
      </c>
      <c r="C1045" s="23" t="s">
        <v>2330</v>
      </c>
      <c r="D1045" s="23" t="s">
        <v>3863</v>
      </c>
      <c r="E1045" s="39">
        <v>9055.2000000000007</v>
      </c>
      <c r="F1045" s="191">
        <v>60153346</v>
      </c>
      <c r="G1045" s="23" t="s">
        <v>280</v>
      </c>
      <c r="H1045" s="23" t="s">
        <v>216</v>
      </c>
      <c r="I1045" s="23" t="s">
        <v>4004</v>
      </c>
    </row>
    <row r="1046" spans="1:9" s="38" customFormat="1" x14ac:dyDescent="0.2">
      <c r="A1046" s="23" t="s">
        <v>3864</v>
      </c>
      <c r="B1046" s="23">
        <v>1000079359</v>
      </c>
      <c r="C1046" s="23" t="s">
        <v>2330</v>
      </c>
      <c r="D1046" s="23" t="s">
        <v>3865</v>
      </c>
      <c r="E1046" s="39">
        <v>8198.4</v>
      </c>
      <c r="F1046" s="191">
        <v>60153348</v>
      </c>
      <c r="G1046" s="23" t="s">
        <v>280</v>
      </c>
      <c r="H1046" s="23" t="s">
        <v>216</v>
      </c>
      <c r="I1046" s="23" t="s">
        <v>4004</v>
      </c>
    </row>
    <row r="1047" spans="1:9" s="38" customFormat="1" x14ac:dyDescent="0.2">
      <c r="A1047" s="23" t="s">
        <v>3866</v>
      </c>
      <c r="B1047" s="23">
        <v>1000079359</v>
      </c>
      <c r="C1047" s="23" t="s">
        <v>2330</v>
      </c>
      <c r="D1047" s="23" t="s">
        <v>3867</v>
      </c>
      <c r="E1047" s="39">
        <v>8619.2999999999993</v>
      </c>
      <c r="F1047" s="191">
        <v>60153332</v>
      </c>
      <c r="G1047" s="23" t="s">
        <v>280</v>
      </c>
      <c r="H1047" s="29" t="s">
        <v>3215</v>
      </c>
      <c r="I1047" s="23" t="s">
        <v>4004</v>
      </c>
    </row>
    <row r="1048" spans="1:9" s="38" customFormat="1" x14ac:dyDescent="0.2">
      <c r="A1048" s="23" t="s">
        <v>3868</v>
      </c>
      <c r="B1048" s="23">
        <v>1000079359</v>
      </c>
      <c r="C1048" s="23" t="s">
        <v>2330</v>
      </c>
      <c r="D1048" s="23" t="s">
        <v>3869</v>
      </c>
      <c r="E1048" s="39">
        <v>7912.8</v>
      </c>
      <c r="F1048" s="191">
        <v>60152020</v>
      </c>
      <c r="G1048" s="23" t="s">
        <v>280</v>
      </c>
      <c r="H1048" s="23" t="s">
        <v>211</v>
      </c>
      <c r="I1048" s="23" t="s">
        <v>4047</v>
      </c>
    </row>
    <row r="1049" spans="1:9" s="38" customFormat="1" x14ac:dyDescent="0.2">
      <c r="A1049" s="23" t="s">
        <v>3870</v>
      </c>
      <c r="B1049" s="23">
        <v>1000079359</v>
      </c>
      <c r="C1049" s="23" t="s">
        <v>2330</v>
      </c>
      <c r="D1049" s="23" t="s">
        <v>3871</v>
      </c>
      <c r="E1049" s="39">
        <v>8408.4</v>
      </c>
      <c r="F1049" s="191">
        <v>60151992</v>
      </c>
      <c r="G1049" s="23" t="s">
        <v>280</v>
      </c>
      <c r="H1049" s="23" t="s">
        <v>1278</v>
      </c>
      <c r="I1049" s="23" t="s">
        <v>4004</v>
      </c>
    </row>
    <row r="1050" spans="1:9" s="38" customFormat="1" x14ac:dyDescent="0.2">
      <c r="A1050" s="23" t="s">
        <v>3872</v>
      </c>
      <c r="B1050" s="23">
        <v>1000079359</v>
      </c>
      <c r="C1050" s="23" t="s">
        <v>2330</v>
      </c>
      <c r="D1050" s="23" t="s">
        <v>3873</v>
      </c>
      <c r="E1050" s="39">
        <v>2587.1999999999998</v>
      </c>
      <c r="F1050" s="191">
        <v>60154434</v>
      </c>
      <c r="G1050" s="23" t="s">
        <v>280</v>
      </c>
      <c r="H1050" s="23" t="s">
        <v>216</v>
      </c>
      <c r="I1050" s="23" t="s">
        <v>4176</v>
      </c>
    </row>
    <row r="1051" spans="1:9" x14ac:dyDescent="0.2">
      <c r="A1051" s="17" t="s">
        <v>3901</v>
      </c>
      <c r="B1051" s="10">
        <v>1000109733</v>
      </c>
      <c r="C1051" s="10" t="s">
        <v>2331</v>
      </c>
      <c r="D1051" s="23" t="s">
        <v>3884</v>
      </c>
      <c r="E1051" s="13">
        <v>11928</v>
      </c>
      <c r="F1051" s="129" t="s">
        <v>431</v>
      </c>
      <c r="G1051" s="39"/>
      <c r="H1051" s="23" t="s">
        <v>216</v>
      </c>
      <c r="I1051" s="10"/>
    </row>
    <row r="1052" spans="1:9" x14ac:dyDescent="0.2">
      <c r="A1052" s="17" t="s">
        <v>5102</v>
      </c>
      <c r="B1052" s="10">
        <v>1000109733</v>
      </c>
      <c r="C1052" s="10" t="s">
        <v>2331</v>
      </c>
      <c r="D1052" s="23" t="s">
        <v>3884</v>
      </c>
      <c r="E1052" s="13">
        <v>8640</v>
      </c>
      <c r="F1052" s="129" t="s">
        <v>431</v>
      </c>
      <c r="G1052" s="39"/>
      <c r="H1052" s="23" t="s">
        <v>216</v>
      </c>
      <c r="I1052" s="10"/>
    </row>
    <row r="1053" spans="1:9" x14ac:dyDescent="0.2">
      <c r="A1053" s="17" t="s">
        <v>5103</v>
      </c>
      <c r="B1053" s="10">
        <v>1000109733</v>
      </c>
      <c r="C1053" s="10" t="s">
        <v>2331</v>
      </c>
      <c r="D1053" s="23" t="s">
        <v>3884</v>
      </c>
      <c r="E1053" s="13">
        <v>1452</v>
      </c>
      <c r="F1053" s="129" t="s">
        <v>431</v>
      </c>
      <c r="G1053" s="39"/>
      <c r="H1053" s="23" t="s">
        <v>216</v>
      </c>
      <c r="I1053" s="10"/>
    </row>
    <row r="1054" spans="1:9" s="253" customFormat="1" x14ac:dyDescent="0.2">
      <c r="A1054" s="29" t="s">
        <v>3910</v>
      </c>
      <c r="B1054" s="29">
        <v>1000105043</v>
      </c>
      <c r="C1054" s="29" t="s">
        <v>2331</v>
      </c>
      <c r="D1054" s="29" t="s">
        <v>3911</v>
      </c>
      <c r="E1054" s="86">
        <v>38986.559999999998</v>
      </c>
      <c r="F1054" s="191">
        <v>60157016</v>
      </c>
      <c r="G1054" s="23" t="s">
        <v>280</v>
      </c>
      <c r="H1054" s="29" t="s">
        <v>1476</v>
      </c>
      <c r="I1054" s="29" t="s">
        <v>4386</v>
      </c>
    </row>
    <row r="1055" spans="1:9" s="253" customFormat="1" x14ac:dyDescent="0.2">
      <c r="A1055" s="29" t="s">
        <v>3912</v>
      </c>
      <c r="B1055" s="29">
        <v>1000105043</v>
      </c>
      <c r="C1055" s="29" t="s">
        <v>2331</v>
      </c>
      <c r="D1055" s="29" t="s">
        <v>3913</v>
      </c>
      <c r="E1055" s="86">
        <v>67935.839999999997</v>
      </c>
      <c r="F1055" s="130">
        <v>60152024</v>
      </c>
      <c r="G1055" s="39" t="s">
        <v>280</v>
      </c>
      <c r="H1055" s="29" t="s">
        <v>216</v>
      </c>
      <c r="I1055" s="29" t="s">
        <v>4139</v>
      </c>
    </row>
    <row r="1056" spans="1:9" s="253" customFormat="1" x14ac:dyDescent="0.2">
      <c r="A1056" s="29" t="s">
        <v>3914</v>
      </c>
      <c r="B1056" s="29">
        <v>1000105043</v>
      </c>
      <c r="C1056" s="29" t="s">
        <v>2331</v>
      </c>
      <c r="D1056" s="29" t="s">
        <v>3915</v>
      </c>
      <c r="E1056" s="86">
        <v>43076.160000000003</v>
      </c>
      <c r="F1056" s="130">
        <v>60152023</v>
      </c>
      <c r="G1056" s="39" t="s">
        <v>280</v>
      </c>
      <c r="H1056" s="29" t="s">
        <v>161</v>
      </c>
      <c r="I1056" s="29" t="s">
        <v>4139</v>
      </c>
    </row>
    <row r="1057" spans="1:9" s="253" customFormat="1" x14ac:dyDescent="0.2">
      <c r="A1057" s="29" t="s">
        <v>3991</v>
      </c>
      <c r="B1057" s="29">
        <v>1000109733</v>
      </c>
      <c r="C1057" s="29" t="s">
        <v>2331</v>
      </c>
      <c r="D1057" s="29" t="s">
        <v>3990</v>
      </c>
      <c r="E1057" s="86">
        <v>33920.639999999999</v>
      </c>
      <c r="F1057" s="130">
        <v>60153395</v>
      </c>
      <c r="G1057" s="86" t="s">
        <v>280</v>
      </c>
      <c r="H1057" s="29" t="s">
        <v>216</v>
      </c>
      <c r="I1057" s="29" t="s">
        <v>4139</v>
      </c>
    </row>
    <row r="1058" spans="1:9" s="22" customFormat="1" x14ac:dyDescent="0.2">
      <c r="A1058" s="17" t="s">
        <v>3924</v>
      </c>
      <c r="B1058" s="17">
        <v>1000109237</v>
      </c>
      <c r="C1058" s="17" t="s">
        <v>2331</v>
      </c>
      <c r="D1058" s="17" t="s">
        <v>3925</v>
      </c>
      <c r="E1058" s="85">
        <v>2723.04</v>
      </c>
      <c r="F1058" s="130">
        <v>60145422</v>
      </c>
      <c r="G1058" s="39" t="s">
        <v>280</v>
      </c>
      <c r="H1058" s="29" t="s">
        <v>171</v>
      </c>
      <c r="I1058" s="17" t="s">
        <v>4139</v>
      </c>
    </row>
    <row r="1059" spans="1:9" s="22" customFormat="1" x14ac:dyDescent="0.2">
      <c r="A1059" s="17" t="s">
        <v>3926</v>
      </c>
      <c r="B1059" s="17">
        <v>1000109237</v>
      </c>
      <c r="C1059" s="17" t="s">
        <v>2331</v>
      </c>
      <c r="D1059" s="17" t="s">
        <v>3927</v>
      </c>
      <c r="E1059" s="85">
        <v>9802.94</v>
      </c>
      <c r="F1059" s="130">
        <v>60149811</v>
      </c>
      <c r="G1059" s="39" t="s">
        <v>280</v>
      </c>
      <c r="H1059" s="29" t="s">
        <v>171</v>
      </c>
      <c r="I1059" s="17" t="s">
        <v>4139</v>
      </c>
    </row>
    <row r="1060" spans="1:9" s="22" customFormat="1" x14ac:dyDescent="0.2">
      <c r="A1060" s="17" t="s">
        <v>3928</v>
      </c>
      <c r="B1060" s="17">
        <v>1000125792</v>
      </c>
      <c r="C1060" s="17" t="s">
        <v>2331</v>
      </c>
      <c r="D1060" s="17" t="s">
        <v>3929</v>
      </c>
      <c r="E1060" s="85">
        <v>27355.200000000001</v>
      </c>
      <c r="F1060" s="449">
        <v>60153396</v>
      </c>
      <c r="G1060" s="39"/>
      <c r="H1060" s="17" t="s">
        <v>3501</v>
      </c>
      <c r="I1060" s="17"/>
    </row>
    <row r="1061" spans="1:9" s="22" customFormat="1" x14ac:dyDescent="0.2">
      <c r="A1061" s="17" t="s">
        <v>3930</v>
      </c>
      <c r="B1061" s="17">
        <v>1000125792</v>
      </c>
      <c r="C1061" s="17" t="s">
        <v>2331</v>
      </c>
      <c r="D1061" s="17" t="s">
        <v>3931</v>
      </c>
      <c r="E1061" s="85">
        <v>21746.400000000001</v>
      </c>
      <c r="F1061" s="449">
        <v>60148984</v>
      </c>
      <c r="G1061" s="39" t="s">
        <v>280</v>
      </c>
      <c r="H1061" s="17" t="s">
        <v>3501</v>
      </c>
      <c r="I1061" s="17" t="s">
        <v>4642</v>
      </c>
    </row>
    <row r="1062" spans="1:9" s="22" customFormat="1" x14ac:dyDescent="0.2">
      <c r="A1062" s="17" t="s">
        <v>3916</v>
      </c>
      <c r="B1062" s="17">
        <v>1000095634</v>
      </c>
      <c r="C1062" s="17" t="s">
        <v>2331</v>
      </c>
      <c r="D1062" s="17" t="s">
        <v>3917</v>
      </c>
      <c r="E1062" s="85">
        <v>15292.8</v>
      </c>
      <c r="F1062" s="449">
        <v>60154604</v>
      </c>
      <c r="G1062" s="29" t="s">
        <v>280</v>
      </c>
      <c r="H1062" s="29" t="s">
        <v>1575</v>
      </c>
      <c r="I1062" s="17" t="s">
        <v>4139</v>
      </c>
    </row>
    <row r="1063" spans="1:9" s="22" customFormat="1" x14ac:dyDescent="0.2">
      <c r="A1063" s="17" t="s">
        <v>3919</v>
      </c>
      <c r="B1063" s="17">
        <v>1000095634</v>
      </c>
      <c r="C1063" s="17" t="s">
        <v>2331</v>
      </c>
      <c r="D1063" s="17" t="s">
        <v>3918</v>
      </c>
      <c r="E1063" s="85">
        <v>12663.6</v>
      </c>
      <c r="F1063" s="449">
        <v>60154605</v>
      </c>
      <c r="G1063" s="29" t="s">
        <v>280</v>
      </c>
      <c r="H1063" s="29" t="s">
        <v>1575</v>
      </c>
      <c r="I1063" s="17" t="s">
        <v>4139</v>
      </c>
    </row>
    <row r="1064" spans="1:9" s="22" customFormat="1" x14ac:dyDescent="0.2">
      <c r="A1064" s="17" t="s">
        <v>3920</v>
      </c>
      <c r="B1064" s="17">
        <v>1000095634</v>
      </c>
      <c r="C1064" s="17" t="s">
        <v>2331</v>
      </c>
      <c r="D1064" s="17" t="s">
        <v>3921</v>
      </c>
      <c r="E1064" s="85">
        <v>18590.400000000001</v>
      </c>
      <c r="F1064" s="449">
        <v>60154603</v>
      </c>
      <c r="G1064" s="29" t="s">
        <v>280</v>
      </c>
      <c r="H1064" s="29" t="s">
        <v>1575</v>
      </c>
      <c r="I1064" s="17" t="s">
        <v>4139</v>
      </c>
    </row>
    <row r="1065" spans="1:9" s="22" customFormat="1" x14ac:dyDescent="0.2">
      <c r="A1065" s="17" t="s">
        <v>3922</v>
      </c>
      <c r="B1065" s="17">
        <v>1000095634</v>
      </c>
      <c r="C1065" s="17" t="s">
        <v>2331</v>
      </c>
      <c r="D1065" s="17" t="s">
        <v>3923</v>
      </c>
      <c r="E1065" s="85">
        <v>10857.6</v>
      </c>
      <c r="F1065" s="449">
        <v>60154606</v>
      </c>
      <c r="G1065" s="29" t="s">
        <v>280</v>
      </c>
      <c r="H1065" s="29" t="s">
        <v>1575</v>
      </c>
      <c r="I1065" s="17" t="s">
        <v>4642</v>
      </c>
    </row>
    <row r="1066" spans="1:9" s="22" customFormat="1" x14ac:dyDescent="0.2">
      <c r="A1066" s="17" t="s">
        <v>3909</v>
      </c>
      <c r="B1066" s="29">
        <v>1000116575</v>
      </c>
      <c r="C1066" s="17" t="s">
        <v>2331</v>
      </c>
      <c r="D1066" s="29" t="s">
        <v>3908</v>
      </c>
      <c r="E1066" s="86">
        <v>5155.2</v>
      </c>
      <c r="F1066" s="130">
        <v>60147206</v>
      </c>
      <c r="G1066" s="39" t="s">
        <v>280</v>
      </c>
      <c r="H1066" s="29" t="s">
        <v>2423</v>
      </c>
      <c r="I1066" s="17" t="s">
        <v>4047</v>
      </c>
    </row>
    <row r="1067" spans="1:9" s="38" customFormat="1" x14ac:dyDescent="0.2">
      <c r="A1067" s="29" t="s">
        <v>3932</v>
      </c>
      <c r="B1067" s="23">
        <v>1000079359</v>
      </c>
      <c r="C1067" s="23" t="s">
        <v>2331</v>
      </c>
      <c r="D1067" s="23" t="s">
        <v>3961</v>
      </c>
      <c r="E1067" s="39">
        <v>13812</v>
      </c>
      <c r="F1067" s="191" t="s">
        <v>431</v>
      </c>
      <c r="G1067" s="39"/>
      <c r="H1067" s="23" t="s">
        <v>1278</v>
      </c>
      <c r="I1067" s="23"/>
    </row>
    <row r="1068" spans="1:9" x14ac:dyDescent="0.2">
      <c r="A1068" s="17" t="s">
        <v>3933</v>
      </c>
      <c r="B1068" s="10">
        <v>1000079359</v>
      </c>
      <c r="C1068" s="10" t="s">
        <v>2331</v>
      </c>
      <c r="D1068" s="10" t="s">
        <v>3962</v>
      </c>
      <c r="E1068" s="13">
        <v>12337.2</v>
      </c>
      <c r="F1068" s="191">
        <v>60151994</v>
      </c>
      <c r="G1068" s="39" t="s">
        <v>280</v>
      </c>
      <c r="H1068" s="29" t="s">
        <v>171</v>
      </c>
      <c r="I1068" s="10" t="s">
        <v>4139</v>
      </c>
    </row>
    <row r="1069" spans="1:9" s="38" customFormat="1" x14ac:dyDescent="0.2">
      <c r="A1069" s="29" t="s">
        <v>3934</v>
      </c>
      <c r="B1069" s="23">
        <v>1000079359</v>
      </c>
      <c r="C1069" s="23" t="s">
        <v>2331</v>
      </c>
      <c r="D1069" s="23" t="s">
        <v>3963</v>
      </c>
      <c r="E1069" s="39">
        <v>12297.6</v>
      </c>
      <c r="F1069" s="191">
        <v>60155342</v>
      </c>
      <c r="G1069" s="23" t="s">
        <v>280</v>
      </c>
      <c r="H1069" s="29" t="s">
        <v>161</v>
      </c>
      <c r="I1069" s="23" t="s">
        <v>4195</v>
      </c>
    </row>
    <row r="1070" spans="1:9" x14ac:dyDescent="0.2">
      <c r="A1070" s="17" t="s">
        <v>3935</v>
      </c>
      <c r="B1070" s="10">
        <v>1000079359</v>
      </c>
      <c r="C1070" s="10" t="s">
        <v>2331</v>
      </c>
      <c r="D1070" s="10" t="s">
        <v>3964</v>
      </c>
      <c r="E1070" s="13">
        <v>12999.6</v>
      </c>
      <c r="F1070" s="191">
        <v>60152020</v>
      </c>
      <c r="G1070" s="39" t="s">
        <v>280</v>
      </c>
      <c r="H1070" s="23" t="s">
        <v>211</v>
      </c>
      <c r="I1070" s="10" t="s">
        <v>4139</v>
      </c>
    </row>
    <row r="1071" spans="1:9" s="38" customFormat="1" x14ac:dyDescent="0.2">
      <c r="A1071" s="29" t="s">
        <v>3936</v>
      </c>
      <c r="B1071" s="23">
        <v>1000079359</v>
      </c>
      <c r="C1071" s="23" t="s">
        <v>2331</v>
      </c>
      <c r="D1071" s="23" t="s">
        <v>3965</v>
      </c>
      <c r="E1071" s="39">
        <v>11712</v>
      </c>
      <c r="F1071" s="191">
        <v>60156910</v>
      </c>
      <c r="G1071" s="23" t="s">
        <v>280</v>
      </c>
      <c r="H1071" s="29" t="s">
        <v>161</v>
      </c>
      <c r="I1071" s="23" t="s">
        <v>4386</v>
      </c>
    </row>
    <row r="1072" spans="1:9" x14ac:dyDescent="0.2">
      <c r="A1072" s="17" t="s">
        <v>3937</v>
      </c>
      <c r="B1072" s="10">
        <v>1000079359</v>
      </c>
      <c r="C1072" s="10" t="s">
        <v>2331</v>
      </c>
      <c r="D1072" s="10" t="s">
        <v>3966</v>
      </c>
      <c r="E1072" s="13">
        <v>12999.6</v>
      </c>
      <c r="F1072" s="191">
        <v>60152019</v>
      </c>
      <c r="G1072" s="39" t="s">
        <v>280</v>
      </c>
      <c r="H1072" s="23" t="s">
        <v>211</v>
      </c>
      <c r="I1072" s="10" t="s">
        <v>4139</v>
      </c>
    </row>
    <row r="1073" spans="1:9" x14ac:dyDescent="0.2">
      <c r="A1073" s="17" t="s">
        <v>3938</v>
      </c>
      <c r="B1073" s="10">
        <v>1000079359</v>
      </c>
      <c r="C1073" s="10" t="s">
        <v>2331</v>
      </c>
      <c r="D1073" s="10" t="s">
        <v>3967</v>
      </c>
      <c r="E1073" s="13">
        <v>13468.8</v>
      </c>
      <c r="F1073" s="191">
        <v>60153350</v>
      </c>
      <c r="G1073" s="39" t="s">
        <v>280</v>
      </c>
      <c r="H1073" s="23" t="s">
        <v>216</v>
      </c>
      <c r="I1073" s="10" t="s">
        <v>4139</v>
      </c>
    </row>
    <row r="1074" spans="1:9" s="38" customFormat="1" x14ac:dyDescent="0.2">
      <c r="A1074" s="29" t="s">
        <v>3939</v>
      </c>
      <c r="B1074" s="23">
        <v>1000079359</v>
      </c>
      <c r="C1074" s="23" t="s">
        <v>2331</v>
      </c>
      <c r="D1074" s="23" t="s">
        <v>3968</v>
      </c>
      <c r="E1074" s="39">
        <v>12999.6</v>
      </c>
      <c r="F1074" s="191" t="s">
        <v>431</v>
      </c>
      <c r="G1074" s="39"/>
      <c r="H1074" s="29" t="s">
        <v>171</v>
      </c>
      <c r="I1074" s="23"/>
    </row>
    <row r="1075" spans="1:9" s="38" customFormat="1" x14ac:dyDescent="0.2">
      <c r="A1075" s="29" t="s">
        <v>3940</v>
      </c>
      <c r="B1075" s="23">
        <v>1000079359</v>
      </c>
      <c r="C1075" s="23" t="s">
        <v>2331</v>
      </c>
      <c r="D1075" s="23" t="s">
        <v>3969</v>
      </c>
      <c r="E1075" s="39">
        <v>9955.2000000000007</v>
      </c>
      <c r="F1075" s="191" t="s">
        <v>431</v>
      </c>
      <c r="G1075" s="39"/>
      <c r="H1075" s="29" t="s">
        <v>171</v>
      </c>
      <c r="I1075" s="23"/>
    </row>
    <row r="1076" spans="1:9" s="38" customFormat="1" x14ac:dyDescent="0.2">
      <c r="A1076" s="29" t="s">
        <v>3941</v>
      </c>
      <c r="B1076" s="23">
        <v>1000079359</v>
      </c>
      <c r="C1076" s="23" t="s">
        <v>2331</v>
      </c>
      <c r="D1076" s="23" t="s">
        <v>3970</v>
      </c>
      <c r="E1076" s="39">
        <v>12999.6</v>
      </c>
      <c r="F1076" s="191">
        <v>60156912</v>
      </c>
      <c r="G1076" s="23" t="s">
        <v>280</v>
      </c>
      <c r="H1076" s="23" t="s">
        <v>3845</v>
      </c>
      <c r="I1076" s="23" t="s">
        <v>4386</v>
      </c>
    </row>
    <row r="1077" spans="1:9" x14ac:dyDescent="0.2">
      <c r="A1077" s="17" t="s">
        <v>3942</v>
      </c>
      <c r="B1077" s="10">
        <v>1000079359</v>
      </c>
      <c r="C1077" s="10" t="s">
        <v>2331</v>
      </c>
      <c r="D1077" s="10" t="s">
        <v>3971</v>
      </c>
      <c r="E1077" s="13">
        <v>8208</v>
      </c>
      <c r="F1077" s="191">
        <v>60144153</v>
      </c>
      <c r="G1077" s="39" t="s">
        <v>280</v>
      </c>
      <c r="H1077" s="29" t="s">
        <v>952</v>
      </c>
      <c r="I1077" s="10" t="s">
        <v>4139</v>
      </c>
    </row>
    <row r="1078" spans="1:9" x14ac:dyDescent="0.2">
      <c r="A1078" s="17" t="s">
        <v>3943</v>
      </c>
      <c r="B1078" s="10">
        <v>1000079359</v>
      </c>
      <c r="C1078" s="10" t="s">
        <v>2331</v>
      </c>
      <c r="D1078" s="10" t="s">
        <v>3972</v>
      </c>
      <c r="E1078" s="13">
        <v>12999.6</v>
      </c>
      <c r="F1078" s="191">
        <v>60153349</v>
      </c>
      <c r="G1078" s="39" t="s">
        <v>280</v>
      </c>
      <c r="H1078" s="23" t="s">
        <v>216</v>
      </c>
      <c r="I1078" s="10" t="s">
        <v>4139</v>
      </c>
    </row>
    <row r="1079" spans="1:9" x14ac:dyDescent="0.2">
      <c r="A1079" s="17" t="s">
        <v>3944</v>
      </c>
      <c r="B1079" s="10">
        <v>1000079359</v>
      </c>
      <c r="C1079" s="10" t="s">
        <v>2331</v>
      </c>
      <c r="D1079" s="10" t="s">
        <v>3973</v>
      </c>
      <c r="E1079" s="13">
        <v>12999.6</v>
      </c>
      <c r="F1079" s="191">
        <v>60152026</v>
      </c>
      <c r="G1079" s="39" t="s">
        <v>280</v>
      </c>
      <c r="H1079" s="23" t="s">
        <v>3636</v>
      </c>
      <c r="I1079" s="10" t="s">
        <v>4139</v>
      </c>
    </row>
    <row r="1080" spans="1:9" x14ac:dyDescent="0.2">
      <c r="A1080" s="17" t="s">
        <v>3945</v>
      </c>
      <c r="B1080" s="10">
        <v>1000079359</v>
      </c>
      <c r="C1080" s="10" t="s">
        <v>2331</v>
      </c>
      <c r="D1080" s="10" t="s">
        <v>3974</v>
      </c>
      <c r="E1080" s="13">
        <v>12999.6</v>
      </c>
      <c r="F1080" s="191">
        <v>60151993</v>
      </c>
      <c r="G1080" s="39" t="s">
        <v>280</v>
      </c>
      <c r="H1080" s="23" t="s">
        <v>171</v>
      </c>
      <c r="I1080" s="10" t="s">
        <v>4139</v>
      </c>
    </row>
    <row r="1081" spans="1:9" s="38" customFormat="1" x14ac:dyDescent="0.2">
      <c r="A1081" s="29" t="s">
        <v>3946</v>
      </c>
      <c r="B1081" s="23">
        <v>1000079359</v>
      </c>
      <c r="C1081" s="23" t="s">
        <v>2331</v>
      </c>
      <c r="D1081" s="23" t="s">
        <v>3975</v>
      </c>
      <c r="E1081" s="39">
        <v>15428.4</v>
      </c>
      <c r="F1081" s="191">
        <v>60157072</v>
      </c>
      <c r="G1081" s="23" t="s">
        <v>280</v>
      </c>
      <c r="H1081" s="23" t="s">
        <v>216</v>
      </c>
      <c r="I1081" s="23" t="s">
        <v>4642</v>
      </c>
    </row>
    <row r="1082" spans="1:9" x14ac:dyDescent="0.2">
      <c r="A1082" s="17" t="s">
        <v>3947</v>
      </c>
      <c r="B1082" s="10">
        <v>1000079359</v>
      </c>
      <c r="C1082" s="10" t="s">
        <v>2331</v>
      </c>
      <c r="D1082" s="10" t="s">
        <v>3976</v>
      </c>
      <c r="E1082" s="13">
        <v>12297.6</v>
      </c>
      <c r="F1082" s="191">
        <v>60153348</v>
      </c>
      <c r="G1082" s="39" t="s">
        <v>280</v>
      </c>
      <c r="H1082" s="23" t="s">
        <v>216</v>
      </c>
      <c r="I1082" s="10" t="s">
        <v>4139</v>
      </c>
    </row>
    <row r="1083" spans="1:9" x14ac:dyDescent="0.2">
      <c r="A1083" s="17" t="s">
        <v>3948</v>
      </c>
      <c r="B1083" s="10">
        <v>1000079359</v>
      </c>
      <c r="C1083" s="10" t="s">
        <v>2331</v>
      </c>
      <c r="D1083" s="10" t="s">
        <v>3977</v>
      </c>
      <c r="E1083" s="13">
        <v>12999.6</v>
      </c>
      <c r="F1083" s="191">
        <v>60148322</v>
      </c>
      <c r="G1083" s="39" t="s">
        <v>280</v>
      </c>
      <c r="H1083" s="23" t="s">
        <v>994</v>
      </c>
      <c r="I1083" s="10" t="s">
        <v>4139</v>
      </c>
    </row>
    <row r="1084" spans="1:9" x14ac:dyDescent="0.2">
      <c r="A1084" s="17" t="s">
        <v>3949</v>
      </c>
      <c r="B1084" s="10">
        <v>1000079359</v>
      </c>
      <c r="C1084" s="10" t="s">
        <v>2331</v>
      </c>
      <c r="D1084" s="10" t="s">
        <v>3978</v>
      </c>
      <c r="E1084" s="13">
        <v>12883.2</v>
      </c>
      <c r="F1084" s="191">
        <v>60153347</v>
      </c>
      <c r="G1084" s="39" t="s">
        <v>280</v>
      </c>
      <c r="H1084" s="23" t="s">
        <v>216</v>
      </c>
      <c r="I1084" s="10" t="s">
        <v>4139</v>
      </c>
    </row>
    <row r="1085" spans="1:9" x14ac:dyDescent="0.2">
      <c r="A1085" s="17" t="s">
        <v>3950</v>
      </c>
      <c r="B1085" s="10">
        <v>1000079359</v>
      </c>
      <c r="C1085" s="10" t="s">
        <v>2331</v>
      </c>
      <c r="D1085" s="10" t="s">
        <v>3979</v>
      </c>
      <c r="E1085" s="13">
        <v>3556.8</v>
      </c>
      <c r="F1085" s="191">
        <v>60151977</v>
      </c>
      <c r="G1085" s="39" t="s">
        <v>280</v>
      </c>
      <c r="H1085" s="23" t="s">
        <v>3636</v>
      </c>
      <c r="I1085" s="10" t="s">
        <v>4139</v>
      </c>
    </row>
    <row r="1086" spans="1:9" x14ac:dyDescent="0.2">
      <c r="A1086" s="17" t="s">
        <v>3951</v>
      </c>
      <c r="B1086" s="10">
        <v>1000079359</v>
      </c>
      <c r="C1086" s="10" t="s">
        <v>2331</v>
      </c>
      <c r="D1086" s="10" t="s">
        <v>3980</v>
      </c>
      <c r="E1086" s="13">
        <v>12883.2</v>
      </c>
      <c r="F1086" s="191">
        <v>60151991</v>
      </c>
      <c r="G1086" s="39" t="s">
        <v>280</v>
      </c>
      <c r="H1086" s="29" t="s">
        <v>161</v>
      </c>
      <c r="I1086" s="10" t="s">
        <v>4139</v>
      </c>
    </row>
    <row r="1087" spans="1:9" x14ac:dyDescent="0.2">
      <c r="A1087" s="17" t="s">
        <v>3952</v>
      </c>
      <c r="B1087" s="10">
        <v>1000079359</v>
      </c>
      <c r="C1087" s="10" t="s">
        <v>2331</v>
      </c>
      <c r="D1087" s="10" t="s">
        <v>3981</v>
      </c>
      <c r="E1087" s="13">
        <v>12999.6</v>
      </c>
      <c r="F1087" s="129">
        <v>60153345</v>
      </c>
      <c r="G1087" s="39" t="s">
        <v>280</v>
      </c>
      <c r="H1087" s="29" t="s">
        <v>3215</v>
      </c>
      <c r="I1087" s="10" t="s">
        <v>4139</v>
      </c>
    </row>
    <row r="1088" spans="1:9" x14ac:dyDescent="0.2">
      <c r="A1088" s="17" t="s">
        <v>3953</v>
      </c>
      <c r="B1088" s="10">
        <v>1000079359</v>
      </c>
      <c r="C1088" s="10" t="s">
        <v>2331</v>
      </c>
      <c r="D1088" s="10" t="s">
        <v>3982</v>
      </c>
      <c r="E1088" s="13">
        <v>12289.2</v>
      </c>
      <c r="F1088" s="191">
        <v>60151992</v>
      </c>
      <c r="G1088" s="39" t="s">
        <v>280</v>
      </c>
      <c r="H1088" s="23" t="s">
        <v>1278</v>
      </c>
      <c r="I1088" s="10" t="s">
        <v>4139</v>
      </c>
    </row>
    <row r="1089" spans="1:9" s="38" customFormat="1" x14ac:dyDescent="0.2">
      <c r="A1089" s="29" t="s">
        <v>3954</v>
      </c>
      <c r="B1089" s="23">
        <v>1000079359</v>
      </c>
      <c r="C1089" s="23" t="s">
        <v>2331</v>
      </c>
      <c r="D1089" s="23" t="s">
        <v>3983</v>
      </c>
      <c r="E1089" s="29">
        <v>561.6</v>
      </c>
      <c r="F1089" s="191">
        <v>60159497</v>
      </c>
      <c r="G1089" s="39" t="s">
        <v>280</v>
      </c>
      <c r="H1089" s="23" t="s">
        <v>3636</v>
      </c>
      <c r="I1089" s="23" t="s">
        <v>4793</v>
      </c>
    </row>
    <row r="1090" spans="1:9" x14ac:dyDescent="0.2">
      <c r="A1090" s="17" t="s">
        <v>3955</v>
      </c>
      <c r="B1090" s="10">
        <v>1000079359</v>
      </c>
      <c r="C1090" s="10" t="s">
        <v>2331</v>
      </c>
      <c r="D1090" s="10" t="s">
        <v>3984</v>
      </c>
      <c r="E1090" s="13">
        <v>11642.4</v>
      </c>
      <c r="F1090" s="191">
        <v>60153346</v>
      </c>
      <c r="G1090" s="39" t="s">
        <v>280</v>
      </c>
      <c r="H1090" s="23" t="s">
        <v>216</v>
      </c>
      <c r="I1090" s="10" t="s">
        <v>4139</v>
      </c>
    </row>
    <row r="1091" spans="1:9" s="38" customFormat="1" x14ac:dyDescent="0.2">
      <c r="A1091" s="29" t="s">
        <v>3956</v>
      </c>
      <c r="B1091" s="23">
        <v>1000079359</v>
      </c>
      <c r="C1091" s="23" t="s">
        <v>2331</v>
      </c>
      <c r="D1091" s="23" t="s">
        <v>3985</v>
      </c>
      <c r="E1091" s="23">
        <v>565.20000000000005</v>
      </c>
      <c r="F1091" s="191">
        <v>60155351</v>
      </c>
      <c r="G1091" s="39" t="s">
        <v>280</v>
      </c>
      <c r="H1091" s="23" t="s">
        <v>171</v>
      </c>
      <c r="I1091" s="23" t="s">
        <v>4367</v>
      </c>
    </row>
    <row r="1092" spans="1:9" x14ac:dyDescent="0.2">
      <c r="A1092" s="17" t="s">
        <v>3957</v>
      </c>
      <c r="B1092" s="10">
        <v>1000079359</v>
      </c>
      <c r="C1092" s="10" t="s">
        <v>2331</v>
      </c>
      <c r="D1092" s="10" t="s">
        <v>3986</v>
      </c>
      <c r="E1092" s="13">
        <v>4024.8</v>
      </c>
      <c r="F1092" s="129">
        <v>60153343</v>
      </c>
      <c r="G1092" s="39" t="s">
        <v>280</v>
      </c>
      <c r="H1092" s="23" t="s">
        <v>216</v>
      </c>
      <c r="I1092" s="10" t="s">
        <v>4139</v>
      </c>
    </row>
    <row r="1093" spans="1:9" s="38" customFormat="1" x14ac:dyDescent="0.2">
      <c r="A1093" s="29" t="s">
        <v>3958</v>
      </c>
      <c r="B1093" s="23">
        <v>1000079359</v>
      </c>
      <c r="C1093" s="23" t="s">
        <v>2331</v>
      </c>
      <c r="D1093" s="23" t="s">
        <v>3987</v>
      </c>
      <c r="E1093" s="39">
        <v>7912.8</v>
      </c>
      <c r="F1093" s="191">
        <v>60155340</v>
      </c>
      <c r="G1093" s="39" t="s">
        <v>280</v>
      </c>
      <c r="H1093" s="23" t="s">
        <v>216</v>
      </c>
      <c r="I1093" s="23" t="s">
        <v>4195</v>
      </c>
    </row>
    <row r="1094" spans="1:9" s="38" customFormat="1" x14ac:dyDescent="0.2">
      <c r="A1094" s="29" t="s">
        <v>3959</v>
      </c>
      <c r="B1094" s="23">
        <v>1000079359</v>
      </c>
      <c r="C1094" s="23" t="s">
        <v>2331</v>
      </c>
      <c r="D1094" s="23" t="s">
        <v>3988</v>
      </c>
      <c r="E1094" s="39">
        <v>5000.3999999999996</v>
      </c>
      <c r="F1094" s="191">
        <v>60155338</v>
      </c>
      <c r="G1094" s="39" t="s">
        <v>280</v>
      </c>
      <c r="H1094" s="23" t="s">
        <v>534</v>
      </c>
      <c r="I1094" s="23" t="s">
        <v>4367</v>
      </c>
    </row>
    <row r="1095" spans="1:9" x14ac:dyDescent="0.2">
      <c r="A1095" s="17" t="s">
        <v>3960</v>
      </c>
      <c r="B1095" s="10">
        <v>1000079359</v>
      </c>
      <c r="C1095" s="10" t="s">
        <v>2331</v>
      </c>
      <c r="D1095" s="10" t="s">
        <v>3989</v>
      </c>
      <c r="E1095" s="13">
        <v>11403.6</v>
      </c>
      <c r="F1095" s="129">
        <v>60153344</v>
      </c>
      <c r="G1095" s="39" t="s">
        <v>280</v>
      </c>
      <c r="H1095" s="23" t="s">
        <v>216</v>
      </c>
      <c r="I1095" s="10" t="s">
        <v>4139</v>
      </c>
    </row>
    <row r="1096" spans="1:9" s="253" customFormat="1" x14ac:dyDescent="0.2">
      <c r="A1096" s="29" t="s">
        <v>4161</v>
      </c>
      <c r="B1096" s="29">
        <v>1000125792</v>
      </c>
      <c r="C1096" s="29" t="s">
        <v>3459</v>
      </c>
      <c r="D1096" s="36" t="s">
        <v>4140</v>
      </c>
      <c r="E1096" s="86">
        <v>1220.2</v>
      </c>
      <c r="F1096" s="130" t="s">
        <v>431</v>
      </c>
      <c r="G1096" s="29"/>
      <c r="H1096" s="29" t="s">
        <v>3501</v>
      </c>
    </row>
    <row r="1097" spans="1:9" s="38" customFormat="1" x14ac:dyDescent="0.2">
      <c r="A1097" s="29" t="s">
        <v>4041</v>
      </c>
      <c r="B1097" s="23">
        <v>1000105043</v>
      </c>
      <c r="C1097" s="23" t="s">
        <v>3459</v>
      </c>
      <c r="D1097" s="29" t="s">
        <v>4042</v>
      </c>
      <c r="E1097" s="39">
        <v>59419.199999999997</v>
      </c>
      <c r="F1097" s="130">
        <v>60152024</v>
      </c>
      <c r="G1097" s="175" t="s">
        <v>280</v>
      </c>
      <c r="H1097" s="29" t="s">
        <v>216</v>
      </c>
      <c r="I1097" s="23" t="s">
        <v>4217</v>
      </c>
    </row>
    <row r="1098" spans="1:9" s="38" customFormat="1" x14ac:dyDescent="0.2">
      <c r="A1098" s="29" t="s">
        <v>4039</v>
      </c>
      <c r="B1098" s="23">
        <v>1000105043</v>
      </c>
      <c r="C1098" s="23" t="s">
        <v>3459</v>
      </c>
      <c r="D1098" s="29" t="s">
        <v>4040</v>
      </c>
      <c r="E1098" s="39">
        <v>32488.799999999999</v>
      </c>
      <c r="F1098" s="191">
        <v>60157016</v>
      </c>
      <c r="G1098" s="23" t="s">
        <v>280</v>
      </c>
      <c r="H1098" s="29" t="s">
        <v>1476</v>
      </c>
      <c r="I1098" s="23" t="s">
        <v>4386</v>
      </c>
    </row>
    <row r="1099" spans="1:9" s="38" customFormat="1" x14ac:dyDescent="0.2">
      <c r="A1099" s="29" t="s">
        <v>4043</v>
      </c>
      <c r="B1099" s="23">
        <v>1000105043</v>
      </c>
      <c r="C1099" s="23" t="s">
        <v>3459</v>
      </c>
      <c r="D1099" s="29" t="s">
        <v>4044</v>
      </c>
      <c r="E1099" s="39">
        <v>35896.800000000003</v>
      </c>
      <c r="F1099" s="130">
        <v>60152023</v>
      </c>
      <c r="G1099" s="175" t="s">
        <v>280</v>
      </c>
      <c r="H1099" s="29" t="s">
        <v>161</v>
      </c>
      <c r="I1099" s="23" t="s">
        <v>4217</v>
      </c>
    </row>
    <row r="1100" spans="1:9" s="38" customFormat="1" x14ac:dyDescent="0.2">
      <c r="A1100" s="29" t="s">
        <v>4038</v>
      </c>
      <c r="B1100" s="29">
        <v>1000109733</v>
      </c>
      <c r="C1100" s="23" t="s">
        <v>3459</v>
      </c>
      <c r="D1100" s="29" t="s">
        <v>4037</v>
      </c>
      <c r="E1100" s="39">
        <v>28267.200000000001</v>
      </c>
      <c r="F1100" s="130">
        <v>60153395</v>
      </c>
      <c r="G1100" s="175" t="s">
        <v>280</v>
      </c>
      <c r="H1100" s="29" t="s">
        <v>216</v>
      </c>
      <c r="I1100" s="23" t="s">
        <v>4217</v>
      </c>
    </row>
    <row r="1101" spans="1:9" s="253" customFormat="1" x14ac:dyDescent="0.2">
      <c r="A1101" s="29" t="s">
        <v>4056</v>
      </c>
      <c r="B1101" s="29">
        <v>1000079359</v>
      </c>
      <c r="C1101" s="29" t="s">
        <v>3459</v>
      </c>
      <c r="D1101" s="29" t="s">
        <v>4065</v>
      </c>
      <c r="E1101" s="86">
        <v>5270.4</v>
      </c>
      <c r="F1101" s="130">
        <v>60157085</v>
      </c>
      <c r="G1101" s="711" t="s">
        <v>280</v>
      </c>
      <c r="H1101" s="29" t="s">
        <v>161</v>
      </c>
      <c r="I1101" s="29" t="s">
        <v>4642</v>
      </c>
    </row>
    <row r="1102" spans="1:9" s="253" customFormat="1" x14ac:dyDescent="0.2">
      <c r="A1102" s="29" t="s">
        <v>4057</v>
      </c>
      <c r="B1102" s="29">
        <v>1000079359</v>
      </c>
      <c r="C1102" s="29" t="s">
        <v>3459</v>
      </c>
      <c r="D1102" s="29" t="s">
        <v>4066</v>
      </c>
      <c r="E1102" s="86">
        <v>6033.6</v>
      </c>
      <c r="F1102" s="130">
        <v>60157083</v>
      </c>
      <c r="G1102" s="711" t="s">
        <v>280</v>
      </c>
      <c r="H1102" s="29" t="s">
        <v>2423</v>
      </c>
      <c r="I1102" s="29" t="s">
        <v>4642</v>
      </c>
    </row>
    <row r="1103" spans="1:9" s="253" customFormat="1" x14ac:dyDescent="0.2">
      <c r="A1103" s="29" t="s">
        <v>4058</v>
      </c>
      <c r="B1103" s="29">
        <v>1000079359</v>
      </c>
      <c r="C1103" s="29" t="s">
        <v>3459</v>
      </c>
      <c r="D1103" s="29" t="s">
        <v>4067</v>
      </c>
      <c r="E1103" s="86">
        <v>10833.6</v>
      </c>
      <c r="F1103" s="130">
        <v>60155342</v>
      </c>
      <c r="G1103" s="23" t="s">
        <v>280</v>
      </c>
      <c r="H1103" s="29" t="s">
        <v>161</v>
      </c>
      <c r="I1103" s="29" t="s">
        <v>4217</v>
      </c>
    </row>
    <row r="1104" spans="1:9" s="253" customFormat="1" x14ac:dyDescent="0.2">
      <c r="A1104" s="29" t="s">
        <v>4059</v>
      </c>
      <c r="B1104" s="29">
        <v>1000079359</v>
      </c>
      <c r="C1104" s="29" t="s">
        <v>3459</v>
      </c>
      <c r="D1104" s="29" t="s">
        <v>4068</v>
      </c>
      <c r="E1104" s="86">
        <v>10738.8</v>
      </c>
      <c r="F1104" s="130" t="s">
        <v>431</v>
      </c>
      <c r="G1104" s="711"/>
      <c r="H1104" s="29" t="s">
        <v>4069</v>
      </c>
      <c r="I1104" s="29"/>
    </row>
    <row r="1105" spans="1:9" s="253" customFormat="1" x14ac:dyDescent="0.2">
      <c r="A1105" s="29" t="s">
        <v>4060</v>
      </c>
      <c r="B1105" s="29">
        <v>1000079359</v>
      </c>
      <c r="C1105" s="29" t="s">
        <v>3459</v>
      </c>
      <c r="D1105" s="29" t="s">
        <v>4070</v>
      </c>
      <c r="E1105" s="86">
        <v>13416</v>
      </c>
      <c r="F1105" s="191">
        <v>60157072</v>
      </c>
      <c r="G1105" s="23" t="s">
        <v>280</v>
      </c>
      <c r="H1105" s="29" t="s">
        <v>216</v>
      </c>
      <c r="I1105" s="29" t="s">
        <v>4642</v>
      </c>
    </row>
    <row r="1106" spans="1:9" s="253" customFormat="1" x14ac:dyDescent="0.2">
      <c r="A1106" s="29" t="s">
        <v>4061</v>
      </c>
      <c r="B1106" s="29">
        <v>1000079359</v>
      </c>
      <c r="C1106" s="29" t="s">
        <v>3459</v>
      </c>
      <c r="D1106" s="29" t="s">
        <v>4071</v>
      </c>
      <c r="E1106" s="86">
        <v>59053.2</v>
      </c>
      <c r="F1106" s="130" t="s">
        <v>431</v>
      </c>
      <c r="G1106" s="711"/>
      <c r="H1106" s="29" t="s">
        <v>4072</v>
      </c>
      <c r="I1106" s="29"/>
    </row>
    <row r="1107" spans="1:9" s="253" customFormat="1" x14ac:dyDescent="0.2">
      <c r="A1107" s="29" t="s">
        <v>4062</v>
      </c>
      <c r="B1107" s="29">
        <v>1000079359</v>
      </c>
      <c r="C1107" s="29" t="s">
        <v>3459</v>
      </c>
      <c r="D1107" s="29" t="s">
        <v>4073</v>
      </c>
      <c r="E1107" s="86">
        <v>2826</v>
      </c>
      <c r="F1107" s="130">
        <v>60151993</v>
      </c>
      <c r="G1107" s="711" t="s">
        <v>280</v>
      </c>
      <c r="H1107" s="29" t="s">
        <v>171</v>
      </c>
      <c r="I1107" s="29" t="s">
        <v>4367</v>
      </c>
    </row>
    <row r="1108" spans="1:9" s="253" customFormat="1" x14ac:dyDescent="0.2">
      <c r="A1108" s="29" t="s">
        <v>4063</v>
      </c>
      <c r="B1108" s="29">
        <v>1000079359</v>
      </c>
      <c r="C1108" s="29" t="s">
        <v>3459</v>
      </c>
      <c r="D1108" s="29" t="s">
        <v>4074</v>
      </c>
      <c r="E1108" s="86">
        <v>5856</v>
      </c>
      <c r="F1108" s="130">
        <v>60153347</v>
      </c>
      <c r="G1108" s="711" t="s">
        <v>280</v>
      </c>
      <c r="H1108" s="29" t="s">
        <v>216</v>
      </c>
      <c r="I1108" s="29" t="s">
        <v>4367</v>
      </c>
    </row>
    <row r="1109" spans="1:9" s="253" customFormat="1" x14ac:dyDescent="0.2">
      <c r="A1109" s="29" t="s">
        <v>4064</v>
      </c>
      <c r="B1109" s="29">
        <v>1000079359</v>
      </c>
      <c r="C1109" s="29" t="s">
        <v>3459</v>
      </c>
      <c r="D1109" s="29" t="s">
        <v>4075</v>
      </c>
      <c r="E1109" s="86">
        <v>12745.2</v>
      </c>
      <c r="F1109" s="130">
        <v>60153344</v>
      </c>
      <c r="G1109" s="711" t="s">
        <v>280</v>
      </c>
      <c r="H1109" s="29" t="s">
        <v>216</v>
      </c>
      <c r="I1109" s="29" t="s">
        <v>4367</v>
      </c>
    </row>
    <row r="1110" spans="1:9" s="253" customFormat="1" x14ac:dyDescent="0.2">
      <c r="A1110" s="29" t="s">
        <v>4076</v>
      </c>
      <c r="B1110" s="29">
        <v>1000079359</v>
      </c>
      <c r="C1110" s="29" t="s">
        <v>3459</v>
      </c>
      <c r="D1110" s="29" t="s">
        <v>4086</v>
      </c>
      <c r="E1110" s="86">
        <v>5270.4</v>
      </c>
      <c r="F1110" s="130">
        <v>60159486</v>
      </c>
      <c r="G1110" s="711"/>
      <c r="H1110" s="29" t="s">
        <v>216</v>
      </c>
      <c r="I1110" s="29"/>
    </row>
    <row r="1111" spans="1:9" s="253" customFormat="1" x14ac:dyDescent="0.2">
      <c r="A1111" s="29" t="s">
        <v>4077</v>
      </c>
      <c r="B1111" s="29">
        <v>1000079359</v>
      </c>
      <c r="C1111" s="29" t="s">
        <v>3459</v>
      </c>
      <c r="D1111" s="29" t="s">
        <v>4087</v>
      </c>
      <c r="E1111" s="86">
        <v>11712</v>
      </c>
      <c r="F1111" s="130">
        <v>60153348</v>
      </c>
      <c r="G1111" s="711" t="s">
        <v>280</v>
      </c>
      <c r="H1111" s="29" t="s">
        <v>216</v>
      </c>
      <c r="I1111" s="29" t="s">
        <v>4367</v>
      </c>
    </row>
    <row r="1112" spans="1:9" s="253" customFormat="1" x14ac:dyDescent="0.2">
      <c r="A1112" s="29" t="s">
        <v>4078</v>
      </c>
      <c r="B1112" s="29">
        <v>1000079359</v>
      </c>
      <c r="C1112" s="29" t="s">
        <v>3459</v>
      </c>
      <c r="D1112" s="29" t="s">
        <v>4088</v>
      </c>
      <c r="E1112" s="86">
        <v>7612.8</v>
      </c>
      <c r="F1112" s="130">
        <v>60151991</v>
      </c>
      <c r="G1112" s="711"/>
      <c r="H1112" s="29" t="s">
        <v>161</v>
      </c>
      <c r="I1112" s="29"/>
    </row>
    <row r="1113" spans="1:9" s="253" customFormat="1" x14ac:dyDescent="0.2">
      <c r="A1113" s="29" t="s">
        <v>4079</v>
      </c>
      <c r="B1113" s="29">
        <v>1000079359</v>
      </c>
      <c r="C1113" s="29" t="s">
        <v>3459</v>
      </c>
      <c r="D1113" s="29" t="s">
        <v>4089</v>
      </c>
      <c r="E1113" s="86">
        <v>10738.8</v>
      </c>
      <c r="F1113" s="130">
        <v>60152020</v>
      </c>
      <c r="G1113" s="711" t="s">
        <v>280</v>
      </c>
      <c r="H1113" s="29" t="s">
        <v>4069</v>
      </c>
      <c r="I1113" s="29" t="s">
        <v>4217</v>
      </c>
    </row>
    <row r="1114" spans="1:9" s="253" customFormat="1" x14ac:dyDescent="0.2">
      <c r="A1114" s="29" t="s">
        <v>4080</v>
      </c>
      <c r="B1114" s="29">
        <v>1000079359</v>
      </c>
      <c r="C1114" s="29" t="s">
        <v>3459</v>
      </c>
      <c r="D1114" s="29" t="s">
        <v>4090</v>
      </c>
      <c r="E1114" s="86">
        <v>10191.6</v>
      </c>
      <c r="F1114" s="130">
        <v>60151994</v>
      </c>
      <c r="G1114" s="711" t="s">
        <v>280</v>
      </c>
      <c r="H1114" s="29" t="s">
        <v>4069</v>
      </c>
      <c r="I1114" s="29" t="s">
        <v>4217</v>
      </c>
    </row>
    <row r="1115" spans="1:9" s="253" customFormat="1" x14ac:dyDescent="0.2">
      <c r="A1115" s="29" t="s">
        <v>4081</v>
      </c>
      <c r="B1115" s="29">
        <v>1000079359</v>
      </c>
      <c r="C1115" s="29" t="s">
        <v>3459</v>
      </c>
      <c r="D1115" s="29" t="s">
        <v>4091</v>
      </c>
      <c r="E1115" s="86">
        <v>11304</v>
      </c>
      <c r="F1115" s="130">
        <v>60153349</v>
      </c>
      <c r="G1115" s="711" t="s">
        <v>280</v>
      </c>
      <c r="H1115" s="29" t="s">
        <v>216</v>
      </c>
      <c r="I1115" s="29" t="s">
        <v>4217</v>
      </c>
    </row>
    <row r="1116" spans="1:9" s="253" customFormat="1" x14ac:dyDescent="0.2">
      <c r="A1116" s="29" t="s">
        <v>4082</v>
      </c>
      <c r="B1116" s="29">
        <v>1000079359</v>
      </c>
      <c r="C1116" s="29" t="s">
        <v>3459</v>
      </c>
      <c r="D1116" s="29" t="s">
        <v>4092</v>
      </c>
      <c r="E1116" s="86">
        <v>7353.6</v>
      </c>
      <c r="F1116" s="130" t="s">
        <v>431</v>
      </c>
      <c r="G1116" s="711"/>
      <c r="H1116" s="29" t="s">
        <v>1278</v>
      </c>
      <c r="I1116" s="29"/>
    </row>
    <row r="1117" spans="1:9" s="253" customFormat="1" x14ac:dyDescent="0.2">
      <c r="A1117" s="29" t="s">
        <v>4083</v>
      </c>
      <c r="B1117" s="29">
        <v>1000079359</v>
      </c>
      <c r="C1117" s="29" t="s">
        <v>3459</v>
      </c>
      <c r="D1117" s="29" t="s">
        <v>4093</v>
      </c>
      <c r="E1117" s="86">
        <v>12745.2</v>
      </c>
      <c r="F1117" s="130">
        <v>60153343</v>
      </c>
      <c r="G1117" s="711"/>
      <c r="H1117" s="29" t="s">
        <v>216</v>
      </c>
      <c r="I1117" s="29"/>
    </row>
    <row r="1118" spans="1:9" s="253" customFormat="1" x14ac:dyDescent="0.2">
      <c r="A1118" s="29" t="s">
        <v>4084</v>
      </c>
      <c r="B1118" s="29">
        <v>1000079359</v>
      </c>
      <c r="C1118" s="29" t="s">
        <v>3459</v>
      </c>
      <c r="D1118" s="29" t="s">
        <v>4094</v>
      </c>
      <c r="E1118" s="86">
        <v>11304</v>
      </c>
      <c r="F1118" s="130">
        <v>60156912</v>
      </c>
      <c r="G1118" s="23" t="s">
        <v>280</v>
      </c>
      <c r="H1118" s="29" t="s">
        <v>3845</v>
      </c>
      <c r="I1118" s="29" t="s">
        <v>4642</v>
      </c>
    </row>
    <row r="1119" spans="1:9" s="253" customFormat="1" x14ac:dyDescent="0.2">
      <c r="A1119" s="29" t="s">
        <v>4085</v>
      </c>
      <c r="B1119" s="29">
        <v>1000079359</v>
      </c>
      <c r="C1119" s="29" t="s">
        <v>3459</v>
      </c>
      <c r="D1119" s="29" t="s">
        <v>4095</v>
      </c>
      <c r="E1119" s="86">
        <v>11712</v>
      </c>
      <c r="F1119" s="130" t="s">
        <v>431</v>
      </c>
      <c r="G1119" s="711"/>
      <c r="H1119" s="29" t="s">
        <v>171</v>
      </c>
      <c r="I1119" s="29"/>
    </row>
    <row r="1120" spans="1:9" s="253" customFormat="1" x14ac:dyDescent="0.2">
      <c r="A1120" s="29" t="s">
        <v>4096</v>
      </c>
      <c r="B1120" s="29">
        <v>1000079359</v>
      </c>
      <c r="C1120" s="29" t="s">
        <v>3459</v>
      </c>
      <c r="D1120" s="29" t="s">
        <v>4106</v>
      </c>
      <c r="E1120" s="86">
        <v>11304</v>
      </c>
      <c r="F1120" s="130">
        <v>60155340</v>
      </c>
      <c r="G1120" s="39" t="s">
        <v>280</v>
      </c>
      <c r="H1120" s="29" t="s">
        <v>216</v>
      </c>
      <c r="I1120" s="29" t="s">
        <v>4217</v>
      </c>
    </row>
    <row r="1121" spans="1:9" s="253" customFormat="1" x14ac:dyDescent="0.2">
      <c r="A1121" s="29" t="s">
        <v>4097</v>
      </c>
      <c r="B1121" s="29">
        <v>1000079359</v>
      </c>
      <c r="C1121" s="29" t="s">
        <v>3459</v>
      </c>
      <c r="D1121" s="29" t="s">
        <v>4107</v>
      </c>
      <c r="E1121" s="86">
        <v>6840</v>
      </c>
      <c r="F1121" s="130">
        <v>60144153</v>
      </c>
      <c r="G1121" s="711" t="s">
        <v>280</v>
      </c>
      <c r="H1121" s="29" t="s">
        <v>952</v>
      </c>
      <c r="I1121" s="29" t="s">
        <v>4367</v>
      </c>
    </row>
    <row r="1122" spans="1:9" s="253" customFormat="1" x14ac:dyDescent="0.2">
      <c r="A1122" s="29" t="s">
        <v>4098</v>
      </c>
      <c r="B1122" s="29">
        <v>1000079359</v>
      </c>
      <c r="C1122" s="29" t="s">
        <v>3459</v>
      </c>
      <c r="D1122" s="29" t="s">
        <v>4108</v>
      </c>
      <c r="E1122" s="86">
        <v>6468</v>
      </c>
      <c r="F1122" s="130">
        <v>60153346</v>
      </c>
      <c r="G1122" s="711" t="s">
        <v>280</v>
      </c>
      <c r="H1122" s="29" t="s">
        <v>216</v>
      </c>
      <c r="I1122" s="29" t="s">
        <v>4367</v>
      </c>
    </row>
    <row r="1123" spans="1:9" s="253" customFormat="1" x14ac:dyDescent="0.2">
      <c r="A1123" s="29" t="s">
        <v>4099</v>
      </c>
      <c r="B1123" s="29">
        <v>1000079359</v>
      </c>
      <c r="C1123" s="29" t="s">
        <v>3459</v>
      </c>
      <c r="D1123" s="29" t="s">
        <v>4109</v>
      </c>
      <c r="E1123" s="86">
        <v>5856</v>
      </c>
      <c r="F1123" s="130">
        <v>60153350</v>
      </c>
      <c r="G1123" s="711" t="s">
        <v>280</v>
      </c>
      <c r="H1123" s="29" t="s">
        <v>216</v>
      </c>
      <c r="I1123" s="29" t="s">
        <v>4367</v>
      </c>
    </row>
    <row r="1124" spans="1:9" s="253" customFormat="1" x14ac:dyDescent="0.2">
      <c r="A1124" s="29" t="s">
        <v>4100</v>
      </c>
      <c r="B1124" s="29">
        <v>1000079359</v>
      </c>
      <c r="C1124" s="29" t="s">
        <v>3459</v>
      </c>
      <c r="D1124" s="29" t="s">
        <v>4110</v>
      </c>
      <c r="E1124" s="86">
        <v>11304</v>
      </c>
      <c r="F1124" s="130">
        <v>60148322</v>
      </c>
      <c r="G1124" s="711" t="s">
        <v>280</v>
      </c>
      <c r="H1124" s="29" t="s">
        <v>994</v>
      </c>
      <c r="I1124" s="29" t="s">
        <v>4367</v>
      </c>
    </row>
    <row r="1125" spans="1:9" s="253" customFormat="1" x14ac:dyDescent="0.2">
      <c r="A1125" s="29" t="s">
        <v>4101</v>
      </c>
      <c r="B1125" s="29">
        <v>1000079359</v>
      </c>
      <c r="C1125" s="29" t="s">
        <v>3459</v>
      </c>
      <c r="D1125" s="29" t="s">
        <v>4111</v>
      </c>
      <c r="E1125" s="86">
        <v>8478</v>
      </c>
      <c r="F1125" s="130">
        <v>60155339</v>
      </c>
      <c r="G1125" s="711" t="s">
        <v>280</v>
      </c>
      <c r="H1125" s="29" t="s">
        <v>171</v>
      </c>
      <c r="I1125" s="29" t="s">
        <v>4367</v>
      </c>
    </row>
    <row r="1126" spans="1:9" s="253" customFormat="1" x14ac:dyDescent="0.2">
      <c r="A1126" s="29" t="s">
        <v>4102</v>
      </c>
      <c r="B1126" s="29">
        <v>1000079359</v>
      </c>
      <c r="C1126" s="29" t="s">
        <v>3459</v>
      </c>
      <c r="D1126" s="29" t="s">
        <v>4112</v>
      </c>
      <c r="E1126" s="86">
        <v>11304</v>
      </c>
      <c r="F1126" s="130">
        <v>60152026</v>
      </c>
      <c r="G1126" s="711" t="s">
        <v>280</v>
      </c>
      <c r="H1126" s="29" t="s">
        <v>3636</v>
      </c>
      <c r="I1126" s="29" t="s">
        <v>4367</v>
      </c>
    </row>
    <row r="1127" spans="1:9" s="253" customFormat="1" x14ac:dyDescent="0.2">
      <c r="A1127" s="29" t="s">
        <v>4103</v>
      </c>
      <c r="B1127" s="29">
        <v>1000079359</v>
      </c>
      <c r="C1127" s="29" t="s">
        <v>3459</v>
      </c>
      <c r="D1127" s="29" t="s">
        <v>4113</v>
      </c>
      <c r="E1127" s="86">
        <v>3744</v>
      </c>
      <c r="F1127" s="130">
        <v>60159497</v>
      </c>
      <c r="G1127" s="39" t="s">
        <v>280</v>
      </c>
      <c r="H1127" s="29" t="s">
        <v>3636</v>
      </c>
      <c r="I1127" s="29" t="s">
        <v>4793</v>
      </c>
    </row>
    <row r="1128" spans="1:9" s="253" customFormat="1" x14ac:dyDescent="0.2">
      <c r="A1128" s="29" t="s">
        <v>4104</v>
      </c>
      <c r="B1128" s="29">
        <v>1000079359</v>
      </c>
      <c r="C1128" s="29" t="s">
        <v>3459</v>
      </c>
      <c r="D1128" s="29" t="s">
        <v>4114</v>
      </c>
      <c r="E1128" s="86">
        <v>4698</v>
      </c>
      <c r="F1128" s="130">
        <v>60153961</v>
      </c>
      <c r="G1128" s="711" t="s">
        <v>280</v>
      </c>
      <c r="H1128" s="29" t="s">
        <v>3215</v>
      </c>
      <c r="I1128" s="29" t="s">
        <v>4367</v>
      </c>
    </row>
    <row r="1129" spans="1:9" s="253" customFormat="1" x14ac:dyDescent="0.2">
      <c r="A1129" s="29" t="s">
        <v>4105</v>
      </c>
      <c r="B1129" s="29">
        <v>1000079359</v>
      </c>
      <c r="C1129" s="29" t="s">
        <v>3459</v>
      </c>
      <c r="D1129" s="29" t="s">
        <v>4115</v>
      </c>
      <c r="E1129" s="86">
        <v>10738.8</v>
      </c>
      <c r="F1129" s="130">
        <v>60152019</v>
      </c>
      <c r="G1129" s="711" t="s">
        <v>280</v>
      </c>
      <c r="H1129" s="29" t="s">
        <v>4069</v>
      </c>
      <c r="I1129" s="29" t="s">
        <v>4367</v>
      </c>
    </row>
    <row r="1130" spans="1:9" s="253" customFormat="1" x14ac:dyDescent="0.2">
      <c r="A1130" s="29" t="s">
        <v>4116</v>
      </c>
      <c r="B1130" s="29">
        <v>1000079359</v>
      </c>
      <c r="C1130" s="29" t="s">
        <v>3459</v>
      </c>
      <c r="D1130" s="29" t="s">
        <v>4122</v>
      </c>
      <c r="E1130" s="86">
        <v>11126.4</v>
      </c>
      <c r="F1130" s="130">
        <v>60156910</v>
      </c>
      <c r="G1130" s="23" t="s">
        <v>280</v>
      </c>
      <c r="H1130" s="29" t="s">
        <v>161</v>
      </c>
      <c r="I1130" s="29" t="s">
        <v>4386</v>
      </c>
    </row>
    <row r="1131" spans="1:9" s="253" customFormat="1" x14ac:dyDescent="0.2">
      <c r="A1131" s="29" t="s">
        <v>4117</v>
      </c>
      <c r="B1131" s="29">
        <v>1000079359</v>
      </c>
      <c r="C1131" s="29" t="s">
        <v>3459</v>
      </c>
      <c r="D1131" s="29" t="s">
        <v>4123</v>
      </c>
      <c r="E1131" s="86">
        <v>11304</v>
      </c>
      <c r="F1131" s="130">
        <v>60155351</v>
      </c>
      <c r="G1131" s="39" t="s">
        <v>280</v>
      </c>
      <c r="H1131" s="29" t="s">
        <v>171</v>
      </c>
      <c r="I1131" s="29" t="s">
        <v>4217</v>
      </c>
    </row>
    <row r="1132" spans="1:9" s="253" customFormat="1" x14ac:dyDescent="0.2">
      <c r="A1132" s="29" t="s">
        <v>4118</v>
      </c>
      <c r="B1132" s="29">
        <v>1000079359</v>
      </c>
      <c r="C1132" s="29" t="s">
        <v>3459</v>
      </c>
      <c r="D1132" s="29" t="s">
        <v>4124</v>
      </c>
      <c r="E1132" s="86">
        <v>8784</v>
      </c>
      <c r="F1132" s="130" t="s">
        <v>431</v>
      </c>
      <c r="G1132" s="711"/>
      <c r="H1132" s="29" t="s">
        <v>171</v>
      </c>
      <c r="I1132" s="29"/>
    </row>
    <row r="1133" spans="1:9" s="253" customFormat="1" x14ac:dyDescent="0.2">
      <c r="A1133" s="29" t="s">
        <v>4119</v>
      </c>
      <c r="B1133" s="29">
        <v>1000079359</v>
      </c>
      <c r="C1133" s="29" t="s">
        <v>3459</v>
      </c>
      <c r="D1133" s="29" t="s">
        <v>4125</v>
      </c>
      <c r="E1133" s="86">
        <v>11112</v>
      </c>
      <c r="F1133" s="130">
        <v>60155338</v>
      </c>
      <c r="G1133" s="39" t="s">
        <v>280</v>
      </c>
      <c r="H1133" s="29" t="s">
        <v>534</v>
      </c>
      <c r="I1133" s="29" t="s">
        <v>4217</v>
      </c>
    </row>
    <row r="1134" spans="1:9" s="253" customFormat="1" x14ac:dyDescent="0.2">
      <c r="A1134" s="29" t="s">
        <v>4120</v>
      </c>
      <c r="B1134" s="29">
        <v>1000079359</v>
      </c>
      <c r="C1134" s="29" t="s">
        <v>3459</v>
      </c>
      <c r="D1134" s="29" t="s">
        <v>4126</v>
      </c>
      <c r="E1134" s="86">
        <v>3234</v>
      </c>
      <c r="F1134" s="130" t="s">
        <v>431</v>
      </c>
      <c r="G1134" s="711"/>
      <c r="H1134" s="29" t="s">
        <v>4127</v>
      </c>
      <c r="I1134" s="29"/>
    </row>
    <row r="1135" spans="1:9" s="253" customFormat="1" x14ac:dyDescent="0.2">
      <c r="A1135" s="29" t="s">
        <v>4121</v>
      </c>
      <c r="B1135" s="29">
        <v>1000079359</v>
      </c>
      <c r="C1135" s="29" t="s">
        <v>3459</v>
      </c>
      <c r="D1135" s="29" t="s">
        <v>4128</v>
      </c>
      <c r="E1135" s="86">
        <v>4099.2</v>
      </c>
      <c r="F1135" s="130">
        <v>60159491</v>
      </c>
      <c r="G1135" s="711" t="s">
        <v>280</v>
      </c>
      <c r="H1135" s="29" t="s">
        <v>216</v>
      </c>
      <c r="I1135" s="29" t="s">
        <v>4793</v>
      </c>
    </row>
    <row r="1136" spans="1:9" x14ac:dyDescent="0.2">
      <c r="A1136" s="17" t="s">
        <v>4137</v>
      </c>
      <c r="B1136" s="10">
        <v>1000079359</v>
      </c>
      <c r="C1136" s="10" t="s">
        <v>3459</v>
      </c>
      <c r="D1136" s="5" t="s">
        <v>4222</v>
      </c>
      <c r="E1136" s="13">
        <v>6708</v>
      </c>
      <c r="F1136" s="191">
        <v>60155341</v>
      </c>
      <c r="G1136" s="10" t="s">
        <v>280</v>
      </c>
      <c r="H1136" s="29" t="s">
        <v>216</v>
      </c>
      <c r="I1136" s="10" t="s">
        <v>4217</v>
      </c>
    </row>
    <row r="1137" spans="1:9" x14ac:dyDescent="0.2">
      <c r="A1137" s="17" t="s">
        <v>4138</v>
      </c>
      <c r="B1137" s="10">
        <v>1000079359</v>
      </c>
      <c r="C1137" s="10" t="s">
        <v>3459</v>
      </c>
      <c r="D1137" s="10" t="s">
        <v>4223</v>
      </c>
      <c r="E1137" s="10">
        <v>748.8</v>
      </c>
      <c r="F1137" s="191">
        <v>60159515</v>
      </c>
      <c r="G1137" s="601">
        <f>E1137/1.2</f>
        <v>624</v>
      </c>
      <c r="H1137" s="23" t="s">
        <v>4049</v>
      </c>
      <c r="I1137" s="10"/>
    </row>
    <row r="1138" spans="1:9" s="22" customFormat="1" x14ac:dyDescent="0.2">
      <c r="A1138" s="17" t="s">
        <v>4052</v>
      </c>
      <c r="B1138" s="17">
        <v>1000125792</v>
      </c>
      <c r="C1138" s="17" t="s">
        <v>3459</v>
      </c>
      <c r="D1138" s="17" t="s">
        <v>4053</v>
      </c>
      <c r="E1138" s="85">
        <v>16515.599999999999</v>
      </c>
      <c r="F1138" s="449">
        <v>60148984</v>
      </c>
      <c r="G1138" s="86" t="s">
        <v>280</v>
      </c>
      <c r="H1138" s="17" t="s">
        <v>3501</v>
      </c>
      <c r="I1138" s="17" t="s">
        <v>4217</v>
      </c>
    </row>
    <row r="1139" spans="1:9" s="22" customFormat="1" x14ac:dyDescent="0.2">
      <c r="A1139" s="17" t="s">
        <v>4054</v>
      </c>
      <c r="B1139" s="17">
        <v>1000125792</v>
      </c>
      <c r="C1139" s="17" t="s">
        <v>3459</v>
      </c>
      <c r="D1139" s="17" t="s">
        <v>4055</v>
      </c>
      <c r="E1139" s="85">
        <v>23554.799999999999</v>
      </c>
      <c r="F1139" s="449">
        <v>60153396</v>
      </c>
      <c r="G1139" s="86">
        <f>E1139/1.2</f>
        <v>19629</v>
      </c>
      <c r="H1139" s="17" t="s">
        <v>3501</v>
      </c>
      <c r="I1139" s="17"/>
    </row>
    <row r="1140" spans="1:9" x14ac:dyDescent="0.2">
      <c r="A1140" s="17" t="s">
        <v>4129</v>
      </c>
      <c r="B1140" s="10">
        <v>1000095634</v>
      </c>
      <c r="C1140" s="10" t="s">
        <v>3459</v>
      </c>
      <c r="D1140" s="10" t="s">
        <v>4133</v>
      </c>
      <c r="E1140" s="13">
        <v>16113.6</v>
      </c>
      <c r="F1140" s="449">
        <v>60154603</v>
      </c>
      <c r="G1140" s="29" t="s">
        <v>280</v>
      </c>
      <c r="H1140" s="29" t="s">
        <v>1575</v>
      </c>
      <c r="I1140" s="10" t="s">
        <v>4217</v>
      </c>
    </row>
    <row r="1141" spans="1:9" x14ac:dyDescent="0.2">
      <c r="A1141" s="17" t="s">
        <v>4130</v>
      </c>
      <c r="B1141" s="10">
        <v>1000095634</v>
      </c>
      <c r="C1141" s="10" t="s">
        <v>3459</v>
      </c>
      <c r="D1141" s="10" t="s">
        <v>4134</v>
      </c>
      <c r="E1141" s="13">
        <v>11286</v>
      </c>
      <c r="F1141" s="129">
        <v>60155336</v>
      </c>
      <c r="G1141" s="10" t="s">
        <v>280</v>
      </c>
      <c r="H1141" s="29" t="s">
        <v>1575</v>
      </c>
      <c r="I1141" s="10" t="s">
        <v>4367</v>
      </c>
    </row>
    <row r="1142" spans="1:9" x14ac:dyDescent="0.2">
      <c r="A1142" s="17" t="s">
        <v>4131</v>
      </c>
      <c r="B1142" s="10">
        <v>1000095634</v>
      </c>
      <c r="C1142" s="10" t="s">
        <v>3459</v>
      </c>
      <c r="D1142" s="10" t="s">
        <v>4135</v>
      </c>
      <c r="E1142" s="13">
        <v>8595.6</v>
      </c>
      <c r="F1142" s="129">
        <v>60158263</v>
      </c>
      <c r="G1142" s="10" t="s">
        <v>280</v>
      </c>
      <c r="H1142" s="29" t="s">
        <v>1575</v>
      </c>
      <c r="I1142" s="10" t="s">
        <v>4791</v>
      </c>
    </row>
    <row r="1143" spans="1:9" x14ac:dyDescent="0.2">
      <c r="A1143" s="17" t="s">
        <v>4132</v>
      </c>
      <c r="B1143" s="10">
        <v>1000095634</v>
      </c>
      <c r="C1143" s="10" t="s">
        <v>3459</v>
      </c>
      <c r="D1143" s="10" t="s">
        <v>4136</v>
      </c>
      <c r="E1143" s="13">
        <v>7710</v>
      </c>
      <c r="F1143" s="129" t="s">
        <v>431</v>
      </c>
      <c r="G1143" s="10"/>
      <c r="H1143" s="29" t="s">
        <v>1575</v>
      </c>
      <c r="I1143" s="10"/>
    </row>
    <row r="1144" spans="1:9" s="22" customFormat="1" x14ac:dyDescent="0.2">
      <c r="A1144" s="17" t="s">
        <v>4050</v>
      </c>
      <c r="B1144" s="17">
        <v>1000116575</v>
      </c>
      <c r="C1144" s="17" t="s">
        <v>3459</v>
      </c>
      <c r="D1144" s="17" t="s">
        <v>4051</v>
      </c>
      <c r="E1144" s="85">
        <v>4296</v>
      </c>
      <c r="F1144" s="130">
        <v>60147206</v>
      </c>
      <c r="G1144" s="86" t="s">
        <v>280</v>
      </c>
      <c r="H1144" s="29" t="s">
        <v>2423</v>
      </c>
      <c r="I1144" s="17" t="s">
        <v>4217</v>
      </c>
    </row>
    <row r="1145" spans="1:9" s="253" customFormat="1" x14ac:dyDescent="0.2">
      <c r="A1145" s="29" t="s">
        <v>4199</v>
      </c>
      <c r="B1145" s="29">
        <v>1000105043</v>
      </c>
      <c r="C1145" s="29" t="s">
        <v>3460</v>
      </c>
      <c r="D1145" s="29" t="s">
        <v>4203</v>
      </c>
      <c r="E1145" s="86">
        <v>32488.799999999999</v>
      </c>
      <c r="F1145" s="191">
        <v>60157016</v>
      </c>
      <c r="G1145" s="23" t="s">
        <v>280</v>
      </c>
      <c r="H1145" s="29" t="s">
        <v>1476</v>
      </c>
      <c r="I1145" s="29" t="s">
        <v>4386</v>
      </c>
    </row>
    <row r="1146" spans="1:9" s="253" customFormat="1" x14ac:dyDescent="0.2">
      <c r="A1146" s="29" t="s">
        <v>4200</v>
      </c>
      <c r="B1146" s="29">
        <v>1000105043</v>
      </c>
      <c r="C1146" s="29" t="s">
        <v>3460</v>
      </c>
      <c r="D1146" s="29" t="s">
        <v>4204</v>
      </c>
      <c r="E1146" s="86">
        <v>13054.8</v>
      </c>
      <c r="F1146" s="130">
        <v>60152024</v>
      </c>
      <c r="G1146" s="711" t="s">
        <v>280</v>
      </c>
      <c r="H1146" s="29" t="s">
        <v>216</v>
      </c>
      <c r="I1146" s="29" t="s">
        <v>4386</v>
      </c>
    </row>
    <row r="1147" spans="1:9" s="253" customFormat="1" x14ac:dyDescent="0.2">
      <c r="A1147" s="29" t="s">
        <v>4201</v>
      </c>
      <c r="B1147" s="29">
        <v>1000105043</v>
      </c>
      <c r="C1147" s="29" t="s">
        <v>3460</v>
      </c>
      <c r="D1147" s="29" t="s">
        <v>4205</v>
      </c>
      <c r="E1147" s="86">
        <v>8974.2000000000007</v>
      </c>
      <c r="F1147" s="130">
        <v>60152023</v>
      </c>
      <c r="G1147" s="711" t="s">
        <v>280</v>
      </c>
      <c r="H1147" s="29" t="s">
        <v>161</v>
      </c>
      <c r="I1147" s="29" t="s">
        <v>4386</v>
      </c>
    </row>
    <row r="1148" spans="1:9" s="253" customFormat="1" x14ac:dyDescent="0.2">
      <c r="A1148" s="29" t="s">
        <v>4202</v>
      </c>
      <c r="B1148" s="29">
        <v>1000105043</v>
      </c>
      <c r="C1148" s="29" t="s">
        <v>3460</v>
      </c>
      <c r="D1148" s="29" t="s">
        <v>4206</v>
      </c>
      <c r="E1148" s="86">
        <v>27100.799999999999</v>
      </c>
      <c r="F1148" s="130">
        <v>60157082</v>
      </c>
      <c r="G1148" s="711" t="s">
        <v>280</v>
      </c>
      <c r="H1148" s="29" t="s">
        <v>161</v>
      </c>
      <c r="I1148" s="29" t="s">
        <v>4653</v>
      </c>
    </row>
    <row r="1149" spans="1:9" x14ac:dyDescent="0.2">
      <c r="A1149" s="17" t="s">
        <v>4211</v>
      </c>
      <c r="B1149" s="10">
        <v>1000141058</v>
      </c>
      <c r="C1149" s="10" t="s">
        <v>3460</v>
      </c>
      <c r="D1149" s="17" t="s">
        <v>4212</v>
      </c>
      <c r="E1149" s="13">
        <v>42452.4</v>
      </c>
      <c r="F1149" s="129">
        <v>60155352</v>
      </c>
      <c r="G1149" s="711" t="s">
        <v>280</v>
      </c>
      <c r="H1149" s="29" t="s">
        <v>216</v>
      </c>
      <c r="I1149" s="10" t="s">
        <v>4386</v>
      </c>
    </row>
    <row r="1150" spans="1:9" s="253" customFormat="1" x14ac:dyDescent="0.2">
      <c r="A1150" s="29" t="s">
        <v>4207</v>
      </c>
      <c r="B1150" s="29">
        <v>1000109733</v>
      </c>
      <c r="C1150" s="29" t="s">
        <v>3460</v>
      </c>
      <c r="D1150" s="29" t="s">
        <v>4209</v>
      </c>
      <c r="E1150" s="86">
        <v>8140.8</v>
      </c>
      <c r="F1150" s="130">
        <v>60153395</v>
      </c>
      <c r="G1150" s="711" t="s">
        <v>280</v>
      </c>
      <c r="H1150" s="29" t="s">
        <v>216</v>
      </c>
      <c r="I1150" s="29" t="s">
        <v>4386</v>
      </c>
    </row>
    <row r="1151" spans="1:9" s="253" customFormat="1" x14ac:dyDescent="0.2">
      <c r="A1151" s="29" t="s">
        <v>4208</v>
      </c>
      <c r="B1151" s="29">
        <v>1000109733</v>
      </c>
      <c r="C1151" s="29" t="s">
        <v>3460</v>
      </c>
      <c r="D1151" s="29" t="s">
        <v>4210</v>
      </c>
      <c r="E1151" s="86">
        <v>18334.8</v>
      </c>
      <c r="F1151" s="130">
        <v>60157859</v>
      </c>
      <c r="G1151" s="711" t="s">
        <v>280</v>
      </c>
      <c r="H1151" s="29" t="s">
        <v>216</v>
      </c>
      <c r="I1151" s="29" t="s">
        <v>4653</v>
      </c>
    </row>
    <row r="1152" spans="1:9" x14ac:dyDescent="0.2">
      <c r="A1152" s="17" t="s">
        <v>4214</v>
      </c>
      <c r="B1152" s="17">
        <v>1000116575</v>
      </c>
      <c r="C1152" s="29" t="s">
        <v>3460</v>
      </c>
      <c r="D1152" s="29" t="s">
        <v>4213</v>
      </c>
      <c r="E1152" s="85">
        <v>4296</v>
      </c>
      <c r="F1152" s="130">
        <v>60147206</v>
      </c>
      <c r="G1152" s="86" t="s">
        <v>280</v>
      </c>
      <c r="H1152" s="29" t="s">
        <v>2423</v>
      </c>
      <c r="I1152" s="10" t="s">
        <v>4386</v>
      </c>
    </row>
    <row r="1153" spans="1:9" s="22" customFormat="1" x14ac:dyDescent="0.2">
      <c r="A1153" s="17" t="s">
        <v>4313</v>
      </c>
      <c r="B1153" s="17">
        <v>1000095634</v>
      </c>
      <c r="C1153" s="17" t="s">
        <v>3460</v>
      </c>
      <c r="D1153" s="17" t="s">
        <v>4314</v>
      </c>
      <c r="E1153" s="85">
        <v>10742.4</v>
      </c>
      <c r="F1153" s="449">
        <v>60155336</v>
      </c>
      <c r="G1153" s="17" t="s">
        <v>280</v>
      </c>
      <c r="H1153" s="29" t="s">
        <v>1575</v>
      </c>
      <c r="I1153" s="17" t="s">
        <v>4386</v>
      </c>
    </row>
    <row r="1154" spans="1:9" s="22" customFormat="1" x14ac:dyDescent="0.2">
      <c r="A1154" s="17" t="s">
        <v>4315</v>
      </c>
      <c r="B1154" s="17">
        <v>1000095634</v>
      </c>
      <c r="C1154" s="17" t="s">
        <v>3460</v>
      </c>
      <c r="D1154" s="17" t="s">
        <v>4316</v>
      </c>
      <c r="E1154" s="85">
        <v>8833.2000000000007</v>
      </c>
      <c r="F1154" s="449">
        <v>60158263</v>
      </c>
      <c r="G1154" s="17" t="s">
        <v>280</v>
      </c>
      <c r="H1154" s="29" t="s">
        <v>1575</v>
      </c>
      <c r="I1154" s="17" t="s">
        <v>4791</v>
      </c>
    </row>
    <row r="1155" spans="1:9" s="22" customFormat="1" x14ac:dyDescent="0.2">
      <c r="A1155" s="17" t="s">
        <v>4317</v>
      </c>
      <c r="B1155" s="17">
        <v>1000095634</v>
      </c>
      <c r="C1155" s="17" t="s">
        <v>3460</v>
      </c>
      <c r="D1155" s="17" t="s">
        <v>4318</v>
      </c>
      <c r="E1155" s="85">
        <v>4172.3999999999996</v>
      </c>
      <c r="F1155" s="449">
        <v>60154603</v>
      </c>
      <c r="G1155" s="17" t="s">
        <v>280</v>
      </c>
      <c r="H1155" s="29" t="s">
        <v>1575</v>
      </c>
      <c r="I1155" s="17" t="s">
        <v>4386</v>
      </c>
    </row>
    <row r="1156" spans="1:9" s="22" customFormat="1" x14ac:dyDescent="0.2">
      <c r="A1156" s="17" t="s">
        <v>4319</v>
      </c>
      <c r="B1156" s="17">
        <v>1000095634</v>
      </c>
      <c r="C1156" s="17" t="s">
        <v>3460</v>
      </c>
      <c r="D1156" s="17" t="s">
        <v>4320</v>
      </c>
      <c r="E1156" s="85">
        <v>9021.6</v>
      </c>
      <c r="F1156" s="449" t="s">
        <v>431</v>
      </c>
      <c r="G1156" s="17"/>
      <c r="H1156" s="29" t="s">
        <v>1575</v>
      </c>
      <c r="I1156" s="17"/>
    </row>
    <row r="1157" spans="1:9" s="22" customFormat="1" x14ac:dyDescent="0.2">
      <c r="A1157" s="17" t="s">
        <v>4321</v>
      </c>
      <c r="B1157" s="17">
        <v>1000095634</v>
      </c>
      <c r="C1157" s="17" t="s">
        <v>3460</v>
      </c>
      <c r="D1157" s="17" t="s">
        <v>4322</v>
      </c>
      <c r="E1157" s="85">
        <v>7911.6</v>
      </c>
      <c r="F1157" s="449" t="s">
        <v>431</v>
      </c>
      <c r="G1157" s="17"/>
      <c r="H1157" s="29" t="s">
        <v>1575</v>
      </c>
      <c r="I1157" s="17"/>
    </row>
    <row r="1158" spans="1:9" x14ac:dyDescent="0.2">
      <c r="A1158" s="17" t="s">
        <v>4218</v>
      </c>
      <c r="B1158" s="17">
        <v>1000125792</v>
      </c>
      <c r="C1158" s="10" t="s">
        <v>3460</v>
      </c>
      <c r="D1158" s="17" t="s">
        <v>4219</v>
      </c>
      <c r="E1158" s="85">
        <v>15568.8</v>
      </c>
      <c r="F1158" s="449">
        <v>60148984</v>
      </c>
      <c r="G1158" s="86" t="s">
        <v>280</v>
      </c>
      <c r="H1158" s="17" t="s">
        <v>3501</v>
      </c>
      <c r="I1158" s="10" t="s">
        <v>4386</v>
      </c>
    </row>
    <row r="1159" spans="1:9" x14ac:dyDescent="0.2">
      <c r="A1159" s="17" t="s">
        <v>4220</v>
      </c>
      <c r="B1159" s="17">
        <v>1000125792</v>
      </c>
      <c r="C1159" s="10" t="s">
        <v>3460</v>
      </c>
      <c r="D1159" s="17" t="s">
        <v>4221</v>
      </c>
      <c r="E1159" s="85">
        <v>23058</v>
      </c>
      <c r="F1159" s="449">
        <v>60153396</v>
      </c>
      <c r="G1159" s="86"/>
      <c r="H1159" s="17" t="s">
        <v>3501</v>
      </c>
      <c r="I1159" s="10"/>
    </row>
    <row r="1160" spans="1:9" s="253" customFormat="1" x14ac:dyDescent="0.2">
      <c r="A1160" s="29" t="s">
        <v>4224</v>
      </c>
      <c r="B1160" s="29">
        <v>1000079359</v>
      </c>
      <c r="C1160" s="29" t="s">
        <v>3460</v>
      </c>
      <c r="D1160" s="29" t="s">
        <v>4225</v>
      </c>
      <c r="E1160" s="86">
        <v>32844</v>
      </c>
      <c r="F1160" s="130">
        <v>60158280</v>
      </c>
      <c r="G1160" s="29" t="s">
        <v>280</v>
      </c>
      <c r="H1160" s="29" t="s">
        <v>216</v>
      </c>
      <c r="I1160" s="29" t="s">
        <v>4653</v>
      </c>
    </row>
    <row r="1161" spans="1:9" s="253" customFormat="1" x14ac:dyDescent="0.2">
      <c r="A1161" s="29" t="s">
        <v>4226</v>
      </c>
      <c r="B1161" s="29">
        <v>1000079359</v>
      </c>
      <c r="C1161" s="29" t="s">
        <v>3460</v>
      </c>
      <c r="D1161" s="29" t="s">
        <v>4227</v>
      </c>
      <c r="E1161" s="86">
        <v>34392</v>
      </c>
      <c r="F1161" s="130" t="s">
        <v>431</v>
      </c>
      <c r="G1161" s="29">
        <f>E1161/1.2</f>
        <v>28660</v>
      </c>
      <c r="H1161" s="29" t="s">
        <v>4228</v>
      </c>
      <c r="I1161" s="29"/>
    </row>
    <row r="1162" spans="1:9" s="253" customFormat="1" x14ac:dyDescent="0.2">
      <c r="A1162" s="29" t="s">
        <v>4229</v>
      </c>
      <c r="B1162" s="29">
        <v>1000079359</v>
      </c>
      <c r="C1162" s="29" t="s">
        <v>3460</v>
      </c>
      <c r="D1162" s="29" t="s">
        <v>4230</v>
      </c>
      <c r="E1162" s="86">
        <v>12936</v>
      </c>
      <c r="F1162" s="130">
        <v>60157083</v>
      </c>
      <c r="G1162" s="711" t="s">
        <v>280</v>
      </c>
      <c r="H1162" s="29" t="s">
        <v>2423</v>
      </c>
      <c r="I1162" s="29" t="s">
        <v>4653</v>
      </c>
    </row>
    <row r="1163" spans="1:9" s="253" customFormat="1" x14ac:dyDescent="0.2">
      <c r="A1163" s="29" t="s">
        <v>4231</v>
      </c>
      <c r="B1163" s="29">
        <v>1000079359</v>
      </c>
      <c r="C1163" s="29" t="s">
        <v>3460</v>
      </c>
      <c r="D1163" s="29" t="s">
        <v>4232</v>
      </c>
      <c r="E1163" s="86">
        <v>11304</v>
      </c>
      <c r="F1163" s="130">
        <v>60155351</v>
      </c>
      <c r="G1163" s="29" t="s">
        <v>280</v>
      </c>
      <c r="H1163" s="29" t="s">
        <v>171</v>
      </c>
      <c r="I1163" s="29" t="s">
        <v>4386</v>
      </c>
    </row>
    <row r="1164" spans="1:9" s="253" customFormat="1" x14ac:dyDescent="0.2">
      <c r="A1164" s="29" t="s">
        <v>4233</v>
      </c>
      <c r="B1164" s="29">
        <v>1000079359</v>
      </c>
      <c r="C1164" s="29" t="s">
        <v>3460</v>
      </c>
      <c r="D1164" s="29" t="s">
        <v>4234</v>
      </c>
      <c r="E1164" s="86">
        <v>7912.8</v>
      </c>
      <c r="F1164" s="130">
        <v>60159512</v>
      </c>
      <c r="G1164" s="29" t="s">
        <v>280</v>
      </c>
      <c r="H1164" s="29" t="s">
        <v>216</v>
      </c>
      <c r="I1164" s="29" t="s">
        <v>4793</v>
      </c>
    </row>
    <row r="1165" spans="1:9" s="253" customFormat="1" x14ac:dyDescent="0.2">
      <c r="A1165" s="29" t="s">
        <v>4235</v>
      </c>
      <c r="B1165" s="29">
        <v>1000079359</v>
      </c>
      <c r="C1165" s="29" t="s">
        <v>3460</v>
      </c>
      <c r="D1165" s="29" t="s">
        <v>4236</v>
      </c>
      <c r="E1165" s="86">
        <v>69662.399999999994</v>
      </c>
      <c r="F1165" s="130" t="s">
        <v>431</v>
      </c>
      <c r="G1165" s="29"/>
      <c r="H1165" s="29" t="s">
        <v>4072</v>
      </c>
      <c r="I1165" s="29"/>
    </row>
    <row r="1166" spans="1:9" s="253" customFormat="1" x14ac:dyDescent="0.2">
      <c r="A1166" s="29" t="s">
        <v>4237</v>
      </c>
      <c r="B1166" s="29">
        <v>1000079359</v>
      </c>
      <c r="C1166" s="29" t="s">
        <v>3460</v>
      </c>
      <c r="D1166" s="29" t="s">
        <v>4238</v>
      </c>
      <c r="E1166" s="86">
        <v>11712</v>
      </c>
      <c r="F1166" s="130">
        <v>60157085</v>
      </c>
      <c r="G1166" s="711" t="s">
        <v>280</v>
      </c>
      <c r="H1166" s="29" t="s">
        <v>161</v>
      </c>
      <c r="I1166" s="29" t="s">
        <v>4653</v>
      </c>
    </row>
    <row r="1167" spans="1:9" s="253" customFormat="1" x14ac:dyDescent="0.2">
      <c r="A1167" s="29" t="s">
        <v>4239</v>
      </c>
      <c r="B1167" s="29">
        <v>1000079359</v>
      </c>
      <c r="C1167" s="29" t="s">
        <v>3460</v>
      </c>
      <c r="D1167" s="29" t="s">
        <v>4240</v>
      </c>
      <c r="E1167" s="86">
        <v>6734.4</v>
      </c>
      <c r="F1167" s="130">
        <v>60157071</v>
      </c>
      <c r="G1167" s="29" t="s">
        <v>280</v>
      </c>
      <c r="H1167" s="29" t="s">
        <v>161</v>
      </c>
      <c r="I1167" s="29" t="s">
        <v>4653</v>
      </c>
    </row>
    <row r="1168" spans="1:9" s="253" customFormat="1" x14ac:dyDescent="0.2">
      <c r="A1168" s="29" t="s">
        <v>4241</v>
      </c>
      <c r="B1168" s="29">
        <v>1000079359</v>
      </c>
      <c r="C1168" s="29" t="s">
        <v>3460</v>
      </c>
      <c r="D1168" s="29" t="s">
        <v>4242</v>
      </c>
      <c r="E1168" s="86">
        <v>2928</v>
      </c>
      <c r="F1168" s="130">
        <v>60153348</v>
      </c>
      <c r="G1168" s="711" t="s">
        <v>280</v>
      </c>
      <c r="H1168" s="29" t="s">
        <v>216</v>
      </c>
      <c r="I1168" s="29" t="s">
        <v>4386</v>
      </c>
    </row>
    <row r="1169" spans="1:9" s="22" customFormat="1" x14ac:dyDescent="0.2">
      <c r="A1169" s="17" t="s">
        <v>4243</v>
      </c>
      <c r="B1169" s="17">
        <v>1000079359</v>
      </c>
      <c r="C1169" s="17" t="s">
        <v>3460</v>
      </c>
      <c r="D1169" s="17" t="s">
        <v>4244</v>
      </c>
      <c r="E1169" s="85">
        <v>6727.2</v>
      </c>
      <c r="F1169" s="130">
        <v>60144153</v>
      </c>
      <c r="G1169" s="711" t="s">
        <v>280</v>
      </c>
      <c r="H1169" s="29" t="s">
        <v>952</v>
      </c>
      <c r="I1169" s="17" t="s">
        <v>4386</v>
      </c>
    </row>
    <row r="1170" spans="1:9" s="253" customFormat="1" x14ac:dyDescent="0.2">
      <c r="A1170" s="29" t="s">
        <v>4245</v>
      </c>
      <c r="B1170" s="29">
        <v>1000079359</v>
      </c>
      <c r="C1170" s="29" t="s">
        <v>3460</v>
      </c>
      <c r="D1170" s="29" t="s">
        <v>4246</v>
      </c>
      <c r="E1170" s="86">
        <v>2414.4</v>
      </c>
      <c r="F1170" s="130" t="s">
        <v>431</v>
      </c>
      <c r="G1170" s="29"/>
      <c r="H1170" s="29" t="s">
        <v>1278</v>
      </c>
      <c r="I1170" s="29"/>
    </row>
    <row r="1171" spans="1:9" s="253" customFormat="1" x14ac:dyDescent="0.2">
      <c r="A1171" s="29" t="s">
        <v>4247</v>
      </c>
      <c r="B1171" s="29">
        <v>1000079359</v>
      </c>
      <c r="C1171" s="29" t="s">
        <v>3460</v>
      </c>
      <c r="D1171" s="29" t="s">
        <v>4248</v>
      </c>
      <c r="E1171" s="86">
        <v>3556.8</v>
      </c>
      <c r="F1171" s="130">
        <v>60159497</v>
      </c>
      <c r="G1171" s="39" t="s">
        <v>280</v>
      </c>
      <c r="H1171" s="29" t="s">
        <v>3636</v>
      </c>
      <c r="I1171" s="29" t="s">
        <v>4793</v>
      </c>
    </row>
    <row r="1172" spans="1:9" s="253" customFormat="1" x14ac:dyDescent="0.2">
      <c r="A1172" s="29" t="s">
        <v>4249</v>
      </c>
      <c r="B1172" s="29">
        <v>1000079359</v>
      </c>
      <c r="C1172" s="29" t="s">
        <v>3460</v>
      </c>
      <c r="D1172" s="29" t="s">
        <v>4250</v>
      </c>
      <c r="E1172" s="86">
        <v>7142.4</v>
      </c>
      <c r="F1172" s="130" t="s">
        <v>431</v>
      </c>
      <c r="G1172" s="29"/>
      <c r="H1172" s="29" t="s">
        <v>1278</v>
      </c>
      <c r="I1172" s="29"/>
    </row>
    <row r="1173" spans="1:9" s="253" customFormat="1" x14ac:dyDescent="0.2">
      <c r="A1173" s="29" t="s">
        <v>4251</v>
      </c>
      <c r="B1173" s="29">
        <v>1000079359</v>
      </c>
      <c r="C1173" s="29" t="s">
        <v>3460</v>
      </c>
      <c r="D1173" s="29" t="s">
        <v>4252</v>
      </c>
      <c r="E1173" s="86">
        <v>11304</v>
      </c>
      <c r="F1173" s="130">
        <v>60153961</v>
      </c>
      <c r="G1173" s="29" t="s">
        <v>280</v>
      </c>
      <c r="H1173" s="29" t="s">
        <v>3215</v>
      </c>
      <c r="I1173" s="29" t="s">
        <v>4386</v>
      </c>
    </row>
    <row r="1174" spans="1:9" s="253" customFormat="1" x14ac:dyDescent="0.2">
      <c r="A1174" s="29" t="s">
        <v>4253</v>
      </c>
      <c r="B1174" s="29">
        <v>1000079359</v>
      </c>
      <c r="C1174" s="29" t="s">
        <v>3460</v>
      </c>
      <c r="D1174" s="29" t="s">
        <v>4254</v>
      </c>
      <c r="E1174" s="86">
        <v>11021.4</v>
      </c>
      <c r="F1174" s="130">
        <v>60152019</v>
      </c>
      <c r="G1174" s="711" t="s">
        <v>280</v>
      </c>
      <c r="H1174" s="29" t="s">
        <v>4069</v>
      </c>
      <c r="I1174" s="29" t="s">
        <v>4386</v>
      </c>
    </row>
    <row r="1175" spans="1:9" s="253" customFormat="1" x14ac:dyDescent="0.2">
      <c r="A1175" s="29" t="s">
        <v>4255</v>
      </c>
      <c r="B1175" s="29">
        <v>1000079359</v>
      </c>
      <c r="C1175" s="29" t="s">
        <v>3460</v>
      </c>
      <c r="D1175" s="29" t="s">
        <v>4256</v>
      </c>
      <c r="E1175" s="86">
        <v>11712</v>
      </c>
      <c r="F1175" s="130">
        <v>60159486</v>
      </c>
      <c r="G1175" s="711" t="s">
        <v>280</v>
      </c>
      <c r="H1175" s="29" t="s">
        <v>216</v>
      </c>
      <c r="I1175" s="29" t="s">
        <v>4793</v>
      </c>
    </row>
    <row r="1176" spans="1:9" s="253" customFormat="1" x14ac:dyDescent="0.2">
      <c r="A1176" s="29" t="s">
        <v>4257</v>
      </c>
      <c r="B1176" s="29">
        <v>1000079359</v>
      </c>
      <c r="C1176" s="29" t="s">
        <v>3460</v>
      </c>
      <c r="D1176" s="29" t="s">
        <v>4258</v>
      </c>
      <c r="E1176" s="86">
        <v>11304</v>
      </c>
      <c r="F1176" s="130">
        <v>60148322</v>
      </c>
      <c r="G1176" s="711" t="s">
        <v>280</v>
      </c>
      <c r="H1176" s="29" t="s">
        <v>994</v>
      </c>
      <c r="I1176" s="29" t="s">
        <v>4386</v>
      </c>
    </row>
    <row r="1177" spans="1:9" s="253" customFormat="1" x14ac:dyDescent="0.2">
      <c r="A1177" s="29" t="s">
        <v>4259</v>
      </c>
      <c r="B1177" s="29">
        <v>1000079359</v>
      </c>
      <c r="C1177" s="29" t="s">
        <v>3460</v>
      </c>
      <c r="D1177" s="29" t="s">
        <v>4260</v>
      </c>
      <c r="E1177" s="86">
        <v>10833.6</v>
      </c>
      <c r="F1177" s="130">
        <v>60156911</v>
      </c>
      <c r="G1177" s="29" t="s">
        <v>280</v>
      </c>
      <c r="H1177" s="29" t="s">
        <v>161</v>
      </c>
      <c r="I1177" s="29" t="s">
        <v>4386</v>
      </c>
    </row>
    <row r="1178" spans="1:9" s="253" customFormat="1" x14ac:dyDescent="0.2">
      <c r="A1178" s="29" t="s">
        <v>4261</v>
      </c>
      <c r="B1178" s="29">
        <v>1000079359</v>
      </c>
      <c r="C1178" s="29" t="s">
        <v>3460</v>
      </c>
      <c r="D1178" s="29" t="s">
        <v>4262</v>
      </c>
      <c r="E1178" s="86">
        <v>11304</v>
      </c>
      <c r="F1178" s="130">
        <v>60152026</v>
      </c>
      <c r="G1178" s="711" t="s">
        <v>280</v>
      </c>
      <c r="H1178" s="29" t="s">
        <v>3636</v>
      </c>
      <c r="I1178" s="29" t="s">
        <v>4386</v>
      </c>
    </row>
    <row r="1179" spans="1:9" s="45" customFormat="1" x14ac:dyDescent="0.2">
      <c r="A1179" s="29" t="s">
        <v>4263</v>
      </c>
      <c r="B1179" s="29">
        <v>1000079359</v>
      </c>
      <c r="C1179" s="29" t="s">
        <v>3460</v>
      </c>
      <c r="D1179" s="29" t="s">
        <v>4264</v>
      </c>
      <c r="E1179" s="86">
        <v>2826</v>
      </c>
      <c r="F1179" s="130">
        <v>60155339</v>
      </c>
      <c r="G1179" s="711" t="s">
        <v>280</v>
      </c>
      <c r="H1179" s="29" t="s">
        <v>171</v>
      </c>
      <c r="I1179" s="29" t="s">
        <v>4386</v>
      </c>
    </row>
    <row r="1180" spans="1:9" s="45" customFormat="1" x14ac:dyDescent="0.2">
      <c r="A1180" s="29" t="s">
        <v>4265</v>
      </c>
      <c r="B1180" s="29">
        <v>1000079359</v>
      </c>
      <c r="C1180" s="29" t="s">
        <v>3460</v>
      </c>
      <c r="D1180" s="29" t="s">
        <v>4266</v>
      </c>
      <c r="E1180" s="86">
        <v>8198.4</v>
      </c>
      <c r="F1180" s="130">
        <v>60157081</v>
      </c>
      <c r="G1180" s="29" t="s">
        <v>280</v>
      </c>
      <c r="H1180" s="29" t="s">
        <v>216</v>
      </c>
      <c r="I1180" s="29" t="s">
        <v>4653</v>
      </c>
    </row>
    <row r="1181" spans="1:9" s="45" customFormat="1" x14ac:dyDescent="0.2">
      <c r="A1181" s="29" t="s">
        <v>4267</v>
      </c>
      <c r="B1181" s="29">
        <v>1000079359</v>
      </c>
      <c r="C1181" s="29" t="s">
        <v>3460</v>
      </c>
      <c r="D1181" s="29" t="s">
        <v>4268</v>
      </c>
      <c r="E1181" s="86">
        <v>12936</v>
      </c>
      <c r="F1181" s="130" t="s">
        <v>431</v>
      </c>
      <c r="G1181" s="29"/>
      <c r="H1181" s="29" t="s">
        <v>4127</v>
      </c>
      <c r="I1181" s="29"/>
    </row>
    <row r="1182" spans="1:9" s="45" customFormat="1" x14ac:dyDescent="0.2">
      <c r="A1182" s="29" t="s">
        <v>4269</v>
      </c>
      <c r="B1182" s="29">
        <v>1000079359</v>
      </c>
      <c r="C1182" s="29" t="s">
        <v>3460</v>
      </c>
      <c r="D1182" s="29" t="s">
        <v>4270</v>
      </c>
      <c r="E1182" s="86">
        <v>11304</v>
      </c>
      <c r="F1182" s="130">
        <v>60155340</v>
      </c>
      <c r="G1182" s="86" t="s">
        <v>280</v>
      </c>
      <c r="H1182" s="29" t="s">
        <v>216</v>
      </c>
      <c r="I1182" s="29" t="s">
        <v>4386</v>
      </c>
    </row>
    <row r="1183" spans="1:9" s="45" customFormat="1" x14ac:dyDescent="0.2">
      <c r="A1183" s="29" t="s">
        <v>4271</v>
      </c>
      <c r="B1183" s="29">
        <v>1000079359</v>
      </c>
      <c r="C1183" s="29" t="s">
        <v>3460</v>
      </c>
      <c r="D1183" s="29" t="s">
        <v>4272</v>
      </c>
      <c r="E1183" s="86">
        <v>9702</v>
      </c>
      <c r="F1183" s="130">
        <v>60157080</v>
      </c>
      <c r="G1183" s="86" t="s">
        <v>280</v>
      </c>
      <c r="H1183" s="29" t="s">
        <v>216</v>
      </c>
      <c r="I1183" s="29" t="s">
        <v>4791</v>
      </c>
    </row>
    <row r="1184" spans="1:9" s="45" customFormat="1" x14ac:dyDescent="0.2">
      <c r="A1184" s="29" t="s">
        <v>4273</v>
      </c>
      <c r="B1184" s="29">
        <v>1000079359</v>
      </c>
      <c r="C1184" s="29" t="s">
        <v>3460</v>
      </c>
      <c r="D1184" s="29" t="s">
        <v>4274</v>
      </c>
      <c r="E1184" s="86">
        <v>11304</v>
      </c>
      <c r="F1184" s="130">
        <v>60152020</v>
      </c>
      <c r="G1184" s="711" t="s">
        <v>280</v>
      </c>
      <c r="H1184" s="29" t="s">
        <v>4069</v>
      </c>
      <c r="I1184" s="29" t="s">
        <v>4386</v>
      </c>
    </row>
    <row r="1185" spans="1:9" s="45" customFormat="1" x14ac:dyDescent="0.2">
      <c r="A1185" s="29" t="s">
        <v>4275</v>
      </c>
      <c r="B1185" s="29">
        <v>1000079359</v>
      </c>
      <c r="C1185" s="29" t="s">
        <v>3460</v>
      </c>
      <c r="D1185" s="29" t="s">
        <v>4276</v>
      </c>
      <c r="E1185" s="86">
        <v>11304</v>
      </c>
      <c r="F1185" s="130">
        <v>60156912</v>
      </c>
      <c r="G1185" s="23" t="s">
        <v>280</v>
      </c>
      <c r="H1185" s="29" t="s">
        <v>3845</v>
      </c>
      <c r="I1185" s="29" t="s">
        <v>4386</v>
      </c>
    </row>
    <row r="1186" spans="1:9" s="45" customFormat="1" x14ac:dyDescent="0.2">
      <c r="A1186" s="29" t="s">
        <v>4277</v>
      </c>
      <c r="B1186" s="29">
        <v>1000079359</v>
      </c>
      <c r="C1186" s="29" t="s">
        <v>3460</v>
      </c>
      <c r="D1186" s="29" t="s">
        <v>4278</v>
      </c>
      <c r="E1186" s="86">
        <v>10728</v>
      </c>
      <c r="F1186" s="130">
        <v>60151994</v>
      </c>
      <c r="G1186" s="711" t="s">
        <v>280</v>
      </c>
      <c r="H1186" s="29" t="s">
        <v>4069</v>
      </c>
      <c r="I1186" s="29" t="s">
        <v>4386</v>
      </c>
    </row>
    <row r="1187" spans="1:9" s="45" customFormat="1" x14ac:dyDescent="0.2">
      <c r="A1187" s="29" t="s">
        <v>4279</v>
      </c>
      <c r="B1187" s="29">
        <v>1000079359</v>
      </c>
      <c r="C1187" s="29" t="s">
        <v>3460</v>
      </c>
      <c r="D1187" s="29" t="s">
        <v>4280</v>
      </c>
      <c r="E1187" s="86">
        <v>2635.2</v>
      </c>
      <c r="F1187" s="130">
        <v>60155342</v>
      </c>
      <c r="G1187" s="29" t="s">
        <v>280</v>
      </c>
      <c r="H1187" s="29" t="s">
        <v>161</v>
      </c>
      <c r="I1187" s="29" t="s">
        <v>4386</v>
      </c>
    </row>
    <row r="1188" spans="1:9" s="45" customFormat="1" x14ac:dyDescent="0.2">
      <c r="A1188" s="29" t="s">
        <v>4281</v>
      </c>
      <c r="B1188" s="29">
        <v>1000079359</v>
      </c>
      <c r="C1188" s="29" t="s">
        <v>3460</v>
      </c>
      <c r="D1188" s="29" t="s">
        <v>4282</v>
      </c>
      <c r="E1188" s="86">
        <v>11712</v>
      </c>
      <c r="F1188" s="130">
        <v>60159491</v>
      </c>
      <c r="G1188" s="29" t="s">
        <v>280</v>
      </c>
      <c r="H1188" s="29" t="s">
        <v>216</v>
      </c>
      <c r="I1188" s="29" t="s">
        <v>4793</v>
      </c>
    </row>
    <row r="1189" spans="1:9" s="45" customFormat="1" x14ac:dyDescent="0.2">
      <c r="A1189" s="29" t="s">
        <v>4283</v>
      </c>
      <c r="B1189" s="29">
        <v>1000079359</v>
      </c>
      <c r="C1189" s="29" t="s">
        <v>3460</v>
      </c>
      <c r="D1189" s="29" t="s">
        <v>4284</v>
      </c>
      <c r="E1189" s="86">
        <v>8720.4</v>
      </c>
      <c r="F1189" s="130">
        <v>60153344</v>
      </c>
      <c r="G1189" s="711" t="s">
        <v>280</v>
      </c>
      <c r="H1189" s="29" t="s">
        <v>216</v>
      </c>
      <c r="I1189" s="29" t="s">
        <v>4386</v>
      </c>
    </row>
    <row r="1190" spans="1:9" s="45" customFormat="1" x14ac:dyDescent="0.2">
      <c r="A1190" s="29" t="s">
        <v>4285</v>
      </c>
      <c r="B1190" s="29">
        <v>1000079359</v>
      </c>
      <c r="C1190" s="29" t="s">
        <v>3460</v>
      </c>
      <c r="D1190" s="29" t="s">
        <v>4286</v>
      </c>
      <c r="E1190" s="86">
        <v>3234</v>
      </c>
      <c r="F1190" s="130">
        <v>60153346</v>
      </c>
      <c r="G1190" s="29" t="s">
        <v>280</v>
      </c>
      <c r="H1190" s="29" t="s">
        <v>216</v>
      </c>
      <c r="I1190" s="29" t="s">
        <v>4386</v>
      </c>
    </row>
    <row r="1191" spans="1:9" s="45" customFormat="1" x14ac:dyDescent="0.2">
      <c r="A1191" s="29" t="s">
        <v>4287</v>
      </c>
      <c r="B1191" s="29">
        <v>1000079359</v>
      </c>
      <c r="C1191" s="29" t="s">
        <v>3460</v>
      </c>
      <c r="D1191" s="29" t="s">
        <v>4288</v>
      </c>
      <c r="E1191" s="86">
        <v>10738.8</v>
      </c>
      <c r="F1191" s="130" t="s">
        <v>431</v>
      </c>
      <c r="G1191" s="29"/>
      <c r="H1191" s="29" t="s">
        <v>4069</v>
      </c>
      <c r="I1191" s="29"/>
    </row>
    <row r="1192" spans="1:9" s="45" customFormat="1" x14ac:dyDescent="0.2">
      <c r="A1192" s="29" t="s">
        <v>4289</v>
      </c>
      <c r="B1192" s="29">
        <v>1000079359</v>
      </c>
      <c r="C1192" s="29" t="s">
        <v>3460</v>
      </c>
      <c r="D1192" s="29" t="s">
        <v>4290</v>
      </c>
      <c r="E1192" s="86">
        <v>2433.6</v>
      </c>
      <c r="F1192" s="130">
        <v>60159485</v>
      </c>
      <c r="G1192" s="29" t="s">
        <v>280</v>
      </c>
      <c r="H1192" s="29" t="s">
        <v>171</v>
      </c>
      <c r="I1192" s="29" t="s">
        <v>4793</v>
      </c>
    </row>
    <row r="1193" spans="1:9" s="45" customFormat="1" x14ac:dyDescent="0.2">
      <c r="A1193" s="29" t="s">
        <v>4291</v>
      </c>
      <c r="B1193" s="29">
        <v>1000079359</v>
      </c>
      <c r="C1193" s="29" t="s">
        <v>3460</v>
      </c>
      <c r="D1193" s="29" t="s">
        <v>4292</v>
      </c>
      <c r="E1193" s="711">
        <v>11739</v>
      </c>
      <c r="F1193" s="130">
        <v>60153343</v>
      </c>
      <c r="G1193" s="711" t="s">
        <v>280</v>
      </c>
      <c r="H1193" s="29" t="s">
        <v>216</v>
      </c>
      <c r="I1193" s="29" t="s">
        <v>4386</v>
      </c>
    </row>
    <row r="1194" spans="1:9" s="45" customFormat="1" x14ac:dyDescent="0.2">
      <c r="A1194" s="29" t="s">
        <v>4293</v>
      </c>
      <c r="B1194" s="29">
        <v>1000079359</v>
      </c>
      <c r="C1194" s="29" t="s">
        <v>3460</v>
      </c>
      <c r="D1194" s="29" t="s">
        <v>4294</v>
      </c>
      <c r="E1194" s="711">
        <v>2826</v>
      </c>
      <c r="F1194" s="130">
        <v>60153349</v>
      </c>
      <c r="G1194" s="711" t="s">
        <v>280</v>
      </c>
      <c r="H1194" s="29" t="s">
        <v>216</v>
      </c>
      <c r="I1194" s="29" t="s">
        <v>4386</v>
      </c>
    </row>
    <row r="1195" spans="1:9" s="45" customFormat="1" x14ac:dyDescent="0.2">
      <c r="A1195" s="29" t="s">
        <v>4295</v>
      </c>
      <c r="B1195" s="29">
        <v>1000079359</v>
      </c>
      <c r="C1195" s="29" t="s">
        <v>3460</v>
      </c>
      <c r="D1195" s="29" t="s">
        <v>4296</v>
      </c>
      <c r="E1195" s="86">
        <v>11712</v>
      </c>
      <c r="F1195" s="130" t="s">
        <v>431</v>
      </c>
      <c r="G1195" s="711"/>
      <c r="H1195" s="29" t="s">
        <v>171</v>
      </c>
      <c r="I1195" s="29"/>
    </row>
    <row r="1196" spans="1:9" s="45" customFormat="1" x14ac:dyDescent="0.2">
      <c r="A1196" s="29" t="s">
        <v>4297</v>
      </c>
      <c r="B1196" s="29">
        <v>1000079359</v>
      </c>
      <c r="C1196" s="29" t="s">
        <v>3460</v>
      </c>
      <c r="D1196" s="29" t="s">
        <v>4298</v>
      </c>
      <c r="E1196" s="86">
        <v>11419.2</v>
      </c>
      <c r="F1196" s="130" t="s">
        <v>431</v>
      </c>
      <c r="G1196" s="711"/>
      <c r="H1196" s="29" t="s">
        <v>171</v>
      </c>
      <c r="I1196" s="29"/>
    </row>
    <row r="1197" spans="1:9" s="45" customFormat="1" x14ac:dyDescent="0.2">
      <c r="A1197" s="29" t="s">
        <v>4299</v>
      </c>
      <c r="B1197" s="29">
        <v>1000079359</v>
      </c>
      <c r="C1197" s="29" t="s">
        <v>3460</v>
      </c>
      <c r="D1197" s="29" t="s">
        <v>4300</v>
      </c>
      <c r="E1197" s="711">
        <v>3354</v>
      </c>
      <c r="F1197" s="191">
        <v>60157072</v>
      </c>
      <c r="G1197" s="23" t="s">
        <v>280</v>
      </c>
      <c r="H1197" s="29" t="s">
        <v>216</v>
      </c>
      <c r="I1197" s="29" t="s">
        <v>4791</v>
      </c>
    </row>
    <row r="1198" spans="1:9" s="45" customFormat="1" x14ac:dyDescent="0.2">
      <c r="A1198" s="29" t="s">
        <v>4301</v>
      </c>
      <c r="B1198" s="29">
        <v>1000079359</v>
      </c>
      <c r="C1198" s="29" t="s">
        <v>3460</v>
      </c>
      <c r="D1198" s="29" t="s">
        <v>4302</v>
      </c>
      <c r="E1198" s="711">
        <v>10062</v>
      </c>
      <c r="F1198" s="130">
        <v>60159492</v>
      </c>
      <c r="G1198" s="23" t="s">
        <v>280</v>
      </c>
      <c r="H1198" s="29" t="s">
        <v>216</v>
      </c>
      <c r="I1198" s="29" t="s">
        <v>4793</v>
      </c>
    </row>
    <row r="1199" spans="1:9" s="45" customFormat="1" x14ac:dyDescent="0.2">
      <c r="A1199" s="29" t="s">
        <v>4303</v>
      </c>
      <c r="B1199" s="29">
        <v>1000079359</v>
      </c>
      <c r="C1199" s="29" t="s">
        <v>3460</v>
      </c>
      <c r="D1199" s="29" t="s">
        <v>4304</v>
      </c>
      <c r="E1199" s="711">
        <v>5748</v>
      </c>
      <c r="F1199" s="130">
        <v>60157084</v>
      </c>
      <c r="G1199" s="29" t="s">
        <v>280</v>
      </c>
      <c r="H1199" s="29" t="s">
        <v>216</v>
      </c>
      <c r="I1199" s="29" t="s">
        <v>4791</v>
      </c>
    </row>
    <row r="1200" spans="1:9" s="45" customFormat="1" x14ac:dyDescent="0.2">
      <c r="A1200" s="29" t="s">
        <v>4305</v>
      </c>
      <c r="B1200" s="29">
        <v>1000079359</v>
      </c>
      <c r="C1200" s="29" t="s">
        <v>3460</v>
      </c>
      <c r="D1200" s="29" t="s">
        <v>4306</v>
      </c>
      <c r="E1200" s="711">
        <v>5748</v>
      </c>
      <c r="F1200" s="130">
        <v>60159518</v>
      </c>
      <c r="G1200" s="29">
        <f>E1200/1.2</f>
        <v>4790</v>
      </c>
      <c r="H1200" s="29" t="s">
        <v>4069</v>
      </c>
      <c r="I1200" s="29"/>
    </row>
    <row r="1201" spans="1:9" s="45" customFormat="1" x14ac:dyDescent="0.2">
      <c r="A1201" s="29" t="s">
        <v>4307</v>
      </c>
      <c r="B1201" s="29">
        <v>1000079359</v>
      </c>
      <c r="C1201" s="29" t="s">
        <v>3460</v>
      </c>
      <c r="D1201" s="29" t="s">
        <v>4308</v>
      </c>
      <c r="E1201" s="86">
        <v>13416</v>
      </c>
      <c r="F1201" s="130">
        <v>60155341</v>
      </c>
      <c r="G1201" s="29" t="s">
        <v>280</v>
      </c>
      <c r="H1201" s="29" t="s">
        <v>216</v>
      </c>
      <c r="I1201" s="29" t="s">
        <v>4386</v>
      </c>
    </row>
    <row r="1202" spans="1:9" s="45" customFormat="1" x14ac:dyDescent="0.2">
      <c r="A1202" s="29" t="s">
        <v>4309</v>
      </c>
      <c r="B1202" s="29">
        <v>1000079359</v>
      </c>
      <c r="C1202" s="29" t="s">
        <v>3460</v>
      </c>
      <c r="D1202" s="29" t="s">
        <v>4310</v>
      </c>
      <c r="E1202" s="86">
        <v>4521.6000000000004</v>
      </c>
      <c r="F1202" s="130">
        <v>60159495</v>
      </c>
      <c r="G1202" s="29"/>
      <c r="H1202" s="29" t="s">
        <v>4069</v>
      </c>
      <c r="I1202" s="29"/>
    </row>
    <row r="1203" spans="1:9" s="45" customFormat="1" x14ac:dyDescent="0.2">
      <c r="A1203" s="29" t="s">
        <v>4311</v>
      </c>
      <c r="B1203" s="29">
        <v>1000079359</v>
      </c>
      <c r="C1203" s="29" t="s">
        <v>3460</v>
      </c>
      <c r="D1203" s="29" t="s">
        <v>4312</v>
      </c>
      <c r="E1203" s="86">
        <v>8658</v>
      </c>
      <c r="F1203" s="130">
        <v>60159515</v>
      </c>
      <c r="G1203" s="601">
        <f>E1203/1.2</f>
        <v>7215</v>
      </c>
      <c r="H1203" s="29" t="s">
        <v>4049</v>
      </c>
      <c r="I1203" s="29"/>
    </row>
    <row r="1204" spans="1:9" s="253" customFormat="1" x14ac:dyDescent="0.2">
      <c r="A1204" s="29" t="s">
        <v>4388</v>
      </c>
      <c r="B1204" s="29">
        <v>1000105043</v>
      </c>
      <c r="C1204" s="29" t="s">
        <v>2332</v>
      </c>
      <c r="D1204" s="29" t="s">
        <v>4389</v>
      </c>
      <c r="E1204" s="86">
        <v>40611</v>
      </c>
      <c r="F1204" s="130">
        <v>60157016</v>
      </c>
      <c r="G1204" s="29" t="s">
        <v>280</v>
      </c>
      <c r="H1204" s="29" t="s">
        <v>1476</v>
      </c>
      <c r="I1204" s="29" t="s">
        <v>4653</v>
      </c>
    </row>
    <row r="1205" spans="1:9" s="253" customFormat="1" x14ac:dyDescent="0.2">
      <c r="A1205" s="29" t="s">
        <v>4390</v>
      </c>
      <c r="B1205" s="29">
        <v>1000105043</v>
      </c>
      <c r="C1205" s="29" t="s">
        <v>2332</v>
      </c>
      <c r="D1205" s="29" t="s">
        <v>4391</v>
      </c>
      <c r="E1205" s="86">
        <v>45168</v>
      </c>
      <c r="F1205" s="130">
        <v>60157082</v>
      </c>
      <c r="G1205" s="29" t="s">
        <v>280</v>
      </c>
      <c r="H1205" s="29" t="s">
        <v>161</v>
      </c>
      <c r="I1205" s="29" t="s">
        <v>4653</v>
      </c>
    </row>
    <row r="1206" spans="1:9" s="253" customFormat="1" x14ac:dyDescent="0.2">
      <c r="A1206" s="29" t="s">
        <v>4392</v>
      </c>
      <c r="B1206" s="29">
        <v>1000105043</v>
      </c>
      <c r="C1206" s="29" t="s">
        <v>2332</v>
      </c>
      <c r="D1206" s="29" t="s">
        <v>4393</v>
      </c>
      <c r="E1206" s="86">
        <v>8856</v>
      </c>
      <c r="F1206" s="130">
        <v>60159513</v>
      </c>
      <c r="G1206" s="29" t="s">
        <v>280</v>
      </c>
      <c r="H1206" s="29" t="s">
        <v>4394</v>
      </c>
      <c r="I1206" s="29" t="s">
        <v>4793</v>
      </c>
    </row>
    <row r="1207" spans="1:9" s="253" customFormat="1" x14ac:dyDescent="0.2">
      <c r="A1207" s="29" t="s">
        <v>4395</v>
      </c>
      <c r="B1207" s="29">
        <v>1000109733</v>
      </c>
      <c r="C1207" s="29" t="s">
        <v>2332</v>
      </c>
      <c r="D1207" s="29" t="s">
        <v>4396</v>
      </c>
      <c r="E1207" s="86">
        <v>30558</v>
      </c>
      <c r="F1207" s="130">
        <v>60157859</v>
      </c>
      <c r="G1207" s="711" t="s">
        <v>280</v>
      </c>
      <c r="H1207" s="29" t="s">
        <v>216</v>
      </c>
      <c r="I1207" s="29" t="s">
        <v>4653</v>
      </c>
    </row>
    <row r="1208" spans="1:9" x14ac:dyDescent="0.2">
      <c r="A1208" s="17" t="s">
        <v>4397</v>
      </c>
      <c r="B1208" s="10">
        <v>1000141058</v>
      </c>
      <c r="C1208" s="29" t="s">
        <v>2332</v>
      </c>
      <c r="D1208" s="29" t="s">
        <v>4398</v>
      </c>
      <c r="E1208" s="13">
        <v>73824</v>
      </c>
      <c r="F1208" s="129">
        <v>60155352</v>
      </c>
      <c r="G1208" s="29"/>
      <c r="H1208" s="29" t="s">
        <v>216</v>
      </c>
      <c r="I1208" s="10"/>
    </row>
    <row r="1209" spans="1:9" x14ac:dyDescent="0.2">
      <c r="A1209" s="17" t="s">
        <v>4400</v>
      </c>
      <c r="B1209" s="17">
        <v>1000116575</v>
      </c>
      <c r="C1209" s="29" t="s">
        <v>2332</v>
      </c>
      <c r="D1209" s="29" t="s">
        <v>4399</v>
      </c>
      <c r="E1209" s="85">
        <v>4676.3999999999996</v>
      </c>
      <c r="F1209" s="130">
        <v>60147206</v>
      </c>
      <c r="G1209" s="29"/>
      <c r="H1209" s="29" t="s">
        <v>2423</v>
      </c>
      <c r="I1209" s="10"/>
    </row>
    <row r="1210" spans="1:9" s="22" customFormat="1" x14ac:dyDescent="0.2">
      <c r="A1210" s="17" t="s">
        <v>4402</v>
      </c>
      <c r="B1210" s="17">
        <v>1000125792</v>
      </c>
      <c r="C1210" s="29" t="s">
        <v>2332</v>
      </c>
      <c r="D1210" s="17" t="s">
        <v>4403</v>
      </c>
      <c r="E1210" s="85">
        <v>21194.400000000001</v>
      </c>
      <c r="F1210" s="449">
        <v>60148984</v>
      </c>
      <c r="G1210" s="29" t="s">
        <v>280</v>
      </c>
      <c r="H1210" s="17" t="s">
        <v>3501</v>
      </c>
      <c r="I1210" s="17" t="s">
        <v>4653</v>
      </c>
    </row>
    <row r="1211" spans="1:9" s="22" customFormat="1" x14ac:dyDescent="0.2">
      <c r="A1211" s="17" t="s">
        <v>4401</v>
      </c>
      <c r="B1211" s="17">
        <v>1000125792</v>
      </c>
      <c r="C1211" s="29" t="s">
        <v>2332</v>
      </c>
      <c r="D1211" s="17" t="s">
        <v>4404</v>
      </c>
      <c r="E1211" s="85">
        <v>31489.200000000001</v>
      </c>
      <c r="F1211" s="449">
        <v>60153396</v>
      </c>
      <c r="G1211" s="29"/>
      <c r="H1211" s="17" t="s">
        <v>3501</v>
      </c>
      <c r="I1211" s="17"/>
    </row>
    <row r="1212" spans="1:9" s="253" customFormat="1" x14ac:dyDescent="0.2">
      <c r="A1212" s="29" t="s">
        <v>4415</v>
      </c>
      <c r="B1212" s="29">
        <v>1000095634</v>
      </c>
      <c r="C1212" s="29" t="s">
        <v>2332</v>
      </c>
      <c r="D1212" s="29" t="s">
        <v>4419</v>
      </c>
      <c r="E1212" s="86">
        <v>16507.2</v>
      </c>
      <c r="F1212" s="130" t="s">
        <v>431</v>
      </c>
      <c r="G1212" s="29"/>
      <c r="H1212" s="29" t="s">
        <v>1575</v>
      </c>
      <c r="I1212" s="29"/>
    </row>
    <row r="1213" spans="1:9" s="253" customFormat="1" x14ac:dyDescent="0.2">
      <c r="A1213" s="29" t="s">
        <v>4416</v>
      </c>
      <c r="B1213" s="29">
        <v>1000095634</v>
      </c>
      <c r="C1213" s="29" t="s">
        <v>2332</v>
      </c>
      <c r="D1213" s="29" t="s">
        <v>4420</v>
      </c>
      <c r="E1213" s="86">
        <v>12549.6</v>
      </c>
      <c r="F1213" s="130">
        <v>60155336</v>
      </c>
      <c r="G1213" s="29" t="s">
        <v>280</v>
      </c>
      <c r="H1213" s="29" t="s">
        <v>1575</v>
      </c>
      <c r="I1213" s="29" t="s">
        <v>4653</v>
      </c>
    </row>
    <row r="1214" spans="1:9" s="22" customFormat="1" x14ac:dyDescent="0.2">
      <c r="A1214" s="17" t="s">
        <v>4417</v>
      </c>
      <c r="B1214" s="17">
        <v>1000095634</v>
      </c>
      <c r="C1214" s="29" t="s">
        <v>2332</v>
      </c>
      <c r="D1214" s="17" t="s">
        <v>4421</v>
      </c>
      <c r="E1214" s="85">
        <v>11310</v>
      </c>
      <c r="F1214" s="449">
        <v>60158263</v>
      </c>
      <c r="G1214" s="29" t="s">
        <v>280</v>
      </c>
      <c r="H1214" s="29" t="s">
        <v>1575</v>
      </c>
      <c r="I1214" s="17" t="s">
        <v>4791</v>
      </c>
    </row>
    <row r="1215" spans="1:9" s="22" customFormat="1" x14ac:dyDescent="0.2">
      <c r="A1215" s="17" t="s">
        <v>4418</v>
      </c>
      <c r="B1215" s="17">
        <v>1000095634</v>
      </c>
      <c r="C1215" s="29" t="s">
        <v>2332</v>
      </c>
      <c r="D1215" s="17" t="s">
        <v>4422</v>
      </c>
      <c r="E1215" s="85">
        <v>10195.200000000001</v>
      </c>
      <c r="F1215" s="449" t="s">
        <v>431</v>
      </c>
      <c r="G1215" s="29"/>
      <c r="H1215" s="29" t="s">
        <v>1575</v>
      </c>
      <c r="I1215" s="17"/>
    </row>
    <row r="1216" spans="1:9" s="253" customFormat="1" x14ac:dyDescent="0.2">
      <c r="A1216" s="29" t="s">
        <v>4423</v>
      </c>
      <c r="B1216" s="29">
        <v>1000079359</v>
      </c>
      <c r="C1216" s="29" t="s">
        <v>2332</v>
      </c>
      <c r="D1216" s="29" t="s">
        <v>4458</v>
      </c>
      <c r="E1216" s="86">
        <v>42666</v>
      </c>
      <c r="F1216" s="130" t="s">
        <v>431</v>
      </c>
      <c r="G1216" s="29"/>
      <c r="H1216" s="29" t="s">
        <v>1278</v>
      </c>
      <c r="I1216" s="29"/>
    </row>
    <row r="1217" spans="1:9" s="253" customFormat="1" x14ac:dyDescent="0.2">
      <c r="A1217" s="29" t="s">
        <v>4424</v>
      </c>
      <c r="B1217" s="29">
        <v>1000079359</v>
      </c>
      <c r="C1217" s="29" t="s">
        <v>2332</v>
      </c>
      <c r="D1217" s="29" t="s">
        <v>4459</v>
      </c>
      <c r="E1217" s="86">
        <v>63949.2</v>
      </c>
      <c r="F1217" s="130">
        <v>60158280</v>
      </c>
      <c r="G1217" s="29" t="s">
        <v>280</v>
      </c>
      <c r="H1217" s="29" t="s">
        <v>216</v>
      </c>
      <c r="I1217" s="29" t="s">
        <v>4653</v>
      </c>
    </row>
    <row r="1218" spans="1:9" s="253" customFormat="1" x14ac:dyDescent="0.2">
      <c r="A1218" s="29" t="s">
        <v>4425</v>
      </c>
      <c r="B1218" s="29">
        <v>1000079359</v>
      </c>
      <c r="C1218" s="29" t="s">
        <v>2332</v>
      </c>
      <c r="D1218" s="29" t="s">
        <v>4460</v>
      </c>
      <c r="E1218" s="86">
        <v>43482</v>
      </c>
      <c r="F1218" s="130" t="s">
        <v>431</v>
      </c>
      <c r="G1218" s="29" t="s">
        <v>280</v>
      </c>
      <c r="H1218" s="29" t="s">
        <v>4228</v>
      </c>
      <c r="I1218" s="29" t="s">
        <v>4792</v>
      </c>
    </row>
    <row r="1219" spans="1:9" s="253" customFormat="1" x14ac:dyDescent="0.2">
      <c r="A1219" s="29" t="s">
        <v>4426</v>
      </c>
      <c r="B1219" s="29">
        <v>1000079359</v>
      </c>
      <c r="C1219" s="29" t="s">
        <v>2332</v>
      </c>
      <c r="D1219" s="29" t="s">
        <v>4461</v>
      </c>
      <c r="E1219" s="86">
        <v>8324.4</v>
      </c>
      <c r="F1219" s="130">
        <v>60144153</v>
      </c>
      <c r="G1219" s="29"/>
      <c r="H1219" s="29" t="s">
        <v>952</v>
      </c>
      <c r="I1219" s="29"/>
    </row>
    <row r="1220" spans="1:9" s="253" customFormat="1" x14ac:dyDescent="0.2">
      <c r="A1220" s="29" t="s">
        <v>4427</v>
      </c>
      <c r="B1220" s="29">
        <v>1000079359</v>
      </c>
      <c r="C1220" s="29" t="s">
        <v>2332</v>
      </c>
      <c r="D1220" s="29" t="s">
        <v>4462</v>
      </c>
      <c r="E1220" s="86">
        <v>14130</v>
      </c>
      <c r="F1220" s="130">
        <v>60153961</v>
      </c>
      <c r="G1220" s="29" t="s">
        <v>280</v>
      </c>
      <c r="H1220" s="29" t="s">
        <v>3215</v>
      </c>
      <c r="I1220" s="29" t="s">
        <v>4653</v>
      </c>
    </row>
    <row r="1221" spans="1:9" s="253" customFormat="1" x14ac:dyDescent="0.2">
      <c r="A1221" s="29" t="s">
        <v>4428</v>
      </c>
      <c r="B1221" s="29">
        <v>1000079359</v>
      </c>
      <c r="C1221" s="29" t="s">
        <v>2332</v>
      </c>
      <c r="D1221" s="29" t="s">
        <v>4463</v>
      </c>
      <c r="E1221" s="86">
        <v>9055.2000000000007</v>
      </c>
      <c r="F1221" s="130">
        <v>60157857</v>
      </c>
      <c r="G1221" s="29" t="s">
        <v>280</v>
      </c>
      <c r="H1221" s="29" t="s">
        <v>216</v>
      </c>
      <c r="I1221" s="29" t="s">
        <v>4653</v>
      </c>
    </row>
    <row r="1222" spans="1:9" s="253" customFormat="1" x14ac:dyDescent="0.2">
      <c r="A1222" s="29" t="s">
        <v>4429</v>
      </c>
      <c r="B1222" s="29">
        <v>1000079359</v>
      </c>
      <c r="C1222" s="29" t="s">
        <v>2332</v>
      </c>
      <c r="D1222" s="29" t="s">
        <v>4464</v>
      </c>
      <c r="E1222" s="86">
        <v>14130</v>
      </c>
      <c r="F1222" s="130">
        <v>60159515</v>
      </c>
      <c r="G1222" s="29" t="s">
        <v>280</v>
      </c>
      <c r="H1222" s="29" t="s">
        <v>4049</v>
      </c>
      <c r="I1222" s="29" t="s">
        <v>4793</v>
      </c>
    </row>
    <row r="1223" spans="1:9" s="22" customFormat="1" x14ac:dyDescent="0.2">
      <c r="A1223" s="17" t="s">
        <v>4430</v>
      </c>
      <c r="B1223" s="17">
        <v>1000079359</v>
      </c>
      <c r="C1223" s="29" t="s">
        <v>2332</v>
      </c>
      <c r="D1223" s="17" t="s">
        <v>4465</v>
      </c>
      <c r="E1223" s="85">
        <v>14130</v>
      </c>
      <c r="F1223" s="130">
        <v>60156912</v>
      </c>
      <c r="G1223" s="29" t="s">
        <v>280</v>
      </c>
      <c r="H1223" s="29" t="s">
        <v>3845</v>
      </c>
      <c r="I1223" s="17" t="s">
        <v>4653</v>
      </c>
    </row>
    <row r="1224" spans="1:9" s="253" customFormat="1" x14ac:dyDescent="0.2">
      <c r="A1224" s="29" t="s">
        <v>4431</v>
      </c>
      <c r="B1224" s="29">
        <v>1000079359</v>
      </c>
      <c r="C1224" s="29" t="s">
        <v>2332</v>
      </c>
      <c r="D1224" s="29" t="s">
        <v>4466</v>
      </c>
      <c r="E1224" s="86">
        <v>5086.8</v>
      </c>
      <c r="F1224" s="130">
        <v>60159488</v>
      </c>
      <c r="G1224" s="29" t="s">
        <v>280</v>
      </c>
      <c r="H1224" s="29" t="s">
        <v>216</v>
      </c>
      <c r="I1224" s="29" t="s">
        <v>4793</v>
      </c>
    </row>
    <row r="1225" spans="1:9" s="22" customFormat="1" x14ac:dyDescent="0.2">
      <c r="A1225" s="17" t="s">
        <v>4432</v>
      </c>
      <c r="B1225" s="17">
        <v>1000079359</v>
      </c>
      <c r="C1225" s="29" t="s">
        <v>2332</v>
      </c>
      <c r="D1225" s="17" t="s">
        <v>4467</v>
      </c>
      <c r="E1225" s="85">
        <v>11126.4</v>
      </c>
      <c r="F1225" s="449">
        <v>60156911</v>
      </c>
      <c r="G1225" s="29" t="s">
        <v>280</v>
      </c>
      <c r="H1225" s="17" t="s">
        <v>161</v>
      </c>
      <c r="I1225" s="17" t="s">
        <v>4653</v>
      </c>
    </row>
    <row r="1226" spans="1:9" s="22" customFormat="1" x14ac:dyDescent="0.2">
      <c r="A1226" s="17" t="s">
        <v>4433</v>
      </c>
      <c r="B1226" s="17">
        <v>1000079359</v>
      </c>
      <c r="C1226" s="29" t="s">
        <v>2332</v>
      </c>
      <c r="D1226" s="17" t="s">
        <v>4468</v>
      </c>
      <c r="E1226" s="85">
        <v>14130</v>
      </c>
      <c r="F1226" s="130">
        <v>60152026</v>
      </c>
      <c r="G1226" s="29"/>
      <c r="H1226" s="29" t="s">
        <v>3636</v>
      </c>
      <c r="I1226" s="17"/>
    </row>
    <row r="1227" spans="1:9" s="253" customFormat="1" x14ac:dyDescent="0.2">
      <c r="A1227" s="29" t="s">
        <v>4434</v>
      </c>
      <c r="B1227" s="29">
        <v>1000079359</v>
      </c>
      <c r="C1227" s="29" t="s">
        <v>2332</v>
      </c>
      <c r="D1227" s="29" t="s">
        <v>4469</v>
      </c>
      <c r="E1227" s="86">
        <v>9472.7999999999993</v>
      </c>
      <c r="F1227" s="130" t="s">
        <v>431</v>
      </c>
      <c r="G1227" s="29"/>
      <c r="H1227" s="29" t="s">
        <v>1278</v>
      </c>
      <c r="I1227" s="29"/>
    </row>
    <row r="1228" spans="1:9" s="22" customFormat="1" x14ac:dyDescent="0.2">
      <c r="A1228" s="17" t="s">
        <v>4435</v>
      </c>
      <c r="B1228" s="17">
        <v>1000079359</v>
      </c>
      <c r="C1228" s="29" t="s">
        <v>2332</v>
      </c>
      <c r="D1228" s="17" t="s">
        <v>4470</v>
      </c>
      <c r="E1228" s="85">
        <v>16170</v>
      </c>
      <c r="F1228" s="449">
        <v>60157083</v>
      </c>
      <c r="G1228" s="29"/>
      <c r="H1228" s="17" t="s">
        <v>2423</v>
      </c>
      <c r="I1228" s="17"/>
    </row>
    <row r="1229" spans="1:9" s="22" customFormat="1" x14ac:dyDescent="0.2">
      <c r="A1229" s="17" t="s">
        <v>4436</v>
      </c>
      <c r="B1229" s="17">
        <v>1000079359</v>
      </c>
      <c r="C1229" s="29" t="s">
        <v>2332</v>
      </c>
      <c r="D1229" s="17" t="s">
        <v>4471</v>
      </c>
      <c r="E1229" s="85">
        <v>14640</v>
      </c>
      <c r="F1229" s="130">
        <v>60157081</v>
      </c>
      <c r="G1229" s="29" t="s">
        <v>280</v>
      </c>
      <c r="H1229" s="29" t="s">
        <v>216</v>
      </c>
      <c r="I1229" s="17" t="s">
        <v>4653</v>
      </c>
    </row>
    <row r="1230" spans="1:9" s="22" customFormat="1" x14ac:dyDescent="0.2">
      <c r="A1230" s="17" t="s">
        <v>4437</v>
      </c>
      <c r="B1230" s="17">
        <v>1000079359</v>
      </c>
      <c r="C1230" s="29" t="s">
        <v>2332</v>
      </c>
      <c r="D1230" s="17" t="s">
        <v>4472</v>
      </c>
      <c r="E1230" s="85">
        <v>8478</v>
      </c>
      <c r="F1230" s="449">
        <v>60155340</v>
      </c>
      <c r="G1230" s="29" t="s">
        <v>280</v>
      </c>
      <c r="H1230" s="29" t="s">
        <v>216</v>
      </c>
      <c r="I1230" s="17" t="s">
        <v>4653</v>
      </c>
    </row>
    <row r="1231" spans="1:9" s="253" customFormat="1" x14ac:dyDescent="0.2">
      <c r="A1231" s="29" t="s">
        <v>4438</v>
      </c>
      <c r="B1231" s="29">
        <v>1000079359</v>
      </c>
      <c r="C1231" s="29" t="s">
        <v>2332</v>
      </c>
      <c r="D1231" s="29" t="s">
        <v>4473</v>
      </c>
      <c r="E1231" s="86">
        <v>85356</v>
      </c>
      <c r="F1231" s="130" t="s">
        <v>431</v>
      </c>
      <c r="G1231" s="29"/>
      <c r="H1231" s="29" t="s">
        <v>4072</v>
      </c>
      <c r="I1231" s="29"/>
    </row>
    <row r="1232" spans="1:9" s="22" customFormat="1" x14ac:dyDescent="0.2">
      <c r="A1232" s="17" t="s">
        <v>4439</v>
      </c>
      <c r="B1232" s="17">
        <v>1000079359</v>
      </c>
      <c r="C1232" s="29" t="s">
        <v>2332</v>
      </c>
      <c r="D1232" s="17" t="s">
        <v>4474</v>
      </c>
      <c r="E1232" s="85">
        <v>3354</v>
      </c>
      <c r="F1232" s="130">
        <v>60153343</v>
      </c>
      <c r="G1232" s="29" t="s">
        <v>280</v>
      </c>
      <c r="H1232" s="29" t="s">
        <v>216</v>
      </c>
      <c r="I1232" s="17" t="s">
        <v>4653</v>
      </c>
    </row>
    <row r="1233" spans="1:9" s="253" customFormat="1" x14ac:dyDescent="0.2">
      <c r="A1233" s="29" t="s">
        <v>4440</v>
      </c>
      <c r="B1233" s="29">
        <v>1000079359</v>
      </c>
      <c r="C1233" s="29" t="s">
        <v>2332</v>
      </c>
      <c r="D1233" s="29" t="s">
        <v>4475</v>
      </c>
      <c r="E1233" s="86">
        <v>4305.6000000000004</v>
      </c>
      <c r="F1233" s="130">
        <v>60159485</v>
      </c>
      <c r="G1233" s="29" t="s">
        <v>280</v>
      </c>
      <c r="H1233" s="29" t="s">
        <v>171</v>
      </c>
      <c r="I1233" s="29" t="s">
        <v>4793</v>
      </c>
    </row>
    <row r="1234" spans="1:9" s="22" customFormat="1" x14ac:dyDescent="0.2">
      <c r="A1234" s="17" t="s">
        <v>4441</v>
      </c>
      <c r="B1234" s="17">
        <v>1000079359</v>
      </c>
      <c r="C1234" s="29" t="s">
        <v>2332</v>
      </c>
      <c r="D1234" s="17" t="s">
        <v>4476</v>
      </c>
      <c r="E1234" s="85">
        <v>15523.2</v>
      </c>
      <c r="F1234" s="130">
        <v>60157080</v>
      </c>
      <c r="G1234" s="29" t="s">
        <v>280</v>
      </c>
      <c r="H1234" s="29" t="s">
        <v>216</v>
      </c>
      <c r="I1234" s="17" t="s">
        <v>4653</v>
      </c>
    </row>
    <row r="1235" spans="1:9" s="22" customFormat="1" x14ac:dyDescent="0.2">
      <c r="A1235" s="17" t="s">
        <v>4442</v>
      </c>
      <c r="B1235" s="17">
        <v>1000079359</v>
      </c>
      <c r="C1235" s="29" t="s">
        <v>2332</v>
      </c>
      <c r="D1235" s="17" t="s">
        <v>4477</v>
      </c>
      <c r="E1235" s="85">
        <v>9608.4</v>
      </c>
      <c r="F1235" s="449">
        <v>60157861</v>
      </c>
      <c r="G1235" s="29" t="s">
        <v>280</v>
      </c>
      <c r="H1235" s="17" t="s">
        <v>994</v>
      </c>
      <c r="I1235" s="17" t="s">
        <v>4653</v>
      </c>
    </row>
    <row r="1236" spans="1:9" s="253" customFormat="1" x14ac:dyDescent="0.2">
      <c r="A1236" s="29" t="s">
        <v>4443</v>
      </c>
      <c r="B1236" s="29">
        <v>1000079359</v>
      </c>
      <c r="C1236" s="29" t="s">
        <v>2332</v>
      </c>
      <c r="D1236" s="29" t="s">
        <v>4478</v>
      </c>
      <c r="E1236" s="86">
        <v>6828</v>
      </c>
      <c r="F1236" s="130" t="s">
        <v>431</v>
      </c>
      <c r="G1236" s="29" t="s">
        <v>280</v>
      </c>
      <c r="H1236" s="29" t="s">
        <v>4228</v>
      </c>
      <c r="I1236" s="29" t="s">
        <v>4792</v>
      </c>
    </row>
    <row r="1237" spans="1:9" s="22" customFormat="1" x14ac:dyDescent="0.2">
      <c r="A1237" s="17" t="s">
        <v>4444</v>
      </c>
      <c r="B1237" s="17">
        <v>1000079359</v>
      </c>
      <c r="C1237" s="29" t="s">
        <v>2332</v>
      </c>
      <c r="D1237" s="17" t="s">
        <v>4479</v>
      </c>
      <c r="E1237" s="85">
        <v>14054.4</v>
      </c>
      <c r="F1237" s="130">
        <v>60157071</v>
      </c>
      <c r="G1237" s="29" t="s">
        <v>280</v>
      </c>
      <c r="H1237" s="29" t="s">
        <v>161</v>
      </c>
      <c r="I1237" s="17" t="s">
        <v>4653</v>
      </c>
    </row>
    <row r="1238" spans="1:9" s="253" customFormat="1" x14ac:dyDescent="0.2">
      <c r="A1238" s="29" t="s">
        <v>4445</v>
      </c>
      <c r="B1238" s="29">
        <v>1000079359</v>
      </c>
      <c r="C1238" s="29" t="s">
        <v>2332</v>
      </c>
      <c r="D1238" s="29" t="s">
        <v>4480</v>
      </c>
      <c r="E1238" s="86">
        <v>12745.2</v>
      </c>
      <c r="F1238" s="130">
        <v>60159523</v>
      </c>
      <c r="G1238" s="29"/>
      <c r="H1238" s="29" t="s">
        <v>216</v>
      </c>
      <c r="I1238" s="29"/>
    </row>
    <row r="1239" spans="1:9" s="253" customFormat="1" x14ac:dyDescent="0.2">
      <c r="A1239" s="29" t="s">
        <v>4446</v>
      </c>
      <c r="B1239" s="29">
        <v>1000079359</v>
      </c>
      <c r="C1239" s="29" t="s">
        <v>2332</v>
      </c>
      <c r="D1239" s="29" t="s">
        <v>4481</v>
      </c>
      <c r="E1239" s="86">
        <v>14054.4</v>
      </c>
      <c r="F1239" s="130">
        <v>60159491</v>
      </c>
      <c r="G1239" s="711" t="s">
        <v>280</v>
      </c>
      <c r="H1239" s="29" t="s">
        <v>216</v>
      </c>
      <c r="I1239" s="29" t="s">
        <v>4793</v>
      </c>
    </row>
    <row r="1240" spans="1:9" s="253" customFormat="1" x14ac:dyDescent="0.2">
      <c r="A1240" s="29" t="s">
        <v>4447</v>
      </c>
      <c r="B1240" s="29">
        <v>1000079359</v>
      </c>
      <c r="C1240" s="29" t="s">
        <v>2332</v>
      </c>
      <c r="D1240" s="29" t="s">
        <v>4482</v>
      </c>
      <c r="E1240" s="86">
        <v>14130</v>
      </c>
      <c r="F1240" s="130">
        <v>60152020</v>
      </c>
      <c r="G1240" s="29" t="s">
        <v>280</v>
      </c>
      <c r="H1240" s="29" t="s">
        <v>4069</v>
      </c>
      <c r="I1240" s="29" t="s">
        <v>4653</v>
      </c>
    </row>
    <row r="1241" spans="1:9" s="253" customFormat="1" x14ac:dyDescent="0.2">
      <c r="A1241" s="29" t="s">
        <v>4448</v>
      </c>
      <c r="B1241" s="29">
        <v>1000079359</v>
      </c>
      <c r="C1241" s="29" t="s">
        <v>2332</v>
      </c>
      <c r="D1241" s="29" t="s">
        <v>4483</v>
      </c>
      <c r="E1241" s="86">
        <v>12289.2</v>
      </c>
      <c r="F1241" s="130" t="s">
        <v>431</v>
      </c>
      <c r="G1241" s="29"/>
      <c r="H1241" s="29" t="s">
        <v>4127</v>
      </c>
      <c r="I1241" s="29"/>
    </row>
    <row r="1242" spans="1:9" s="22" customFormat="1" x14ac:dyDescent="0.2">
      <c r="A1242" s="17" t="s">
        <v>4449</v>
      </c>
      <c r="B1242" s="17">
        <v>1000079359</v>
      </c>
      <c r="C1242" s="29" t="s">
        <v>2332</v>
      </c>
      <c r="D1242" s="17" t="s">
        <v>4484</v>
      </c>
      <c r="E1242" s="17">
        <v>936</v>
      </c>
      <c r="F1242" s="449">
        <v>60157862</v>
      </c>
      <c r="G1242" s="29" t="s">
        <v>280</v>
      </c>
      <c r="H1242" s="17" t="s">
        <v>4485</v>
      </c>
      <c r="I1242" s="17" t="s">
        <v>4653</v>
      </c>
    </row>
    <row r="1243" spans="1:9" s="253" customFormat="1" x14ac:dyDescent="0.2">
      <c r="A1243" s="29" t="s">
        <v>4450</v>
      </c>
      <c r="B1243" s="29">
        <v>1000079359</v>
      </c>
      <c r="C1243" s="29" t="s">
        <v>2332</v>
      </c>
      <c r="D1243" s="29" t="s">
        <v>4486</v>
      </c>
      <c r="E1243" s="86">
        <v>14130</v>
      </c>
      <c r="F1243" s="130">
        <v>60152019</v>
      </c>
      <c r="G1243" s="29" t="s">
        <v>280</v>
      </c>
      <c r="H1243" s="29" t="s">
        <v>4069</v>
      </c>
      <c r="I1243" s="29" t="s">
        <v>4653</v>
      </c>
    </row>
    <row r="1244" spans="1:9" s="253" customFormat="1" x14ac:dyDescent="0.2">
      <c r="A1244" s="29" t="s">
        <v>4451</v>
      </c>
      <c r="B1244" s="29">
        <v>1000079359</v>
      </c>
      <c r="C1244" s="29" t="s">
        <v>2332</v>
      </c>
      <c r="D1244" s="29" t="s">
        <v>4487</v>
      </c>
      <c r="E1244" s="86">
        <v>13282.2</v>
      </c>
      <c r="F1244" s="130" t="s">
        <v>431</v>
      </c>
      <c r="G1244" s="29"/>
      <c r="H1244" s="29" t="s">
        <v>4069</v>
      </c>
      <c r="I1244" s="29"/>
    </row>
    <row r="1245" spans="1:9" s="253" customFormat="1" x14ac:dyDescent="0.2">
      <c r="A1245" s="29" t="s">
        <v>4452</v>
      </c>
      <c r="B1245" s="29">
        <v>1000079359</v>
      </c>
      <c r="C1245" s="29" t="s">
        <v>2332</v>
      </c>
      <c r="D1245" s="29" t="s">
        <v>4488</v>
      </c>
      <c r="E1245" s="86">
        <v>14054.4</v>
      </c>
      <c r="F1245" s="130">
        <v>60157085</v>
      </c>
      <c r="G1245" s="29"/>
      <c r="H1245" s="29" t="s">
        <v>161</v>
      </c>
      <c r="I1245" s="29"/>
    </row>
    <row r="1246" spans="1:9" s="253" customFormat="1" x14ac:dyDescent="0.2">
      <c r="A1246" s="29" t="s">
        <v>4453</v>
      </c>
      <c r="B1246" s="29">
        <v>1000079359</v>
      </c>
      <c r="C1246" s="29" t="s">
        <v>2332</v>
      </c>
      <c r="D1246" s="29" t="s">
        <v>4489</v>
      </c>
      <c r="E1246" s="86">
        <v>11869.2</v>
      </c>
      <c r="F1246" s="130">
        <v>60159512</v>
      </c>
      <c r="G1246" s="29" t="s">
        <v>280</v>
      </c>
      <c r="H1246" s="29" t="s">
        <v>216</v>
      </c>
      <c r="I1246" s="29" t="s">
        <v>4793</v>
      </c>
    </row>
    <row r="1247" spans="1:9" s="253" customFormat="1" x14ac:dyDescent="0.2">
      <c r="A1247" s="29" t="s">
        <v>4454</v>
      </c>
      <c r="B1247" s="29">
        <v>1000079359</v>
      </c>
      <c r="C1247" s="29" t="s">
        <v>2332</v>
      </c>
      <c r="D1247" s="29" t="s">
        <v>4490</v>
      </c>
      <c r="E1247" s="86">
        <v>16770</v>
      </c>
      <c r="F1247" s="130">
        <v>60159492</v>
      </c>
      <c r="G1247" s="29" t="s">
        <v>280</v>
      </c>
      <c r="H1247" s="29" t="s">
        <v>216</v>
      </c>
      <c r="I1247" s="29" t="s">
        <v>4793</v>
      </c>
    </row>
    <row r="1248" spans="1:9" s="253" customFormat="1" x14ac:dyDescent="0.2">
      <c r="A1248" s="29" t="s">
        <v>4455</v>
      </c>
      <c r="B1248" s="29">
        <v>1000079359</v>
      </c>
      <c r="C1248" s="29" t="s">
        <v>2332</v>
      </c>
      <c r="D1248" s="29" t="s">
        <v>4491</v>
      </c>
      <c r="E1248" s="86">
        <v>14640</v>
      </c>
      <c r="F1248" s="130">
        <v>60159486</v>
      </c>
      <c r="G1248" s="711" t="s">
        <v>280</v>
      </c>
      <c r="H1248" s="29" t="s">
        <v>216</v>
      </c>
      <c r="I1248" s="29" t="s">
        <v>4792</v>
      </c>
    </row>
    <row r="1249" spans="1:9" s="253" customFormat="1" x14ac:dyDescent="0.2">
      <c r="A1249" s="29" t="s">
        <v>4456</v>
      </c>
      <c r="B1249" s="29">
        <v>1000079359</v>
      </c>
      <c r="C1249" s="29" t="s">
        <v>2332</v>
      </c>
      <c r="D1249" s="29" t="s">
        <v>4492</v>
      </c>
      <c r="E1249" s="86">
        <v>13410</v>
      </c>
      <c r="F1249" s="130">
        <v>60151994</v>
      </c>
      <c r="G1249" s="29" t="s">
        <v>280</v>
      </c>
      <c r="H1249" s="29" t="s">
        <v>4069</v>
      </c>
      <c r="I1249" s="29" t="s">
        <v>4653</v>
      </c>
    </row>
    <row r="1250" spans="1:9" s="253" customFormat="1" x14ac:dyDescent="0.2">
      <c r="A1250" s="29" t="s">
        <v>4457</v>
      </c>
      <c r="B1250" s="29">
        <v>1000079359</v>
      </c>
      <c r="C1250" s="29" t="s">
        <v>2332</v>
      </c>
      <c r="D1250" s="29" t="s">
        <v>4493</v>
      </c>
      <c r="E1250" s="86">
        <v>14130</v>
      </c>
      <c r="F1250" s="130">
        <v>60155351</v>
      </c>
      <c r="G1250" s="29" t="s">
        <v>280</v>
      </c>
      <c r="H1250" s="29" t="s">
        <v>171</v>
      </c>
      <c r="I1250" s="29" t="s">
        <v>4653</v>
      </c>
    </row>
    <row r="1251" spans="1:9" s="22" customFormat="1" x14ac:dyDescent="0.2">
      <c r="A1251" s="17" t="s">
        <v>5104</v>
      </c>
      <c r="B1251" s="17">
        <v>1000079359</v>
      </c>
      <c r="C1251" s="29" t="s">
        <v>2332</v>
      </c>
      <c r="D1251" s="17" t="s">
        <v>4505</v>
      </c>
      <c r="E1251" s="85">
        <v>14640</v>
      </c>
      <c r="F1251" s="130" t="s">
        <v>431</v>
      </c>
      <c r="G1251" s="29"/>
      <c r="H1251" s="29" t="s">
        <v>171</v>
      </c>
      <c r="I1251" s="17"/>
    </row>
    <row r="1252" spans="1:9" s="253" customFormat="1" x14ac:dyDescent="0.2">
      <c r="A1252" s="29" t="s">
        <v>4494</v>
      </c>
      <c r="B1252" s="29">
        <v>1000079359</v>
      </c>
      <c r="C1252" s="29" t="s">
        <v>2332</v>
      </c>
      <c r="D1252" s="29" t="s">
        <v>4506</v>
      </c>
      <c r="E1252" s="86">
        <v>13416</v>
      </c>
      <c r="F1252" s="130">
        <v>60159511</v>
      </c>
      <c r="G1252" s="29" t="s">
        <v>280</v>
      </c>
      <c r="H1252" s="29" t="s">
        <v>216</v>
      </c>
      <c r="I1252" s="29" t="s">
        <v>4793</v>
      </c>
    </row>
    <row r="1253" spans="1:9" s="253" customFormat="1" x14ac:dyDescent="0.2">
      <c r="A1253" s="29" t="s">
        <v>4495</v>
      </c>
      <c r="B1253" s="29">
        <v>1000079359</v>
      </c>
      <c r="C1253" s="29" t="s">
        <v>2332</v>
      </c>
      <c r="D1253" s="29" t="s">
        <v>4507</v>
      </c>
      <c r="E1253" s="86">
        <v>4081.2</v>
      </c>
      <c r="F1253" s="130">
        <v>60159496</v>
      </c>
      <c r="G1253" s="29" t="s">
        <v>280</v>
      </c>
      <c r="H1253" s="29" t="s">
        <v>4069</v>
      </c>
      <c r="I1253" s="29" t="s">
        <v>4793</v>
      </c>
    </row>
    <row r="1254" spans="1:9" s="22" customFormat="1" x14ac:dyDescent="0.2">
      <c r="A1254" s="17" t="s">
        <v>4496</v>
      </c>
      <c r="B1254" s="17">
        <v>1000079359</v>
      </c>
      <c r="C1254" s="29" t="s">
        <v>2332</v>
      </c>
      <c r="D1254" s="17" t="s">
        <v>4508</v>
      </c>
      <c r="E1254" s="85">
        <v>2778</v>
      </c>
      <c r="F1254" s="130" t="s">
        <v>431</v>
      </c>
      <c r="G1254" s="29"/>
      <c r="H1254" s="17" t="s">
        <v>4228</v>
      </c>
      <c r="I1254" s="17"/>
    </row>
    <row r="1255" spans="1:9" s="22" customFormat="1" x14ac:dyDescent="0.2">
      <c r="A1255" s="17" t="s">
        <v>4497</v>
      </c>
      <c r="B1255" s="17">
        <v>1000079359</v>
      </c>
      <c r="C1255" s="29" t="s">
        <v>2332</v>
      </c>
      <c r="D1255" s="17" t="s">
        <v>4509</v>
      </c>
      <c r="E1255" s="85">
        <v>16099.2</v>
      </c>
      <c r="F1255" s="449">
        <v>60155341</v>
      </c>
      <c r="G1255" s="29" t="s">
        <v>280</v>
      </c>
      <c r="H1255" s="29" t="s">
        <v>216</v>
      </c>
      <c r="I1255" s="17" t="s">
        <v>4653</v>
      </c>
    </row>
    <row r="1256" spans="1:9" s="253" customFormat="1" x14ac:dyDescent="0.2">
      <c r="A1256" s="29" t="s">
        <v>4498</v>
      </c>
      <c r="B1256" s="29">
        <v>1000079359</v>
      </c>
      <c r="C1256" s="29" t="s">
        <v>2332</v>
      </c>
      <c r="D1256" s="29" t="s">
        <v>4510</v>
      </c>
      <c r="E1256" s="86">
        <v>2761.2</v>
      </c>
      <c r="F1256" s="130">
        <v>60159494</v>
      </c>
      <c r="G1256" s="29" t="s">
        <v>280</v>
      </c>
      <c r="H1256" s="29" t="s">
        <v>4394</v>
      </c>
      <c r="I1256" s="29" t="s">
        <v>4793</v>
      </c>
    </row>
    <row r="1257" spans="1:9" s="253" customFormat="1" x14ac:dyDescent="0.2">
      <c r="A1257" s="29" t="s">
        <v>4499</v>
      </c>
      <c r="B1257" s="29">
        <v>1000079359</v>
      </c>
      <c r="C1257" s="29" t="s">
        <v>2332</v>
      </c>
      <c r="D1257" s="29" t="s">
        <v>4511</v>
      </c>
      <c r="E1257" s="86">
        <v>14370</v>
      </c>
      <c r="F1257" s="130">
        <v>60159518</v>
      </c>
      <c r="G1257" s="29">
        <f>E1257/1.2</f>
        <v>11975</v>
      </c>
      <c r="H1257" s="29" t="s">
        <v>4069</v>
      </c>
      <c r="I1257" s="29"/>
    </row>
    <row r="1258" spans="1:9" s="253" customFormat="1" x14ac:dyDescent="0.2">
      <c r="A1258" s="29" t="s">
        <v>4500</v>
      </c>
      <c r="B1258" s="29">
        <v>1000079359</v>
      </c>
      <c r="C1258" s="29" t="s">
        <v>2332</v>
      </c>
      <c r="D1258" s="29" t="s">
        <v>4512</v>
      </c>
      <c r="E1258" s="86">
        <v>5155.2</v>
      </c>
      <c r="F1258" s="130">
        <v>60159498</v>
      </c>
      <c r="G1258" s="29" t="s">
        <v>280</v>
      </c>
      <c r="H1258" s="29" t="s">
        <v>3636</v>
      </c>
      <c r="I1258" s="29" t="s">
        <v>4793</v>
      </c>
    </row>
    <row r="1259" spans="1:9" s="253" customFormat="1" x14ac:dyDescent="0.2">
      <c r="A1259" s="29" t="s">
        <v>4501</v>
      </c>
      <c r="B1259" s="29">
        <v>1000079359</v>
      </c>
      <c r="C1259" s="29" t="s">
        <v>2332</v>
      </c>
      <c r="D1259" s="29" t="s">
        <v>4513</v>
      </c>
      <c r="E1259" s="86">
        <v>14054.4</v>
      </c>
      <c r="F1259" s="130" t="s">
        <v>431</v>
      </c>
      <c r="G1259" s="29"/>
      <c r="H1259" s="29" t="s">
        <v>171</v>
      </c>
      <c r="I1259" s="29"/>
    </row>
    <row r="1260" spans="1:9" s="253" customFormat="1" x14ac:dyDescent="0.2">
      <c r="A1260" s="29" t="s">
        <v>4502</v>
      </c>
      <c r="B1260" s="29">
        <v>1000079359</v>
      </c>
      <c r="C1260" s="29" t="s">
        <v>2332</v>
      </c>
      <c r="D1260" s="29" t="s">
        <v>4514</v>
      </c>
      <c r="E1260" s="86">
        <v>14370</v>
      </c>
      <c r="F1260" s="130">
        <v>60157084</v>
      </c>
      <c r="G1260" s="29" t="s">
        <v>280</v>
      </c>
      <c r="H1260" s="29" t="s">
        <v>216</v>
      </c>
      <c r="I1260" s="29" t="s">
        <v>4653</v>
      </c>
    </row>
    <row r="1261" spans="1:9" s="22" customFormat="1" x14ac:dyDescent="0.2">
      <c r="A1261" s="17" t="s">
        <v>4503</v>
      </c>
      <c r="B1261" s="17">
        <v>1000079359</v>
      </c>
      <c r="C1261" s="29" t="s">
        <v>2332</v>
      </c>
      <c r="D1261" s="17" t="s">
        <v>4515</v>
      </c>
      <c r="E1261" s="85">
        <v>14640</v>
      </c>
      <c r="F1261" s="130">
        <v>60159495</v>
      </c>
      <c r="G1261" s="29"/>
      <c r="H1261" s="29" t="s">
        <v>4069</v>
      </c>
      <c r="I1261" s="17"/>
    </row>
    <row r="1262" spans="1:9" s="253" customFormat="1" x14ac:dyDescent="0.2">
      <c r="A1262" s="29" t="s">
        <v>4504</v>
      </c>
      <c r="B1262" s="29">
        <v>1000079359</v>
      </c>
      <c r="C1262" s="29" t="s">
        <v>2332</v>
      </c>
      <c r="D1262" s="29" t="s">
        <v>4516</v>
      </c>
      <c r="E1262" s="86">
        <v>7912.8</v>
      </c>
      <c r="F1262" s="130">
        <v>60159519</v>
      </c>
      <c r="G1262" s="29"/>
      <c r="H1262" s="29" t="s">
        <v>4485</v>
      </c>
      <c r="I1262" s="29"/>
    </row>
    <row r="1263" spans="1:9" s="22" customFormat="1" x14ac:dyDescent="0.2">
      <c r="A1263" s="17" t="s">
        <v>4517</v>
      </c>
      <c r="B1263" s="17">
        <v>1000079359</v>
      </c>
      <c r="C1263" s="29" t="s">
        <v>2332</v>
      </c>
      <c r="D1263" s="17" t="s">
        <v>4518</v>
      </c>
      <c r="E1263" s="17">
        <v>5241.6000000000004</v>
      </c>
      <c r="F1263" s="449" t="s">
        <v>431</v>
      </c>
      <c r="G1263" s="29"/>
      <c r="H1263" s="17" t="s">
        <v>4519</v>
      </c>
      <c r="I1263" s="17"/>
    </row>
    <row r="1264" spans="1:9" x14ac:dyDescent="0.2">
      <c r="A1264" s="76" t="s">
        <v>4645</v>
      </c>
      <c r="B1264" s="10">
        <v>1000095634</v>
      </c>
      <c r="C1264" s="10" t="s">
        <v>4622</v>
      </c>
      <c r="D1264" s="10" t="s">
        <v>4649</v>
      </c>
      <c r="E1264" s="13">
        <v>12631.2</v>
      </c>
      <c r="F1264" s="449" t="s">
        <v>431</v>
      </c>
      <c r="G1264" s="29"/>
      <c r="H1264" s="29" t="s">
        <v>1575</v>
      </c>
      <c r="I1264" s="10"/>
    </row>
    <row r="1265" spans="1:9" x14ac:dyDescent="0.2">
      <c r="A1265" s="76" t="s">
        <v>4646</v>
      </c>
      <c r="B1265" s="10">
        <v>1000095634</v>
      </c>
      <c r="C1265" s="10" t="s">
        <v>4622</v>
      </c>
      <c r="D1265" s="10" t="s">
        <v>4650</v>
      </c>
      <c r="E1265" s="13">
        <v>6702</v>
      </c>
      <c r="F1265" s="449" t="s">
        <v>431</v>
      </c>
      <c r="G1265" s="29"/>
      <c r="H1265" s="29" t="s">
        <v>1575</v>
      </c>
      <c r="I1265" s="10"/>
    </row>
    <row r="1266" spans="1:9" x14ac:dyDescent="0.2">
      <c r="A1266" s="76" t="s">
        <v>4647</v>
      </c>
      <c r="B1266" s="10">
        <v>1000095634</v>
      </c>
      <c r="C1266" s="10" t="s">
        <v>4622</v>
      </c>
      <c r="D1266" s="10" t="s">
        <v>4651</v>
      </c>
      <c r="E1266" s="13">
        <v>8403.6</v>
      </c>
      <c r="F1266" s="449" t="s">
        <v>431</v>
      </c>
      <c r="G1266" s="29"/>
      <c r="H1266" s="29" t="s">
        <v>1575</v>
      </c>
      <c r="I1266" s="10"/>
    </row>
    <row r="1267" spans="1:9" x14ac:dyDescent="0.2">
      <c r="A1267" s="76" t="s">
        <v>4648</v>
      </c>
      <c r="B1267" s="10">
        <v>1000095634</v>
      </c>
      <c r="C1267" s="10" t="s">
        <v>4622</v>
      </c>
      <c r="D1267" s="10" t="s">
        <v>4652</v>
      </c>
      <c r="E1267" s="13">
        <v>7658.4</v>
      </c>
      <c r="F1267" s="449" t="s">
        <v>431</v>
      </c>
      <c r="G1267" s="29"/>
      <c r="H1267" s="29" t="s">
        <v>1575</v>
      </c>
      <c r="I1267" s="10"/>
    </row>
    <row r="1268" spans="1:9" x14ac:dyDescent="0.2">
      <c r="A1268" s="17" t="s">
        <v>4630</v>
      </c>
      <c r="B1268" s="17">
        <v>1000116575</v>
      </c>
      <c r="C1268" s="10" t="s">
        <v>4622</v>
      </c>
      <c r="D1268" s="10" t="s">
        <v>4631</v>
      </c>
      <c r="E1268" s="13">
        <v>3412.8</v>
      </c>
      <c r="F1268" s="130">
        <v>60147206</v>
      </c>
      <c r="G1268" s="29" t="s">
        <v>280</v>
      </c>
      <c r="H1268" s="29" t="s">
        <v>2423</v>
      </c>
      <c r="I1268" s="10" t="s">
        <v>4957</v>
      </c>
    </row>
    <row r="1269" spans="1:9" x14ac:dyDescent="0.2">
      <c r="A1269" s="10" t="s">
        <v>4643</v>
      </c>
      <c r="B1269" s="17">
        <v>1000125792</v>
      </c>
      <c r="C1269" s="10" t="s">
        <v>4622</v>
      </c>
      <c r="D1269" s="10" t="s">
        <v>4644</v>
      </c>
      <c r="E1269" s="13">
        <v>29497.200000000001</v>
      </c>
      <c r="F1269" s="129" t="s">
        <v>431</v>
      </c>
      <c r="G1269" s="29"/>
      <c r="H1269" s="17" t="s">
        <v>3501</v>
      </c>
      <c r="I1269" s="10"/>
    </row>
    <row r="1270" spans="1:9" s="253" customFormat="1" x14ac:dyDescent="0.2">
      <c r="A1270" s="29" t="s">
        <v>4634</v>
      </c>
      <c r="B1270" s="29">
        <v>1000105043</v>
      </c>
      <c r="C1270" s="29" t="s">
        <v>4622</v>
      </c>
      <c r="D1270" s="29" t="s">
        <v>4635</v>
      </c>
      <c r="E1270" s="86">
        <v>32520.959999999999</v>
      </c>
      <c r="F1270" s="130">
        <v>60157082</v>
      </c>
      <c r="G1270" s="29" t="s">
        <v>280</v>
      </c>
      <c r="H1270" s="29" t="s">
        <v>161</v>
      </c>
      <c r="I1270" s="29" t="s">
        <v>4792</v>
      </c>
    </row>
    <row r="1271" spans="1:9" s="253" customFormat="1" x14ac:dyDescent="0.2">
      <c r="A1271" s="29" t="s">
        <v>4636</v>
      </c>
      <c r="B1271" s="29">
        <v>1000105043</v>
      </c>
      <c r="C1271" s="29" t="s">
        <v>4622</v>
      </c>
      <c r="D1271" s="29" t="s">
        <v>4637</v>
      </c>
      <c r="E1271" s="86">
        <v>29453.759999999998</v>
      </c>
      <c r="F1271" s="130" t="s">
        <v>431</v>
      </c>
      <c r="G1271" s="29"/>
      <c r="H1271" s="29" t="s">
        <v>1476</v>
      </c>
      <c r="I1271" s="29"/>
    </row>
    <row r="1272" spans="1:9" s="253" customFormat="1" x14ac:dyDescent="0.2">
      <c r="A1272" s="29" t="s">
        <v>4638</v>
      </c>
      <c r="B1272" s="29">
        <v>1000109733</v>
      </c>
      <c r="C1272" s="29" t="s">
        <v>4622</v>
      </c>
      <c r="D1272" s="29" t="s">
        <v>4639</v>
      </c>
      <c r="E1272" s="86">
        <v>22001.759999999998</v>
      </c>
      <c r="F1272" s="130">
        <v>60157859</v>
      </c>
      <c r="G1272" s="29" t="s">
        <v>280</v>
      </c>
      <c r="H1272" s="29" t="s">
        <v>216</v>
      </c>
      <c r="I1272" s="29" t="s">
        <v>4792</v>
      </c>
    </row>
    <row r="1273" spans="1:9" s="38" customFormat="1" x14ac:dyDescent="0.2">
      <c r="A1273" s="29" t="s">
        <v>4633</v>
      </c>
      <c r="B1273" s="23">
        <v>1000141058</v>
      </c>
      <c r="C1273" s="23" t="s">
        <v>4622</v>
      </c>
      <c r="D1273" s="29" t="s">
        <v>4632</v>
      </c>
      <c r="E1273" s="39">
        <v>33042.480000000003</v>
      </c>
      <c r="F1273" s="191" t="s">
        <v>431</v>
      </c>
      <c r="G1273" s="10"/>
      <c r="H1273" s="29" t="s">
        <v>216</v>
      </c>
      <c r="I1273" s="23"/>
    </row>
    <row r="1274" spans="1:9" s="38" customFormat="1" x14ac:dyDescent="0.2">
      <c r="A1274" s="10" t="s">
        <v>4640</v>
      </c>
      <c r="B1274" s="10">
        <v>1000145044</v>
      </c>
      <c r="C1274" s="10" t="s">
        <v>4622</v>
      </c>
      <c r="D1274" s="10" t="s">
        <v>4641</v>
      </c>
      <c r="E1274" s="13">
        <v>39660</v>
      </c>
      <c r="F1274" s="129">
        <v>60158281</v>
      </c>
      <c r="G1274" s="10"/>
      <c r="H1274" s="10" t="s">
        <v>1476</v>
      </c>
      <c r="I1274" s="23"/>
    </row>
    <row r="1275" spans="1:9" x14ac:dyDescent="0.2">
      <c r="A1275" s="10" t="s">
        <v>4654</v>
      </c>
      <c r="B1275" s="10">
        <v>1000079359</v>
      </c>
      <c r="C1275" s="10" t="s">
        <v>4622</v>
      </c>
      <c r="D1275" s="10" t="s">
        <v>4655</v>
      </c>
      <c r="E1275" s="85">
        <v>21842.400000000001</v>
      </c>
      <c r="F1275" s="129">
        <v>60159514</v>
      </c>
      <c r="G1275" s="10" t="s">
        <v>280</v>
      </c>
      <c r="H1275" s="10" t="s">
        <v>4656</v>
      </c>
      <c r="I1275" s="10" t="s">
        <v>4792</v>
      </c>
    </row>
    <row r="1276" spans="1:9" x14ac:dyDescent="0.2">
      <c r="A1276" s="10" t="s">
        <v>4657</v>
      </c>
      <c r="B1276" s="10">
        <v>1000079359</v>
      </c>
      <c r="C1276" s="10" t="s">
        <v>4622</v>
      </c>
      <c r="D1276" s="10" t="s">
        <v>4658</v>
      </c>
      <c r="E1276" s="85">
        <v>2928</v>
      </c>
      <c r="F1276" s="129">
        <v>60159486</v>
      </c>
      <c r="G1276" s="10" t="s">
        <v>280</v>
      </c>
      <c r="H1276" s="10" t="s">
        <v>216</v>
      </c>
      <c r="I1276" s="10" t="s">
        <v>4792</v>
      </c>
    </row>
    <row r="1277" spans="1:9" x14ac:dyDescent="0.2">
      <c r="A1277" s="10" t="s">
        <v>4659</v>
      </c>
      <c r="B1277" s="10">
        <v>1000079359</v>
      </c>
      <c r="C1277" s="10" t="s">
        <v>4622</v>
      </c>
      <c r="D1277" s="10" t="s">
        <v>4660</v>
      </c>
      <c r="E1277" s="85">
        <v>12745.2</v>
      </c>
      <c r="F1277" s="129">
        <v>60159492</v>
      </c>
      <c r="G1277" s="10" t="s">
        <v>280</v>
      </c>
      <c r="H1277" s="10" t="s">
        <v>216</v>
      </c>
      <c r="I1277" s="10" t="s">
        <v>4792</v>
      </c>
    </row>
    <row r="1278" spans="1:9" x14ac:dyDescent="0.2">
      <c r="A1278" s="10" t="s">
        <v>4661</v>
      </c>
      <c r="B1278" s="10">
        <v>1000079359</v>
      </c>
      <c r="C1278" s="10" t="s">
        <v>4622</v>
      </c>
      <c r="D1278" s="10" t="s">
        <v>4662</v>
      </c>
      <c r="E1278" s="85">
        <v>3007.2</v>
      </c>
      <c r="F1278" s="129">
        <v>60159496</v>
      </c>
      <c r="G1278" s="10" t="s">
        <v>280</v>
      </c>
      <c r="H1278" s="10" t="s">
        <v>4069</v>
      </c>
      <c r="I1278" s="10" t="s">
        <v>4792</v>
      </c>
    </row>
    <row r="1279" spans="1:9" x14ac:dyDescent="0.2">
      <c r="A1279" s="10" t="s">
        <v>4663</v>
      </c>
      <c r="B1279" s="10">
        <v>1000079359</v>
      </c>
      <c r="C1279" s="10" t="s">
        <v>4622</v>
      </c>
      <c r="D1279" s="10" t="s">
        <v>4664</v>
      </c>
      <c r="E1279" s="85">
        <v>49131.6</v>
      </c>
      <c r="F1279" s="129">
        <v>60158280</v>
      </c>
      <c r="G1279" s="10" t="s">
        <v>280</v>
      </c>
      <c r="H1279" s="10" t="s">
        <v>216</v>
      </c>
      <c r="I1279" s="10" t="s">
        <v>4792</v>
      </c>
    </row>
    <row r="1280" spans="1:9" x14ac:dyDescent="0.2">
      <c r="A1280" s="10" t="s">
        <v>4665</v>
      </c>
      <c r="B1280" s="10">
        <v>1000079359</v>
      </c>
      <c r="C1280" s="10" t="s">
        <v>4622</v>
      </c>
      <c r="D1280" s="10" t="s">
        <v>4666</v>
      </c>
      <c r="E1280" s="85">
        <v>2260.8000000000002</v>
      </c>
      <c r="F1280" s="129">
        <v>60152019</v>
      </c>
      <c r="G1280" s="10" t="s">
        <v>280</v>
      </c>
      <c r="H1280" s="10" t="s">
        <v>4069</v>
      </c>
      <c r="I1280" s="10" t="s">
        <v>4792</v>
      </c>
    </row>
    <row r="1281" spans="1:9" x14ac:dyDescent="0.2">
      <c r="A1281" s="10" t="s">
        <v>4667</v>
      </c>
      <c r="B1281" s="10">
        <v>1000079359</v>
      </c>
      <c r="C1281" s="10" t="s">
        <v>4622</v>
      </c>
      <c r="D1281" s="10" t="s">
        <v>4668</v>
      </c>
      <c r="E1281" s="85">
        <v>6580.8</v>
      </c>
      <c r="F1281" s="129">
        <v>60159517</v>
      </c>
      <c r="G1281" s="10" t="s">
        <v>280</v>
      </c>
      <c r="H1281" s="10" t="s">
        <v>1278</v>
      </c>
      <c r="I1281" s="10" t="s">
        <v>4792</v>
      </c>
    </row>
    <row r="1282" spans="1:9" s="38" customFormat="1" x14ac:dyDescent="0.2">
      <c r="A1282" s="23" t="s">
        <v>4669</v>
      </c>
      <c r="B1282" s="23">
        <v>1000079359</v>
      </c>
      <c r="C1282" s="23" t="s">
        <v>4622</v>
      </c>
      <c r="D1282" s="23" t="s">
        <v>4670</v>
      </c>
      <c r="E1282" s="86">
        <v>35218.800000000003</v>
      </c>
      <c r="F1282" s="191" t="s">
        <v>431</v>
      </c>
      <c r="G1282" s="10" t="s">
        <v>280</v>
      </c>
      <c r="H1282" s="23" t="s">
        <v>4228</v>
      </c>
      <c r="I1282" s="23" t="s">
        <v>4792</v>
      </c>
    </row>
    <row r="1283" spans="1:9" s="38" customFormat="1" x14ac:dyDescent="0.2">
      <c r="A1283" s="23" t="s">
        <v>4671</v>
      </c>
      <c r="B1283" s="23">
        <v>1000079359</v>
      </c>
      <c r="C1283" s="23" t="s">
        <v>4622</v>
      </c>
      <c r="D1283" s="23" t="s">
        <v>4672</v>
      </c>
      <c r="E1283" s="39">
        <v>9702</v>
      </c>
      <c r="F1283" s="191" t="s">
        <v>431</v>
      </c>
      <c r="G1283" s="10"/>
      <c r="H1283" s="23" t="s">
        <v>4127</v>
      </c>
      <c r="I1283" s="23"/>
    </row>
    <row r="1284" spans="1:9" s="38" customFormat="1" x14ac:dyDescent="0.2">
      <c r="A1284" s="23" t="s">
        <v>4673</v>
      </c>
      <c r="B1284" s="23">
        <v>1000079359</v>
      </c>
      <c r="C1284" s="23" t="s">
        <v>4622</v>
      </c>
      <c r="D1284" s="23" t="s">
        <v>4674</v>
      </c>
      <c r="E1284" s="39">
        <v>6156</v>
      </c>
      <c r="F1284" s="191" t="s">
        <v>431</v>
      </c>
      <c r="G1284" s="10"/>
      <c r="H1284" s="23" t="s">
        <v>952</v>
      </c>
      <c r="I1284" s="23"/>
    </row>
    <row r="1285" spans="1:9" s="38" customFormat="1" x14ac:dyDescent="0.2">
      <c r="A1285" s="23" t="s">
        <v>4675</v>
      </c>
      <c r="B1285" s="23">
        <v>1000079359</v>
      </c>
      <c r="C1285" s="23" t="s">
        <v>4622</v>
      </c>
      <c r="D1285" s="23" t="s">
        <v>4676</v>
      </c>
      <c r="E1285" s="39">
        <v>4680</v>
      </c>
      <c r="F1285" s="191" t="s">
        <v>431</v>
      </c>
      <c r="G1285" s="10"/>
      <c r="H1285" s="23" t="s">
        <v>4677</v>
      </c>
      <c r="I1285" s="23"/>
    </row>
    <row r="1286" spans="1:9" x14ac:dyDescent="0.2">
      <c r="A1286" s="10" t="s">
        <v>4678</v>
      </c>
      <c r="B1286" s="10">
        <v>1000079359</v>
      </c>
      <c r="C1286" s="10" t="s">
        <v>4622</v>
      </c>
      <c r="D1286" s="10" t="s">
        <v>4679</v>
      </c>
      <c r="E1286" s="85">
        <v>10378.799999999999</v>
      </c>
      <c r="F1286" s="129">
        <v>60157862</v>
      </c>
      <c r="G1286" s="10" t="s">
        <v>280</v>
      </c>
      <c r="H1286" s="10" t="s">
        <v>4485</v>
      </c>
      <c r="I1286" s="10" t="s">
        <v>4792</v>
      </c>
    </row>
    <row r="1287" spans="1:9" x14ac:dyDescent="0.2">
      <c r="A1287" s="10" t="s">
        <v>4680</v>
      </c>
      <c r="B1287" s="10">
        <v>1000079359</v>
      </c>
      <c r="C1287" s="10" t="s">
        <v>4622</v>
      </c>
      <c r="D1287" s="10" t="s">
        <v>4681</v>
      </c>
      <c r="E1287" s="13">
        <v>42585.599999999999</v>
      </c>
      <c r="F1287" s="191" t="s">
        <v>431</v>
      </c>
      <c r="G1287" s="10"/>
      <c r="H1287" s="10" t="s">
        <v>1278</v>
      </c>
      <c r="I1287" s="10"/>
    </row>
    <row r="1288" spans="1:9" x14ac:dyDescent="0.2">
      <c r="A1288" s="10" t="s">
        <v>4682</v>
      </c>
      <c r="B1288" s="10">
        <v>1000079359</v>
      </c>
      <c r="C1288" s="10" t="s">
        <v>4622</v>
      </c>
      <c r="D1288" s="10" t="s">
        <v>4683</v>
      </c>
      <c r="E1288" s="13">
        <v>20152.8</v>
      </c>
      <c r="F1288" s="191" t="s">
        <v>431</v>
      </c>
      <c r="G1288" s="10"/>
      <c r="H1288" s="10" t="s">
        <v>4519</v>
      </c>
      <c r="I1288" s="10"/>
    </row>
    <row r="1289" spans="1:9" x14ac:dyDescent="0.2">
      <c r="A1289" s="10" t="s">
        <v>4684</v>
      </c>
      <c r="B1289" s="10">
        <v>1000079359</v>
      </c>
      <c r="C1289" s="10" t="s">
        <v>4622</v>
      </c>
      <c r="D1289" s="10" t="s">
        <v>4685</v>
      </c>
      <c r="E1289" s="13">
        <v>57823.199999999997</v>
      </c>
      <c r="F1289" s="191" t="s">
        <v>431</v>
      </c>
      <c r="G1289" s="10"/>
      <c r="H1289" s="10" t="s">
        <v>4072</v>
      </c>
      <c r="I1289" s="10"/>
    </row>
    <row r="1290" spans="1:9" x14ac:dyDescent="0.2">
      <c r="A1290" s="10" t="s">
        <v>4686</v>
      </c>
      <c r="B1290" s="10">
        <v>1000079359</v>
      </c>
      <c r="C1290" s="10" t="s">
        <v>4622</v>
      </c>
      <c r="D1290" s="10" t="s">
        <v>4687</v>
      </c>
      <c r="E1290" s="85">
        <v>12289.2</v>
      </c>
      <c r="F1290" s="129">
        <v>60157857</v>
      </c>
      <c r="G1290" s="10" t="s">
        <v>280</v>
      </c>
      <c r="H1290" s="10" t="s">
        <v>216</v>
      </c>
      <c r="I1290" s="10" t="s">
        <v>4792</v>
      </c>
    </row>
    <row r="1291" spans="1:9" x14ac:dyDescent="0.2">
      <c r="A1291" s="10" t="s">
        <v>4688</v>
      </c>
      <c r="B1291" s="10">
        <v>1000079359</v>
      </c>
      <c r="C1291" s="10" t="s">
        <v>4622</v>
      </c>
      <c r="D1291" s="10" t="s">
        <v>4689</v>
      </c>
      <c r="E1291" s="85">
        <v>2260.8000000000002</v>
      </c>
      <c r="F1291" s="129">
        <v>60152020</v>
      </c>
      <c r="G1291" s="10" t="s">
        <v>280</v>
      </c>
      <c r="H1291" s="10" t="s">
        <v>4069</v>
      </c>
      <c r="I1291" s="10" t="s">
        <v>4792</v>
      </c>
    </row>
    <row r="1292" spans="1:9" x14ac:dyDescent="0.2">
      <c r="A1292" s="10" t="s">
        <v>4690</v>
      </c>
      <c r="B1292" s="10">
        <v>1000079359</v>
      </c>
      <c r="C1292" s="10" t="s">
        <v>4622</v>
      </c>
      <c r="D1292" s="10" t="s">
        <v>4691</v>
      </c>
      <c r="E1292" s="85">
        <v>2928</v>
      </c>
      <c r="F1292" s="129">
        <v>60159491</v>
      </c>
      <c r="G1292" s="10" t="s">
        <v>280</v>
      </c>
      <c r="H1292" s="10" t="s">
        <v>216</v>
      </c>
      <c r="I1292" s="10" t="s">
        <v>4792</v>
      </c>
    </row>
    <row r="1293" spans="1:9" x14ac:dyDescent="0.2">
      <c r="A1293" s="10" t="s">
        <v>4692</v>
      </c>
      <c r="B1293" s="10">
        <v>1000079359</v>
      </c>
      <c r="C1293" s="10" t="s">
        <v>4622</v>
      </c>
      <c r="D1293" s="10" t="s">
        <v>4693</v>
      </c>
      <c r="E1293" s="85">
        <v>11126.4</v>
      </c>
      <c r="F1293" s="129">
        <v>60157071</v>
      </c>
      <c r="G1293" s="10" t="s">
        <v>280</v>
      </c>
      <c r="H1293" s="10" t="s">
        <v>161</v>
      </c>
      <c r="I1293" s="10" t="s">
        <v>4792</v>
      </c>
    </row>
    <row r="1294" spans="1:9" s="38" customFormat="1" x14ac:dyDescent="0.2">
      <c r="A1294" s="23" t="s">
        <v>4694</v>
      </c>
      <c r="B1294" s="23">
        <v>1000079359</v>
      </c>
      <c r="C1294" s="23" t="s">
        <v>4622</v>
      </c>
      <c r="D1294" s="23" t="s">
        <v>4695</v>
      </c>
      <c r="E1294" s="39">
        <v>5652</v>
      </c>
      <c r="F1294" s="191" t="s">
        <v>431</v>
      </c>
      <c r="G1294" s="10"/>
      <c r="H1294" s="23" t="s">
        <v>3636</v>
      </c>
      <c r="I1294" s="23"/>
    </row>
    <row r="1295" spans="1:9" s="38" customFormat="1" x14ac:dyDescent="0.2">
      <c r="A1295" s="23" t="s">
        <v>4696</v>
      </c>
      <c r="B1295" s="23">
        <v>1000079359</v>
      </c>
      <c r="C1295" s="23" t="s">
        <v>4622</v>
      </c>
      <c r="D1295" s="23" t="s">
        <v>4697</v>
      </c>
      <c r="E1295" s="39">
        <v>14942.4</v>
      </c>
      <c r="F1295" s="191" t="s">
        <v>431</v>
      </c>
      <c r="G1295" s="10"/>
      <c r="H1295" s="23" t="s">
        <v>4069</v>
      </c>
      <c r="I1295" s="23"/>
    </row>
    <row r="1296" spans="1:9" x14ac:dyDescent="0.2">
      <c r="A1296" s="10" t="s">
        <v>4698</v>
      </c>
      <c r="B1296" s="10">
        <v>1000079359</v>
      </c>
      <c r="C1296" s="10" t="s">
        <v>4622</v>
      </c>
      <c r="D1296" s="10" t="s">
        <v>4699</v>
      </c>
      <c r="E1296" s="85">
        <v>10738.8</v>
      </c>
      <c r="F1296" s="129">
        <v>60159493</v>
      </c>
      <c r="G1296" s="10" t="s">
        <v>280</v>
      </c>
      <c r="H1296" s="10" t="s">
        <v>3845</v>
      </c>
      <c r="I1296" s="10" t="s">
        <v>4792</v>
      </c>
    </row>
    <row r="1297" spans="1:9" x14ac:dyDescent="0.2">
      <c r="A1297" s="10" t="s">
        <v>4700</v>
      </c>
      <c r="B1297" s="10">
        <v>1000079359</v>
      </c>
      <c r="C1297" s="10" t="s">
        <v>4622</v>
      </c>
      <c r="D1297" s="10" t="s">
        <v>4701</v>
      </c>
      <c r="E1297" s="85">
        <v>7489.2</v>
      </c>
      <c r="F1297" s="129">
        <v>60159498</v>
      </c>
      <c r="G1297" s="10" t="s">
        <v>280</v>
      </c>
      <c r="H1297" s="10" t="s">
        <v>3636</v>
      </c>
      <c r="I1297" s="10" t="s">
        <v>4792</v>
      </c>
    </row>
    <row r="1298" spans="1:9" x14ac:dyDescent="0.2">
      <c r="A1298" s="10" t="s">
        <v>4702</v>
      </c>
      <c r="B1298" s="10">
        <v>1000079359</v>
      </c>
      <c r="C1298" s="10" t="s">
        <v>4622</v>
      </c>
      <c r="D1298" s="10" t="s">
        <v>4703</v>
      </c>
      <c r="E1298" s="13">
        <v>2587.1999999999998</v>
      </c>
      <c r="F1298" s="191" t="s">
        <v>431</v>
      </c>
      <c r="G1298" s="10"/>
      <c r="H1298" s="10" t="s">
        <v>4228</v>
      </c>
      <c r="I1298" s="10"/>
    </row>
    <row r="1299" spans="1:9" x14ac:dyDescent="0.2">
      <c r="A1299" s="10" t="s">
        <v>4704</v>
      </c>
      <c r="B1299" s="10">
        <v>1000079359</v>
      </c>
      <c r="C1299" s="10" t="s">
        <v>4622</v>
      </c>
      <c r="D1299" s="10" t="s">
        <v>4705</v>
      </c>
      <c r="E1299" s="13">
        <v>3513.6</v>
      </c>
      <c r="F1299" s="191" t="s">
        <v>431</v>
      </c>
      <c r="G1299" s="10"/>
      <c r="H1299" s="10" t="s">
        <v>216</v>
      </c>
      <c r="I1299" s="10"/>
    </row>
    <row r="1300" spans="1:9" x14ac:dyDescent="0.2">
      <c r="A1300" s="10" t="s">
        <v>4706</v>
      </c>
      <c r="B1300" s="10">
        <v>1000079359</v>
      </c>
      <c r="C1300" s="10" t="s">
        <v>4622</v>
      </c>
      <c r="D1300" s="10" t="s">
        <v>4707</v>
      </c>
      <c r="E1300" s="85">
        <v>8478</v>
      </c>
      <c r="F1300" s="129">
        <v>60159521</v>
      </c>
      <c r="G1300" s="10" t="s">
        <v>280</v>
      </c>
      <c r="H1300" s="10" t="s">
        <v>4069</v>
      </c>
      <c r="I1300" s="10" t="s">
        <v>4792</v>
      </c>
    </row>
    <row r="1301" spans="1:9" x14ac:dyDescent="0.2">
      <c r="A1301" s="10" t="s">
        <v>4708</v>
      </c>
      <c r="B1301" s="10">
        <v>1000079359</v>
      </c>
      <c r="C1301" s="10" t="s">
        <v>4622</v>
      </c>
      <c r="D1301" s="10" t="s">
        <v>4709</v>
      </c>
      <c r="E1301" s="85">
        <v>5086.8</v>
      </c>
      <c r="F1301" s="129">
        <v>60152026</v>
      </c>
      <c r="G1301" s="10" t="s">
        <v>280</v>
      </c>
      <c r="H1301" s="10" t="s">
        <v>3636</v>
      </c>
      <c r="I1301" s="10" t="s">
        <v>4792</v>
      </c>
    </row>
    <row r="1302" spans="1:9" x14ac:dyDescent="0.2">
      <c r="A1302" s="10" t="s">
        <v>4710</v>
      </c>
      <c r="B1302" s="10">
        <v>1000079359</v>
      </c>
      <c r="C1302" s="10" t="s">
        <v>4622</v>
      </c>
      <c r="D1302" s="10" t="s">
        <v>4711</v>
      </c>
      <c r="E1302" s="85">
        <v>8046</v>
      </c>
      <c r="F1302" s="129">
        <v>60159524</v>
      </c>
      <c r="G1302" s="10" t="s">
        <v>280</v>
      </c>
      <c r="H1302" s="10" t="s">
        <v>4069</v>
      </c>
      <c r="I1302" s="10" t="s">
        <v>4792</v>
      </c>
    </row>
    <row r="1303" spans="1:9" s="38" customFormat="1" x14ac:dyDescent="0.2">
      <c r="A1303" s="23" t="s">
        <v>4712</v>
      </c>
      <c r="B1303" s="23">
        <v>1000079359</v>
      </c>
      <c r="C1303" s="23" t="s">
        <v>4622</v>
      </c>
      <c r="D1303" s="23" t="s">
        <v>4713</v>
      </c>
      <c r="E1303" s="39">
        <v>5270.4</v>
      </c>
      <c r="F1303" s="191" t="s">
        <v>431</v>
      </c>
      <c r="G1303" s="10"/>
      <c r="H1303" s="23" t="s">
        <v>216</v>
      </c>
      <c r="I1303" s="23"/>
    </row>
    <row r="1304" spans="1:9" x14ac:dyDescent="0.2">
      <c r="A1304" s="10" t="s">
        <v>4714</v>
      </c>
      <c r="B1304" s="10">
        <v>1000079359</v>
      </c>
      <c r="C1304" s="10" t="s">
        <v>4622</v>
      </c>
      <c r="D1304" s="10" t="s">
        <v>4715</v>
      </c>
      <c r="E1304" s="85">
        <v>11739</v>
      </c>
      <c r="F1304" s="129">
        <v>60159511</v>
      </c>
      <c r="G1304" s="10" t="s">
        <v>280</v>
      </c>
      <c r="H1304" s="10" t="s">
        <v>216</v>
      </c>
      <c r="I1304" s="10" t="s">
        <v>4792</v>
      </c>
    </row>
    <row r="1305" spans="1:9" x14ac:dyDescent="0.2">
      <c r="A1305" s="10" t="s">
        <v>4716</v>
      </c>
      <c r="B1305" s="10">
        <v>1000079359</v>
      </c>
      <c r="C1305" s="10" t="s">
        <v>4622</v>
      </c>
      <c r="D1305" s="10" t="s">
        <v>4717</v>
      </c>
      <c r="E1305" s="85">
        <v>10173.6</v>
      </c>
      <c r="F1305" s="129">
        <v>60159488</v>
      </c>
      <c r="G1305" s="10" t="s">
        <v>280</v>
      </c>
      <c r="H1305" s="10" t="s">
        <v>216</v>
      </c>
      <c r="I1305" s="10" t="s">
        <v>4792</v>
      </c>
    </row>
    <row r="1306" spans="1:9" s="38" customFormat="1" x14ac:dyDescent="0.2">
      <c r="A1306" s="23" t="s">
        <v>4718</v>
      </c>
      <c r="B1306" s="23">
        <v>1000079359</v>
      </c>
      <c r="C1306" s="23" t="s">
        <v>4622</v>
      </c>
      <c r="D1306" s="23" t="s">
        <v>4719</v>
      </c>
      <c r="E1306" s="39">
        <v>1695.6</v>
      </c>
      <c r="F1306" s="191" t="s">
        <v>431</v>
      </c>
      <c r="G1306" s="10"/>
      <c r="H1306" s="23" t="s">
        <v>4069</v>
      </c>
      <c r="I1306" s="23"/>
    </row>
    <row r="1307" spans="1:9" x14ac:dyDescent="0.2">
      <c r="A1307" s="10" t="s">
        <v>4720</v>
      </c>
      <c r="B1307" s="10">
        <v>1000079359</v>
      </c>
      <c r="C1307" s="10" t="s">
        <v>4622</v>
      </c>
      <c r="D1307" s="10" t="s">
        <v>4721</v>
      </c>
      <c r="E1307" s="13">
        <v>2145.6</v>
      </c>
      <c r="F1307" s="129">
        <v>60151994</v>
      </c>
      <c r="G1307" s="10" t="s">
        <v>280</v>
      </c>
      <c r="H1307" s="10" t="s">
        <v>4069</v>
      </c>
      <c r="I1307" s="10" t="s">
        <v>4957</v>
      </c>
    </row>
    <row r="1308" spans="1:9" s="38" customFormat="1" x14ac:dyDescent="0.2">
      <c r="A1308" s="23" t="s">
        <v>4722</v>
      </c>
      <c r="B1308" s="23">
        <v>1000079359</v>
      </c>
      <c r="C1308" s="23" t="s">
        <v>4622</v>
      </c>
      <c r="D1308" s="23" t="s">
        <v>4723</v>
      </c>
      <c r="E1308" s="39">
        <v>7912.8</v>
      </c>
      <c r="F1308" s="191" t="s">
        <v>431</v>
      </c>
      <c r="G1308" s="10"/>
      <c r="H1308" s="23" t="s">
        <v>4069</v>
      </c>
      <c r="I1308" s="23"/>
    </row>
    <row r="1309" spans="1:9" x14ac:dyDescent="0.2">
      <c r="A1309" s="10" t="s">
        <v>4724</v>
      </c>
      <c r="B1309" s="10">
        <v>1000079359</v>
      </c>
      <c r="C1309" s="10" t="s">
        <v>4622</v>
      </c>
      <c r="D1309" s="10" t="s">
        <v>4725</v>
      </c>
      <c r="E1309" s="85">
        <v>8195.4</v>
      </c>
      <c r="F1309" s="129">
        <v>60159516</v>
      </c>
      <c r="G1309" s="10" t="s">
        <v>280</v>
      </c>
      <c r="H1309" s="10" t="s">
        <v>4069</v>
      </c>
      <c r="I1309" s="10" t="s">
        <v>4792</v>
      </c>
    </row>
    <row r="1310" spans="1:9" s="38" customFormat="1" x14ac:dyDescent="0.2">
      <c r="A1310" s="23" t="s">
        <v>4726</v>
      </c>
      <c r="B1310" s="23">
        <v>1000079359</v>
      </c>
      <c r="C1310" s="23" t="s">
        <v>4622</v>
      </c>
      <c r="D1310" s="23" t="s">
        <v>4727</v>
      </c>
      <c r="E1310" s="39">
        <v>10173.6</v>
      </c>
      <c r="F1310" s="191">
        <v>60157861</v>
      </c>
      <c r="G1310" s="10" t="s">
        <v>280</v>
      </c>
      <c r="H1310" s="23" t="s">
        <v>994</v>
      </c>
      <c r="I1310" s="23" t="s">
        <v>4957</v>
      </c>
    </row>
    <row r="1311" spans="1:9" x14ac:dyDescent="0.2">
      <c r="A1311" s="10" t="s">
        <v>4728</v>
      </c>
      <c r="B1311" s="10">
        <v>1000079359</v>
      </c>
      <c r="C1311" s="10" t="s">
        <v>4622</v>
      </c>
      <c r="D1311" s="10" t="s">
        <v>4729</v>
      </c>
      <c r="E1311" s="85">
        <v>11126.4</v>
      </c>
      <c r="F1311" s="129">
        <v>60157085</v>
      </c>
      <c r="G1311" s="10" t="s">
        <v>280</v>
      </c>
      <c r="H1311" s="10" t="s">
        <v>161</v>
      </c>
      <c r="I1311" s="10" t="s">
        <v>4792</v>
      </c>
    </row>
    <row r="1312" spans="1:9" s="38" customFormat="1" x14ac:dyDescent="0.2">
      <c r="A1312" s="23" t="s">
        <v>4730</v>
      </c>
      <c r="B1312" s="23">
        <v>1000079359</v>
      </c>
      <c r="C1312" s="23" t="s">
        <v>4622</v>
      </c>
      <c r="D1312" s="23" t="s">
        <v>4731</v>
      </c>
      <c r="E1312" s="39">
        <v>11126.4</v>
      </c>
      <c r="F1312" s="191">
        <v>60157081</v>
      </c>
      <c r="G1312" s="10" t="s">
        <v>280</v>
      </c>
      <c r="H1312" s="23" t="s">
        <v>216</v>
      </c>
      <c r="I1312" s="23" t="s">
        <v>4957</v>
      </c>
    </row>
    <row r="1313" spans="1:9" s="38" customFormat="1" x14ac:dyDescent="0.2">
      <c r="A1313" s="23" t="s">
        <v>4732</v>
      </c>
      <c r="B1313" s="23">
        <v>1000079359</v>
      </c>
      <c r="C1313" s="23" t="s">
        <v>4622</v>
      </c>
      <c r="D1313" s="23" t="s">
        <v>4733</v>
      </c>
      <c r="E1313" s="39">
        <v>8198.4</v>
      </c>
      <c r="F1313" s="191">
        <v>60156911</v>
      </c>
      <c r="G1313" s="10" t="s">
        <v>280</v>
      </c>
      <c r="H1313" s="23" t="s">
        <v>161</v>
      </c>
      <c r="I1313" s="23" t="s">
        <v>4957</v>
      </c>
    </row>
    <row r="1314" spans="1:9" x14ac:dyDescent="0.2">
      <c r="A1314" s="10" t="s">
        <v>4734</v>
      </c>
      <c r="B1314" s="10">
        <v>1000079359</v>
      </c>
      <c r="C1314" s="10" t="s">
        <v>4622</v>
      </c>
      <c r="D1314" s="10" t="s">
        <v>4735</v>
      </c>
      <c r="E1314" s="13">
        <v>2342.4</v>
      </c>
      <c r="F1314" s="129" t="s">
        <v>431</v>
      </c>
      <c r="G1314" s="10"/>
      <c r="H1314" s="10" t="s">
        <v>171</v>
      </c>
      <c r="I1314" s="10"/>
    </row>
    <row r="1315" spans="1:9" s="38" customFormat="1" x14ac:dyDescent="0.2">
      <c r="A1315" s="23" t="s">
        <v>4736</v>
      </c>
      <c r="B1315" s="23">
        <v>1000079359</v>
      </c>
      <c r="C1315" s="23" t="s">
        <v>4622</v>
      </c>
      <c r="D1315" s="23" t="s">
        <v>4737</v>
      </c>
      <c r="E1315" s="39">
        <v>9252</v>
      </c>
      <c r="F1315" s="191" t="s">
        <v>431</v>
      </c>
      <c r="G1315" s="10"/>
      <c r="H1315" s="23" t="s">
        <v>4069</v>
      </c>
      <c r="I1315" s="23"/>
    </row>
    <row r="1316" spans="1:9" s="38" customFormat="1" x14ac:dyDescent="0.2">
      <c r="A1316" s="23" t="s">
        <v>4738</v>
      </c>
      <c r="B1316" s="23">
        <v>1000079359</v>
      </c>
      <c r="C1316" s="23" t="s">
        <v>4622</v>
      </c>
      <c r="D1316" s="23" t="s">
        <v>4739</v>
      </c>
      <c r="E1316" s="39">
        <v>2342.4</v>
      </c>
      <c r="F1316" s="191" t="s">
        <v>431</v>
      </c>
      <c r="G1316" s="10"/>
      <c r="H1316" s="23" t="s">
        <v>171</v>
      </c>
      <c r="I1316" s="23"/>
    </row>
    <row r="1317" spans="1:9" s="38" customFormat="1" x14ac:dyDescent="0.2">
      <c r="A1317" s="23" t="s">
        <v>4740</v>
      </c>
      <c r="B1317" s="23">
        <v>1000079359</v>
      </c>
      <c r="C1317" s="23" t="s">
        <v>4622</v>
      </c>
      <c r="D1317" s="23" t="s">
        <v>4741</v>
      </c>
      <c r="E1317" s="39">
        <v>9252</v>
      </c>
      <c r="F1317" s="191" t="s">
        <v>431</v>
      </c>
      <c r="G1317" s="10"/>
      <c r="H1317" s="23" t="s">
        <v>4069</v>
      </c>
      <c r="I1317" s="23"/>
    </row>
    <row r="1318" spans="1:9" s="38" customFormat="1" x14ac:dyDescent="0.2">
      <c r="A1318" s="23" t="s">
        <v>4742</v>
      </c>
      <c r="B1318" s="23">
        <v>1000079359</v>
      </c>
      <c r="C1318" s="23" t="s">
        <v>4622</v>
      </c>
      <c r="D1318" s="23" t="s">
        <v>4743</v>
      </c>
      <c r="E1318" s="39">
        <v>10738.8</v>
      </c>
      <c r="F1318" s="191">
        <v>60153961</v>
      </c>
      <c r="G1318" s="10" t="s">
        <v>280</v>
      </c>
      <c r="H1318" s="23" t="s">
        <v>3215</v>
      </c>
      <c r="I1318" s="23" t="s">
        <v>4957</v>
      </c>
    </row>
    <row r="1319" spans="1:9" s="38" customFormat="1" x14ac:dyDescent="0.2">
      <c r="A1319" s="23" t="s">
        <v>4744</v>
      </c>
      <c r="B1319" s="23">
        <v>1000079359</v>
      </c>
      <c r="C1319" s="23" t="s">
        <v>4622</v>
      </c>
      <c r="D1319" s="23" t="s">
        <v>4745</v>
      </c>
      <c r="E1319" s="39">
        <v>10738.8</v>
      </c>
      <c r="F1319" s="191">
        <v>60159512</v>
      </c>
      <c r="G1319" s="10" t="s">
        <v>280</v>
      </c>
      <c r="H1319" s="23" t="s">
        <v>216</v>
      </c>
      <c r="I1319" s="23" t="s">
        <v>4957</v>
      </c>
    </row>
    <row r="1320" spans="1:9" x14ac:dyDescent="0.2">
      <c r="A1320" s="10" t="s">
        <v>4746</v>
      </c>
      <c r="B1320" s="10">
        <v>1000079359</v>
      </c>
      <c r="C1320" s="10" t="s">
        <v>4622</v>
      </c>
      <c r="D1320" s="10" t="s">
        <v>4747</v>
      </c>
      <c r="E1320" s="13">
        <v>2808</v>
      </c>
      <c r="F1320" s="129">
        <v>60159485</v>
      </c>
      <c r="G1320" s="10" t="s">
        <v>280</v>
      </c>
      <c r="H1320" s="10" t="s">
        <v>171</v>
      </c>
      <c r="I1320" s="10" t="s">
        <v>4957</v>
      </c>
    </row>
    <row r="1321" spans="1:9" x14ac:dyDescent="0.2">
      <c r="A1321" s="10" t="s">
        <v>4748</v>
      </c>
      <c r="B1321" s="10">
        <v>1000079359</v>
      </c>
      <c r="C1321" s="10" t="s">
        <v>4622</v>
      </c>
      <c r="D1321" s="10" t="s">
        <v>4749</v>
      </c>
      <c r="E1321" s="13">
        <v>1171.2</v>
      </c>
      <c r="F1321" s="129" t="s">
        <v>431</v>
      </c>
      <c r="G1321" s="10"/>
      <c r="H1321" s="10" t="s">
        <v>4750</v>
      </c>
      <c r="I1321" s="10"/>
    </row>
    <row r="1322" spans="1:9" x14ac:dyDescent="0.2">
      <c r="A1322" s="10" t="s">
        <v>4751</v>
      </c>
      <c r="B1322" s="10">
        <v>1000079359</v>
      </c>
      <c r="C1322" s="10" t="s">
        <v>4622</v>
      </c>
      <c r="D1322" s="10" t="s">
        <v>4752</v>
      </c>
      <c r="E1322" s="13">
        <v>10921.2</v>
      </c>
      <c r="F1322" s="129">
        <v>60157084</v>
      </c>
      <c r="G1322" s="10" t="s">
        <v>280</v>
      </c>
      <c r="H1322" s="10" t="s">
        <v>216</v>
      </c>
      <c r="I1322" s="10" t="s">
        <v>4957</v>
      </c>
    </row>
    <row r="1323" spans="1:9" x14ac:dyDescent="0.2">
      <c r="A1323" s="10" t="s">
        <v>4753</v>
      </c>
      <c r="B1323" s="10">
        <v>1000079359</v>
      </c>
      <c r="C1323" s="10" t="s">
        <v>4622</v>
      </c>
      <c r="D1323" s="10" t="s">
        <v>4754</v>
      </c>
      <c r="E1323" s="13">
        <v>10921.2</v>
      </c>
      <c r="F1323" s="129">
        <v>60159518</v>
      </c>
      <c r="G1323" s="10" t="s">
        <v>280</v>
      </c>
      <c r="H1323" s="10" t="s">
        <v>4069</v>
      </c>
      <c r="I1323" s="10" t="s">
        <v>4957</v>
      </c>
    </row>
    <row r="1324" spans="1:9" x14ac:dyDescent="0.2">
      <c r="A1324" s="10" t="s">
        <v>4755</v>
      </c>
      <c r="B1324" s="10">
        <v>1000079359</v>
      </c>
      <c r="C1324" s="10" t="s">
        <v>4622</v>
      </c>
      <c r="D1324" s="10" t="s">
        <v>4756</v>
      </c>
      <c r="E1324" s="13">
        <v>10540.8</v>
      </c>
      <c r="F1324" s="129">
        <v>60159495</v>
      </c>
      <c r="G1324" s="10" t="s">
        <v>280</v>
      </c>
      <c r="H1324" s="10" t="s">
        <v>4069</v>
      </c>
      <c r="I1324" s="10" t="s">
        <v>4957</v>
      </c>
    </row>
    <row r="1325" spans="1:9" x14ac:dyDescent="0.2">
      <c r="A1325" s="10" t="s">
        <v>4757</v>
      </c>
      <c r="B1325" s="10">
        <v>1000079359</v>
      </c>
      <c r="C1325" s="10" t="s">
        <v>4622</v>
      </c>
      <c r="D1325" s="10" t="s">
        <v>4758</v>
      </c>
      <c r="E1325" s="13">
        <v>10738.8</v>
      </c>
      <c r="F1325" s="129">
        <v>60159515</v>
      </c>
      <c r="G1325" s="10" t="s">
        <v>280</v>
      </c>
      <c r="H1325" s="10" t="s">
        <v>4049</v>
      </c>
      <c r="I1325" s="10" t="s">
        <v>4957</v>
      </c>
    </row>
    <row r="1326" spans="1:9" x14ac:dyDescent="0.2">
      <c r="A1326" s="10" t="s">
        <v>4759</v>
      </c>
      <c r="B1326" s="10">
        <v>1000079359</v>
      </c>
      <c r="C1326" s="10" t="s">
        <v>4622</v>
      </c>
      <c r="D1326" s="10" t="s">
        <v>4760</v>
      </c>
      <c r="E1326" s="13">
        <v>12074.4</v>
      </c>
      <c r="F1326" s="129">
        <v>60155341</v>
      </c>
      <c r="G1326" s="10" t="s">
        <v>280</v>
      </c>
      <c r="H1326" s="10" t="s">
        <v>216</v>
      </c>
      <c r="I1326" s="10" t="s">
        <v>4957</v>
      </c>
    </row>
    <row r="1327" spans="1:9" x14ac:dyDescent="0.2">
      <c r="A1327" s="10" t="s">
        <v>4761</v>
      </c>
      <c r="B1327" s="10">
        <v>1000079359</v>
      </c>
      <c r="C1327" s="10" t="s">
        <v>4622</v>
      </c>
      <c r="D1327" s="10" t="s">
        <v>4762</v>
      </c>
      <c r="E1327" s="13">
        <v>10173.6</v>
      </c>
      <c r="F1327" s="129">
        <v>60155351</v>
      </c>
      <c r="G1327" s="10" t="s">
        <v>280</v>
      </c>
      <c r="H1327" s="10" t="s">
        <v>171</v>
      </c>
      <c r="I1327" s="10" t="s">
        <v>4957</v>
      </c>
    </row>
    <row r="1328" spans="1:9" x14ac:dyDescent="0.2">
      <c r="A1328" s="10" t="s">
        <v>4763</v>
      </c>
      <c r="B1328" s="10">
        <v>1000079359</v>
      </c>
      <c r="C1328" s="10" t="s">
        <v>4622</v>
      </c>
      <c r="D1328" s="10" t="s">
        <v>4764</v>
      </c>
      <c r="E1328" s="13">
        <v>12745.2</v>
      </c>
      <c r="F1328" s="129">
        <v>60159523</v>
      </c>
      <c r="G1328" s="10" t="s">
        <v>280</v>
      </c>
      <c r="H1328" s="10" t="s">
        <v>216</v>
      </c>
      <c r="I1328" s="10" t="s">
        <v>4957</v>
      </c>
    </row>
    <row r="1329" spans="1:9" x14ac:dyDescent="0.2">
      <c r="A1329" s="10" t="s">
        <v>4765</v>
      </c>
      <c r="B1329" s="10">
        <v>1000079359</v>
      </c>
      <c r="C1329" s="10" t="s">
        <v>4622</v>
      </c>
      <c r="D1329" s="10" t="s">
        <v>4766</v>
      </c>
      <c r="E1329" s="13">
        <v>10732.8</v>
      </c>
      <c r="F1329" s="129">
        <v>60159520</v>
      </c>
      <c r="G1329" s="10" t="s">
        <v>280</v>
      </c>
      <c r="H1329" s="10" t="s">
        <v>216</v>
      </c>
      <c r="I1329" s="10" t="s">
        <v>4957</v>
      </c>
    </row>
    <row r="1330" spans="1:9" x14ac:dyDescent="0.2">
      <c r="A1330" s="10" t="s">
        <v>4767</v>
      </c>
      <c r="B1330" s="10">
        <v>1000079359</v>
      </c>
      <c r="C1330" s="10" t="s">
        <v>4622</v>
      </c>
      <c r="D1330" s="10" t="s">
        <v>4768</v>
      </c>
      <c r="E1330" s="13">
        <v>10062</v>
      </c>
      <c r="F1330" s="129">
        <v>60159487</v>
      </c>
      <c r="G1330" s="10" t="s">
        <v>280</v>
      </c>
      <c r="H1330" s="10" t="s">
        <v>4769</v>
      </c>
      <c r="I1330" s="10" t="s">
        <v>4957</v>
      </c>
    </row>
    <row r="1331" spans="1:9" x14ac:dyDescent="0.2">
      <c r="A1331" s="10" t="s">
        <v>4770</v>
      </c>
      <c r="B1331" s="10">
        <v>1000079359</v>
      </c>
      <c r="C1331" s="10" t="s">
        <v>4622</v>
      </c>
      <c r="D1331" s="10" t="s">
        <v>4771</v>
      </c>
      <c r="E1331" s="13">
        <v>10738.8</v>
      </c>
      <c r="F1331" s="129">
        <v>60159519</v>
      </c>
      <c r="G1331" s="10" t="s">
        <v>280</v>
      </c>
      <c r="H1331" s="10" t="s">
        <v>4485</v>
      </c>
      <c r="I1331" s="10" t="s">
        <v>4957</v>
      </c>
    </row>
    <row r="1332" spans="1:9" x14ac:dyDescent="0.2">
      <c r="A1332" s="10" t="s">
        <v>4772</v>
      </c>
      <c r="B1332" s="10">
        <v>1000079359</v>
      </c>
      <c r="C1332" s="10" t="s">
        <v>4622</v>
      </c>
      <c r="D1332" s="10" t="s">
        <v>4773</v>
      </c>
      <c r="E1332" s="13">
        <v>10738.8</v>
      </c>
      <c r="F1332" s="129">
        <v>60159510</v>
      </c>
      <c r="G1332" s="10"/>
      <c r="H1332" s="10" t="s">
        <v>4228</v>
      </c>
      <c r="I1332" s="10"/>
    </row>
    <row r="1333" spans="1:9" x14ac:dyDescent="0.2">
      <c r="A1333" s="10" t="s">
        <v>4774</v>
      </c>
      <c r="B1333" s="10">
        <v>1000079359</v>
      </c>
      <c r="C1333" s="10" t="s">
        <v>4622</v>
      </c>
      <c r="D1333" s="10" t="s">
        <v>4775</v>
      </c>
      <c r="E1333" s="13">
        <v>9241.2000000000007</v>
      </c>
      <c r="F1333" s="129" t="s">
        <v>431</v>
      </c>
      <c r="G1333" s="10"/>
      <c r="H1333" s="10" t="s">
        <v>216</v>
      </c>
      <c r="I1333" s="10"/>
    </row>
    <row r="1334" spans="1:9" x14ac:dyDescent="0.2">
      <c r="A1334" s="10" t="s">
        <v>4776</v>
      </c>
      <c r="B1334" s="10">
        <v>1000079359</v>
      </c>
      <c r="C1334" s="10" t="s">
        <v>4622</v>
      </c>
      <c r="D1334" s="10" t="s">
        <v>4777</v>
      </c>
      <c r="E1334" s="13">
        <v>11126.4</v>
      </c>
      <c r="F1334" s="129" t="s">
        <v>431</v>
      </c>
      <c r="G1334" s="10"/>
      <c r="H1334" s="10" t="s">
        <v>216</v>
      </c>
      <c r="I1334" s="10"/>
    </row>
    <row r="1335" spans="1:9" x14ac:dyDescent="0.2">
      <c r="A1335" s="10" t="s">
        <v>4778</v>
      </c>
      <c r="B1335" s="10">
        <v>1000079359</v>
      </c>
      <c r="C1335" s="10" t="s">
        <v>4622</v>
      </c>
      <c r="D1335" s="10" t="s">
        <v>4779</v>
      </c>
      <c r="E1335" s="13">
        <v>2246.4</v>
      </c>
      <c r="F1335" s="129" t="s">
        <v>431</v>
      </c>
      <c r="G1335" s="10"/>
      <c r="H1335" s="10" t="s">
        <v>4780</v>
      </c>
      <c r="I1335" s="10"/>
    </row>
    <row r="1336" spans="1:9" x14ac:dyDescent="0.2">
      <c r="A1336" s="10" t="s">
        <v>4781</v>
      </c>
      <c r="B1336" s="10">
        <v>1000079359</v>
      </c>
      <c r="C1336" s="10" t="s">
        <v>4622</v>
      </c>
      <c r="D1336" s="10" t="s">
        <v>4782</v>
      </c>
      <c r="E1336" s="13">
        <v>6708</v>
      </c>
      <c r="F1336" s="129" t="s">
        <v>431</v>
      </c>
      <c r="G1336" s="10"/>
      <c r="H1336" s="10" t="s">
        <v>216</v>
      </c>
      <c r="I1336" s="10"/>
    </row>
    <row r="1337" spans="1:9" x14ac:dyDescent="0.2">
      <c r="A1337" s="10" t="s">
        <v>4783</v>
      </c>
      <c r="B1337" s="10">
        <v>1000079359</v>
      </c>
      <c r="C1337" s="10" t="s">
        <v>4622</v>
      </c>
      <c r="D1337" s="10" t="s">
        <v>4784</v>
      </c>
      <c r="E1337" s="13">
        <v>10556.4</v>
      </c>
      <c r="F1337" s="129" t="s">
        <v>431</v>
      </c>
      <c r="G1337" s="10"/>
      <c r="H1337" s="10" t="s">
        <v>4228</v>
      </c>
      <c r="I1337" s="10"/>
    </row>
    <row r="1338" spans="1:9" x14ac:dyDescent="0.2">
      <c r="A1338" s="10" t="s">
        <v>4785</v>
      </c>
      <c r="B1338" s="10">
        <v>1000079359</v>
      </c>
      <c r="C1338" s="10" t="s">
        <v>4622</v>
      </c>
      <c r="D1338" s="10" t="s">
        <v>4786</v>
      </c>
      <c r="E1338" s="13">
        <v>5652</v>
      </c>
      <c r="F1338" s="129" t="s">
        <v>431</v>
      </c>
      <c r="G1338" s="10"/>
      <c r="H1338" s="10" t="s">
        <v>4780</v>
      </c>
      <c r="I1338" s="10"/>
    </row>
    <row r="1339" spans="1:9" x14ac:dyDescent="0.2">
      <c r="A1339" s="10" t="s">
        <v>4787</v>
      </c>
      <c r="B1339" s="10">
        <v>1000079359</v>
      </c>
      <c r="C1339" s="10" t="s">
        <v>4622</v>
      </c>
      <c r="D1339" s="10" t="s">
        <v>4788</v>
      </c>
      <c r="E1339" s="13">
        <v>12289.2</v>
      </c>
      <c r="F1339" s="129">
        <v>60157083</v>
      </c>
      <c r="G1339" s="10" t="s">
        <v>280</v>
      </c>
      <c r="H1339" s="10" t="s">
        <v>2423</v>
      </c>
      <c r="I1339" s="10" t="s">
        <v>4957</v>
      </c>
    </row>
    <row r="1340" spans="1:9" x14ac:dyDescent="0.2">
      <c r="A1340" s="10" t="s">
        <v>4789</v>
      </c>
      <c r="B1340" s="10">
        <v>1000079359</v>
      </c>
      <c r="C1340" s="10" t="s">
        <v>4622</v>
      </c>
      <c r="D1340" s="10" t="s">
        <v>4790</v>
      </c>
      <c r="E1340" s="13">
        <v>12289.2</v>
      </c>
      <c r="F1340" s="129">
        <v>60157080</v>
      </c>
      <c r="G1340" s="10" t="s">
        <v>280</v>
      </c>
      <c r="H1340" s="10" t="s">
        <v>216</v>
      </c>
      <c r="I1340" s="10" t="s">
        <v>4957</v>
      </c>
    </row>
    <row r="1341" spans="1:9" x14ac:dyDescent="0.2">
      <c r="A1341" s="10" t="s">
        <v>4801</v>
      </c>
      <c r="B1341" s="10">
        <v>1000141058</v>
      </c>
      <c r="C1341" s="10" t="s">
        <v>4795</v>
      </c>
      <c r="D1341" s="10" t="s">
        <v>4800</v>
      </c>
      <c r="E1341" s="13">
        <v>33300.480000000003</v>
      </c>
      <c r="F1341" s="129">
        <v>60155352</v>
      </c>
      <c r="G1341" s="10"/>
      <c r="H1341" s="10" t="s">
        <v>216</v>
      </c>
      <c r="I1341" s="10"/>
    </row>
    <row r="1342" spans="1:9" x14ac:dyDescent="0.2">
      <c r="A1342" s="10" t="s">
        <v>4802</v>
      </c>
      <c r="B1342" s="10">
        <v>1000141058</v>
      </c>
      <c r="C1342" s="10" t="s">
        <v>4795</v>
      </c>
      <c r="D1342" s="10" t="s">
        <v>4803</v>
      </c>
      <c r="E1342" s="13">
        <v>6240</v>
      </c>
      <c r="F1342" s="129" t="s">
        <v>431</v>
      </c>
      <c r="G1342" s="10"/>
      <c r="H1342" s="10" t="s">
        <v>216</v>
      </c>
      <c r="I1342" s="10"/>
    </row>
    <row r="1343" spans="1:9" x14ac:dyDescent="0.2">
      <c r="A1343" s="10" t="s">
        <v>4804</v>
      </c>
      <c r="B1343" s="10">
        <v>1000145044</v>
      </c>
      <c r="C1343" s="10" t="s">
        <v>4795</v>
      </c>
      <c r="D1343" s="10" t="s">
        <v>4805</v>
      </c>
      <c r="E1343" s="13">
        <v>43260</v>
      </c>
      <c r="F1343" s="129">
        <v>60158281</v>
      </c>
      <c r="G1343" s="10"/>
      <c r="H1343" s="10" t="s">
        <v>1476</v>
      </c>
      <c r="I1343" s="10"/>
    </row>
    <row r="1344" spans="1:9" x14ac:dyDescent="0.2">
      <c r="A1344" s="10" t="s">
        <v>4797</v>
      </c>
      <c r="B1344" s="10">
        <v>1000079359</v>
      </c>
      <c r="C1344" s="10" t="s">
        <v>4795</v>
      </c>
      <c r="D1344" s="10" t="s">
        <v>4796</v>
      </c>
      <c r="E1344" s="13">
        <v>20224.8</v>
      </c>
      <c r="F1344" s="129" t="s">
        <v>431</v>
      </c>
      <c r="G1344" s="10"/>
      <c r="H1344" s="10" t="s">
        <v>4069</v>
      </c>
      <c r="I1344" s="10"/>
    </row>
    <row r="1345" spans="1:9" x14ac:dyDescent="0.2">
      <c r="A1345" s="10" t="s">
        <v>4798</v>
      </c>
      <c r="B1345" s="10">
        <v>1000079359</v>
      </c>
      <c r="C1345" s="10" t="s">
        <v>4795</v>
      </c>
      <c r="D1345" s="10" t="s">
        <v>4799</v>
      </c>
      <c r="E1345" s="13">
        <v>11304</v>
      </c>
      <c r="F1345" s="129">
        <v>60159516</v>
      </c>
      <c r="G1345" s="10"/>
      <c r="H1345" s="10" t="s">
        <v>4069</v>
      </c>
      <c r="I1345" s="10"/>
    </row>
    <row r="1346" spans="1:9" x14ac:dyDescent="0.2">
      <c r="A1346" s="10" t="s">
        <v>4806</v>
      </c>
      <c r="B1346" s="10">
        <v>1000079359</v>
      </c>
      <c r="C1346" s="10" t="s">
        <v>4795</v>
      </c>
      <c r="D1346" s="10" t="s">
        <v>4807</v>
      </c>
      <c r="E1346" s="13">
        <v>11304</v>
      </c>
      <c r="F1346" s="129">
        <v>60159493</v>
      </c>
      <c r="G1346" s="10"/>
      <c r="H1346" s="10" t="s">
        <v>3845</v>
      </c>
      <c r="I1346" s="10"/>
    </row>
    <row r="1347" spans="1:9" x14ac:dyDescent="0.2">
      <c r="A1347" s="10" t="s">
        <v>4808</v>
      </c>
      <c r="B1347" s="10">
        <v>1000079359</v>
      </c>
      <c r="C1347" s="10" t="s">
        <v>4795</v>
      </c>
      <c r="D1347" s="10" t="s">
        <v>4809</v>
      </c>
      <c r="E1347" s="13">
        <v>38102.400000000001</v>
      </c>
      <c r="F1347" s="129" t="s">
        <v>431</v>
      </c>
      <c r="G1347" s="10"/>
      <c r="H1347" s="10" t="s">
        <v>4228</v>
      </c>
      <c r="I1347" s="10"/>
    </row>
    <row r="1348" spans="1:9" x14ac:dyDescent="0.2">
      <c r="A1348" s="10" t="s">
        <v>4810</v>
      </c>
      <c r="B1348" s="10">
        <v>1000079359</v>
      </c>
      <c r="C1348" s="10" t="s">
        <v>4795</v>
      </c>
      <c r="D1348" s="10" t="s">
        <v>4811</v>
      </c>
      <c r="E1348" s="13">
        <v>24303.599999999999</v>
      </c>
      <c r="F1348" s="129" t="s">
        <v>431</v>
      </c>
      <c r="G1348" s="10"/>
      <c r="H1348" s="10" t="s">
        <v>4519</v>
      </c>
      <c r="I1348" s="10"/>
    </row>
    <row r="1349" spans="1:9" x14ac:dyDescent="0.2">
      <c r="A1349" s="10" t="s">
        <v>4812</v>
      </c>
      <c r="B1349" s="10">
        <v>1000079359</v>
      </c>
      <c r="C1349" s="10" t="s">
        <v>4795</v>
      </c>
      <c r="D1349" s="10" t="s">
        <v>4813</v>
      </c>
      <c r="E1349" s="13">
        <v>6013.2</v>
      </c>
      <c r="F1349" s="129" t="s">
        <v>431</v>
      </c>
      <c r="G1349" s="10"/>
      <c r="H1349" s="10" t="s">
        <v>952</v>
      </c>
      <c r="I1349" s="10"/>
    </row>
    <row r="1350" spans="1:9" s="751" customFormat="1" x14ac:dyDescent="0.2">
      <c r="A1350" s="129" t="s">
        <v>4814</v>
      </c>
      <c r="B1350" s="10">
        <v>1000079359</v>
      </c>
      <c r="C1350" s="10" t="s">
        <v>4795</v>
      </c>
      <c r="D1350" s="129" t="s">
        <v>4815</v>
      </c>
      <c r="E1350" s="750">
        <v>10540.8</v>
      </c>
      <c r="F1350" s="129">
        <v>60157085</v>
      </c>
      <c r="G1350" s="129"/>
      <c r="H1350" s="129" t="s">
        <v>161</v>
      </c>
      <c r="I1350" s="129"/>
    </row>
    <row r="1351" spans="1:9" s="751" customFormat="1" x14ac:dyDescent="0.2">
      <c r="A1351" s="129" t="s">
        <v>4816</v>
      </c>
      <c r="B1351" s="10">
        <v>1000079359</v>
      </c>
      <c r="C1351" s="10" t="s">
        <v>4795</v>
      </c>
      <c r="D1351" s="129" t="s">
        <v>4817</v>
      </c>
      <c r="E1351" s="750">
        <v>11712</v>
      </c>
      <c r="F1351" s="129">
        <v>60157071</v>
      </c>
      <c r="G1351" s="129"/>
      <c r="H1351" s="129" t="s">
        <v>161</v>
      </c>
      <c r="I1351" s="129"/>
    </row>
    <row r="1352" spans="1:9" x14ac:dyDescent="0.2">
      <c r="A1352" s="10" t="s">
        <v>4818</v>
      </c>
      <c r="B1352" s="10">
        <v>1000079359</v>
      </c>
      <c r="C1352" s="10" t="s">
        <v>4795</v>
      </c>
      <c r="D1352" s="10" t="s">
        <v>4819</v>
      </c>
      <c r="E1352" s="13">
        <v>11304</v>
      </c>
      <c r="F1352" s="129">
        <v>60157861</v>
      </c>
      <c r="G1352" s="10"/>
      <c r="H1352" s="10" t="s">
        <v>994</v>
      </c>
      <c r="I1352" s="10"/>
    </row>
    <row r="1353" spans="1:9" x14ac:dyDescent="0.2">
      <c r="A1353" s="10" t="s">
        <v>4820</v>
      </c>
      <c r="B1353" s="10">
        <v>1000079359</v>
      </c>
      <c r="C1353" s="10" t="s">
        <v>4795</v>
      </c>
      <c r="D1353" s="10" t="s">
        <v>4821</v>
      </c>
      <c r="E1353" s="13">
        <v>6552</v>
      </c>
      <c r="F1353" s="129" t="s">
        <v>431</v>
      </c>
      <c r="G1353" s="10"/>
      <c r="H1353" s="10" t="s">
        <v>4677</v>
      </c>
      <c r="I1353" s="10"/>
    </row>
    <row r="1354" spans="1:9" x14ac:dyDescent="0.2">
      <c r="A1354" s="10" t="s">
        <v>4822</v>
      </c>
      <c r="B1354" s="10">
        <v>1000079359</v>
      </c>
      <c r="C1354" s="10" t="s">
        <v>4795</v>
      </c>
      <c r="D1354" s="10" t="s">
        <v>4823</v>
      </c>
      <c r="E1354" s="13">
        <v>12289.2</v>
      </c>
      <c r="F1354" s="129">
        <v>60157857</v>
      </c>
      <c r="G1354" s="10"/>
      <c r="H1354" s="10" t="s">
        <v>216</v>
      </c>
      <c r="I1354" s="10"/>
    </row>
    <row r="1355" spans="1:9" x14ac:dyDescent="0.2">
      <c r="A1355" s="10" t="s">
        <v>4824</v>
      </c>
      <c r="B1355" s="10">
        <v>1000079359</v>
      </c>
      <c r="C1355" s="10" t="s">
        <v>4795</v>
      </c>
      <c r="D1355" s="10" t="s">
        <v>4825</v>
      </c>
      <c r="E1355" s="13">
        <v>50834.400000000001</v>
      </c>
      <c r="F1355" s="129" t="s">
        <v>431</v>
      </c>
      <c r="G1355" s="10"/>
      <c r="H1355" s="10" t="s">
        <v>216</v>
      </c>
      <c r="I1355" s="10"/>
    </row>
    <row r="1356" spans="1:9" x14ac:dyDescent="0.2">
      <c r="A1356" s="10" t="s">
        <v>4826</v>
      </c>
      <c r="B1356" s="10">
        <v>1000079359</v>
      </c>
      <c r="C1356" s="10" t="s">
        <v>4795</v>
      </c>
      <c r="D1356" s="10" t="s">
        <v>4827</v>
      </c>
      <c r="E1356" s="13">
        <v>10728</v>
      </c>
      <c r="F1356" s="129">
        <v>60159524</v>
      </c>
      <c r="G1356" s="10"/>
      <c r="H1356" s="10" t="s">
        <v>4069</v>
      </c>
      <c r="I1356" s="10"/>
    </row>
    <row r="1357" spans="1:9" x14ac:dyDescent="0.2">
      <c r="A1357" s="10" t="s">
        <v>4828</v>
      </c>
      <c r="B1357" s="10">
        <v>1000079359</v>
      </c>
      <c r="C1357" s="10" t="s">
        <v>4795</v>
      </c>
      <c r="D1357" s="10" t="s">
        <v>4829</v>
      </c>
      <c r="E1357" s="13">
        <v>11304</v>
      </c>
      <c r="F1357" s="129">
        <v>60159488</v>
      </c>
      <c r="G1357" s="10"/>
      <c r="H1357" s="10" t="s">
        <v>216</v>
      </c>
      <c r="I1357" s="10"/>
    </row>
    <row r="1358" spans="1:9" x14ac:dyDescent="0.2">
      <c r="A1358" s="10" t="s">
        <v>4830</v>
      </c>
      <c r="B1358" s="10">
        <v>1000079359</v>
      </c>
      <c r="C1358" s="10" t="s">
        <v>4795</v>
      </c>
      <c r="D1358" s="10" t="s">
        <v>4831</v>
      </c>
      <c r="E1358" s="13">
        <v>10173.6</v>
      </c>
      <c r="F1358" s="129">
        <v>60159521</v>
      </c>
      <c r="G1358" s="10"/>
      <c r="H1358" s="10" t="s">
        <v>4069</v>
      </c>
      <c r="I1358" s="10"/>
    </row>
    <row r="1359" spans="1:9" x14ac:dyDescent="0.2">
      <c r="A1359" s="10" t="s">
        <v>4832</v>
      </c>
      <c r="B1359" s="10">
        <v>1000079359</v>
      </c>
      <c r="C1359" s="10" t="s">
        <v>4795</v>
      </c>
      <c r="D1359" s="10" t="s">
        <v>4833</v>
      </c>
      <c r="E1359" s="13">
        <v>4527.6000000000004</v>
      </c>
      <c r="F1359" s="129" t="s">
        <v>431</v>
      </c>
      <c r="G1359" s="10"/>
      <c r="H1359" s="10" t="s">
        <v>4127</v>
      </c>
      <c r="I1359" s="10"/>
    </row>
    <row r="1360" spans="1:9" x14ac:dyDescent="0.2">
      <c r="A1360" s="10" t="s">
        <v>4834</v>
      </c>
      <c r="B1360" s="10">
        <v>1000079359</v>
      </c>
      <c r="C1360" s="10" t="s">
        <v>4795</v>
      </c>
      <c r="D1360" s="10" t="s">
        <v>4835</v>
      </c>
      <c r="E1360" s="13">
        <v>12745.2</v>
      </c>
      <c r="F1360" s="129">
        <v>60155341</v>
      </c>
      <c r="G1360" s="10"/>
      <c r="H1360" s="10" t="s">
        <v>216</v>
      </c>
      <c r="I1360" s="10"/>
    </row>
    <row r="1361" spans="1:9" x14ac:dyDescent="0.2">
      <c r="A1361" s="10" t="s">
        <v>4836</v>
      </c>
      <c r="B1361" s="10">
        <v>1000079359</v>
      </c>
      <c r="C1361" s="10" t="s">
        <v>4795</v>
      </c>
      <c r="D1361" s="10" t="s">
        <v>4837</v>
      </c>
      <c r="E1361" s="13">
        <v>8478</v>
      </c>
      <c r="F1361" s="129">
        <v>60153961</v>
      </c>
      <c r="G1361" s="10"/>
      <c r="H1361" s="10" t="s">
        <v>3215</v>
      </c>
      <c r="I1361" s="10"/>
    </row>
    <row r="1362" spans="1:9" x14ac:dyDescent="0.2">
      <c r="A1362" s="10" t="s">
        <v>4838</v>
      </c>
      <c r="B1362" s="10">
        <v>1000079359</v>
      </c>
      <c r="C1362" s="10" t="s">
        <v>4795</v>
      </c>
      <c r="D1362" s="10" t="s">
        <v>4839</v>
      </c>
      <c r="E1362" s="13">
        <v>11304</v>
      </c>
      <c r="F1362" s="129">
        <v>60107951</v>
      </c>
      <c r="G1362" s="10"/>
      <c r="H1362" s="10" t="s">
        <v>3636</v>
      </c>
      <c r="I1362" s="10"/>
    </row>
    <row r="1363" spans="1:9" x14ac:dyDescent="0.2">
      <c r="A1363" s="10" t="s">
        <v>4840</v>
      </c>
      <c r="B1363" s="10">
        <v>1000079359</v>
      </c>
      <c r="C1363" s="10" t="s">
        <v>4795</v>
      </c>
      <c r="D1363" s="10" t="s">
        <v>4841</v>
      </c>
      <c r="E1363" s="13">
        <v>11112</v>
      </c>
      <c r="F1363" s="129">
        <v>60159498</v>
      </c>
      <c r="G1363" s="10"/>
      <c r="H1363" s="10" t="s">
        <v>3636</v>
      </c>
      <c r="I1363" s="10"/>
    </row>
    <row r="1364" spans="1:9" x14ac:dyDescent="0.2">
      <c r="A1364" s="10" t="s">
        <v>4842</v>
      </c>
      <c r="B1364" s="10">
        <v>1000079359</v>
      </c>
      <c r="C1364" s="10" t="s">
        <v>4795</v>
      </c>
      <c r="D1364" s="10" t="s">
        <v>4843</v>
      </c>
      <c r="E1364" s="13">
        <v>3744</v>
      </c>
      <c r="F1364" s="129">
        <v>60107951</v>
      </c>
      <c r="G1364" s="10"/>
      <c r="H1364" s="10" t="s">
        <v>211</v>
      </c>
      <c r="I1364" s="10"/>
    </row>
    <row r="1365" spans="1:9" x14ac:dyDescent="0.2">
      <c r="A1365" s="10" t="s">
        <v>4844</v>
      </c>
      <c r="B1365" s="10">
        <v>1000079359</v>
      </c>
      <c r="C1365" s="10" t="s">
        <v>4795</v>
      </c>
      <c r="D1365" s="10" t="s">
        <v>4845</v>
      </c>
      <c r="E1365" s="13">
        <v>8198.4</v>
      </c>
      <c r="F1365" s="129" t="s">
        <v>431</v>
      </c>
      <c r="G1365" s="10"/>
      <c r="H1365" s="10" t="s">
        <v>216</v>
      </c>
      <c r="I1365" s="10"/>
    </row>
    <row r="1366" spans="1:9" x14ac:dyDescent="0.2">
      <c r="A1366" s="10" t="s">
        <v>4846</v>
      </c>
      <c r="B1366" s="10">
        <v>1000079359</v>
      </c>
      <c r="C1366" s="10" t="s">
        <v>4795</v>
      </c>
      <c r="D1366" s="10" t="s">
        <v>4847</v>
      </c>
      <c r="E1366" s="13">
        <v>11712</v>
      </c>
      <c r="F1366" s="129" t="s">
        <v>431</v>
      </c>
      <c r="G1366" s="10"/>
      <c r="H1366" s="10" t="s">
        <v>216</v>
      </c>
      <c r="I1366" s="10"/>
    </row>
    <row r="1367" spans="1:9" x14ac:dyDescent="0.2">
      <c r="A1367" s="10" t="s">
        <v>4848</v>
      </c>
      <c r="B1367" s="10">
        <v>1000079359</v>
      </c>
      <c r="C1367" s="10" t="s">
        <v>4795</v>
      </c>
      <c r="D1367" s="10" t="s">
        <v>4849</v>
      </c>
      <c r="E1367" s="13">
        <v>6780</v>
      </c>
      <c r="F1367" s="129">
        <v>60159517</v>
      </c>
      <c r="G1367" s="10"/>
      <c r="H1367" s="10" t="s">
        <v>1278</v>
      </c>
      <c r="I1367" s="10"/>
    </row>
    <row r="1368" spans="1:9" x14ac:dyDescent="0.2">
      <c r="A1368" s="10" t="s">
        <v>4850</v>
      </c>
      <c r="B1368" s="10">
        <v>1000079359</v>
      </c>
      <c r="C1368" s="10" t="s">
        <v>4795</v>
      </c>
      <c r="D1368" s="10" t="s">
        <v>4851</v>
      </c>
      <c r="E1368" s="13">
        <v>12074.4</v>
      </c>
      <c r="F1368" s="129">
        <v>60159511</v>
      </c>
      <c r="G1368" s="10"/>
      <c r="H1368" s="10" t="s">
        <v>216</v>
      </c>
      <c r="I1368" s="10"/>
    </row>
    <row r="1369" spans="1:9" x14ac:dyDescent="0.2">
      <c r="A1369" s="10" t="s">
        <v>4852</v>
      </c>
      <c r="B1369" s="10">
        <v>1000079359</v>
      </c>
      <c r="C1369" s="10" t="s">
        <v>4795</v>
      </c>
      <c r="D1369" s="10" t="s">
        <v>4853</v>
      </c>
      <c r="E1369" s="13">
        <v>12336</v>
      </c>
      <c r="F1369" s="129" t="s">
        <v>431</v>
      </c>
      <c r="G1369" s="10"/>
      <c r="H1369" s="10" t="s">
        <v>4069</v>
      </c>
      <c r="I1369" s="10"/>
    </row>
    <row r="1370" spans="1:9" x14ac:dyDescent="0.2">
      <c r="A1370" s="10" t="s">
        <v>4854</v>
      </c>
      <c r="B1370" s="10">
        <v>1000079359</v>
      </c>
      <c r="C1370" s="10" t="s">
        <v>4795</v>
      </c>
      <c r="D1370" s="10" t="s">
        <v>4855</v>
      </c>
      <c r="E1370" s="13">
        <v>3354</v>
      </c>
      <c r="F1370" s="129">
        <v>60159492</v>
      </c>
      <c r="G1370" s="10"/>
      <c r="H1370" s="10" t="s">
        <v>216</v>
      </c>
      <c r="I1370" s="10"/>
    </row>
    <row r="1371" spans="1:9" x14ac:dyDescent="0.2">
      <c r="A1371" s="10" t="s">
        <v>4856</v>
      </c>
      <c r="B1371" s="10">
        <v>1000079359</v>
      </c>
      <c r="C1371" s="10" t="s">
        <v>4795</v>
      </c>
      <c r="D1371" s="10" t="s">
        <v>4857</v>
      </c>
      <c r="E1371" s="13">
        <v>11304</v>
      </c>
      <c r="F1371" s="129">
        <v>60159512</v>
      </c>
      <c r="G1371" s="10"/>
      <c r="H1371" s="10" t="s">
        <v>216</v>
      </c>
      <c r="I1371" s="10"/>
    </row>
    <row r="1372" spans="1:9" x14ac:dyDescent="0.2">
      <c r="A1372" s="10" t="s">
        <v>4858</v>
      </c>
      <c r="B1372" s="10">
        <v>1000079359</v>
      </c>
      <c r="C1372" s="10" t="s">
        <v>4795</v>
      </c>
      <c r="D1372" s="10" t="s">
        <v>4859</v>
      </c>
      <c r="E1372" s="13">
        <v>12336</v>
      </c>
      <c r="F1372" s="129" t="s">
        <v>431</v>
      </c>
      <c r="G1372" s="10"/>
      <c r="H1372" s="10" t="s">
        <v>4069</v>
      </c>
      <c r="I1372" s="10"/>
    </row>
    <row r="1373" spans="1:9" x14ac:dyDescent="0.2">
      <c r="A1373" s="10" t="s">
        <v>4860</v>
      </c>
      <c r="B1373" s="10">
        <v>1000079359</v>
      </c>
      <c r="C1373" s="10" t="s">
        <v>4795</v>
      </c>
      <c r="D1373" s="10" t="s">
        <v>4861</v>
      </c>
      <c r="E1373" s="13">
        <v>11126.4</v>
      </c>
      <c r="F1373" s="129">
        <v>60157081</v>
      </c>
      <c r="G1373" s="10"/>
      <c r="H1373" s="10" t="s">
        <v>216</v>
      </c>
      <c r="I1373" s="10"/>
    </row>
    <row r="1374" spans="1:9" x14ac:dyDescent="0.2">
      <c r="A1374" s="10" t="s">
        <v>4862</v>
      </c>
      <c r="B1374" s="10">
        <v>1000079359</v>
      </c>
      <c r="C1374" s="10" t="s">
        <v>4795</v>
      </c>
      <c r="D1374" s="10" t="s">
        <v>4863</v>
      </c>
      <c r="E1374" s="13">
        <v>11304</v>
      </c>
      <c r="F1374" s="129" t="s">
        <v>431</v>
      </c>
      <c r="G1374" s="10"/>
      <c r="H1374" s="10" t="s">
        <v>4069</v>
      </c>
      <c r="I1374" s="10"/>
    </row>
    <row r="1375" spans="1:9" x14ac:dyDescent="0.2">
      <c r="A1375" s="10" t="s">
        <v>4864</v>
      </c>
      <c r="B1375" s="10">
        <v>1000079359</v>
      </c>
      <c r="C1375" s="10" t="s">
        <v>4795</v>
      </c>
      <c r="D1375" s="10" t="s">
        <v>4865</v>
      </c>
      <c r="E1375" s="13">
        <v>3369.6</v>
      </c>
      <c r="F1375" s="129">
        <v>60159485</v>
      </c>
      <c r="G1375" s="10"/>
      <c r="H1375" s="10" t="s">
        <v>171</v>
      </c>
      <c r="I1375" s="10"/>
    </row>
    <row r="1376" spans="1:9" x14ac:dyDescent="0.2">
      <c r="A1376" s="10" t="s">
        <v>4866</v>
      </c>
      <c r="B1376" s="10">
        <v>1000079359</v>
      </c>
      <c r="C1376" s="10" t="s">
        <v>4795</v>
      </c>
      <c r="D1376" s="10" t="s">
        <v>4867</v>
      </c>
      <c r="E1376" s="13">
        <v>11496</v>
      </c>
      <c r="F1376" s="129" t="s">
        <v>431</v>
      </c>
      <c r="G1376" s="10"/>
      <c r="H1376" s="10" t="s">
        <v>4394</v>
      </c>
      <c r="I1376" s="10"/>
    </row>
    <row r="1377" spans="1:9" x14ac:dyDescent="0.2">
      <c r="A1377" s="10" t="s">
        <v>4869</v>
      </c>
      <c r="B1377" s="10">
        <v>1000079359</v>
      </c>
      <c r="C1377" s="10" t="s">
        <v>4795</v>
      </c>
      <c r="D1377" s="10" t="s">
        <v>4868</v>
      </c>
      <c r="E1377" s="13">
        <v>11712</v>
      </c>
      <c r="F1377" s="129" t="s">
        <v>431</v>
      </c>
      <c r="G1377" s="10"/>
      <c r="H1377" s="10" t="s">
        <v>4750</v>
      </c>
      <c r="I1377" s="10"/>
    </row>
    <row r="1378" spans="1:9" x14ac:dyDescent="0.2">
      <c r="A1378" s="10" t="s">
        <v>4870</v>
      </c>
      <c r="B1378" s="10">
        <v>1000079359</v>
      </c>
      <c r="C1378" s="10" t="s">
        <v>4795</v>
      </c>
      <c r="D1378" s="10" t="s">
        <v>4871</v>
      </c>
      <c r="E1378" s="13">
        <v>11496</v>
      </c>
      <c r="F1378" s="129">
        <v>60157084</v>
      </c>
      <c r="G1378" s="10"/>
      <c r="H1378" s="10" t="s">
        <v>216</v>
      </c>
      <c r="I1378" s="10"/>
    </row>
    <row r="1379" spans="1:9" x14ac:dyDescent="0.2">
      <c r="A1379" s="10" t="s">
        <v>4872</v>
      </c>
      <c r="B1379" s="10">
        <v>1000079359</v>
      </c>
      <c r="C1379" s="10" t="s">
        <v>4795</v>
      </c>
      <c r="D1379" s="10" t="s">
        <v>4873</v>
      </c>
      <c r="E1379" s="13">
        <v>11496</v>
      </c>
      <c r="F1379" s="129">
        <v>60159518</v>
      </c>
      <c r="G1379" s="10"/>
      <c r="H1379" s="10" t="s">
        <v>4069</v>
      </c>
      <c r="I1379" s="10"/>
    </row>
    <row r="1380" spans="1:9" x14ac:dyDescent="0.2">
      <c r="A1380" s="10" t="s">
        <v>4874</v>
      </c>
      <c r="B1380" s="10">
        <v>1000079359</v>
      </c>
      <c r="C1380" s="10" t="s">
        <v>4795</v>
      </c>
      <c r="D1380" s="10" t="s">
        <v>4875</v>
      </c>
      <c r="E1380" s="13">
        <v>11712</v>
      </c>
      <c r="F1380" s="129" t="s">
        <v>431</v>
      </c>
      <c r="G1380" s="10"/>
      <c r="H1380" s="10" t="s">
        <v>4069</v>
      </c>
      <c r="I1380" s="10"/>
    </row>
    <row r="1381" spans="1:9" x14ac:dyDescent="0.2">
      <c r="A1381" s="10" t="s">
        <v>4876</v>
      </c>
      <c r="B1381" s="10">
        <v>1000079359</v>
      </c>
      <c r="C1381" s="10" t="s">
        <v>4795</v>
      </c>
      <c r="D1381" s="10" t="s">
        <v>4877</v>
      </c>
      <c r="E1381" s="13">
        <v>10191.6</v>
      </c>
      <c r="F1381" s="129" t="s">
        <v>431</v>
      </c>
      <c r="G1381" s="10"/>
      <c r="H1381" s="10" t="s">
        <v>4069</v>
      </c>
      <c r="I1381" s="10"/>
    </row>
    <row r="1382" spans="1:9" x14ac:dyDescent="0.2">
      <c r="A1382" s="10" t="s">
        <v>4878</v>
      </c>
      <c r="B1382" s="10">
        <v>1000079359</v>
      </c>
      <c r="C1382" s="10" t="s">
        <v>4795</v>
      </c>
      <c r="D1382" s="10" t="s">
        <v>4879</v>
      </c>
      <c r="E1382" s="13">
        <v>10738.8</v>
      </c>
      <c r="F1382" s="129" t="s">
        <v>431</v>
      </c>
      <c r="G1382" s="10"/>
      <c r="H1382" s="10" t="s">
        <v>4049</v>
      </c>
      <c r="I1382" s="10"/>
    </row>
    <row r="1383" spans="1:9" x14ac:dyDescent="0.2">
      <c r="A1383" s="10" t="s">
        <v>4880</v>
      </c>
      <c r="B1383" s="10">
        <v>1000079359</v>
      </c>
      <c r="C1383" s="10" t="s">
        <v>4795</v>
      </c>
      <c r="D1383" s="10" t="s">
        <v>4881</v>
      </c>
      <c r="E1383" s="13">
        <v>11304</v>
      </c>
      <c r="F1383" s="129">
        <v>60155351</v>
      </c>
      <c r="G1383" s="10"/>
      <c r="H1383" s="10" t="s">
        <v>171</v>
      </c>
      <c r="I1383" s="10"/>
    </row>
    <row r="1384" spans="1:9" x14ac:dyDescent="0.2">
      <c r="A1384" s="10" t="s">
        <v>4882</v>
      </c>
      <c r="B1384" s="10">
        <v>1000079359</v>
      </c>
      <c r="C1384" s="10" t="s">
        <v>4795</v>
      </c>
      <c r="D1384" s="10" t="s">
        <v>4883</v>
      </c>
      <c r="E1384" s="13">
        <v>13416</v>
      </c>
      <c r="F1384" s="129">
        <v>60159520</v>
      </c>
      <c r="G1384" s="10"/>
      <c r="H1384" s="10" t="s">
        <v>216</v>
      </c>
      <c r="I1384" s="10"/>
    </row>
    <row r="1385" spans="1:9" x14ac:dyDescent="0.2">
      <c r="A1385" s="10" t="s">
        <v>4884</v>
      </c>
      <c r="B1385" s="10">
        <v>1000079359</v>
      </c>
      <c r="C1385" s="10" t="s">
        <v>4795</v>
      </c>
      <c r="D1385" s="10" t="s">
        <v>4885</v>
      </c>
      <c r="E1385" s="13">
        <v>12745.2</v>
      </c>
      <c r="F1385" s="129">
        <v>60159487</v>
      </c>
      <c r="G1385" s="10"/>
      <c r="H1385" s="10" t="s">
        <v>4769</v>
      </c>
      <c r="I1385" s="10"/>
    </row>
    <row r="1386" spans="1:9" x14ac:dyDescent="0.2">
      <c r="A1386" s="10" t="s">
        <v>4886</v>
      </c>
      <c r="B1386" s="10">
        <v>1000079359</v>
      </c>
      <c r="C1386" s="10" t="s">
        <v>4795</v>
      </c>
      <c r="D1386" s="10" t="s">
        <v>4887</v>
      </c>
      <c r="E1386" s="13">
        <v>11304</v>
      </c>
      <c r="F1386" s="129">
        <v>60159519</v>
      </c>
      <c r="G1386" s="10"/>
      <c r="H1386" s="10" t="s">
        <v>4485</v>
      </c>
      <c r="I1386" s="10"/>
    </row>
    <row r="1387" spans="1:9" x14ac:dyDescent="0.2">
      <c r="A1387" s="10" t="s">
        <v>4888</v>
      </c>
      <c r="B1387" s="10">
        <v>1000079359</v>
      </c>
      <c r="C1387" s="10" t="s">
        <v>4795</v>
      </c>
      <c r="D1387" s="10" t="s">
        <v>4889</v>
      </c>
      <c r="E1387" s="13">
        <v>12163.06</v>
      </c>
      <c r="F1387" s="129" t="s">
        <v>431</v>
      </c>
      <c r="G1387" s="10"/>
      <c r="H1387" s="10" t="s">
        <v>216</v>
      </c>
      <c r="I1387" s="10"/>
    </row>
    <row r="1388" spans="1:9" x14ac:dyDescent="0.2">
      <c r="A1388" s="10" t="s">
        <v>4890</v>
      </c>
      <c r="B1388" s="10">
        <v>1000079359</v>
      </c>
      <c r="C1388" s="10" t="s">
        <v>4795</v>
      </c>
      <c r="D1388" s="10" t="s">
        <v>4891</v>
      </c>
      <c r="E1388" s="13">
        <v>8622</v>
      </c>
      <c r="F1388" s="129">
        <v>60107951</v>
      </c>
      <c r="G1388" s="10"/>
      <c r="H1388" s="10" t="s">
        <v>322</v>
      </c>
      <c r="I1388" s="10"/>
    </row>
    <row r="1389" spans="1:9" x14ac:dyDescent="0.2">
      <c r="A1389" s="10" t="s">
        <v>4892</v>
      </c>
      <c r="B1389" s="10">
        <v>1000079359</v>
      </c>
      <c r="C1389" s="10" t="s">
        <v>4795</v>
      </c>
      <c r="D1389" s="10" t="s">
        <v>4893</v>
      </c>
      <c r="E1389" s="13">
        <v>1706.4</v>
      </c>
      <c r="F1389" s="129" t="s">
        <v>431</v>
      </c>
      <c r="G1389" s="10"/>
      <c r="H1389" s="10" t="s">
        <v>3636</v>
      </c>
      <c r="I1389" s="10"/>
    </row>
    <row r="1390" spans="1:9" x14ac:dyDescent="0.2">
      <c r="A1390" s="10" t="s">
        <v>4894</v>
      </c>
      <c r="B1390" s="10">
        <v>1000079359</v>
      </c>
      <c r="C1390" s="10" t="s">
        <v>4795</v>
      </c>
      <c r="D1390" s="10" t="s">
        <v>4895</v>
      </c>
      <c r="E1390" s="13">
        <v>3369.6</v>
      </c>
      <c r="F1390" s="129" t="s">
        <v>431</v>
      </c>
      <c r="G1390" s="10"/>
      <c r="H1390" s="10" t="s">
        <v>4780</v>
      </c>
      <c r="I1390" s="10"/>
    </row>
    <row r="1391" spans="1:9" x14ac:dyDescent="0.2">
      <c r="A1391" s="10" t="s">
        <v>4896</v>
      </c>
      <c r="B1391" s="10">
        <v>1000079359</v>
      </c>
      <c r="C1391" s="10" t="s">
        <v>4795</v>
      </c>
      <c r="D1391" s="10" t="s">
        <v>4897</v>
      </c>
      <c r="E1391" s="13">
        <v>12074.4</v>
      </c>
      <c r="F1391" s="129" t="s">
        <v>431</v>
      </c>
      <c r="G1391" s="10"/>
      <c r="H1391" s="10" t="s">
        <v>216</v>
      </c>
      <c r="I1391" s="10"/>
    </row>
    <row r="1392" spans="1:9" x14ac:dyDescent="0.2">
      <c r="A1392" s="10" t="s">
        <v>4898</v>
      </c>
      <c r="B1392" s="10">
        <v>1000079359</v>
      </c>
      <c r="C1392" s="10" t="s">
        <v>4795</v>
      </c>
      <c r="D1392" s="10" t="s">
        <v>4899</v>
      </c>
      <c r="E1392" s="13">
        <v>11112</v>
      </c>
      <c r="F1392" s="129" t="s">
        <v>431</v>
      </c>
      <c r="G1392" s="10"/>
      <c r="H1392" s="10" t="s">
        <v>4228</v>
      </c>
      <c r="I1392" s="10"/>
    </row>
    <row r="1393" spans="1:9" x14ac:dyDescent="0.2">
      <c r="A1393" s="10" t="s">
        <v>4900</v>
      </c>
      <c r="B1393" s="10">
        <v>1000079359</v>
      </c>
      <c r="C1393" s="10" t="s">
        <v>4795</v>
      </c>
      <c r="D1393" s="10" t="s">
        <v>4901</v>
      </c>
      <c r="E1393" s="13">
        <v>8622</v>
      </c>
      <c r="F1393" s="129" t="s">
        <v>431</v>
      </c>
      <c r="G1393" s="10"/>
      <c r="H1393" s="10" t="s">
        <v>1278</v>
      </c>
      <c r="I1393" s="10"/>
    </row>
    <row r="1394" spans="1:9" x14ac:dyDescent="0.2">
      <c r="A1394" s="10" t="s">
        <v>4902</v>
      </c>
      <c r="B1394" s="10">
        <v>1000079359</v>
      </c>
      <c r="C1394" s="10" t="s">
        <v>4795</v>
      </c>
      <c r="D1394" s="10" t="s">
        <v>4903</v>
      </c>
      <c r="E1394" s="13">
        <v>10738.8</v>
      </c>
      <c r="F1394" s="129">
        <v>60159510</v>
      </c>
      <c r="G1394" s="10"/>
      <c r="H1394" s="10" t="s">
        <v>4228</v>
      </c>
      <c r="I1394" s="10"/>
    </row>
    <row r="1395" spans="1:9" x14ac:dyDescent="0.2">
      <c r="A1395" s="10" t="s">
        <v>4904</v>
      </c>
      <c r="B1395" s="10">
        <v>1000079359</v>
      </c>
      <c r="C1395" s="10" t="s">
        <v>4795</v>
      </c>
      <c r="D1395" s="10" t="s">
        <v>4905</v>
      </c>
      <c r="E1395" s="13">
        <v>2620.8000000000002</v>
      </c>
      <c r="F1395" s="129" t="s">
        <v>431</v>
      </c>
      <c r="G1395" s="10"/>
      <c r="H1395" s="10" t="s">
        <v>4780</v>
      </c>
      <c r="I1395" s="10"/>
    </row>
    <row r="1396" spans="1:9" x14ac:dyDescent="0.2">
      <c r="A1396" s="10" t="s">
        <v>4906</v>
      </c>
      <c r="B1396" s="10">
        <v>1000079359</v>
      </c>
      <c r="C1396" s="10" t="s">
        <v>4795</v>
      </c>
      <c r="D1396" s="10" t="s">
        <v>4907</v>
      </c>
      <c r="E1396" s="13">
        <v>10995.6</v>
      </c>
      <c r="F1396" s="129" t="s">
        <v>431</v>
      </c>
      <c r="G1396" s="10"/>
      <c r="H1396" s="10" t="s">
        <v>322</v>
      </c>
      <c r="I1396" s="10"/>
    </row>
    <row r="1397" spans="1:9" x14ac:dyDescent="0.2">
      <c r="A1397" s="10" t="s">
        <v>4908</v>
      </c>
      <c r="B1397" s="10">
        <v>1000079359</v>
      </c>
      <c r="C1397" s="10" t="s">
        <v>4795</v>
      </c>
      <c r="D1397" s="10" t="s">
        <v>4909</v>
      </c>
      <c r="E1397" s="13">
        <v>8784</v>
      </c>
      <c r="F1397" s="129" t="s">
        <v>431</v>
      </c>
      <c r="G1397" s="10"/>
      <c r="H1397" s="10" t="s">
        <v>322</v>
      </c>
      <c r="I1397" s="10"/>
    </row>
    <row r="1398" spans="1:9" x14ac:dyDescent="0.2">
      <c r="A1398" s="10" t="s">
        <v>4910</v>
      </c>
      <c r="B1398" s="10">
        <v>1000079359</v>
      </c>
      <c r="C1398" s="10" t="s">
        <v>4795</v>
      </c>
      <c r="D1398" s="10" t="s">
        <v>4911</v>
      </c>
      <c r="E1398" s="13">
        <v>5436</v>
      </c>
      <c r="F1398" s="129" t="s">
        <v>431</v>
      </c>
      <c r="G1398" s="10"/>
      <c r="H1398" s="10" t="s">
        <v>3636</v>
      </c>
      <c r="I1398" s="10"/>
    </row>
    <row r="1399" spans="1:9" x14ac:dyDescent="0.2">
      <c r="A1399" s="10" t="s">
        <v>4912</v>
      </c>
      <c r="B1399" s="10">
        <v>1000079359</v>
      </c>
      <c r="C1399" s="10" t="s">
        <v>4795</v>
      </c>
      <c r="D1399" s="10" t="s">
        <v>4913</v>
      </c>
      <c r="E1399" s="13">
        <v>7612.8</v>
      </c>
      <c r="F1399" s="129" t="s">
        <v>431</v>
      </c>
      <c r="G1399" s="10"/>
      <c r="H1399" s="10" t="s">
        <v>3636</v>
      </c>
      <c r="I1399" s="10"/>
    </row>
    <row r="1400" spans="1:9" x14ac:dyDescent="0.2">
      <c r="A1400" s="10" t="s">
        <v>4914</v>
      </c>
      <c r="B1400" s="10">
        <v>1000079359</v>
      </c>
      <c r="C1400" s="10" t="s">
        <v>4795</v>
      </c>
      <c r="D1400" s="10" t="s">
        <v>4915</v>
      </c>
      <c r="E1400" s="13">
        <v>1684.8</v>
      </c>
      <c r="F1400" s="129" t="s">
        <v>431</v>
      </c>
      <c r="G1400" s="10"/>
      <c r="H1400" s="10" t="s">
        <v>4780</v>
      </c>
      <c r="I1400" s="10"/>
    </row>
    <row r="1401" spans="1:9" x14ac:dyDescent="0.2">
      <c r="A1401" s="10" t="s">
        <v>4916</v>
      </c>
      <c r="B1401" s="10">
        <v>1000079359</v>
      </c>
      <c r="C1401" s="10" t="s">
        <v>4795</v>
      </c>
      <c r="D1401" s="10" t="s">
        <v>4917</v>
      </c>
      <c r="E1401" s="13">
        <v>840</v>
      </c>
      <c r="F1401" s="129" t="s">
        <v>431</v>
      </c>
      <c r="G1401" s="10"/>
      <c r="H1401" s="10" t="s">
        <v>216</v>
      </c>
      <c r="I1401" s="10"/>
    </row>
    <row r="1402" spans="1:9" x14ac:dyDescent="0.2">
      <c r="A1402" s="10" t="s">
        <v>4918</v>
      </c>
      <c r="B1402" s="10">
        <v>1000079359</v>
      </c>
      <c r="C1402" s="10" t="s">
        <v>4795</v>
      </c>
      <c r="D1402" s="10" t="s">
        <v>4919</v>
      </c>
      <c r="E1402" s="13">
        <v>11304</v>
      </c>
      <c r="F1402" s="129" t="s">
        <v>431</v>
      </c>
      <c r="G1402" s="10"/>
      <c r="H1402" s="10" t="s">
        <v>4780</v>
      </c>
      <c r="I1402" s="10"/>
    </row>
    <row r="1403" spans="1:9" x14ac:dyDescent="0.2">
      <c r="A1403" s="10" t="s">
        <v>4920</v>
      </c>
      <c r="B1403" s="10">
        <v>1000079359</v>
      </c>
      <c r="C1403" s="10" t="s">
        <v>4795</v>
      </c>
      <c r="D1403" s="10" t="s">
        <v>4921</v>
      </c>
      <c r="E1403" s="13">
        <v>12936</v>
      </c>
      <c r="F1403" s="129">
        <v>60157083</v>
      </c>
      <c r="G1403" s="10"/>
      <c r="H1403" s="10" t="s">
        <v>2423</v>
      </c>
      <c r="I1403" s="10"/>
    </row>
    <row r="1404" spans="1:9" x14ac:dyDescent="0.2">
      <c r="A1404" s="10" t="s">
        <v>4922</v>
      </c>
      <c r="B1404" s="10">
        <v>1000079359</v>
      </c>
      <c r="C1404" s="10" t="s">
        <v>4795</v>
      </c>
      <c r="D1404" s="10" t="s">
        <v>4923</v>
      </c>
      <c r="E1404" s="13">
        <v>10062</v>
      </c>
      <c r="F1404" s="129">
        <v>60159523</v>
      </c>
      <c r="G1404" s="10"/>
      <c r="H1404" s="10" t="s">
        <v>216</v>
      </c>
      <c r="I1404" s="10"/>
    </row>
    <row r="1405" spans="1:9" x14ac:dyDescent="0.2">
      <c r="A1405" s="10" t="s">
        <v>4924</v>
      </c>
      <c r="B1405" s="10">
        <v>1000079359</v>
      </c>
      <c r="C1405" s="10" t="s">
        <v>4795</v>
      </c>
      <c r="D1405" s="10" t="s">
        <v>4925</v>
      </c>
      <c r="E1405" s="13">
        <v>10921.2</v>
      </c>
      <c r="F1405" s="129">
        <v>60159514</v>
      </c>
      <c r="G1405" s="10"/>
      <c r="H1405" s="10" t="s">
        <v>4656</v>
      </c>
      <c r="I1405" s="10"/>
    </row>
    <row r="1406" spans="1:9" x14ac:dyDescent="0.2">
      <c r="A1406" s="10" t="s">
        <v>4926</v>
      </c>
      <c r="B1406" s="10">
        <v>1000079359</v>
      </c>
      <c r="C1406" s="10" t="s">
        <v>4795</v>
      </c>
      <c r="D1406" s="10" t="s">
        <v>4927</v>
      </c>
      <c r="E1406" s="13">
        <v>43044</v>
      </c>
      <c r="F1406" s="129" t="s">
        <v>431</v>
      </c>
      <c r="G1406" s="10"/>
      <c r="H1406" s="10" t="s">
        <v>1278</v>
      </c>
      <c r="I1406" s="10"/>
    </row>
    <row r="1407" spans="1:9" x14ac:dyDescent="0.2">
      <c r="A1407" s="10" t="s">
        <v>4928</v>
      </c>
      <c r="B1407" s="10">
        <v>1000079359</v>
      </c>
      <c r="C1407" s="10" t="s">
        <v>4795</v>
      </c>
      <c r="D1407" s="10" t="s">
        <v>4929</v>
      </c>
      <c r="E1407" s="13">
        <v>11126.4</v>
      </c>
      <c r="F1407" s="129">
        <v>60107951</v>
      </c>
      <c r="G1407" s="10"/>
      <c r="H1407" s="10" t="s">
        <v>216</v>
      </c>
      <c r="I1407" s="10"/>
    </row>
    <row r="1408" spans="1:9" x14ac:dyDescent="0.2">
      <c r="A1408" s="10" t="s">
        <v>4930</v>
      </c>
      <c r="B1408" s="10">
        <v>1000079359</v>
      </c>
      <c r="C1408" s="10" t="s">
        <v>4795</v>
      </c>
      <c r="D1408" s="10" t="s">
        <v>4931</v>
      </c>
      <c r="E1408" s="13">
        <v>12289.2</v>
      </c>
      <c r="F1408" s="129">
        <v>60157080</v>
      </c>
      <c r="G1408" s="10"/>
      <c r="H1408" s="10" t="s">
        <v>216</v>
      </c>
      <c r="I1408" s="10"/>
    </row>
    <row r="1409" spans="1:9" x14ac:dyDescent="0.2">
      <c r="A1409" s="10" t="s">
        <v>4932</v>
      </c>
      <c r="B1409" s="10">
        <v>1000079359</v>
      </c>
      <c r="C1409" s="10" t="s">
        <v>4795</v>
      </c>
      <c r="D1409" s="10" t="s">
        <v>4933</v>
      </c>
      <c r="E1409" s="13">
        <v>54225.599999999999</v>
      </c>
      <c r="F1409" s="129" t="s">
        <v>431</v>
      </c>
      <c r="G1409" s="10"/>
      <c r="H1409" s="10" t="s">
        <v>4072</v>
      </c>
      <c r="I1409" s="10"/>
    </row>
    <row r="1410" spans="1:9" x14ac:dyDescent="0.2">
      <c r="A1410" s="10" t="s">
        <v>4934</v>
      </c>
      <c r="B1410" s="10">
        <v>1000079359</v>
      </c>
      <c r="C1410" s="10" t="s">
        <v>4795</v>
      </c>
      <c r="D1410" s="10" t="s">
        <v>4935</v>
      </c>
      <c r="E1410" s="13">
        <v>5576.4</v>
      </c>
      <c r="F1410" s="129" t="s">
        <v>431</v>
      </c>
      <c r="G1410" s="10"/>
      <c r="H1410" s="10" t="s">
        <v>4072</v>
      </c>
      <c r="I1410" s="10"/>
    </row>
    <row r="1411" spans="1:9" x14ac:dyDescent="0.2">
      <c r="A1411" s="10" t="s">
        <v>4936</v>
      </c>
      <c r="B1411" s="10">
        <v>1000125792</v>
      </c>
      <c r="C1411" s="10" t="s">
        <v>4795</v>
      </c>
      <c r="D1411" s="10" t="s">
        <v>4937</v>
      </c>
      <c r="E1411" s="13">
        <v>24183.599999999999</v>
      </c>
      <c r="F1411" s="129" t="s">
        <v>431</v>
      </c>
      <c r="G1411" s="10"/>
      <c r="H1411" s="10" t="s">
        <v>3501</v>
      </c>
      <c r="I1411" s="10"/>
    </row>
    <row r="1412" spans="1:9" x14ac:dyDescent="0.2">
      <c r="A1412" s="10" t="s">
        <v>4938</v>
      </c>
      <c r="B1412" s="10">
        <v>1000095634</v>
      </c>
      <c r="C1412" s="10" t="s">
        <v>4795</v>
      </c>
      <c r="D1412" s="10" t="s">
        <v>4940</v>
      </c>
      <c r="E1412" s="13">
        <v>8403.6</v>
      </c>
      <c r="F1412" s="129" t="s">
        <v>431</v>
      </c>
      <c r="G1412" s="10"/>
      <c r="H1412" s="10" t="s">
        <v>4939</v>
      </c>
      <c r="I1412" s="10"/>
    </row>
    <row r="1413" spans="1:9" x14ac:dyDescent="0.2">
      <c r="A1413" s="10" t="s">
        <v>4941</v>
      </c>
      <c r="B1413" s="10">
        <v>1000095634</v>
      </c>
      <c r="C1413" s="10" t="s">
        <v>4795</v>
      </c>
      <c r="D1413" s="10" t="s">
        <v>4942</v>
      </c>
      <c r="E1413" s="13">
        <v>10906.8</v>
      </c>
      <c r="F1413" s="129" t="s">
        <v>431</v>
      </c>
      <c r="G1413" s="10"/>
      <c r="H1413" s="10" t="s">
        <v>4939</v>
      </c>
      <c r="I1413" s="10"/>
    </row>
    <row r="1414" spans="1:9" x14ac:dyDescent="0.2">
      <c r="A1414" s="10" t="s">
        <v>4943</v>
      </c>
      <c r="B1414" s="10">
        <v>1000095634</v>
      </c>
      <c r="C1414" s="10" t="s">
        <v>4795</v>
      </c>
      <c r="D1414" s="10" t="s">
        <v>4944</v>
      </c>
      <c r="E1414" s="13">
        <v>12676.8</v>
      </c>
      <c r="F1414" s="129" t="s">
        <v>431</v>
      </c>
      <c r="G1414" s="10"/>
      <c r="H1414" s="10" t="s">
        <v>4939</v>
      </c>
      <c r="I1414" s="10"/>
    </row>
    <row r="1415" spans="1:9" x14ac:dyDescent="0.2">
      <c r="A1415" s="10" t="s">
        <v>4945</v>
      </c>
      <c r="B1415" s="10">
        <v>1000095634</v>
      </c>
      <c r="C1415" s="10" t="s">
        <v>4795</v>
      </c>
      <c r="D1415" s="10" t="s">
        <v>4946</v>
      </c>
      <c r="E1415" s="13">
        <v>7280.4</v>
      </c>
      <c r="F1415" s="129" t="s">
        <v>431</v>
      </c>
      <c r="G1415" s="10"/>
      <c r="H1415" s="10" t="s">
        <v>4939</v>
      </c>
      <c r="I1415" s="10"/>
    </row>
    <row r="1416" spans="1:9" x14ac:dyDescent="0.2">
      <c r="A1416" s="10" t="s">
        <v>4947</v>
      </c>
      <c r="B1416" s="10">
        <v>1000116575</v>
      </c>
      <c r="C1416" s="10" t="s">
        <v>4795</v>
      </c>
      <c r="D1416" s="10" t="s">
        <v>4948</v>
      </c>
      <c r="E1416" s="13">
        <v>3223.2</v>
      </c>
      <c r="F1416" s="129">
        <v>60147206</v>
      </c>
      <c r="G1416" s="10"/>
      <c r="H1416" s="10" t="s">
        <v>2423</v>
      </c>
      <c r="I1416" s="10"/>
    </row>
    <row r="1417" spans="1:9" x14ac:dyDescent="0.2">
      <c r="A1417" s="10" t="s">
        <v>4949</v>
      </c>
      <c r="B1417" s="10">
        <v>1000105043</v>
      </c>
      <c r="C1417" s="10" t="s">
        <v>4795</v>
      </c>
      <c r="D1417" s="10" t="s">
        <v>4950</v>
      </c>
      <c r="E1417" s="13">
        <v>29453.759999999998</v>
      </c>
      <c r="F1417" s="129" t="s">
        <v>431</v>
      </c>
      <c r="G1417" s="10"/>
      <c r="H1417" s="10" t="s">
        <v>1476</v>
      </c>
      <c r="I1417" s="10"/>
    </row>
    <row r="1418" spans="1:9" x14ac:dyDescent="0.2">
      <c r="A1418" s="10" t="s">
        <v>4951</v>
      </c>
      <c r="B1418" s="10">
        <v>1000105043</v>
      </c>
      <c r="C1418" s="10" t="s">
        <v>4795</v>
      </c>
      <c r="D1418" s="10" t="s">
        <v>4952</v>
      </c>
      <c r="E1418" s="13">
        <v>8568</v>
      </c>
      <c r="F1418" s="129" t="s">
        <v>431</v>
      </c>
      <c r="G1418" s="10"/>
      <c r="H1418" s="10" t="s">
        <v>1476</v>
      </c>
      <c r="I1418" s="10"/>
    </row>
    <row r="1419" spans="1:9" x14ac:dyDescent="0.2">
      <c r="A1419" s="10" t="s">
        <v>4953</v>
      </c>
      <c r="B1419" s="10">
        <v>1000105043</v>
      </c>
      <c r="C1419" s="10" t="s">
        <v>4795</v>
      </c>
      <c r="D1419" s="10" t="s">
        <v>4954</v>
      </c>
      <c r="E1419" s="13">
        <v>32520.959999999999</v>
      </c>
      <c r="F1419" s="129">
        <v>60157082</v>
      </c>
      <c r="G1419" s="10"/>
      <c r="H1419" s="10" t="s">
        <v>161</v>
      </c>
      <c r="I1419" s="10"/>
    </row>
    <row r="1420" spans="1:9" x14ac:dyDescent="0.2">
      <c r="A1420" s="10" t="s">
        <v>4955</v>
      </c>
      <c r="B1420" s="10">
        <v>1000109733</v>
      </c>
      <c r="C1420" s="10" t="s">
        <v>4795</v>
      </c>
      <c r="D1420" s="10" t="s">
        <v>4956</v>
      </c>
      <c r="E1420" s="13">
        <v>22404.959999999999</v>
      </c>
      <c r="F1420" s="129">
        <v>60157859</v>
      </c>
      <c r="G1420" s="10"/>
      <c r="H1420" s="10" t="s">
        <v>216</v>
      </c>
      <c r="I1420" s="10"/>
    </row>
    <row r="1421" spans="1:9" x14ac:dyDescent="0.2">
      <c r="A1421" s="10" t="s">
        <v>5032</v>
      </c>
      <c r="B1421" s="10">
        <v>1000079359</v>
      </c>
      <c r="C1421" s="10" t="s">
        <v>5100</v>
      </c>
      <c r="D1421" s="10" t="s">
        <v>4962</v>
      </c>
      <c r="E1421" s="13">
        <v>14640</v>
      </c>
      <c r="F1421" s="129"/>
      <c r="G1421" s="10"/>
      <c r="H1421" s="10"/>
      <c r="I1421" s="10"/>
    </row>
    <row r="1422" spans="1:9" x14ac:dyDescent="0.2">
      <c r="A1422" s="10" t="s">
        <v>5033</v>
      </c>
      <c r="B1422" s="10">
        <v>1000079359</v>
      </c>
      <c r="C1422" s="10" t="s">
        <v>5100</v>
      </c>
      <c r="D1422" s="10" t="s">
        <v>4963</v>
      </c>
      <c r="E1422" s="13">
        <v>14130</v>
      </c>
      <c r="F1422" s="129"/>
      <c r="G1422" s="10"/>
      <c r="H1422" s="10"/>
      <c r="I1422" s="10"/>
    </row>
    <row r="1423" spans="1:9" x14ac:dyDescent="0.2">
      <c r="A1423" s="10" t="s">
        <v>5034</v>
      </c>
      <c r="B1423" s="10">
        <v>1000079359</v>
      </c>
      <c r="C1423" s="10" t="s">
        <v>5100</v>
      </c>
      <c r="D1423" s="10" t="s">
        <v>4964</v>
      </c>
      <c r="E1423" s="13">
        <v>14640</v>
      </c>
      <c r="F1423" s="129"/>
      <c r="G1423" s="10"/>
      <c r="H1423" s="10"/>
      <c r="I1423" s="10"/>
    </row>
    <row r="1424" spans="1:9" x14ac:dyDescent="0.2">
      <c r="A1424" s="10" t="s">
        <v>5035</v>
      </c>
      <c r="B1424" s="10">
        <v>1000079359</v>
      </c>
      <c r="C1424" s="10" t="s">
        <v>5100</v>
      </c>
      <c r="D1424" s="10" t="s">
        <v>4965</v>
      </c>
      <c r="E1424" s="13">
        <v>12883.2</v>
      </c>
      <c r="F1424" s="129"/>
      <c r="G1424" s="10"/>
      <c r="H1424" s="10"/>
      <c r="I1424" s="10"/>
    </row>
    <row r="1425" spans="1:9" x14ac:dyDescent="0.2">
      <c r="A1425" s="10" t="s">
        <v>5036</v>
      </c>
      <c r="B1425" s="10">
        <v>1000079359</v>
      </c>
      <c r="C1425" s="10" t="s">
        <v>5100</v>
      </c>
      <c r="D1425" s="10" t="s">
        <v>4966</v>
      </c>
      <c r="E1425" s="13">
        <v>15420</v>
      </c>
      <c r="F1425" s="129"/>
      <c r="G1425" s="10"/>
      <c r="H1425" s="10"/>
      <c r="I1425" s="10"/>
    </row>
    <row r="1426" spans="1:9" x14ac:dyDescent="0.2">
      <c r="A1426" s="10" t="s">
        <v>5037</v>
      </c>
      <c r="B1426" s="10">
        <v>1000079359</v>
      </c>
      <c r="C1426" s="10" t="s">
        <v>5100</v>
      </c>
      <c r="D1426" s="10" t="s">
        <v>4967</v>
      </c>
      <c r="E1426" s="13">
        <v>14803.2</v>
      </c>
      <c r="F1426" s="129"/>
      <c r="G1426" s="10"/>
      <c r="H1426" s="10"/>
      <c r="I1426" s="10"/>
    </row>
    <row r="1427" spans="1:9" x14ac:dyDescent="0.2">
      <c r="A1427" s="10" t="s">
        <v>5038</v>
      </c>
      <c r="B1427" s="10">
        <v>1000079359</v>
      </c>
      <c r="C1427" s="10" t="s">
        <v>5100</v>
      </c>
      <c r="D1427" s="10" t="s">
        <v>4968</v>
      </c>
      <c r="E1427" s="13">
        <v>14130</v>
      </c>
      <c r="F1427" s="129"/>
      <c r="G1427" s="10"/>
      <c r="H1427" s="10"/>
      <c r="I1427" s="10"/>
    </row>
    <row r="1428" spans="1:9" x14ac:dyDescent="0.2">
      <c r="A1428" s="10" t="s">
        <v>5039</v>
      </c>
      <c r="B1428" s="10">
        <v>1000079359</v>
      </c>
      <c r="C1428" s="10" t="s">
        <v>5100</v>
      </c>
      <c r="D1428" s="10" t="s">
        <v>4969</v>
      </c>
      <c r="E1428" s="13">
        <v>3276</v>
      </c>
      <c r="F1428" s="129"/>
      <c r="G1428" s="10"/>
      <c r="H1428" s="10"/>
      <c r="I1428" s="10"/>
    </row>
    <row r="1429" spans="1:9" x14ac:dyDescent="0.2">
      <c r="A1429" s="10" t="s">
        <v>5040</v>
      </c>
      <c r="B1429" s="10">
        <v>1000079359</v>
      </c>
      <c r="C1429" s="10" t="s">
        <v>5100</v>
      </c>
      <c r="D1429" s="10" t="s">
        <v>4970</v>
      </c>
      <c r="E1429" s="13">
        <v>14130</v>
      </c>
      <c r="F1429" s="129"/>
      <c r="G1429" s="10"/>
      <c r="H1429" s="10"/>
      <c r="I1429" s="10"/>
    </row>
    <row r="1430" spans="1:9" x14ac:dyDescent="0.2">
      <c r="A1430" s="10" t="s">
        <v>5041</v>
      </c>
      <c r="B1430" s="10">
        <v>1000079359</v>
      </c>
      <c r="C1430" s="10" t="s">
        <v>5100</v>
      </c>
      <c r="D1430" s="10" t="s">
        <v>4971</v>
      </c>
      <c r="E1430" s="13">
        <v>102162</v>
      </c>
      <c r="F1430" s="129"/>
      <c r="G1430" s="10"/>
      <c r="H1430" s="10"/>
      <c r="I1430" s="10"/>
    </row>
    <row r="1431" spans="1:9" x14ac:dyDescent="0.2">
      <c r="A1431" s="10" t="s">
        <v>5042</v>
      </c>
      <c r="B1431" s="10">
        <v>1000079359</v>
      </c>
      <c r="C1431" s="10" t="s">
        <v>5100</v>
      </c>
      <c r="D1431" s="10" t="s">
        <v>4972</v>
      </c>
      <c r="E1431" s="13">
        <v>14130</v>
      </c>
      <c r="F1431" s="129"/>
      <c r="G1431" s="10"/>
      <c r="H1431" s="10"/>
      <c r="I1431" s="10"/>
    </row>
    <row r="1432" spans="1:9" x14ac:dyDescent="0.2">
      <c r="A1432" s="10" t="s">
        <v>5043</v>
      </c>
      <c r="B1432" s="10">
        <v>1000079359</v>
      </c>
      <c r="C1432" s="10" t="s">
        <v>5100</v>
      </c>
      <c r="D1432" s="10" t="s">
        <v>4973</v>
      </c>
      <c r="E1432" s="13" t="e">
        <v>#N/A</v>
      </c>
      <c r="F1432" s="129"/>
      <c r="G1432" s="10"/>
      <c r="H1432" s="10"/>
      <c r="I1432" s="10"/>
    </row>
    <row r="1433" spans="1:9" x14ac:dyDescent="0.2">
      <c r="A1433" s="10" t="s">
        <v>5044</v>
      </c>
      <c r="B1433" s="10">
        <v>1000079359</v>
      </c>
      <c r="C1433" s="10" t="s">
        <v>5100</v>
      </c>
      <c r="D1433" s="10" t="s">
        <v>4974</v>
      </c>
      <c r="E1433" s="13">
        <v>5364</v>
      </c>
      <c r="F1433" s="129"/>
      <c r="G1433" s="10"/>
      <c r="H1433" s="10"/>
      <c r="I1433" s="10"/>
    </row>
    <row r="1434" spans="1:9" x14ac:dyDescent="0.2">
      <c r="A1434" s="10" t="s">
        <v>5045</v>
      </c>
      <c r="B1434" s="10">
        <v>1000079359</v>
      </c>
      <c r="C1434" s="10" t="s">
        <v>5100</v>
      </c>
      <c r="D1434" s="10" t="s">
        <v>4975</v>
      </c>
      <c r="E1434" s="13">
        <v>13564.8</v>
      </c>
      <c r="F1434" s="129"/>
      <c r="G1434" s="10"/>
      <c r="H1434" s="10"/>
      <c r="I1434" s="10"/>
    </row>
    <row r="1435" spans="1:9" x14ac:dyDescent="0.2">
      <c r="A1435" s="10" t="s">
        <v>5046</v>
      </c>
      <c r="B1435" s="10">
        <v>1000079359</v>
      </c>
      <c r="C1435" s="10" t="s">
        <v>5100</v>
      </c>
      <c r="D1435" s="10" t="s">
        <v>4976</v>
      </c>
      <c r="E1435" s="13">
        <v>14054.4</v>
      </c>
      <c r="F1435" s="129"/>
      <c r="G1435" s="10"/>
      <c r="H1435" s="10"/>
      <c r="I1435" s="10"/>
    </row>
    <row r="1436" spans="1:9" x14ac:dyDescent="0.2">
      <c r="A1436" s="10" t="s">
        <v>5047</v>
      </c>
      <c r="B1436" s="10">
        <v>1000079359</v>
      </c>
      <c r="C1436" s="10" t="s">
        <v>5100</v>
      </c>
      <c r="D1436" s="10" t="s">
        <v>4977</v>
      </c>
      <c r="E1436" s="13">
        <v>13761.6</v>
      </c>
      <c r="F1436" s="129"/>
      <c r="G1436" s="10"/>
      <c r="H1436" s="10"/>
      <c r="I1436" s="10"/>
    </row>
    <row r="1437" spans="1:9" x14ac:dyDescent="0.2">
      <c r="A1437" s="10" t="s">
        <v>5048</v>
      </c>
      <c r="B1437" s="10">
        <v>1000079359</v>
      </c>
      <c r="C1437" s="10" t="s">
        <v>5100</v>
      </c>
      <c r="D1437" s="10" t="s">
        <v>4978</v>
      </c>
      <c r="E1437" s="13">
        <v>14130</v>
      </c>
      <c r="F1437" s="129"/>
      <c r="G1437" s="10"/>
      <c r="H1437" s="10"/>
      <c r="I1437" s="10"/>
    </row>
    <row r="1438" spans="1:9" x14ac:dyDescent="0.2">
      <c r="A1438" s="10" t="s">
        <v>5049</v>
      </c>
      <c r="B1438" s="10">
        <v>1000079359</v>
      </c>
      <c r="C1438" s="10" t="s">
        <v>5100</v>
      </c>
      <c r="D1438" s="10" t="s">
        <v>4979</v>
      </c>
      <c r="E1438" s="13">
        <v>8478</v>
      </c>
      <c r="F1438" s="129"/>
      <c r="G1438" s="10"/>
      <c r="H1438" s="10"/>
      <c r="I1438" s="10"/>
    </row>
    <row r="1439" spans="1:9" x14ac:dyDescent="0.2">
      <c r="A1439" s="10" t="s">
        <v>5050</v>
      </c>
      <c r="B1439" s="10">
        <v>1000079359</v>
      </c>
      <c r="C1439" s="10" t="s">
        <v>5100</v>
      </c>
      <c r="D1439" s="10" t="s">
        <v>4980</v>
      </c>
      <c r="E1439" s="13">
        <v>16770</v>
      </c>
      <c r="F1439" s="129"/>
      <c r="G1439" s="10"/>
      <c r="H1439" s="10"/>
      <c r="I1439" s="10"/>
    </row>
    <row r="1440" spans="1:9" x14ac:dyDescent="0.2">
      <c r="A1440" s="10" t="s">
        <v>5051</v>
      </c>
      <c r="B1440" s="10">
        <v>1000079359</v>
      </c>
      <c r="C1440" s="10" t="s">
        <v>5100</v>
      </c>
      <c r="D1440" s="10" t="s">
        <v>4981</v>
      </c>
      <c r="E1440" s="13">
        <v>16770</v>
      </c>
      <c r="F1440" s="129"/>
      <c r="G1440" s="10"/>
      <c r="H1440" s="10"/>
      <c r="I1440" s="10"/>
    </row>
    <row r="1441" spans="1:9" x14ac:dyDescent="0.2">
      <c r="A1441" s="10" t="s">
        <v>5052</v>
      </c>
      <c r="B1441" s="10">
        <v>1000079359</v>
      </c>
      <c r="C1441" s="10" t="s">
        <v>5100</v>
      </c>
      <c r="D1441" s="10" t="s">
        <v>4982</v>
      </c>
      <c r="E1441" s="13">
        <v>895</v>
      </c>
      <c r="F1441" s="129"/>
      <c r="G1441" s="10"/>
      <c r="H1441" s="10"/>
      <c r="I1441" s="10"/>
    </row>
    <row r="1442" spans="1:9" x14ac:dyDescent="0.2">
      <c r="A1442" s="10" t="s">
        <v>5053</v>
      </c>
      <c r="B1442" s="10">
        <v>1000079359</v>
      </c>
      <c r="C1442" s="10" t="s">
        <v>5100</v>
      </c>
      <c r="D1442" s="10" t="s">
        <v>4983</v>
      </c>
      <c r="E1442" s="13">
        <v>16770</v>
      </c>
      <c r="F1442" s="129"/>
      <c r="G1442" s="10"/>
      <c r="H1442" s="10"/>
      <c r="I1442" s="10"/>
    </row>
    <row r="1443" spans="1:9" x14ac:dyDescent="0.2">
      <c r="A1443" s="10" t="s">
        <v>5054</v>
      </c>
      <c r="B1443" s="10">
        <v>1000079359</v>
      </c>
      <c r="C1443" s="10" t="s">
        <v>5100</v>
      </c>
      <c r="D1443" s="10" t="s">
        <v>4984</v>
      </c>
      <c r="E1443" s="13" t="e">
        <v>#N/A</v>
      </c>
      <c r="F1443" s="129"/>
      <c r="G1443" s="10"/>
      <c r="H1443" s="10"/>
      <c r="I1443" s="10"/>
    </row>
    <row r="1444" spans="1:9" x14ac:dyDescent="0.2">
      <c r="A1444" s="10" t="s">
        <v>5055</v>
      </c>
      <c r="B1444" s="10">
        <v>1000079359</v>
      </c>
      <c r="C1444" s="10" t="s">
        <v>5100</v>
      </c>
      <c r="D1444" s="10" t="s">
        <v>4985</v>
      </c>
      <c r="E1444" s="13" t="e">
        <v>#N/A</v>
      </c>
      <c r="F1444" s="129"/>
      <c r="G1444" s="10"/>
      <c r="H1444" s="10"/>
      <c r="I1444" s="10"/>
    </row>
    <row r="1445" spans="1:9" x14ac:dyDescent="0.2">
      <c r="A1445" s="10" t="s">
        <v>5056</v>
      </c>
      <c r="B1445" s="10">
        <v>1000079359</v>
      </c>
      <c r="C1445" s="10" t="s">
        <v>5100</v>
      </c>
      <c r="D1445" s="10" t="s">
        <v>4986</v>
      </c>
      <c r="E1445" s="13">
        <v>12200</v>
      </c>
      <c r="F1445" s="129"/>
      <c r="G1445" s="10"/>
      <c r="H1445" s="10"/>
      <c r="I1445" s="10"/>
    </row>
    <row r="1446" spans="1:9" x14ac:dyDescent="0.2">
      <c r="A1446" s="10" t="s">
        <v>5057</v>
      </c>
      <c r="B1446" s="10">
        <v>1000079359</v>
      </c>
      <c r="C1446" s="10" t="s">
        <v>5100</v>
      </c>
      <c r="D1446" s="10" t="s">
        <v>4987</v>
      </c>
      <c r="E1446" s="13" t="e">
        <v>#N/A</v>
      </c>
      <c r="F1446" s="129"/>
      <c r="G1446" s="10"/>
      <c r="H1446" s="10"/>
      <c r="I1446" s="10"/>
    </row>
    <row r="1447" spans="1:9" x14ac:dyDescent="0.2">
      <c r="A1447" s="10" t="s">
        <v>5058</v>
      </c>
      <c r="B1447" s="10">
        <v>1000079359</v>
      </c>
      <c r="C1447" s="10" t="s">
        <v>5100</v>
      </c>
      <c r="D1447" s="10" t="s">
        <v>4988</v>
      </c>
      <c r="E1447" s="13" t="e">
        <v>#N/A</v>
      </c>
      <c r="F1447" s="129"/>
      <c r="G1447" s="10"/>
      <c r="H1447" s="10"/>
      <c r="I1447" s="10"/>
    </row>
    <row r="1448" spans="1:9" x14ac:dyDescent="0.2">
      <c r="A1448" s="10" t="s">
        <v>5059</v>
      </c>
      <c r="B1448" s="10">
        <v>1000079359</v>
      </c>
      <c r="C1448" s="10" t="s">
        <v>5100</v>
      </c>
      <c r="D1448" s="10" t="s">
        <v>4989</v>
      </c>
      <c r="E1448" s="13">
        <v>12200</v>
      </c>
      <c r="F1448" s="129"/>
      <c r="G1448" s="10"/>
      <c r="H1448" s="10"/>
      <c r="I1448" s="10"/>
    </row>
    <row r="1449" spans="1:9" x14ac:dyDescent="0.2">
      <c r="A1449" s="10" t="s">
        <v>5060</v>
      </c>
      <c r="B1449" s="10">
        <v>1000079359</v>
      </c>
      <c r="C1449" s="10" t="s">
        <v>5100</v>
      </c>
      <c r="D1449" s="10" t="s">
        <v>4990</v>
      </c>
      <c r="E1449" s="13" t="e">
        <v>#N/A</v>
      </c>
      <c r="F1449" s="129"/>
      <c r="G1449" s="10"/>
      <c r="H1449" s="10"/>
      <c r="I1449" s="10"/>
    </row>
    <row r="1450" spans="1:9" x14ac:dyDescent="0.2">
      <c r="A1450" s="10" t="s">
        <v>5061</v>
      </c>
      <c r="B1450" s="10">
        <v>1000079359</v>
      </c>
      <c r="C1450" s="10" t="s">
        <v>5100</v>
      </c>
      <c r="D1450" s="10" t="s">
        <v>4991</v>
      </c>
      <c r="E1450" s="13">
        <v>13564.8</v>
      </c>
      <c r="F1450" s="129"/>
      <c r="G1450" s="10"/>
      <c r="H1450" s="10"/>
      <c r="I1450" s="10"/>
    </row>
    <row r="1451" spans="1:9" x14ac:dyDescent="0.2">
      <c r="A1451" s="10" t="s">
        <v>5062</v>
      </c>
      <c r="B1451" s="10">
        <v>1000079359</v>
      </c>
      <c r="C1451" s="10" t="s">
        <v>5100</v>
      </c>
      <c r="D1451" s="10" t="s">
        <v>4992</v>
      </c>
      <c r="E1451" s="13" t="e">
        <v>#N/A</v>
      </c>
      <c r="F1451" s="129"/>
      <c r="G1451" s="10"/>
      <c r="H1451" s="10"/>
      <c r="I1451" s="10"/>
    </row>
    <row r="1452" spans="1:9" x14ac:dyDescent="0.2">
      <c r="A1452" s="10" t="s">
        <v>5063</v>
      </c>
      <c r="B1452" s="10">
        <v>1000079359</v>
      </c>
      <c r="C1452" s="10" t="s">
        <v>5100</v>
      </c>
      <c r="D1452" s="10" t="s">
        <v>4993</v>
      </c>
      <c r="E1452" s="13" t="e">
        <v>#N/A</v>
      </c>
      <c r="F1452" s="129"/>
      <c r="G1452" s="10"/>
      <c r="H1452" s="10"/>
      <c r="I1452" s="10"/>
    </row>
    <row r="1453" spans="1:9" x14ac:dyDescent="0.2">
      <c r="A1453" s="10" t="s">
        <v>5064</v>
      </c>
      <c r="B1453" s="10">
        <v>1000079359</v>
      </c>
      <c r="C1453" s="10" t="s">
        <v>5100</v>
      </c>
      <c r="D1453" s="10" t="s">
        <v>4994</v>
      </c>
      <c r="E1453" s="13">
        <v>20263.2</v>
      </c>
      <c r="F1453" s="129"/>
      <c r="G1453" s="10"/>
      <c r="H1453" s="10"/>
      <c r="I1453" s="10"/>
    </row>
    <row r="1454" spans="1:9" x14ac:dyDescent="0.2">
      <c r="A1454" s="10" t="s">
        <v>5065</v>
      </c>
      <c r="B1454" s="10">
        <v>1000079359</v>
      </c>
      <c r="C1454" s="10" t="s">
        <v>5100</v>
      </c>
      <c r="D1454" s="10" t="s">
        <v>4995</v>
      </c>
      <c r="E1454" s="13">
        <v>13416</v>
      </c>
      <c r="F1454" s="129"/>
      <c r="G1454" s="10"/>
      <c r="H1454" s="10"/>
      <c r="I1454" s="10"/>
    </row>
    <row r="1455" spans="1:9" x14ac:dyDescent="0.2">
      <c r="A1455" s="10" t="s">
        <v>5066</v>
      </c>
      <c r="B1455" s="10">
        <v>1000079359</v>
      </c>
      <c r="C1455" s="10" t="s">
        <v>5100</v>
      </c>
      <c r="D1455" s="10" t="s">
        <v>4996</v>
      </c>
      <c r="E1455" s="13">
        <v>7065</v>
      </c>
      <c r="F1455" s="129"/>
      <c r="G1455" s="10"/>
      <c r="H1455" s="10"/>
      <c r="I1455" s="10"/>
    </row>
    <row r="1456" spans="1:9" x14ac:dyDescent="0.2">
      <c r="A1456" s="10" t="s">
        <v>5067</v>
      </c>
      <c r="B1456" s="10">
        <v>1000079359</v>
      </c>
      <c r="C1456" s="10" t="s">
        <v>5100</v>
      </c>
      <c r="D1456" s="10" t="s">
        <v>4997</v>
      </c>
      <c r="E1456" s="13">
        <v>28260</v>
      </c>
      <c r="F1456" s="129"/>
      <c r="G1456" s="10"/>
      <c r="H1456" s="10"/>
      <c r="I1456" s="10"/>
    </row>
    <row r="1457" spans="1:9" x14ac:dyDescent="0.2">
      <c r="A1457" s="10" t="s">
        <v>5067</v>
      </c>
      <c r="B1457" s="10">
        <v>1000079359</v>
      </c>
      <c r="C1457" s="10" t="s">
        <v>5100</v>
      </c>
      <c r="D1457" s="10" t="s">
        <v>4998</v>
      </c>
      <c r="E1457" s="13">
        <v>28260</v>
      </c>
      <c r="F1457" s="129"/>
      <c r="G1457" s="10"/>
      <c r="H1457" s="10"/>
      <c r="I1457" s="10"/>
    </row>
    <row r="1458" spans="1:9" x14ac:dyDescent="0.2">
      <c r="A1458" s="10" t="s">
        <v>5068</v>
      </c>
      <c r="B1458" s="10">
        <v>1000079359</v>
      </c>
      <c r="C1458" s="10" t="s">
        <v>5100</v>
      </c>
      <c r="D1458" s="10" t="s">
        <v>4999</v>
      </c>
      <c r="E1458" s="13">
        <v>13890</v>
      </c>
      <c r="F1458" s="129"/>
      <c r="G1458" s="10"/>
      <c r="H1458" s="10"/>
      <c r="I1458" s="10"/>
    </row>
    <row r="1459" spans="1:9" x14ac:dyDescent="0.2">
      <c r="A1459" s="10" t="s">
        <v>5069</v>
      </c>
      <c r="B1459" s="10">
        <v>1000079359</v>
      </c>
      <c r="C1459" s="10" t="s">
        <v>5100</v>
      </c>
      <c r="D1459" s="10" t="s">
        <v>5000</v>
      </c>
      <c r="E1459" s="13">
        <v>34967</v>
      </c>
      <c r="F1459" s="129"/>
      <c r="G1459" s="10"/>
      <c r="H1459" s="10"/>
      <c r="I1459" s="10"/>
    </row>
    <row r="1460" spans="1:9" x14ac:dyDescent="0.2">
      <c r="A1460" s="10" t="s">
        <v>5070</v>
      </c>
      <c r="B1460" s="10">
        <v>1000079359</v>
      </c>
      <c r="C1460" s="10" t="s">
        <v>5100</v>
      </c>
      <c r="D1460" s="10" t="s">
        <v>5001</v>
      </c>
      <c r="E1460" s="13">
        <v>11775</v>
      </c>
      <c r="F1460" s="129"/>
      <c r="G1460" s="10"/>
      <c r="H1460" s="10"/>
      <c r="I1460" s="10"/>
    </row>
    <row r="1461" spans="1:9" x14ac:dyDescent="0.2">
      <c r="A1461" s="10" t="s">
        <v>5071</v>
      </c>
      <c r="B1461" s="10">
        <v>1000079359</v>
      </c>
      <c r="C1461" s="10" t="s">
        <v>5100</v>
      </c>
      <c r="D1461" s="10" t="s">
        <v>5002</v>
      </c>
      <c r="E1461" s="13" t="e">
        <v>#N/A</v>
      </c>
      <c r="F1461" s="129"/>
      <c r="G1461" s="10"/>
      <c r="H1461" s="10"/>
      <c r="I1461" s="10"/>
    </row>
    <row r="1462" spans="1:9" x14ac:dyDescent="0.2">
      <c r="A1462" s="10" t="s">
        <v>5072</v>
      </c>
      <c r="B1462" s="10">
        <v>1000079359</v>
      </c>
      <c r="C1462" s="10" t="s">
        <v>5100</v>
      </c>
      <c r="D1462" s="10" t="s">
        <v>5003</v>
      </c>
      <c r="E1462" s="13">
        <v>11712</v>
      </c>
      <c r="F1462" s="129"/>
      <c r="G1462" s="10"/>
      <c r="H1462" s="10"/>
      <c r="I1462" s="10"/>
    </row>
    <row r="1463" spans="1:9" x14ac:dyDescent="0.2">
      <c r="A1463" s="10" t="s">
        <v>5073</v>
      </c>
      <c r="B1463" s="10">
        <v>1000079359</v>
      </c>
      <c r="C1463" s="10" t="s">
        <v>5100</v>
      </c>
      <c r="D1463" s="10" t="s">
        <v>5004</v>
      </c>
      <c r="E1463" s="13">
        <v>7862.4</v>
      </c>
      <c r="F1463" s="129"/>
      <c r="G1463" s="10"/>
      <c r="H1463" s="10"/>
      <c r="I1463" s="10"/>
    </row>
    <row r="1464" spans="1:9" x14ac:dyDescent="0.2">
      <c r="A1464" s="10" t="s">
        <v>5074</v>
      </c>
      <c r="B1464" s="10">
        <v>1000079359</v>
      </c>
      <c r="C1464" s="10" t="s">
        <v>5100</v>
      </c>
      <c r="D1464" s="10" t="s">
        <v>5005</v>
      </c>
      <c r="E1464" s="13" t="e">
        <v>#N/A</v>
      </c>
      <c r="F1464" s="129"/>
      <c r="G1464" s="10"/>
      <c r="H1464" s="10"/>
      <c r="I1464" s="10"/>
    </row>
    <row r="1465" spans="1:9" x14ac:dyDescent="0.2">
      <c r="A1465" s="10" t="s">
        <v>5075</v>
      </c>
      <c r="B1465" s="10">
        <v>1000079359</v>
      </c>
      <c r="C1465" s="10" t="s">
        <v>5100</v>
      </c>
      <c r="D1465" s="10" t="s">
        <v>5006</v>
      </c>
      <c r="E1465" s="13" t="e">
        <v>#N/A</v>
      </c>
      <c r="F1465" s="129"/>
      <c r="G1465" s="10"/>
      <c r="H1465" s="10"/>
      <c r="I1465" s="10"/>
    </row>
    <row r="1466" spans="1:9" x14ac:dyDescent="0.2">
      <c r="A1466" s="10" t="s">
        <v>5076</v>
      </c>
      <c r="B1466" s="10">
        <v>1000079359</v>
      </c>
      <c r="C1466" s="10" t="s">
        <v>5100</v>
      </c>
      <c r="D1466" s="10" t="s">
        <v>5007</v>
      </c>
      <c r="E1466" s="13" t="e">
        <v>#N/A</v>
      </c>
      <c r="F1466" s="129"/>
      <c r="G1466" s="10"/>
      <c r="H1466" s="10"/>
      <c r="I1466" s="10"/>
    </row>
    <row r="1467" spans="1:9" x14ac:dyDescent="0.2">
      <c r="A1467" s="10" t="s">
        <v>5077</v>
      </c>
      <c r="B1467" s="10">
        <v>1000079359</v>
      </c>
      <c r="C1467" s="10" t="s">
        <v>5100</v>
      </c>
      <c r="D1467" s="10" t="s">
        <v>5008</v>
      </c>
      <c r="E1467" s="13">
        <v>11975</v>
      </c>
      <c r="F1467" s="129"/>
      <c r="G1467" s="10"/>
      <c r="H1467" s="10"/>
      <c r="I1467" s="10"/>
    </row>
    <row r="1468" spans="1:9" x14ac:dyDescent="0.2">
      <c r="A1468" s="10" t="s">
        <v>5078</v>
      </c>
      <c r="B1468" s="10">
        <v>1000079359</v>
      </c>
      <c r="C1468" s="10" t="s">
        <v>5100</v>
      </c>
      <c r="D1468" s="10" t="s">
        <v>5009</v>
      </c>
      <c r="E1468" s="13">
        <v>13975</v>
      </c>
      <c r="F1468" s="129"/>
      <c r="G1468" s="10"/>
      <c r="H1468" s="10"/>
      <c r="I1468" s="10"/>
    </row>
    <row r="1469" spans="1:9" x14ac:dyDescent="0.2">
      <c r="A1469" s="10" t="s">
        <v>5079</v>
      </c>
      <c r="B1469" s="10">
        <v>1000079359</v>
      </c>
      <c r="C1469" s="10" t="s">
        <v>5100</v>
      </c>
      <c r="D1469" s="10" t="s">
        <v>5010</v>
      </c>
      <c r="E1469" s="13">
        <v>11712</v>
      </c>
      <c r="F1469" s="129"/>
      <c r="G1469" s="10"/>
      <c r="H1469" s="10"/>
      <c r="I1469" s="10"/>
    </row>
    <row r="1470" spans="1:9" x14ac:dyDescent="0.2">
      <c r="A1470" s="10" t="s">
        <v>5080</v>
      </c>
      <c r="B1470" s="10">
        <v>1000079359</v>
      </c>
      <c r="C1470" s="10" t="s">
        <v>5100</v>
      </c>
      <c r="D1470" s="10" t="s">
        <v>5011</v>
      </c>
      <c r="E1470" s="13">
        <v>11575</v>
      </c>
      <c r="F1470" s="129"/>
      <c r="G1470" s="10"/>
      <c r="H1470" s="10"/>
      <c r="I1470" s="10"/>
    </row>
    <row r="1471" spans="1:9" x14ac:dyDescent="0.2">
      <c r="A1471" s="10" t="s">
        <v>5081</v>
      </c>
      <c r="B1471" s="10">
        <v>1000079359</v>
      </c>
      <c r="C1471" s="10" t="s">
        <v>5100</v>
      </c>
      <c r="D1471" s="10" t="s">
        <v>5012</v>
      </c>
      <c r="E1471" s="13">
        <v>11975</v>
      </c>
      <c r="F1471" s="129"/>
      <c r="G1471" s="10"/>
      <c r="H1471" s="10"/>
      <c r="I1471" s="10"/>
    </row>
    <row r="1472" spans="1:9" x14ac:dyDescent="0.2">
      <c r="A1472" s="10" t="s">
        <v>5082</v>
      </c>
      <c r="B1472" s="10">
        <v>1000079359</v>
      </c>
      <c r="C1472" s="10" t="s">
        <v>5100</v>
      </c>
      <c r="D1472" s="10" t="s">
        <v>5013</v>
      </c>
      <c r="E1472" s="13" t="e">
        <v>#N/A</v>
      </c>
      <c r="F1472" s="129"/>
      <c r="G1472" s="10"/>
      <c r="H1472" s="10"/>
      <c r="I1472" s="10"/>
    </row>
    <row r="1473" spans="1:9" x14ac:dyDescent="0.2">
      <c r="A1473" s="10" t="s">
        <v>5083</v>
      </c>
      <c r="B1473" s="10">
        <v>1000079359</v>
      </c>
      <c r="C1473" s="10" t="s">
        <v>5100</v>
      </c>
      <c r="D1473" s="10" t="s">
        <v>5014</v>
      </c>
      <c r="E1473" s="13" t="e">
        <v>#N/A</v>
      </c>
      <c r="F1473" s="129"/>
      <c r="G1473" s="10"/>
      <c r="H1473" s="10"/>
      <c r="I1473" s="10"/>
    </row>
    <row r="1474" spans="1:9" x14ac:dyDescent="0.2">
      <c r="A1474" s="10" t="s">
        <v>5084</v>
      </c>
      <c r="B1474" s="10">
        <v>1000079359</v>
      </c>
      <c r="C1474" s="10" t="s">
        <v>5100</v>
      </c>
      <c r="D1474" s="10" t="s">
        <v>5015</v>
      </c>
      <c r="E1474" s="13">
        <v>25105.200000000001</v>
      </c>
      <c r="F1474" s="129"/>
      <c r="G1474" s="10"/>
      <c r="H1474" s="10"/>
      <c r="I1474" s="10"/>
    </row>
    <row r="1475" spans="1:9" x14ac:dyDescent="0.2">
      <c r="A1475" s="10" t="s">
        <v>5085</v>
      </c>
      <c r="B1475" s="10">
        <v>1000079359</v>
      </c>
      <c r="C1475" s="10" t="s">
        <v>5100</v>
      </c>
      <c r="D1475" s="10" t="s">
        <v>5016</v>
      </c>
      <c r="E1475" s="13" t="e">
        <v>#N/A</v>
      </c>
      <c r="F1475" s="129"/>
      <c r="G1475" s="10"/>
      <c r="H1475" s="10"/>
      <c r="I1475" s="10"/>
    </row>
    <row r="1476" spans="1:9" x14ac:dyDescent="0.2">
      <c r="A1476" s="10" t="s">
        <v>5086</v>
      </c>
      <c r="B1476" s="10">
        <v>1000079359</v>
      </c>
      <c r="C1476" s="10" t="s">
        <v>5100</v>
      </c>
      <c r="D1476" s="10" t="s">
        <v>5017</v>
      </c>
      <c r="E1476" s="13" t="e">
        <v>#N/A</v>
      </c>
      <c r="F1476" s="129"/>
      <c r="G1476" s="10"/>
      <c r="H1476" s="10"/>
      <c r="I1476" s="10"/>
    </row>
    <row r="1477" spans="1:9" x14ac:dyDescent="0.2">
      <c r="A1477" s="10" t="s">
        <v>5087</v>
      </c>
      <c r="B1477" s="10">
        <v>1000079359</v>
      </c>
      <c r="C1477" s="10" t="s">
        <v>5100</v>
      </c>
      <c r="D1477" s="10" t="s">
        <v>5018</v>
      </c>
      <c r="E1477" s="13">
        <v>8493.6</v>
      </c>
      <c r="F1477" s="129"/>
      <c r="G1477" s="10"/>
      <c r="H1477" s="10"/>
      <c r="I1477" s="10"/>
    </row>
    <row r="1478" spans="1:9" x14ac:dyDescent="0.2">
      <c r="A1478" s="10" t="s">
        <v>5088</v>
      </c>
      <c r="B1478" s="10">
        <v>1000079359</v>
      </c>
      <c r="C1478" s="10" t="s">
        <v>5100</v>
      </c>
      <c r="D1478" s="10" t="s">
        <v>5031</v>
      </c>
      <c r="E1478" s="13">
        <v>8724</v>
      </c>
      <c r="F1478" s="129"/>
      <c r="G1478" s="10"/>
      <c r="H1478" s="10"/>
      <c r="I1478" s="10"/>
    </row>
    <row r="1479" spans="1:9" x14ac:dyDescent="0.2">
      <c r="A1479" s="10" t="s">
        <v>5089</v>
      </c>
      <c r="B1479" s="10">
        <v>1000079359</v>
      </c>
      <c r="C1479" s="10" t="s">
        <v>5100</v>
      </c>
      <c r="D1479" s="10" t="s">
        <v>5019</v>
      </c>
      <c r="E1479" s="13">
        <v>13475</v>
      </c>
      <c r="F1479" s="129"/>
      <c r="G1479" s="10"/>
      <c r="H1479" s="10"/>
      <c r="I1479" s="10"/>
    </row>
    <row r="1480" spans="1:9" x14ac:dyDescent="0.2">
      <c r="A1480" s="10" t="s">
        <v>5090</v>
      </c>
      <c r="B1480" s="10">
        <v>1000079359</v>
      </c>
      <c r="C1480" s="10" t="s">
        <v>5100</v>
      </c>
      <c r="D1480" s="10" t="s">
        <v>5020</v>
      </c>
      <c r="E1480" s="13" t="e">
        <v>#N/A</v>
      </c>
      <c r="F1480" s="129"/>
      <c r="G1480" s="10"/>
      <c r="H1480" s="10"/>
      <c r="I1480" s="10"/>
    </row>
    <row r="1481" spans="1:9" x14ac:dyDescent="0.2">
      <c r="A1481" s="10" t="s">
        <v>5091</v>
      </c>
      <c r="B1481" s="10">
        <v>1000116575</v>
      </c>
      <c r="C1481" s="10" t="s">
        <v>5100</v>
      </c>
      <c r="D1481" s="10" t="s">
        <v>5021</v>
      </c>
      <c r="E1481" s="13" t="e">
        <v>#N/A</v>
      </c>
      <c r="F1481" s="129"/>
      <c r="G1481" s="10"/>
      <c r="H1481" s="10"/>
      <c r="I1481" s="10"/>
    </row>
    <row r="1482" spans="1:9" x14ac:dyDescent="0.2">
      <c r="A1482" s="10" t="s">
        <v>5092</v>
      </c>
      <c r="B1482" s="10">
        <v>1000095634</v>
      </c>
      <c r="C1482" s="10" t="s">
        <v>5100</v>
      </c>
      <c r="D1482" s="10" t="s">
        <v>5022</v>
      </c>
      <c r="E1482" s="13">
        <v>14470.8</v>
      </c>
      <c r="F1482" s="129"/>
      <c r="G1482" s="10"/>
      <c r="H1482" s="10"/>
      <c r="I1482" s="10"/>
    </row>
    <row r="1483" spans="1:9" x14ac:dyDescent="0.2">
      <c r="A1483" s="10" t="s">
        <v>5091</v>
      </c>
      <c r="B1483" s="10">
        <v>1000095634</v>
      </c>
      <c r="C1483" s="10" t="s">
        <v>5100</v>
      </c>
      <c r="D1483" s="10" t="s">
        <v>5023</v>
      </c>
      <c r="E1483" s="13" t="e">
        <v>#N/A</v>
      </c>
      <c r="F1483" s="129"/>
      <c r="G1483" s="10"/>
      <c r="H1483" s="10"/>
      <c r="I1483" s="10"/>
    </row>
    <row r="1484" spans="1:9" x14ac:dyDescent="0.2">
      <c r="A1484" s="10" t="s">
        <v>5093</v>
      </c>
      <c r="B1484" s="10">
        <v>1000095634</v>
      </c>
      <c r="C1484" s="10" t="s">
        <v>5100</v>
      </c>
      <c r="D1484" s="10" t="s">
        <v>5024</v>
      </c>
      <c r="E1484" s="13">
        <v>10880.4</v>
      </c>
      <c r="F1484" s="129"/>
      <c r="G1484" s="10"/>
      <c r="H1484" s="10"/>
      <c r="I1484" s="10"/>
    </row>
    <row r="1485" spans="1:9" x14ac:dyDescent="0.2">
      <c r="A1485" s="10" t="s">
        <v>5094</v>
      </c>
      <c r="B1485" s="10">
        <v>1000095634</v>
      </c>
      <c r="C1485" s="10" t="s">
        <v>5100</v>
      </c>
      <c r="D1485" s="10" t="s">
        <v>5025</v>
      </c>
      <c r="E1485" s="13">
        <v>10006.799999999999</v>
      </c>
      <c r="F1485" s="129"/>
      <c r="G1485" s="10"/>
      <c r="H1485" s="10"/>
      <c r="I1485" s="10"/>
    </row>
    <row r="1486" spans="1:9" x14ac:dyDescent="0.2">
      <c r="A1486" s="10" t="s">
        <v>5095</v>
      </c>
      <c r="B1486" s="10">
        <v>1000125792</v>
      </c>
      <c r="C1486" s="10" t="s">
        <v>5100</v>
      </c>
      <c r="D1486" s="10" t="s">
        <v>5026</v>
      </c>
      <c r="E1486" s="13">
        <v>24451.200000000001</v>
      </c>
      <c r="F1486" s="129"/>
      <c r="G1486" s="10"/>
      <c r="H1486" s="10"/>
      <c r="I1486" s="10"/>
    </row>
    <row r="1487" spans="1:9" x14ac:dyDescent="0.2">
      <c r="A1487" s="10" t="s">
        <v>5096</v>
      </c>
      <c r="B1487" s="10">
        <v>1000079359</v>
      </c>
      <c r="C1487" s="10" t="s">
        <v>5100</v>
      </c>
      <c r="D1487" s="10" t="s">
        <v>5027</v>
      </c>
      <c r="E1487" s="13">
        <v>4790</v>
      </c>
      <c r="F1487" s="129"/>
      <c r="G1487" s="10"/>
      <c r="H1487" s="10"/>
      <c r="I1487" s="10"/>
    </row>
    <row r="1488" spans="1:9" x14ac:dyDescent="0.2">
      <c r="A1488" s="10" t="s">
        <v>5097</v>
      </c>
      <c r="B1488" s="10">
        <v>1000079359</v>
      </c>
      <c r="C1488" s="10" t="s">
        <v>5100</v>
      </c>
      <c r="D1488" s="10" t="s">
        <v>5028</v>
      </c>
      <c r="E1488" s="13" t="e">
        <v>#N/A</v>
      </c>
      <c r="F1488" s="129"/>
      <c r="G1488" s="10"/>
      <c r="H1488" s="10"/>
      <c r="I1488" s="10"/>
    </row>
    <row r="1489" spans="1:9" x14ac:dyDescent="0.2">
      <c r="A1489" s="10" t="s">
        <v>5098</v>
      </c>
      <c r="B1489" s="10">
        <v>1000079359</v>
      </c>
      <c r="C1489" s="10" t="s">
        <v>5100</v>
      </c>
      <c r="D1489" s="10" t="s">
        <v>5029</v>
      </c>
      <c r="E1489" s="13">
        <v>9420</v>
      </c>
      <c r="F1489" s="129"/>
      <c r="G1489" s="10"/>
      <c r="H1489" s="10"/>
      <c r="I1489" s="10"/>
    </row>
    <row r="1490" spans="1:9" x14ac:dyDescent="0.2">
      <c r="A1490" s="10" t="s">
        <v>5099</v>
      </c>
      <c r="B1490" s="10">
        <v>1000079359</v>
      </c>
      <c r="C1490" s="10" t="s">
        <v>5100</v>
      </c>
      <c r="D1490" s="10" t="s">
        <v>5030</v>
      </c>
      <c r="E1490" s="13" t="e">
        <v>#N/A</v>
      </c>
      <c r="F1490" s="129"/>
      <c r="G1490" s="10"/>
      <c r="H1490" s="10"/>
      <c r="I1490" s="10"/>
    </row>
    <row r="1491" spans="1:9" x14ac:dyDescent="0.2">
      <c r="A1491" s="10"/>
      <c r="B1491" s="10"/>
      <c r="C1491" s="10"/>
      <c r="D1491" s="10"/>
      <c r="E1491" s="13"/>
      <c r="F1491" s="129"/>
      <c r="G1491" s="10"/>
      <c r="H1491" s="10"/>
      <c r="I1491" s="10"/>
    </row>
    <row r="1492" spans="1:9" x14ac:dyDescent="0.2">
      <c r="A1492" s="10"/>
      <c r="B1492" s="10"/>
      <c r="C1492" s="10"/>
      <c r="D1492" s="10"/>
      <c r="E1492" s="13"/>
      <c r="F1492" s="129"/>
      <c r="G1492" s="10"/>
      <c r="H1492" s="10"/>
      <c r="I1492" s="10"/>
    </row>
    <row r="1493" spans="1:9" x14ac:dyDescent="0.2">
      <c r="A1493" s="10"/>
      <c r="B1493" s="10"/>
      <c r="C1493" s="10"/>
      <c r="D1493" s="10"/>
      <c r="E1493" s="13"/>
      <c r="F1493" s="129"/>
      <c r="G1493" s="10"/>
      <c r="H1493" s="10"/>
      <c r="I1493" s="10"/>
    </row>
    <row r="1494" spans="1:9" x14ac:dyDescent="0.2">
      <c r="A1494" s="10"/>
      <c r="B1494" s="10"/>
      <c r="C1494" s="10"/>
      <c r="D1494" s="10"/>
      <c r="E1494" s="13"/>
      <c r="F1494" s="129"/>
      <c r="G1494" s="10"/>
      <c r="H1494" s="10"/>
      <c r="I1494" s="10"/>
    </row>
    <row r="1495" spans="1:9" x14ac:dyDescent="0.2">
      <c r="A1495" s="10"/>
      <c r="B1495" s="10"/>
      <c r="C1495" s="10"/>
      <c r="D1495" s="10"/>
      <c r="E1495" s="13"/>
      <c r="F1495" s="129"/>
      <c r="G1495" s="10"/>
      <c r="H1495" s="10"/>
      <c r="I1495" s="10"/>
    </row>
    <row r="1496" spans="1:9" x14ac:dyDescent="0.2">
      <c r="A1496" s="10"/>
      <c r="B1496" s="10"/>
      <c r="C1496" s="10"/>
      <c r="D1496" s="10"/>
      <c r="E1496" s="13"/>
      <c r="F1496" s="129"/>
      <c r="G1496" s="10"/>
      <c r="H1496" s="10"/>
      <c r="I1496" s="10"/>
    </row>
    <row r="1497" spans="1:9" x14ac:dyDescent="0.2">
      <c r="A1497" s="10"/>
      <c r="B1497" s="10"/>
      <c r="C1497" s="10"/>
      <c r="D1497" s="10"/>
      <c r="E1497" s="13"/>
      <c r="F1497" s="129"/>
      <c r="G1497" s="10"/>
      <c r="H1497" s="10"/>
      <c r="I1497" s="10"/>
    </row>
    <row r="1498" spans="1:9" x14ac:dyDescent="0.2">
      <c r="A1498" s="10"/>
      <c r="B1498" s="10"/>
      <c r="C1498" s="10"/>
      <c r="D1498" s="10"/>
      <c r="E1498" s="13"/>
      <c r="F1498" s="129"/>
      <c r="G1498" s="10"/>
      <c r="H1498" s="10"/>
      <c r="I1498" s="10"/>
    </row>
    <row r="1499" spans="1:9" x14ac:dyDescent="0.2">
      <c r="A1499" s="10"/>
      <c r="B1499" s="10"/>
      <c r="C1499" s="10"/>
      <c r="D1499" s="10"/>
      <c r="E1499" s="13"/>
      <c r="F1499" s="129"/>
      <c r="G1499" s="10"/>
      <c r="H1499" s="10"/>
      <c r="I1499" s="10"/>
    </row>
    <row r="1500" spans="1:9" x14ac:dyDescent="0.2">
      <c r="A1500" s="10"/>
      <c r="B1500" s="10"/>
      <c r="C1500" s="10"/>
      <c r="D1500" s="10"/>
      <c r="E1500" s="13"/>
      <c r="F1500" s="129"/>
      <c r="G1500" s="10"/>
      <c r="H1500" s="10"/>
      <c r="I1500" s="10"/>
    </row>
    <row r="1501" spans="1:9" x14ac:dyDescent="0.2">
      <c r="A1501" s="10"/>
      <c r="B1501" s="10"/>
      <c r="C1501" s="10"/>
      <c r="D1501" s="10"/>
      <c r="E1501" s="13"/>
      <c r="F1501" s="129"/>
      <c r="G1501" s="10"/>
      <c r="H1501" s="10"/>
      <c r="I1501" s="10"/>
    </row>
    <row r="1502" spans="1:9" x14ac:dyDescent="0.2">
      <c r="A1502" s="10"/>
      <c r="B1502" s="10"/>
      <c r="C1502" s="10"/>
      <c r="D1502" s="10"/>
      <c r="E1502" s="13"/>
      <c r="F1502" s="129"/>
      <c r="G1502" s="10"/>
      <c r="H1502" s="10"/>
      <c r="I1502" s="10"/>
    </row>
    <row r="1503" spans="1:9" x14ac:dyDescent="0.2">
      <c r="A1503" s="10"/>
      <c r="B1503" s="10"/>
      <c r="C1503" s="10"/>
      <c r="D1503" s="10"/>
      <c r="E1503" s="13"/>
      <c r="F1503" s="129"/>
      <c r="G1503" s="10"/>
      <c r="H1503" s="10"/>
      <c r="I1503" s="10"/>
    </row>
    <row r="1504" spans="1:9" x14ac:dyDescent="0.2">
      <c r="A1504" s="10"/>
      <c r="B1504" s="10"/>
      <c r="C1504" s="10"/>
      <c r="D1504" s="10"/>
      <c r="E1504" s="13"/>
      <c r="F1504" s="129"/>
      <c r="G1504" s="10"/>
      <c r="H1504" s="10"/>
      <c r="I1504" s="10"/>
    </row>
    <row r="1505" spans="1:9" x14ac:dyDescent="0.2">
      <c r="A1505" s="10"/>
      <c r="B1505" s="10"/>
      <c r="C1505" s="10"/>
      <c r="D1505" s="10"/>
      <c r="E1505" s="13"/>
      <c r="F1505" s="129"/>
      <c r="G1505" s="10"/>
      <c r="H1505" s="10"/>
      <c r="I1505" s="10"/>
    </row>
    <row r="1506" spans="1:9" x14ac:dyDescent="0.2">
      <c r="A1506" s="10"/>
      <c r="B1506" s="10"/>
      <c r="C1506" s="10"/>
      <c r="D1506" s="10"/>
      <c r="E1506" s="13"/>
      <c r="F1506" s="129"/>
      <c r="G1506" s="10"/>
      <c r="H1506" s="10"/>
      <c r="I1506" s="10"/>
    </row>
    <row r="1507" spans="1:9" x14ac:dyDescent="0.2">
      <c r="A1507" s="10"/>
      <c r="B1507" s="10"/>
      <c r="C1507" s="10"/>
      <c r="D1507" s="10"/>
      <c r="E1507" s="13"/>
      <c r="F1507" s="129"/>
      <c r="G1507" s="10"/>
      <c r="H1507" s="10"/>
      <c r="I1507" s="10"/>
    </row>
    <row r="1508" spans="1:9" x14ac:dyDescent="0.2">
      <c r="A1508" s="10"/>
      <c r="B1508" s="10"/>
      <c r="C1508" s="10"/>
      <c r="D1508" s="10"/>
      <c r="E1508" s="13"/>
      <c r="F1508" s="129"/>
      <c r="G1508" s="10"/>
      <c r="H1508" s="10"/>
      <c r="I1508" s="10"/>
    </row>
    <row r="1509" spans="1:9" x14ac:dyDescent="0.2">
      <c r="A1509" s="10"/>
      <c r="B1509" s="10"/>
      <c r="C1509" s="10"/>
      <c r="D1509" s="10"/>
      <c r="E1509" s="13"/>
      <c r="F1509" s="129"/>
      <c r="G1509" s="10"/>
      <c r="H1509" s="10"/>
      <c r="I1509" s="10"/>
    </row>
    <row r="1510" spans="1:9" x14ac:dyDescent="0.2">
      <c r="A1510" s="10"/>
      <c r="B1510" s="10"/>
      <c r="C1510" s="10"/>
      <c r="D1510" s="10"/>
      <c r="E1510" s="13"/>
      <c r="F1510" s="129"/>
      <c r="G1510" s="10"/>
      <c r="H1510" s="10"/>
      <c r="I1510" s="10"/>
    </row>
    <row r="1511" spans="1:9" x14ac:dyDescent="0.2">
      <c r="A1511" s="10"/>
      <c r="B1511" s="10"/>
      <c r="C1511" s="10"/>
      <c r="D1511" s="10"/>
      <c r="E1511" s="13"/>
      <c r="F1511" s="129"/>
      <c r="G1511" s="10"/>
      <c r="H1511" s="10"/>
      <c r="I1511" s="10"/>
    </row>
    <row r="1512" spans="1:9" x14ac:dyDescent="0.2">
      <c r="A1512" s="10"/>
      <c r="B1512" s="10"/>
      <c r="C1512" s="10"/>
      <c r="D1512" s="10"/>
      <c r="E1512" s="13"/>
      <c r="F1512" s="129"/>
      <c r="G1512" s="10"/>
      <c r="H1512" s="10"/>
      <c r="I1512" s="10"/>
    </row>
    <row r="1513" spans="1:9" x14ac:dyDescent="0.2">
      <c r="A1513" s="10"/>
      <c r="B1513" s="10"/>
      <c r="C1513" s="10"/>
      <c r="D1513" s="10"/>
      <c r="E1513" s="13"/>
      <c r="F1513" s="129"/>
      <c r="G1513" s="10"/>
      <c r="H1513" s="10"/>
      <c r="I1513" s="10"/>
    </row>
    <row r="1514" spans="1:9" x14ac:dyDescent="0.2">
      <c r="A1514" s="10"/>
      <c r="B1514" s="10"/>
      <c r="C1514" s="10"/>
      <c r="D1514" s="10"/>
      <c r="E1514" s="13"/>
      <c r="F1514" s="129"/>
      <c r="G1514" s="10"/>
      <c r="H1514" s="10"/>
      <c r="I1514" s="10"/>
    </row>
    <row r="1515" spans="1:9" x14ac:dyDescent="0.2">
      <c r="A1515" s="10"/>
      <c r="B1515" s="10"/>
      <c r="C1515" s="10"/>
      <c r="D1515" s="10"/>
      <c r="E1515" s="13"/>
      <c r="F1515" s="129"/>
      <c r="G1515" s="10"/>
      <c r="H1515" s="10"/>
      <c r="I1515" s="10"/>
    </row>
    <row r="1516" spans="1:9" x14ac:dyDescent="0.2">
      <c r="A1516" s="10"/>
      <c r="B1516" s="10"/>
      <c r="C1516" s="10"/>
      <c r="D1516" s="10"/>
      <c r="E1516" s="13"/>
      <c r="F1516" s="129"/>
      <c r="G1516" s="10"/>
      <c r="H1516" s="10"/>
      <c r="I1516" s="10"/>
    </row>
    <row r="1517" spans="1:9" x14ac:dyDescent="0.2">
      <c r="A1517" s="10"/>
      <c r="B1517" s="10"/>
      <c r="C1517" s="10"/>
      <c r="D1517" s="10"/>
      <c r="E1517" s="13"/>
      <c r="F1517" s="129"/>
      <c r="G1517" s="10"/>
      <c r="H1517" s="10"/>
      <c r="I1517" s="10"/>
    </row>
    <row r="1518" spans="1:9" x14ac:dyDescent="0.2">
      <c r="A1518" s="10"/>
      <c r="B1518" s="10"/>
      <c r="C1518" s="10"/>
      <c r="D1518" s="10"/>
      <c r="E1518" s="13"/>
      <c r="F1518" s="129"/>
      <c r="G1518" s="10"/>
      <c r="H1518" s="10"/>
      <c r="I1518" s="10"/>
    </row>
    <row r="1519" spans="1:9" x14ac:dyDescent="0.2">
      <c r="A1519" s="10"/>
      <c r="B1519" s="10"/>
      <c r="C1519" s="10"/>
      <c r="D1519" s="10"/>
      <c r="E1519" s="13"/>
      <c r="F1519" s="129"/>
      <c r="G1519" s="10"/>
      <c r="H1519" s="10"/>
      <c r="I1519" s="10"/>
    </row>
    <row r="1520" spans="1:9" x14ac:dyDescent="0.2">
      <c r="A1520" s="10"/>
      <c r="B1520" s="10"/>
      <c r="C1520" s="10"/>
      <c r="D1520" s="10"/>
      <c r="E1520" s="13"/>
      <c r="F1520" s="129"/>
      <c r="G1520" s="10"/>
      <c r="H1520" s="10"/>
      <c r="I1520" s="10"/>
    </row>
    <row r="1521" spans="1:9" x14ac:dyDescent="0.2">
      <c r="A1521" s="10"/>
      <c r="B1521" s="10"/>
      <c r="C1521" s="10"/>
      <c r="D1521" s="10"/>
      <c r="E1521" s="13"/>
      <c r="F1521" s="129"/>
      <c r="G1521" s="10"/>
      <c r="H1521" s="10"/>
      <c r="I1521" s="10"/>
    </row>
    <row r="1522" spans="1:9" x14ac:dyDescent="0.2">
      <c r="A1522" s="10"/>
      <c r="B1522" s="10"/>
      <c r="C1522" s="10"/>
      <c r="D1522" s="10"/>
      <c r="E1522" s="13"/>
      <c r="F1522" s="129"/>
      <c r="G1522" s="10"/>
      <c r="H1522" s="10"/>
      <c r="I1522" s="10"/>
    </row>
    <row r="1523" spans="1:9" x14ac:dyDescent="0.2">
      <c r="A1523" s="10"/>
      <c r="B1523" s="10"/>
      <c r="C1523" s="10"/>
      <c r="D1523" s="10"/>
      <c r="E1523" s="13"/>
      <c r="F1523" s="129"/>
      <c r="G1523" s="10"/>
      <c r="H1523" s="10"/>
      <c r="I1523" s="10"/>
    </row>
    <row r="1524" spans="1:9" x14ac:dyDescent="0.2">
      <c r="A1524" s="10"/>
      <c r="B1524" s="10"/>
      <c r="C1524" s="10"/>
      <c r="D1524" s="10"/>
      <c r="E1524" s="13"/>
      <c r="F1524" s="129"/>
      <c r="G1524" s="10"/>
      <c r="H1524" s="10"/>
      <c r="I1524" s="10"/>
    </row>
    <row r="1525" spans="1:9" x14ac:dyDescent="0.2">
      <c r="A1525" s="10"/>
      <c r="B1525" s="10"/>
      <c r="C1525" s="10"/>
      <c r="D1525" s="10"/>
      <c r="E1525" s="13"/>
      <c r="F1525" s="129"/>
      <c r="G1525" s="10"/>
      <c r="H1525" s="10"/>
      <c r="I1525" s="10"/>
    </row>
    <row r="1526" spans="1:9" x14ac:dyDescent="0.2">
      <c r="A1526" s="10"/>
      <c r="B1526" s="10"/>
      <c r="C1526" s="10"/>
      <c r="D1526" s="10"/>
      <c r="E1526" s="13"/>
      <c r="F1526" s="129"/>
      <c r="G1526" s="10"/>
      <c r="H1526" s="10"/>
      <c r="I1526" s="10"/>
    </row>
    <row r="1527" spans="1:9" x14ac:dyDescent="0.2">
      <c r="A1527" s="10"/>
      <c r="B1527" s="10"/>
      <c r="C1527" s="10"/>
      <c r="D1527" s="10"/>
      <c r="E1527" s="13"/>
      <c r="F1527" s="129"/>
      <c r="G1527" s="10"/>
      <c r="H1527" s="10"/>
      <c r="I1527" s="10"/>
    </row>
    <row r="1528" spans="1:9" x14ac:dyDescent="0.2">
      <c r="A1528" s="10"/>
      <c r="B1528" s="10"/>
      <c r="C1528" s="10"/>
      <c r="D1528" s="10"/>
      <c r="E1528" s="13"/>
      <c r="F1528" s="129"/>
      <c r="G1528" s="10"/>
      <c r="H1528" s="10"/>
      <c r="I1528" s="10"/>
    </row>
    <row r="1529" spans="1:9" x14ac:dyDescent="0.2">
      <c r="A1529" s="10"/>
      <c r="B1529" s="10"/>
      <c r="C1529" s="10"/>
      <c r="D1529" s="10"/>
      <c r="E1529" s="13"/>
      <c r="F1529" s="129"/>
      <c r="G1529" s="10"/>
      <c r="H1529" s="10"/>
      <c r="I1529" s="10"/>
    </row>
    <row r="1530" spans="1:9" x14ac:dyDescent="0.2">
      <c r="A1530" s="10"/>
      <c r="B1530" s="10"/>
      <c r="C1530" s="10"/>
      <c r="D1530" s="10"/>
      <c r="E1530" s="13"/>
      <c r="F1530" s="129"/>
      <c r="G1530" s="10"/>
      <c r="H1530" s="10"/>
      <c r="I1530" s="10"/>
    </row>
    <row r="1531" spans="1:9" x14ac:dyDescent="0.2">
      <c r="A1531" s="10"/>
      <c r="B1531" s="10"/>
      <c r="C1531" s="10"/>
      <c r="D1531" s="10"/>
      <c r="E1531" s="13"/>
      <c r="F1531" s="129"/>
      <c r="G1531" s="10"/>
      <c r="H1531" s="10"/>
      <c r="I1531" s="10"/>
    </row>
    <row r="1532" spans="1:9" x14ac:dyDescent="0.2">
      <c r="A1532" s="10"/>
      <c r="B1532" s="10"/>
      <c r="C1532" s="10"/>
      <c r="D1532" s="10"/>
      <c r="E1532" s="13"/>
      <c r="F1532" s="129"/>
      <c r="G1532" s="10"/>
      <c r="H1532" s="10"/>
      <c r="I1532" s="10"/>
    </row>
    <row r="1533" spans="1:9" x14ac:dyDescent="0.2">
      <c r="A1533" s="10"/>
      <c r="B1533" s="10"/>
      <c r="C1533" s="10"/>
      <c r="D1533" s="10"/>
      <c r="E1533" s="13"/>
      <c r="F1533" s="129"/>
      <c r="G1533" s="10"/>
      <c r="H1533" s="10"/>
      <c r="I1533" s="10"/>
    </row>
    <row r="1534" spans="1:9" x14ac:dyDescent="0.2">
      <c r="A1534" s="10"/>
      <c r="B1534" s="10"/>
      <c r="C1534" s="10"/>
      <c r="D1534" s="10"/>
      <c r="E1534" s="13"/>
      <c r="F1534" s="129"/>
      <c r="G1534" s="10"/>
      <c r="H1534" s="10"/>
      <c r="I1534" s="10"/>
    </row>
    <row r="1535" spans="1:9" x14ac:dyDescent="0.2">
      <c r="A1535" s="10"/>
      <c r="B1535" s="10"/>
      <c r="C1535" s="10"/>
      <c r="D1535" s="10"/>
      <c r="E1535" s="13"/>
      <c r="F1535" s="129"/>
      <c r="G1535" s="10"/>
      <c r="H1535" s="10"/>
      <c r="I1535" s="10"/>
    </row>
    <row r="1536" spans="1:9" x14ac:dyDescent="0.2">
      <c r="A1536" s="10"/>
      <c r="B1536" s="10"/>
      <c r="C1536" s="10"/>
      <c r="D1536" s="10"/>
      <c r="E1536" s="13"/>
      <c r="F1536" s="129"/>
      <c r="G1536" s="10"/>
      <c r="H1536" s="10"/>
      <c r="I1536" s="10"/>
    </row>
    <row r="1537" spans="1:9" x14ac:dyDescent="0.2">
      <c r="A1537" s="10"/>
      <c r="B1537" s="10"/>
      <c r="C1537" s="10"/>
      <c r="D1537" s="10"/>
      <c r="E1537" s="13"/>
      <c r="F1537" s="129"/>
      <c r="G1537" s="10"/>
      <c r="H1537" s="10"/>
      <c r="I1537" s="10"/>
    </row>
    <row r="1538" spans="1:9" x14ac:dyDescent="0.2">
      <c r="A1538" s="10"/>
      <c r="B1538" s="10"/>
      <c r="C1538" s="10"/>
      <c r="D1538" s="10"/>
      <c r="E1538" s="13"/>
      <c r="F1538" s="129"/>
      <c r="G1538" s="10"/>
      <c r="H1538" s="10"/>
      <c r="I1538" s="10"/>
    </row>
    <row r="1539" spans="1:9" x14ac:dyDescent="0.2">
      <c r="A1539" s="10"/>
      <c r="B1539" s="10"/>
      <c r="C1539" s="10"/>
      <c r="D1539" s="10"/>
      <c r="E1539" s="13"/>
      <c r="F1539" s="129"/>
      <c r="G1539" s="10"/>
      <c r="H1539" s="10"/>
      <c r="I1539" s="10"/>
    </row>
    <row r="1540" spans="1:9" x14ac:dyDescent="0.2">
      <c r="A1540" s="10"/>
      <c r="B1540" s="10"/>
      <c r="C1540" s="10"/>
      <c r="D1540" s="10"/>
      <c r="E1540" s="13"/>
      <c r="F1540" s="129"/>
      <c r="G1540" s="10"/>
      <c r="H1540" s="10"/>
      <c r="I1540" s="10"/>
    </row>
    <row r="1541" spans="1:9" x14ac:dyDescent="0.2">
      <c r="A1541" s="10"/>
      <c r="B1541" s="10"/>
      <c r="C1541" s="10"/>
      <c r="D1541" s="10"/>
      <c r="E1541" s="13"/>
      <c r="F1541" s="129"/>
      <c r="G1541" s="10"/>
      <c r="H1541" s="10"/>
      <c r="I1541" s="10"/>
    </row>
    <row r="1542" spans="1:9" x14ac:dyDescent="0.2">
      <c r="A1542" s="10"/>
      <c r="B1542" s="10"/>
      <c r="C1542" s="10"/>
      <c r="D1542" s="10"/>
      <c r="E1542" s="13"/>
      <c r="F1542" s="129"/>
      <c r="G1542" s="10"/>
      <c r="H1542" s="10"/>
      <c r="I1542" s="10"/>
    </row>
    <row r="1543" spans="1:9" x14ac:dyDescent="0.2">
      <c r="A1543" s="10"/>
      <c r="B1543" s="10"/>
      <c r="C1543" s="10"/>
      <c r="D1543" s="10"/>
      <c r="E1543" s="13"/>
      <c r="F1543" s="129"/>
      <c r="G1543" s="10"/>
      <c r="H1543" s="10"/>
      <c r="I1543" s="10"/>
    </row>
    <row r="1544" spans="1:9" x14ac:dyDescent="0.2">
      <c r="A1544" s="10"/>
      <c r="B1544" s="10"/>
      <c r="C1544" s="10"/>
      <c r="D1544" s="10"/>
      <c r="E1544" s="13"/>
      <c r="F1544" s="129"/>
      <c r="G1544" s="10"/>
      <c r="H1544" s="10"/>
      <c r="I1544" s="10"/>
    </row>
    <row r="1545" spans="1:9" x14ac:dyDescent="0.2">
      <c r="A1545" s="10"/>
      <c r="B1545" s="10"/>
      <c r="C1545" s="10"/>
      <c r="D1545" s="10"/>
      <c r="E1545" s="13"/>
      <c r="F1545" s="129"/>
      <c r="G1545" s="10"/>
      <c r="H1545" s="10"/>
      <c r="I1545" s="10"/>
    </row>
    <row r="1546" spans="1:9" x14ac:dyDescent="0.2">
      <c r="A1546" s="10"/>
      <c r="B1546" s="10"/>
      <c r="C1546" s="10"/>
      <c r="D1546" s="10"/>
      <c r="E1546" s="13"/>
      <c r="F1546" s="129"/>
      <c r="G1546" s="10"/>
      <c r="H1546" s="10"/>
      <c r="I1546" s="10"/>
    </row>
    <row r="1547" spans="1:9" x14ac:dyDescent="0.2">
      <c r="A1547" s="10"/>
      <c r="B1547" s="10"/>
      <c r="C1547" s="10"/>
      <c r="D1547" s="10"/>
      <c r="E1547" s="13"/>
      <c r="F1547" s="129"/>
      <c r="G1547" s="10"/>
      <c r="H1547" s="10"/>
      <c r="I1547" s="10"/>
    </row>
    <row r="1548" spans="1:9" x14ac:dyDescent="0.2">
      <c r="A1548" s="10"/>
      <c r="B1548" s="10"/>
      <c r="C1548" s="10"/>
      <c r="D1548" s="10"/>
      <c r="E1548" s="13"/>
      <c r="F1548" s="129"/>
      <c r="G1548" s="10"/>
      <c r="H1548" s="10"/>
      <c r="I1548" s="10"/>
    </row>
    <row r="1549" spans="1:9" x14ac:dyDescent="0.2">
      <c r="A1549" s="10"/>
      <c r="B1549" s="10"/>
      <c r="C1549" s="10"/>
      <c r="D1549" s="10"/>
      <c r="E1549" s="13"/>
      <c r="F1549" s="129"/>
      <c r="G1549" s="10"/>
      <c r="H1549" s="10"/>
      <c r="I1549" s="10"/>
    </row>
    <row r="1550" spans="1:9" x14ac:dyDescent="0.2">
      <c r="A1550" s="10"/>
      <c r="B1550" s="10"/>
      <c r="C1550" s="10"/>
      <c r="D1550" s="10"/>
      <c r="E1550" s="13"/>
      <c r="F1550" s="129"/>
      <c r="G1550" s="10"/>
      <c r="H1550" s="10"/>
      <c r="I1550" s="10"/>
    </row>
    <row r="1551" spans="1:9" x14ac:dyDescent="0.2">
      <c r="A1551" s="10"/>
      <c r="B1551" s="10"/>
      <c r="C1551" s="10"/>
      <c r="D1551" s="10"/>
      <c r="E1551" s="13"/>
      <c r="F1551" s="129"/>
      <c r="G1551" s="10"/>
      <c r="H1551" s="10"/>
      <c r="I1551" s="10"/>
    </row>
    <row r="1552" spans="1:9" x14ac:dyDescent="0.2">
      <c r="A1552" s="10"/>
      <c r="B1552" s="10"/>
      <c r="C1552" s="10"/>
      <c r="D1552" s="10"/>
      <c r="E1552" s="13"/>
      <c r="F1552" s="129"/>
      <c r="G1552" s="10"/>
      <c r="H1552" s="10"/>
      <c r="I1552" s="10"/>
    </row>
    <row r="1553" spans="1:9" x14ac:dyDescent="0.2">
      <c r="A1553" s="10"/>
      <c r="B1553" s="10"/>
      <c r="C1553" s="10"/>
      <c r="D1553" s="10"/>
      <c r="E1553" s="13"/>
      <c r="F1553" s="129"/>
      <c r="G1553" s="10"/>
      <c r="H1553" s="10"/>
      <c r="I1553" s="10"/>
    </row>
    <row r="1554" spans="1:9" x14ac:dyDescent="0.2">
      <c r="A1554" s="10"/>
      <c r="B1554" s="10"/>
      <c r="C1554" s="10"/>
      <c r="D1554" s="10"/>
      <c r="E1554" s="13"/>
      <c r="F1554" s="129"/>
      <c r="G1554" s="10"/>
      <c r="H1554" s="10"/>
      <c r="I1554" s="10"/>
    </row>
    <row r="1555" spans="1:9" x14ac:dyDescent="0.2">
      <c r="A1555" s="10"/>
      <c r="B1555" s="10"/>
      <c r="C1555" s="10"/>
      <c r="D1555" s="10"/>
      <c r="E1555" s="13"/>
      <c r="F1555" s="129"/>
      <c r="G1555" s="10"/>
      <c r="H1555" s="10"/>
      <c r="I1555" s="10"/>
    </row>
    <row r="1556" spans="1:9" x14ac:dyDescent="0.2">
      <c r="A1556" s="10"/>
      <c r="B1556" s="10"/>
      <c r="C1556" s="10"/>
      <c r="D1556" s="10"/>
      <c r="E1556" s="13"/>
      <c r="F1556" s="129"/>
      <c r="G1556" s="10"/>
      <c r="H1556" s="10"/>
      <c r="I1556" s="10"/>
    </row>
    <row r="1557" spans="1:9" x14ac:dyDescent="0.2">
      <c r="A1557" s="10"/>
      <c r="B1557" s="10"/>
      <c r="C1557" s="10"/>
      <c r="D1557" s="10"/>
      <c r="E1557" s="13"/>
      <c r="F1557" s="129"/>
      <c r="G1557" s="10"/>
      <c r="H1557" s="10"/>
      <c r="I1557" s="10"/>
    </row>
    <row r="1558" spans="1:9" x14ac:dyDescent="0.2">
      <c r="A1558" s="10"/>
      <c r="B1558" s="10"/>
      <c r="C1558" s="10"/>
      <c r="D1558" s="10"/>
      <c r="E1558" s="13"/>
      <c r="F1558" s="129"/>
      <c r="G1558" s="10"/>
      <c r="H1558" s="10"/>
      <c r="I1558" s="10"/>
    </row>
    <row r="1559" spans="1:9" x14ac:dyDescent="0.2">
      <c r="A1559" s="10"/>
      <c r="B1559" s="10"/>
      <c r="C1559" s="10"/>
      <c r="D1559" s="10"/>
      <c r="E1559" s="13"/>
      <c r="F1559" s="129"/>
      <c r="G1559" s="10"/>
      <c r="H1559" s="10"/>
      <c r="I1559" s="10"/>
    </row>
    <row r="1560" spans="1:9" x14ac:dyDescent="0.2">
      <c r="A1560" s="10"/>
      <c r="B1560" s="10"/>
      <c r="C1560" s="10"/>
      <c r="D1560" s="10"/>
      <c r="E1560" s="13"/>
      <c r="F1560" s="129"/>
      <c r="G1560" s="10"/>
      <c r="H1560" s="10"/>
      <c r="I1560" s="10"/>
    </row>
    <row r="1561" spans="1:9" x14ac:dyDescent="0.2">
      <c r="A1561" s="10"/>
      <c r="B1561" s="10"/>
      <c r="C1561" s="10"/>
      <c r="D1561" s="10"/>
      <c r="E1561" s="13"/>
      <c r="F1561" s="129"/>
      <c r="G1561" s="10"/>
      <c r="H1561" s="10"/>
      <c r="I1561" s="10"/>
    </row>
    <row r="1562" spans="1:9" x14ac:dyDescent="0.2">
      <c r="A1562" s="10"/>
      <c r="B1562" s="10"/>
      <c r="C1562" s="10"/>
      <c r="D1562" s="10"/>
      <c r="E1562" s="13"/>
      <c r="F1562" s="129"/>
      <c r="G1562" s="10"/>
      <c r="H1562" s="10"/>
      <c r="I1562" s="10"/>
    </row>
    <row r="1563" spans="1:9" x14ac:dyDescent="0.2">
      <c r="A1563" s="10"/>
      <c r="B1563" s="10"/>
      <c r="C1563" s="10"/>
      <c r="D1563" s="10"/>
      <c r="E1563" s="13"/>
      <c r="F1563" s="129"/>
      <c r="G1563" s="10"/>
      <c r="H1563" s="10"/>
      <c r="I1563" s="10"/>
    </row>
    <row r="1564" spans="1:9" x14ac:dyDescent="0.2">
      <c r="A1564" s="10"/>
      <c r="B1564" s="10"/>
      <c r="C1564" s="10"/>
      <c r="D1564" s="10"/>
      <c r="E1564" s="13"/>
      <c r="F1564" s="129"/>
      <c r="G1564" s="10"/>
      <c r="H1564" s="10"/>
      <c r="I1564" s="10"/>
    </row>
    <row r="1565" spans="1:9" x14ac:dyDescent="0.2">
      <c r="A1565" s="10"/>
      <c r="B1565" s="10"/>
      <c r="C1565" s="10"/>
      <c r="D1565" s="10"/>
      <c r="E1565" s="13"/>
      <c r="F1565" s="129"/>
      <c r="G1565" s="10"/>
      <c r="H1565" s="10"/>
      <c r="I1565" s="10"/>
    </row>
    <row r="1566" spans="1:9" x14ac:dyDescent="0.2">
      <c r="A1566" s="10"/>
      <c r="B1566" s="10"/>
      <c r="C1566" s="10"/>
      <c r="D1566" s="10"/>
      <c r="E1566" s="13"/>
      <c r="F1566" s="129"/>
      <c r="G1566" s="10"/>
      <c r="H1566" s="10"/>
      <c r="I1566" s="10"/>
    </row>
    <row r="1567" spans="1:9" x14ac:dyDescent="0.2">
      <c r="A1567" s="10"/>
      <c r="B1567" s="10"/>
      <c r="C1567" s="10"/>
      <c r="D1567" s="10"/>
      <c r="E1567" s="13"/>
      <c r="F1567" s="129"/>
      <c r="G1567" s="10"/>
      <c r="H1567" s="10"/>
      <c r="I1567" s="10"/>
    </row>
    <row r="1568" spans="1:9" x14ac:dyDescent="0.2">
      <c r="A1568" s="10"/>
      <c r="B1568" s="10"/>
      <c r="C1568" s="10"/>
      <c r="D1568" s="10"/>
      <c r="E1568" s="13"/>
      <c r="F1568" s="129"/>
      <c r="G1568" s="10"/>
      <c r="H1568" s="10"/>
      <c r="I1568" s="10"/>
    </row>
    <row r="1569" spans="1:9" x14ac:dyDescent="0.2">
      <c r="A1569" s="10"/>
      <c r="B1569" s="10"/>
      <c r="C1569" s="10"/>
      <c r="D1569" s="10"/>
      <c r="E1569" s="13"/>
      <c r="F1569" s="129"/>
      <c r="G1569" s="10"/>
      <c r="H1569" s="10"/>
      <c r="I1569" s="10"/>
    </row>
    <row r="1570" spans="1:9" x14ac:dyDescent="0.2">
      <c r="A1570" s="10"/>
      <c r="B1570" s="10"/>
      <c r="C1570" s="10"/>
      <c r="D1570" s="10"/>
      <c r="E1570" s="13"/>
      <c r="F1570" s="129"/>
      <c r="G1570" s="10"/>
      <c r="H1570" s="10"/>
      <c r="I1570" s="10"/>
    </row>
    <row r="1571" spans="1:9" x14ac:dyDescent="0.2">
      <c r="A1571" s="10"/>
      <c r="B1571" s="10"/>
      <c r="C1571" s="10"/>
      <c r="D1571" s="10"/>
      <c r="E1571" s="13"/>
      <c r="F1571" s="129"/>
      <c r="G1571" s="10"/>
      <c r="H1571" s="10"/>
      <c r="I1571" s="10"/>
    </row>
    <row r="1572" spans="1:9" x14ac:dyDescent="0.2">
      <c r="A1572" s="10"/>
      <c r="B1572" s="10"/>
      <c r="C1572" s="10"/>
      <c r="D1572" s="10"/>
      <c r="E1572" s="13"/>
      <c r="F1572" s="129"/>
      <c r="G1572" s="10"/>
      <c r="H1572" s="10"/>
      <c r="I1572" s="10"/>
    </row>
    <row r="1573" spans="1:9" x14ac:dyDescent="0.2">
      <c r="A1573" s="10"/>
      <c r="B1573" s="10"/>
      <c r="C1573" s="10"/>
      <c r="D1573" s="10"/>
      <c r="E1573" s="13"/>
      <c r="F1573" s="129"/>
      <c r="G1573" s="10"/>
      <c r="H1573" s="10"/>
      <c r="I1573" s="10"/>
    </row>
    <row r="1574" spans="1:9" x14ac:dyDescent="0.2">
      <c r="A1574" s="10"/>
      <c r="B1574" s="10"/>
      <c r="C1574" s="10"/>
      <c r="D1574" s="10"/>
      <c r="E1574" s="13"/>
      <c r="F1574" s="129"/>
      <c r="G1574" s="10"/>
      <c r="H1574" s="10"/>
      <c r="I1574" s="10"/>
    </row>
    <row r="1575" spans="1:9" x14ac:dyDescent="0.2">
      <c r="A1575" s="10"/>
      <c r="B1575" s="10"/>
      <c r="C1575" s="10"/>
      <c r="D1575" s="10"/>
      <c r="E1575" s="13"/>
      <c r="F1575" s="129"/>
      <c r="G1575" s="10"/>
      <c r="H1575" s="10"/>
      <c r="I1575" s="10"/>
    </row>
    <row r="1576" spans="1:9" x14ac:dyDescent="0.2">
      <c r="A1576" s="10"/>
      <c r="B1576" s="10"/>
      <c r="C1576" s="10"/>
      <c r="D1576" s="10"/>
      <c r="E1576" s="13"/>
      <c r="F1576" s="129"/>
      <c r="G1576" s="10"/>
      <c r="H1576" s="10"/>
      <c r="I1576" s="10"/>
    </row>
    <row r="1577" spans="1:9" x14ac:dyDescent="0.2">
      <c r="A1577" s="10"/>
      <c r="B1577" s="10"/>
      <c r="C1577" s="10"/>
      <c r="D1577" s="10"/>
      <c r="E1577" s="13"/>
      <c r="F1577" s="129"/>
      <c r="G1577" s="10"/>
      <c r="H1577" s="10"/>
      <c r="I1577" s="10"/>
    </row>
    <row r="1578" spans="1:9" x14ac:dyDescent="0.2">
      <c r="A1578" s="10"/>
      <c r="B1578" s="10"/>
      <c r="C1578" s="10"/>
      <c r="D1578" s="10"/>
      <c r="E1578" s="13"/>
      <c r="F1578" s="129"/>
      <c r="G1578" s="10"/>
      <c r="H1578" s="10"/>
      <c r="I1578" s="10"/>
    </row>
    <row r="1579" spans="1:9" x14ac:dyDescent="0.2">
      <c r="A1579" s="10"/>
      <c r="B1579" s="10"/>
      <c r="C1579" s="10"/>
      <c r="D1579" s="10"/>
      <c r="E1579" s="13"/>
      <c r="F1579" s="129"/>
      <c r="G1579" s="10"/>
      <c r="H1579" s="10"/>
      <c r="I1579" s="10"/>
    </row>
    <row r="1580" spans="1:9" x14ac:dyDescent="0.2">
      <c r="A1580" s="10"/>
      <c r="B1580" s="10"/>
      <c r="C1580" s="10"/>
      <c r="D1580" s="10"/>
      <c r="E1580" s="13"/>
      <c r="F1580" s="129"/>
      <c r="G1580" s="10"/>
      <c r="H1580" s="10"/>
      <c r="I1580" s="10"/>
    </row>
    <row r="1581" spans="1:9" x14ac:dyDescent="0.2">
      <c r="A1581" s="10"/>
      <c r="B1581" s="10"/>
      <c r="C1581" s="10"/>
      <c r="D1581" s="10"/>
      <c r="E1581" s="13"/>
      <c r="F1581" s="129"/>
      <c r="G1581" s="10"/>
      <c r="H1581" s="10"/>
      <c r="I1581" s="10"/>
    </row>
    <row r="1582" spans="1:9" x14ac:dyDescent="0.2">
      <c r="A1582" s="10"/>
      <c r="B1582" s="10"/>
      <c r="C1582" s="10"/>
      <c r="D1582" s="10"/>
      <c r="E1582" s="13"/>
      <c r="F1582" s="129"/>
      <c r="G1582" s="10"/>
      <c r="H1582" s="10"/>
      <c r="I1582" s="10"/>
    </row>
    <row r="1583" spans="1:9" x14ac:dyDescent="0.2">
      <c r="A1583" s="10"/>
      <c r="B1583" s="10"/>
      <c r="C1583" s="10"/>
      <c r="D1583" s="10"/>
      <c r="E1583" s="13"/>
      <c r="F1583" s="129"/>
      <c r="G1583" s="10"/>
      <c r="H1583" s="10"/>
      <c r="I1583" s="10"/>
    </row>
    <row r="1584" spans="1:9" x14ac:dyDescent="0.2">
      <c r="A1584" s="10"/>
      <c r="B1584" s="10"/>
      <c r="C1584" s="10"/>
      <c r="D1584" s="10"/>
      <c r="E1584" s="13"/>
      <c r="F1584" s="129"/>
      <c r="G1584" s="10"/>
      <c r="H1584" s="10"/>
      <c r="I1584" s="10"/>
    </row>
    <row r="1585" spans="1:9" x14ac:dyDescent="0.2">
      <c r="A1585" s="10"/>
      <c r="B1585" s="10"/>
      <c r="C1585" s="10"/>
      <c r="D1585" s="10"/>
      <c r="E1585" s="13"/>
      <c r="F1585" s="129"/>
      <c r="G1585" s="10"/>
      <c r="H1585" s="10"/>
      <c r="I1585" s="10"/>
    </row>
    <row r="1586" spans="1:9" x14ac:dyDescent="0.2">
      <c r="A1586" s="10"/>
      <c r="B1586" s="10"/>
      <c r="C1586" s="10"/>
      <c r="D1586" s="10"/>
      <c r="E1586" s="13"/>
      <c r="F1586" s="129"/>
      <c r="G1586" s="10"/>
      <c r="H1586" s="10"/>
      <c r="I1586" s="10"/>
    </row>
    <row r="1587" spans="1:9" x14ac:dyDescent="0.2">
      <c r="A1587" s="10"/>
      <c r="B1587" s="10"/>
      <c r="C1587" s="10"/>
      <c r="D1587" s="10"/>
      <c r="E1587" s="13"/>
      <c r="F1587" s="129"/>
      <c r="G1587" s="10"/>
      <c r="H1587" s="10"/>
      <c r="I1587" s="10"/>
    </row>
    <row r="1588" spans="1:9" x14ac:dyDescent="0.2">
      <c r="A1588" s="10"/>
      <c r="B1588" s="10"/>
      <c r="C1588" s="10"/>
      <c r="D1588" s="10"/>
      <c r="E1588" s="13"/>
      <c r="F1588" s="129"/>
      <c r="G1588" s="10"/>
      <c r="H1588" s="10"/>
      <c r="I1588" s="10"/>
    </row>
    <row r="1589" spans="1:9" x14ac:dyDescent="0.2">
      <c r="A1589" s="10"/>
      <c r="B1589" s="10"/>
      <c r="C1589" s="10"/>
      <c r="D1589" s="10"/>
      <c r="E1589" s="13"/>
      <c r="F1589" s="129"/>
      <c r="G1589" s="10"/>
      <c r="H1589" s="10"/>
      <c r="I1589" s="10"/>
    </row>
    <row r="1590" spans="1:9" x14ac:dyDescent="0.2">
      <c r="A1590" s="10"/>
      <c r="B1590" s="10"/>
      <c r="C1590" s="10"/>
      <c r="D1590" s="10"/>
      <c r="E1590" s="13"/>
      <c r="F1590" s="129"/>
      <c r="G1590" s="10"/>
      <c r="H1590" s="10"/>
      <c r="I1590" s="10"/>
    </row>
    <row r="1591" spans="1:9" x14ac:dyDescent="0.2">
      <c r="A1591" s="10"/>
      <c r="B1591" s="10"/>
      <c r="C1591" s="10"/>
      <c r="D1591" s="10"/>
      <c r="E1591" s="13"/>
      <c r="F1591" s="129"/>
      <c r="G1591" s="10"/>
      <c r="H1591" s="10"/>
      <c r="I1591" s="10"/>
    </row>
    <row r="1592" spans="1:9" x14ac:dyDescent="0.2">
      <c r="A1592" s="10"/>
      <c r="B1592" s="10"/>
      <c r="C1592" s="10"/>
      <c r="D1592" s="10"/>
      <c r="E1592" s="13"/>
      <c r="F1592" s="129"/>
      <c r="G1592" s="10"/>
      <c r="H1592" s="10"/>
      <c r="I1592" s="10"/>
    </row>
    <row r="1593" spans="1:9" x14ac:dyDescent="0.2">
      <c r="A1593" s="10"/>
      <c r="B1593" s="10"/>
      <c r="C1593" s="10"/>
      <c r="D1593" s="10"/>
      <c r="E1593" s="13"/>
      <c r="F1593" s="129"/>
      <c r="G1593" s="10"/>
      <c r="H1593" s="10"/>
      <c r="I1593" s="10"/>
    </row>
    <row r="1594" spans="1:9" x14ac:dyDescent="0.2">
      <c r="A1594" s="10"/>
      <c r="B1594" s="10"/>
      <c r="C1594" s="10"/>
      <c r="D1594" s="10"/>
      <c r="E1594" s="13"/>
      <c r="F1594" s="129"/>
      <c r="G1594" s="10"/>
      <c r="H1594" s="10"/>
      <c r="I1594" s="10"/>
    </row>
    <row r="1595" spans="1:9" x14ac:dyDescent="0.2">
      <c r="A1595" s="10"/>
      <c r="B1595" s="10"/>
      <c r="C1595" s="10"/>
      <c r="D1595" s="10"/>
      <c r="E1595" s="13"/>
      <c r="F1595" s="129"/>
      <c r="G1595" s="10"/>
      <c r="H1595" s="10"/>
      <c r="I1595" s="10"/>
    </row>
    <row r="1596" spans="1:9" x14ac:dyDescent="0.2">
      <c r="A1596" s="10"/>
      <c r="B1596" s="10"/>
      <c r="C1596" s="10"/>
      <c r="D1596" s="10"/>
      <c r="E1596" s="13"/>
      <c r="F1596" s="129"/>
      <c r="G1596" s="10"/>
      <c r="H1596" s="10"/>
      <c r="I1596" s="10"/>
    </row>
    <row r="1597" spans="1:9" x14ac:dyDescent="0.2">
      <c r="A1597" s="10"/>
      <c r="B1597" s="10"/>
      <c r="C1597" s="10"/>
      <c r="D1597" s="10"/>
      <c r="E1597" s="13"/>
      <c r="F1597" s="129"/>
      <c r="G1597" s="10"/>
      <c r="H1597" s="10"/>
      <c r="I1597" s="10"/>
    </row>
    <row r="1598" spans="1:9" x14ac:dyDescent="0.2">
      <c r="A1598" s="10"/>
      <c r="B1598" s="10"/>
      <c r="C1598" s="10"/>
      <c r="D1598" s="10"/>
      <c r="E1598" s="13"/>
      <c r="F1598" s="129"/>
      <c r="G1598" s="10"/>
      <c r="H1598" s="10"/>
      <c r="I1598" s="10"/>
    </row>
    <row r="1599" spans="1:9" x14ac:dyDescent="0.2">
      <c r="A1599" s="10"/>
      <c r="B1599" s="10"/>
      <c r="C1599" s="10"/>
      <c r="D1599" s="10"/>
      <c r="E1599" s="13"/>
      <c r="F1599" s="129"/>
      <c r="G1599" s="10"/>
      <c r="H1599" s="10"/>
      <c r="I1599" s="10"/>
    </row>
    <row r="1600" spans="1:9" x14ac:dyDescent="0.2">
      <c r="A1600" s="10"/>
      <c r="B1600" s="10"/>
      <c r="C1600" s="10"/>
      <c r="D1600" s="10"/>
      <c r="E1600" s="13"/>
      <c r="F1600" s="129"/>
      <c r="G1600" s="10"/>
      <c r="H1600" s="10"/>
      <c r="I1600" s="10"/>
    </row>
    <row r="1601" spans="1:9" x14ac:dyDescent="0.2">
      <c r="A1601" s="10"/>
      <c r="B1601" s="10"/>
      <c r="C1601" s="10"/>
      <c r="D1601" s="10"/>
      <c r="E1601" s="13"/>
      <c r="F1601" s="129"/>
      <c r="G1601" s="10"/>
      <c r="H1601" s="10"/>
      <c r="I1601" s="10"/>
    </row>
    <row r="1602" spans="1:9" x14ac:dyDescent="0.2">
      <c r="A1602" s="10"/>
      <c r="B1602" s="10"/>
      <c r="C1602" s="10"/>
      <c r="D1602" s="10"/>
      <c r="E1602" s="13"/>
      <c r="F1602" s="129"/>
      <c r="G1602" s="10"/>
      <c r="H1602" s="10"/>
      <c r="I1602" s="10"/>
    </row>
    <row r="1603" spans="1:9" x14ac:dyDescent="0.2">
      <c r="A1603" s="10"/>
      <c r="B1603" s="10"/>
      <c r="C1603" s="10"/>
      <c r="D1603" s="10"/>
      <c r="E1603" s="13"/>
      <c r="F1603" s="129"/>
      <c r="G1603" s="10"/>
      <c r="H1603" s="10"/>
      <c r="I1603" s="10"/>
    </row>
    <row r="1604" spans="1:9" x14ac:dyDescent="0.2">
      <c r="A1604" s="10"/>
      <c r="B1604" s="10"/>
      <c r="C1604" s="10"/>
      <c r="D1604" s="10"/>
      <c r="E1604" s="13"/>
      <c r="F1604" s="129"/>
      <c r="G1604" s="10"/>
      <c r="H1604" s="10"/>
      <c r="I1604" s="10"/>
    </row>
    <row r="1605" spans="1:9" x14ac:dyDescent="0.2">
      <c r="A1605" s="10"/>
      <c r="B1605" s="10"/>
      <c r="C1605" s="10"/>
      <c r="D1605" s="10"/>
      <c r="E1605" s="13"/>
      <c r="F1605" s="129"/>
      <c r="G1605" s="10"/>
      <c r="H1605" s="10"/>
      <c r="I1605" s="10"/>
    </row>
    <row r="1606" spans="1:9" x14ac:dyDescent="0.2">
      <c r="A1606" s="10"/>
      <c r="B1606" s="10"/>
      <c r="C1606" s="10"/>
      <c r="D1606" s="10"/>
      <c r="E1606" s="13"/>
      <c r="F1606" s="129"/>
      <c r="G1606" s="10"/>
      <c r="H1606" s="10"/>
      <c r="I1606" s="10"/>
    </row>
    <row r="1607" spans="1:9" x14ac:dyDescent="0.2">
      <c r="A1607" s="10"/>
      <c r="B1607" s="10"/>
      <c r="C1607" s="10"/>
      <c r="D1607" s="10"/>
      <c r="E1607" s="13"/>
      <c r="F1607" s="129"/>
      <c r="G1607" s="10"/>
      <c r="H1607" s="10"/>
      <c r="I1607" s="10"/>
    </row>
    <row r="1608" spans="1:9" x14ac:dyDescent="0.2">
      <c r="A1608" s="10"/>
      <c r="B1608" s="10"/>
      <c r="C1608" s="10"/>
      <c r="D1608" s="10"/>
      <c r="E1608" s="13"/>
      <c r="F1608" s="129"/>
      <c r="G1608" s="10"/>
      <c r="H1608" s="10"/>
      <c r="I1608" s="10"/>
    </row>
    <row r="1609" spans="1:9" x14ac:dyDescent="0.2">
      <c r="A1609" s="10"/>
      <c r="B1609" s="10"/>
      <c r="C1609" s="10"/>
      <c r="D1609" s="10"/>
      <c r="E1609" s="13"/>
      <c r="F1609" s="129"/>
      <c r="G1609" s="10"/>
      <c r="H1609" s="10"/>
      <c r="I1609" s="10"/>
    </row>
    <row r="1610" spans="1:9" x14ac:dyDescent="0.2">
      <c r="A1610" s="10"/>
      <c r="B1610" s="10"/>
      <c r="C1610" s="10"/>
      <c r="D1610" s="10"/>
      <c r="E1610" s="13"/>
      <c r="F1610" s="129"/>
      <c r="G1610" s="10"/>
      <c r="H1610" s="10"/>
      <c r="I1610" s="10"/>
    </row>
    <row r="1611" spans="1:9" x14ac:dyDescent="0.2">
      <c r="A1611" s="10"/>
      <c r="B1611" s="10"/>
      <c r="C1611" s="10"/>
      <c r="D1611" s="10"/>
      <c r="E1611" s="13"/>
      <c r="F1611" s="129"/>
      <c r="G1611" s="10"/>
      <c r="H1611" s="10"/>
      <c r="I1611" s="10"/>
    </row>
    <row r="1612" spans="1:9" x14ac:dyDescent="0.2">
      <c r="A1612" s="10"/>
      <c r="B1612" s="10"/>
      <c r="C1612" s="10"/>
      <c r="D1612" s="10"/>
      <c r="E1612" s="13"/>
      <c r="F1612" s="129"/>
      <c r="G1612" s="10"/>
      <c r="H1612" s="10"/>
      <c r="I1612" s="10"/>
    </row>
    <row r="1613" spans="1:9" x14ac:dyDescent="0.2">
      <c r="A1613" s="10"/>
      <c r="B1613" s="10"/>
      <c r="C1613" s="10"/>
      <c r="D1613" s="10"/>
      <c r="E1613" s="13"/>
      <c r="F1613" s="129"/>
      <c r="G1613" s="10"/>
      <c r="H1613" s="10"/>
      <c r="I1613" s="10"/>
    </row>
    <row r="1614" spans="1:9" x14ac:dyDescent="0.2">
      <c r="A1614" s="10"/>
      <c r="B1614" s="10"/>
      <c r="C1614" s="10"/>
      <c r="D1614" s="10"/>
      <c r="E1614" s="13"/>
      <c r="F1614" s="129"/>
      <c r="G1614" s="10"/>
      <c r="H1614" s="10"/>
      <c r="I1614" s="10"/>
    </row>
    <row r="1615" spans="1:9" x14ac:dyDescent="0.2">
      <c r="A1615" s="10"/>
      <c r="B1615" s="10"/>
      <c r="C1615" s="10"/>
      <c r="D1615" s="10"/>
      <c r="E1615" s="13"/>
      <c r="F1615" s="129"/>
      <c r="G1615" s="10"/>
      <c r="H1615" s="10"/>
      <c r="I1615" s="10"/>
    </row>
    <row r="1616" spans="1:9" x14ac:dyDescent="0.2">
      <c r="A1616" s="10"/>
      <c r="B1616" s="10"/>
      <c r="C1616" s="10"/>
      <c r="D1616" s="10"/>
      <c r="E1616" s="13"/>
      <c r="F1616" s="129"/>
      <c r="G1616" s="10"/>
      <c r="H1616" s="10"/>
      <c r="I1616" s="10"/>
    </row>
    <row r="1617" spans="1:9" x14ac:dyDescent="0.2">
      <c r="A1617" s="10"/>
      <c r="B1617" s="10"/>
      <c r="C1617" s="10"/>
      <c r="D1617" s="10"/>
      <c r="E1617" s="13"/>
      <c r="F1617" s="129"/>
      <c r="G1617" s="10"/>
      <c r="H1617" s="10"/>
      <c r="I1617" s="10"/>
    </row>
    <row r="1618" spans="1:9" x14ac:dyDescent="0.2">
      <c r="A1618" s="10"/>
      <c r="B1618" s="10"/>
      <c r="C1618" s="10"/>
      <c r="D1618" s="10"/>
      <c r="E1618" s="13"/>
      <c r="F1618" s="129"/>
      <c r="G1618" s="10"/>
      <c r="H1618" s="10"/>
      <c r="I1618" s="10"/>
    </row>
    <row r="1619" spans="1:9" x14ac:dyDescent="0.2">
      <c r="A1619" s="10"/>
      <c r="B1619" s="10"/>
      <c r="C1619" s="10"/>
      <c r="D1619" s="10"/>
      <c r="E1619" s="13"/>
      <c r="F1619" s="129"/>
      <c r="G1619" s="10"/>
      <c r="H1619" s="10"/>
      <c r="I1619" s="10"/>
    </row>
    <row r="1620" spans="1:9" x14ac:dyDescent="0.2">
      <c r="A1620" s="10"/>
      <c r="B1620" s="10"/>
      <c r="C1620" s="10"/>
      <c r="D1620" s="10"/>
      <c r="E1620" s="13"/>
      <c r="F1620" s="129"/>
      <c r="G1620" s="10"/>
      <c r="H1620" s="10"/>
      <c r="I1620" s="10"/>
    </row>
    <row r="1621" spans="1:9" x14ac:dyDescent="0.2">
      <c r="A1621" s="10"/>
      <c r="B1621" s="10"/>
      <c r="C1621" s="10"/>
      <c r="D1621" s="10"/>
      <c r="E1621" s="13"/>
      <c r="F1621" s="129"/>
      <c r="G1621" s="10"/>
      <c r="H1621" s="10"/>
      <c r="I1621" s="10"/>
    </row>
    <row r="1622" spans="1:9" x14ac:dyDescent="0.2">
      <c r="A1622" s="10"/>
      <c r="B1622" s="10"/>
      <c r="C1622" s="10"/>
      <c r="D1622" s="10"/>
      <c r="E1622" s="13"/>
      <c r="F1622" s="129"/>
      <c r="G1622" s="10"/>
      <c r="H1622" s="10"/>
      <c r="I1622" s="10"/>
    </row>
    <row r="1623" spans="1:9" x14ac:dyDescent="0.2">
      <c r="A1623" s="10"/>
      <c r="B1623" s="10"/>
      <c r="C1623" s="10"/>
      <c r="D1623" s="10"/>
      <c r="E1623" s="13"/>
      <c r="F1623" s="129"/>
      <c r="G1623" s="10"/>
      <c r="H1623" s="10"/>
      <c r="I1623" s="10"/>
    </row>
    <row r="1624" spans="1:9" x14ac:dyDescent="0.2">
      <c r="A1624" s="10"/>
      <c r="B1624" s="10"/>
      <c r="C1624" s="10"/>
      <c r="D1624" s="10"/>
      <c r="E1624" s="13"/>
      <c r="F1624" s="129"/>
      <c r="G1624" s="10"/>
      <c r="H1624" s="10"/>
      <c r="I1624" s="10"/>
    </row>
    <row r="1625" spans="1:9" x14ac:dyDescent="0.2">
      <c r="A1625" s="10"/>
      <c r="B1625" s="10"/>
      <c r="C1625" s="10"/>
      <c r="D1625" s="10"/>
      <c r="E1625" s="13"/>
      <c r="F1625" s="129"/>
      <c r="G1625" s="10"/>
      <c r="H1625" s="10"/>
      <c r="I1625" s="10"/>
    </row>
    <row r="1626" spans="1:9" x14ac:dyDescent="0.2">
      <c r="A1626" s="10"/>
      <c r="B1626" s="10"/>
      <c r="C1626" s="10"/>
      <c r="D1626" s="10"/>
      <c r="E1626" s="13"/>
      <c r="F1626" s="129"/>
      <c r="G1626" s="10"/>
      <c r="H1626" s="10"/>
      <c r="I1626" s="10"/>
    </row>
    <row r="1627" spans="1:9" x14ac:dyDescent="0.2">
      <c r="A1627" s="10"/>
      <c r="B1627" s="10"/>
      <c r="C1627" s="10"/>
      <c r="D1627" s="10"/>
      <c r="E1627" s="13"/>
      <c r="F1627" s="129"/>
      <c r="G1627" s="10"/>
      <c r="H1627" s="10"/>
      <c r="I1627" s="10"/>
    </row>
    <row r="1628" spans="1:9" x14ac:dyDescent="0.2">
      <c r="A1628" s="10"/>
      <c r="B1628" s="10"/>
      <c r="C1628" s="10"/>
      <c r="D1628" s="10"/>
      <c r="E1628" s="13"/>
      <c r="F1628" s="129"/>
      <c r="G1628" s="10"/>
      <c r="H1628" s="10"/>
      <c r="I1628" s="10"/>
    </row>
    <row r="1629" spans="1:9" x14ac:dyDescent="0.2">
      <c r="A1629" s="10"/>
      <c r="B1629" s="10"/>
      <c r="C1629" s="10"/>
      <c r="D1629" s="10"/>
      <c r="E1629" s="13"/>
      <c r="F1629" s="129"/>
      <c r="G1629" s="10"/>
      <c r="H1629" s="10"/>
      <c r="I1629" s="10"/>
    </row>
    <row r="1630" spans="1:9" x14ac:dyDescent="0.2">
      <c r="A1630" s="10"/>
      <c r="B1630" s="10"/>
      <c r="C1630" s="10"/>
      <c r="D1630" s="10"/>
      <c r="E1630" s="13"/>
      <c r="F1630" s="129"/>
      <c r="G1630" s="10"/>
      <c r="H1630" s="10"/>
      <c r="I1630" s="10"/>
    </row>
    <row r="1631" spans="1:9" x14ac:dyDescent="0.2">
      <c r="A1631" s="10"/>
      <c r="B1631" s="10"/>
      <c r="C1631" s="10"/>
      <c r="D1631" s="10"/>
      <c r="E1631" s="13"/>
      <c r="F1631" s="129"/>
      <c r="G1631" s="10"/>
      <c r="H1631" s="10"/>
      <c r="I1631" s="10"/>
    </row>
    <row r="1632" spans="1:9" x14ac:dyDescent="0.2">
      <c r="A1632" s="10"/>
      <c r="B1632" s="10"/>
      <c r="C1632" s="10"/>
      <c r="D1632" s="10"/>
      <c r="E1632" s="13"/>
      <c r="F1632" s="129"/>
      <c r="G1632" s="10"/>
      <c r="H1632" s="10"/>
      <c r="I1632" s="10"/>
    </row>
    <row r="1633" spans="1:9" x14ac:dyDescent="0.2">
      <c r="A1633" s="10"/>
      <c r="B1633" s="10"/>
      <c r="C1633" s="10"/>
      <c r="D1633" s="10"/>
      <c r="E1633" s="13"/>
      <c r="F1633" s="129"/>
      <c r="G1633" s="10"/>
      <c r="H1633" s="10"/>
      <c r="I1633" s="10"/>
    </row>
    <row r="1634" spans="1:9" x14ac:dyDescent="0.2">
      <c r="A1634" s="10"/>
      <c r="B1634" s="10"/>
      <c r="C1634" s="10"/>
      <c r="D1634" s="10"/>
      <c r="E1634" s="13"/>
      <c r="F1634" s="129"/>
      <c r="G1634" s="10"/>
      <c r="H1634" s="10"/>
      <c r="I1634" s="10"/>
    </row>
    <row r="1635" spans="1:9" x14ac:dyDescent="0.2">
      <c r="A1635" s="10"/>
      <c r="B1635" s="10"/>
      <c r="C1635" s="10"/>
      <c r="D1635" s="10"/>
      <c r="E1635" s="13"/>
      <c r="F1635" s="129"/>
      <c r="G1635" s="10"/>
      <c r="H1635" s="10"/>
      <c r="I1635" s="10"/>
    </row>
    <row r="1636" spans="1:9" x14ac:dyDescent="0.2">
      <c r="A1636" s="10"/>
      <c r="B1636" s="10"/>
      <c r="C1636" s="10"/>
      <c r="D1636" s="10"/>
      <c r="E1636" s="13"/>
      <c r="F1636" s="129"/>
      <c r="G1636" s="10"/>
      <c r="H1636" s="10"/>
      <c r="I1636" s="10"/>
    </row>
    <row r="1637" spans="1:9" x14ac:dyDescent="0.2">
      <c r="A1637" s="10"/>
      <c r="B1637" s="10"/>
      <c r="C1637" s="10"/>
      <c r="D1637" s="10"/>
      <c r="E1637" s="13"/>
      <c r="F1637" s="129"/>
      <c r="G1637" s="10"/>
      <c r="H1637" s="10"/>
      <c r="I1637" s="10"/>
    </row>
    <row r="1638" spans="1:9" x14ac:dyDescent="0.2">
      <c r="A1638" s="10"/>
      <c r="B1638" s="10"/>
      <c r="C1638" s="10"/>
      <c r="D1638" s="10"/>
      <c r="E1638" s="13"/>
      <c r="F1638" s="129"/>
      <c r="G1638" s="10"/>
      <c r="H1638" s="10"/>
      <c r="I1638" s="10"/>
    </row>
    <row r="1639" spans="1:9" x14ac:dyDescent="0.2">
      <c r="A1639" s="10"/>
      <c r="B1639" s="10"/>
      <c r="C1639" s="10"/>
      <c r="D1639" s="10"/>
      <c r="E1639" s="13"/>
      <c r="F1639" s="129"/>
      <c r="G1639" s="10"/>
      <c r="H1639" s="10"/>
      <c r="I1639" s="10"/>
    </row>
    <row r="1640" spans="1:9" x14ac:dyDescent="0.2">
      <c r="A1640" s="10"/>
      <c r="B1640" s="10"/>
      <c r="C1640" s="10"/>
      <c r="D1640" s="10"/>
      <c r="E1640" s="13"/>
      <c r="F1640" s="129"/>
      <c r="G1640" s="10"/>
      <c r="H1640" s="10"/>
      <c r="I1640" s="10"/>
    </row>
    <row r="1641" spans="1:9" x14ac:dyDescent="0.2">
      <c r="A1641" s="10"/>
      <c r="B1641" s="10"/>
      <c r="C1641" s="10"/>
      <c r="D1641" s="10"/>
      <c r="E1641" s="13"/>
      <c r="F1641" s="129"/>
      <c r="G1641" s="10"/>
      <c r="H1641" s="10"/>
      <c r="I1641" s="10"/>
    </row>
    <row r="1642" spans="1:9" x14ac:dyDescent="0.2">
      <c r="A1642" s="10"/>
      <c r="B1642" s="10"/>
      <c r="C1642" s="10"/>
      <c r="D1642" s="10"/>
      <c r="E1642" s="13"/>
      <c r="F1642" s="129"/>
      <c r="G1642" s="10"/>
      <c r="H1642" s="10"/>
      <c r="I1642" s="10"/>
    </row>
    <row r="1643" spans="1:9" x14ac:dyDescent="0.2">
      <c r="A1643" s="10"/>
      <c r="B1643" s="10"/>
      <c r="C1643" s="10"/>
      <c r="D1643" s="10"/>
      <c r="E1643" s="13"/>
      <c r="F1643" s="129"/>
      <c r="G1643" s="10"/>
      <c r="H1643" s="10"/>
      <c r="I1643" s="10"/>
    </row>
    <row r="1644" spans="1:9" x14ac:dyDescent="0.2">
      <c r="A1644" s="10"/>
      <c r="B1644" s="10"/>
      <c r="C1644" s="10"/>
      <c r="D1644" s="10"/>
      <c r="E1644" s="13"/>
      <c r="F1644" s="129"/>
      <c r="G1644" s="10"/>
      <c r="H1644" s="10"/>
      <c r="I1644" s="10"/>
    </row>
    <row r="1645" spans="1:9" x14ac:dyDescent="0.2">
      <c r="A1645" s="10"/>
      <c r="B1645" s="10"/>
      <c r="C1645" s="10"/>
      <c r="D1645" s="10"/>
      <c r="E1645" s="13"/>
      <c r="F1645" s="129"/>
      <c r="G1645" s="10"/>
      <c r="H1645" s="10"/>
      <c r="I1645" s="10"/>
    </row>
    <row r="1646" spans="1:9" x14ac:dyDescent="0.2">
      <c r="A1646" s="10"/>
      <c r="B1646" s="10"/>
      <c r="C1646" s="10"/>
      <c r="D1646" s="10"/>
      <c r="E1646" s="13"/>
      <c r="F1646" s="129"/>
      <c r="G1646" s="10"/>
      <c r="H1646" s="10"/>
      <c r="I1646" s="10"/>
    </row>
    <row r="1647" spans="1:9" x14ac:dyDescent="0.2">
      <c r="A1647" s="10"/>
      <c r="B1647" s="10"/>
      <c r="C1647" s="10"/>
      <c r="D1647" s="10"/>
      <c r="E1647" s="13"/>
      <c r="F1647" s="129"/>
      <c r="G1647" s="10"/>
      <c r="H1647" s="10"/>
      <c r="I1647" s="10"/>
    </row>
    <row r="1648" spans="1:9" x14ac:dyDescent="0.2">
      <c r="A1648" s="10"/>
      <c r="B1648" s="10"/>
      <c r="C1648" s="10"/>
      <c r="D1648" s="10"/>
      <c r="E1648" s="13"/>
      <c r="F1648" s="129"/>
      <c r="G1648" s="10"/>
      <c r="H1648" s="10"/>
      <c r="I1648" s="10"/>
    </row>
    <row r="1649" spans="1:9" x14ac:dyDescent="0.2">
      <c r="A1649" s="10"/>
      <c r="B1649" s="10"/>
      <c r="C1649" s="10"/>
      <c r="D1649" s="10"/>
      <c r="E1649" s="13"/>
      <c r="F1649" s="129"/>
      <c r="G1649" s="10"/>
      <c r="H1649" s="10"/>
      <c r="I1649" s="10"/>
    </row>
    <row r="1650" spans="1:9" x14ac:dyDescent="0.2">
      <c r="A1650" s="10"/>
      <c r="B1650" s="10"/>
      <c r="C1650" s="10"/>
      <c r="D1650" s="10"/>
      <c r="E1650" s="13"/>
      <c r="F1650" s="129"/>
      <c r="G1650" s="10"/>
      <c r="H1650" s="10"/>
      <c r="I1650" s="10"/>
    </row>
    <row r="1651" spans="1:9" x14ac:dyDescent="0.2">
      <c r="A1651" s="10"/>
      <c r="B1651" s="10"/>
      <c r="C1651" s="10"/>
      <c r="D1651" s="10"/>
      <c r="E1651" s="13"/>
      <c r="F1651" s="129"/>
      <c r="G1651" s="10"/>
      <c r="H1651" s="10"/>
      <c r="I1651" s="10"/>
    </row>
    <row r="1652" spans="1:9" x14ac:dyDescent="0.2">
      <c r="A1652" s="10"/>
      <c r="B1652" s="10"/>
      <c r="C1652" s="10"/>
      <c r="D1652" s="10"/>
      <c r="E1652" s="13"/>
      <c r="F1652" s="129"/>
      <c r="G1652" s="10"/>
      <c r="H1652" s="10"/>
      <c r="I1652" s="10"/>
    </row>
    <row r="1653" spans="1:9" x14ac:dyDescent="0.2">
      <c r="A1653" s="10"/>
      <c r="B1653" s="10"/>
      <c r="C1653" s="10"/>
      <c r="D1653" s="10"/>
      <c r="E1653" s="13"/>
      <c r="F1653" s="129"/>
      <c r="G1653" s="10"/>
      <c r="H1653" s="10"/>
      <c r="I1653" s="10"/>
    </row>
    <row r="1654" spans="1:9" x14ac:dyDescent="0.2">
      <c r="A1654" s="10"/>
      <c r="B1654" s="10"/>
      <c r="C1654" s="10"/>
      <c r="D1654" s="10"/>
      <c r="E1654" s="13"/>
      <c r="F1654" s="129"/>
      <c r="G1654" s="10"/>
      <c r="H1654" s="10"/>
      <c r="I1654" s="10"/>
    </row>
    <row r="1655" spans="1:9" x14ac:dyDescent="0.2">
      <c r="A1655" s="10"/>
      <c r="B1655" s="10"/>
      <c r="C1655" s="10"/>
      <c r="D1655" s="10"/>
      <c r="E1655" s="13"/>
      <c r="F1655" s="129"/>
      <c r="G1655" s="10"/>
      <c r="H1655" s="10"/>
      <c r="I1655" s="10"/>
    </row>
    <row r="1656" spans="1:9" x14ac:dyDescent="0.2">
      <c r="A1656" s="10"/>
      <c r="B1656" s="10"/>
      <c r="C1656" s="10"/>
      <c r="D1656" s="10"/>
      <c r="E1656" s="13"/>
      <c r="F1656" s="129"/>
      <c r="G1656" s="10"/>
      <c r="H1656" s="10"/>
      <c r="I1656" s="10"/>
    </row>
    <row r="1657" spans="1:9" x14ac:dyDescent="0.2">
      <c r="A1657" s="10"/>
      <c r="B1657" s="10"/>
      <c r="C1657" s="10"/>
      <c r="D1657" s="10"/>
      <c r="E1657" s="13"/>
      <c r="F1657" s="129"/>
      <c r="G1657" s="10"/>
      <c r="H1657" s="10"/>
      <c r="I1657" s="10"/>
    </row>
    <row r="1658" spans="1:9" x14ac:dyDescent="0.2">
      <c r="A1658" s="10"/>
      <c r="B1658" s="10"/>
      <c r="C1658" s="10"/>
      <c r="D1658" s="10"/>
      <c r="E1658" s="13"/>
      <c r="F1658" s="129"/>
      <c r="G1658" s="10"/>
      <c r="H1658" s="10"/>
      <c r="I1658" s="10"/>
    </row>
    <row r="1659" spans="1:9" x14ac:dyDescent="0.2">
      <c r="A1659" s="10"/>
      <c r="B1659" s="10"/>
      <c r="C1659" s="10"/>
      <c r="D1659" s="10"/>
      <c r="E1659" s="13"/>
      <c r="F1659" s="129"/>
      <c r="G1659" s="10"/>
      <c r="H1659" s="10"/>
      <c r="I1659" s="10"/>
    </row>
    <row r="1660" spans="1:9" x14ac:dyDescent="0.2">
      <c r="A1660" s="10"/>
      <c r="B1660" s="10"/>
      <c r="C1660" s="10"/>
      <c r="D1660" s="10"/>
      <c r="E1660" s="13"/>
      <c r="F1660" s="129"/>
      <c r="G1660" s="10"/>
      <c r="H1660" s="10"/>
      <c r="I1660" s="10"/>
    </row>
    <row r="1661" spans="1:9" x14ac:dyDescent="0.2">
      <c r="A1661" s="10"/>
      <c r="B1661" s="10"/>
      <c r="C1661" s="10"/>
      <c r="D1661" s="10"/>
      <c r="E1661" s="13"/>
      <c r="F1661" s="129"/>
      <c r="G1661" s="10"/>
      <c r="H1661" s="10"/>
      <c r="I1661" s="10"/>
    </row>
    <row r="1662" spans="1:9" x14ac:dyDescent="0.2">
      <c r="A1662" s="10"/>
      <c r="B1662" s="10"/>
      <c r="C1662" s="10"/>
      <c r="D1662" s="10"/>
      <c r="E1662" s="13"/>
      <c r="F1662" s="129"/>
      <c r="G1662" s="10"/>
      <c r="H1662" s="10"/>
      <c r="I1662" s="10"/>
    </row>
    <row r="1663" spans="1:9" x14ac:dyDescent="0.2">
      <c r="A1663" s="10"/>
      <c r="B1663" s="10"/>
      <c r="C1663" s="10"/>
      <c r="D1663" s="10"/>
      <c r="E1663" s="13"/>
      <c r="F1663" s="129"/>
      <c r="G1663" s="10"/>
      <c r="H1663" s="10"/>
      <c r="I1663" s="10"/>
    </row>
    <row r="1664" spans="1:9" x14ac:dyDescent="0.2">
      <c r="A1664" s="10"/>
      <c r="B1664" s="10"/>
      <c r="C1664" s="10"/>
      <c r="D1664" s="10"/>
      <c r="E1664" s="13"/>
      <c r="F1664" s="129"/>
      <c r="G1664" s="10"/>
      <c r="H1664" s="10"/>
      <c r="I1664" s="10"/>
    </row>
    <row r="1665" spans="1:9" x14ac:dyDescent="0.2">
      <c r="A1665" s="10"/>
      <c r="B1665" s="10"/>
      <c r="C1665" s="10"/>
      <c r="D1665" s="10"/>
      <c r="E1665" s="13"/>
      <c r="F1665" s="129"/>
      <c r="G1665" s="10"/>
      <c r="H1665" s="10"/>
      <c r="I1665" s="10"/>
    </row>
    <row r="1666" spans="1:9" x14ac:dyDescent="0.2">
      <c r="A1666" s="10"/>
      <c r="B1666" s="10"/>
      <c r="C1666" s="10"/>
      <c r="D1666" s="10"/>
      <c r="E1666" s="13"/>
      <c r="F1666" s="129"/>
      <c r="G1666" s="10"/>
      <c r="H1666" s="10"/>
      <c r="I1666" s="10"/>
    </row>
    <row r="1667" spans="1:9" x14ac:dyDescent="0.2">
      <c r="A1667" s="10"/>
      <c r="B1667" s="10"/>
      <c r="C1667" s="10"/>
      <c r="D1667" s="10"/>
      <c r="E1667" s="13"/>
      <c r="F1667" s="129"/>
      <c r="G1667" s="10"/>
      <c r="H1667" s="10"/>
      <c r="I1667" s="10"/>
    </row>
    <row r="1668" spans="1:9" x14ac:dyDescent="0.2">
      <c r="A1668" s="10"/>
      <c r="B1668" s="10"/>
      <c r="C1668" s="10"/>
      <c r="D1668" s="10"/>
      <c r="E1668" s="13"/>
      <c r="F1668" s="129"/>
      <c r="G1668" s="10"/>
      <c r="H1668" s="10"/>
      <c r="I1668" s="10"/>
    </row>
    <row r="1669" spans="1:9" x14ac:dyDescent="0.2">
      <c r="A1669" s="10"/>
      <c r="B1669" s="10"/>
      <c r="C1669" s="10"/>
      <c r="D1669" s="10"/>
      <c r="E1669" s="13"/>
      <c r="F1669" s="129"/>
      <c r="G1669" s="10"/>
      <c r="H1669" s="10"/>
      <c r="I1669" s="10"/>
    </row>
    <row r="1670" spans="1:9" x14ac:dyDescent="0.2">
      <c r="A1670" s="10"/>
      <c r="B1670" s="10"/>
      <c r="C1670" s="10"/>
      <c r="D1670" s="10"/>
      <c r="E1670" s="13"/>
      <c r="F1670" s="129"/>
      <c r="G1670" s="10"/>
      <c r="H1670" s="10"/>
      <c r="I1670" s="10"/>
    </row>
    <row r="1671" spans="1:9" x14ac:dyDescent="0.2">
      <c r="A1671" s="10"/>
      <c r="B1671" s="10"/>
      <c r="C1671" s="10"/>
      <c r="D1671" s="10"/>
      <c r="E1671" s="13"/>
      <c r="F1671" s="129"/>
      <c r="G1671" s="10"/>
      <c r="H1671" s="10"/>
      <c r="I1671" s="10"/>
    </row>
    <row r="1672" spans="1:9" x14ac:dyDescent="0.2">
      <c r="A1672" s="10"/>
      <c r="B1672" s="10"/>
      <c r="C1672" s="10"/>
      <c r="D1672" s="10"/>
      <c r="E1672" s="13"/>
      <c r="F1672" s="129"/>
      <c r="G1672" s="10"/>
      <c r="H1672" s="10"/>
      <c r="I1672" s="10"/>
    </row>
    <row r="1673" spans="1:9" x14ac:dyDescent="0.2">
      <c r="A1673" s="10"/>
      <c r="B1673" s="10"/>
      <c r="C1673" s="10"/>
      <c r="D1673" s="10"/>
      <c r="E1673" s="13"/>
      <c r="F1673" s="129"/>
      <c r="G1673" s="10"/>
      <c r="H1673" s="10"/>
      <c r="I1673" s="10"/>
    </row>
    <row r="1674" spans="1:9" x14ac:dyDescent="0.2">
      <c r="A1674" s="10"/>
      <c r="B1674" s="10"/>
      <c r="C1674" s="10"/>
      <c r="D1674" s="10"/>
      <c r="E1674" s="13"/>
      <c r="F1674" s="129"/>
      <c r="G1674" s="10"/>
      <c r="H1674" s="10"/>
      <c r="I1674" s="10"/>
    </row>
    <row r="1675" spans="1:9" x14ac:dyDescent="0.2">
      <c r="A1675" s="10"/>
      <c r="B1675" s="10"/>
      <c r="C1675" s="10"/>
      <c r="D1675" s="10"/>
      <c r="E1675" s="13"/>
      <c r="F1675" s="129"/>
      <c r="G1675" s="10"/>
      <c r="H1675" s="10"/>
      <c r="I1675" s="10"/>
    </row>
    <row r="1676" spans="1:9" x14ac:dyDescent="0.2">
      <c r="A1676" s="10"/>
      <c r="B1676" s="10"/>
      <c r="C1676" s="10"/>
      <c r="D1676" s="10"/>
      <c r="E1676" s="13"/>
      <c r="F1676" s="129"/>
      <c r="G1676" s="10"/>
      <c r="H1676" s="10"/>
      <c r="I1676" s="10"/>
    </row>
    <row r="1677" spans="1:9" x14ac:dyDescent="0.2">
      <c r="A1677" s="10"/>
      <c r="B1677" s="10"/>
      <c r="C1677" s="10"/>
      <c r="D1677" s="10"/>
      <c r="E1677" s="13"/>
      <c r="F1677" s="129"/>
      <c r="G1677" s="10"/>
      <c r="H1677" s="10"/>
      <c r="I1677" s="10"/>
    </row>
    <row r="1678" spans="1:9" x14ac:dyDescent="0.2">
      <c r="A1678" s="10"/>
      <c r="B1678" s="10"/>
      <c r="C1678" s="10"/>
      <c r="D1678" s="10"/>
      <c r="E1678" s="13"/>
      <c r="F1678" s="129"/>
      <c r="G1678" s="10"/>
      <c r="H1678" s="10"/>
      <c r="I1678" s="10"/>
    </row>
    <row r="1679" spans="1:9" x14ac:dyDescent="0.2">
      <c r="A1679" s="10"/>
      <c r="B1679" s="10"/>
      <c r="C1679" s="10"/>
      <c r="D1679" s="10"/>
      <c r="E1679" s="13"/>
      <c r="F1679" s="129"/>
      <c r="G1679" s="10"/>
      <c r="H1679" s="10"/>
      <c r="I1679" s="10"/>
    </row>
    <row r="1680" spans="1:9" x14ac:dyDescent="0.2">
      <c r="A1680" s="10"/>
      <c r="B1680" s="10"/>
      <c r="C1680" s="10"/>
      <c r="D1680" s="10"/>
      <c r="E1680" s="13"/>
      <c r="F1680" s="129"/>
      <c r="G1680" s="10"/>
      <c r="H1680" s="10"/>
      <c r="I1680" s="10"/>
    </row>
    <row r="1681" spans="1:9" x14ac:dyDescent="0.2">
      <c r="A1681" s="10"/>
      <c r="B1681" s="10"/>
      <c r="C1681" s="10"/>
      <c r="D1681" s="10"/>
      <c r="E1681" s="13"/>
      <c r="F1681" s="129"/>
      <c r="G1681" s="10"/>
      <c r="H1681" s="10"/>
      <c r="I1681" s="10"/>
    </row>
    <row r="1682" spans="1:9" x14ac:dyDescent="0.2">
      <c r="A1682" s="10"/>
      <c r="B1682" s="10"/>
      <c r="C1682" s="10"/>
      <c r="D1682" s="10"/>
      <c r="E1682" s="13"/>
      <c r="F1682" s="129"/>
      <c r="G1682" s="10"/>
      <c r="H1682" s="10"/>
      <c r="I1682" s="10"/>
    </row>
    <row r="1683" spans="1:9" x14ac:dyDescent="0.2">
      <c r="A1683" s="10"/>
      <c r="B1683" s="10"/>
      <c r="C1683" s="10"/>
      <c r="D1683" s="10"/>
      <c r="E1683" s="13"/>
      <c r="F1683" s="129"/>
      <c r="G1683" s="10"/>
      <c r="H1683" s="10"/>
      <c r="I1683" s="10"/>
    </row>
    <row r="1684" spans="1:9" x14ac:dyDescent="0.2">
      <c r="A1684" s="10"/>
      <c r="B1684" s="10"/>
      <c r="C1684" s="10"/>
      <c r="D1684" s="10"/>
      <c r="E1684" s="13"/>
      <c r="F1684" s="129"/>
      <c r="G1684" s="10"/>
      <c r="H1684" s="10"/>
      <c r="I1684" s="10"/>
    </row>
    <row r="1685" spans="1:9" x14ac:dyDescent="0.2">
      <c r="A1685" s="10"/>
      <c r="B1685" s="10"/>
      <c r="C1685" s="10"/>
      <c r="D1685" s="10"/>
      <c r="E1685" s="13"/>
      <c r="F1685" s="129"/>
      <c r="G1685" s="10"/>
      <c r="H1685" s="10"/>
      <c r="I1685" s="10"/>
    </row>
    <row r="1686" spans="1:9" x14ac:dyDescent="0.2">
      <c r="A1686" s="10"/>
      <c r="B1686" s="10"/>
      <c r="C1686" s="10"/>
      <c r="D1686" s="10"/>
      <c r="E1686" s="13"/>
      <c r="F1686" s="129"/>
      <c r="G1686" s="10"/>
      <c r="H1686" s="10"/>
      <c r="I1686" s="10"/>
    </row>
    <row r="1687" spans="1:9" x14ac:dyDescent="0.2">
      <c r="A1687" s="10"/>
      <c r="B1687" s="10"/>
      <c r="C1687" s="10"/>
      <c r="D1687" s="10"/>
      <c r="E1687" s="13"/>
      <c r="F1687" s="129"/>
      <c r="G1687" s="10"/>
      <c r="H1687" s="10"/>
      <c r="I1687" s="10"/>
    </row>
    <row r="1688" spans="1:9" x14ac:dyDescent="0.2">
      <c r="A1688" s="10"/>
      <c r="B1688" s="10"/>
      <c r="C1688" s="10"/>
      <c r="D1688" s="10"/>
      <c r="E1688" s="13"/>
      <c r="F1688" s="129"/>
      <c r="G1688" s="10"/>
      <c r="H1688" s="10"/>
      <c r="I1688" s="10"/>
    </row>
    <row r="1689" spans="1:9" x14ac:dyDescent="0.2">
      <c r="A1689" s="10"/>
      <c r="B1689" s="10"/>
      <c r="C1689" s="10"/>
      <c r="D1689" s="10"/>
      <c r="E1689" s="13"/>
      <c r="F1689" s="129"/>
      <c r="G1689" s="10"/>
      <c r="H1689" s="10"/>
      <c r="I1689" s="10"/>
    </row>
    <row r="1690" spans="1:9" x14ac:dyDescent="0.2">
      <c r="A1690" s="10"/>
      <c r="B1690" s="10"/>
      <c r="C1690" s="10"/>
      <c r="D1690" s="10"/>
      <c r="E1690" s="13"/>
      <c r="F1690" s="129"/>
      <c r="G1690" s="10"/>
      <c r="H1690" s="10"/>
      <c r="I1690" s="10"/>
    </row>
    <row r="1691" spans="1:9" x14ac:dyDescent="0.2">
      <c r="A1691" s="10"/>
      <c r="B1691" s="10"/>
      <c r="C1691" s="10"/>
      <c r="D1691" s="10"/>
      <c r="E1691" s="13"/>
      <c r="F1691" s="129"/>
      <c r="G1691" s="10"/>
      <c r="H1691" s="10"/>
      <c r="I1691" s="10"/>
    </row>
    <row r="1692" spans="1:9" x14ac:dyDescent="0.2">
      <c r="A1692" s="10"/>
      <c r="B1692" s="10"/>
      <c r="C1692" s="10"/>
      <c r="D1692" s="10"/>
      <c r="E1692" s="13"/>
      <c r="F1692" s="129"/>
      <c r="G1692" s="10"/>
      <c r="H1692" s="10"/>
      <c r="I1692" s="10"/>
    </row>
    <row r="1693" spans="1:9" x14ac:dyDescent="0.2">
      <c r="A1693" s="10"/>
      <c r="B1693" s="10"/>
      <c r="C1693" s="10"/>
      <c r="D1693" s="10"/>
      <c r="E1693" s="13"/>
      <c r="F1693" s="129"/>
      <c r="G1693" s="10"/>
      <c r="H1693" s="10"/>
      <c r="I1693" s="10"/>
    </row>
    <row r="1694" spans="1:9" x14ac:dyDescent="0.2">
      <c r="A1694" s="10"/>
      <c r="B1694" s="10"/>
      <c r="C1694" s="10"/>
      <c r="D1694" s="10"/>
      <c r="E1694" s="13"/>
      <c r="F1694" s="129"/>
      <c r="G1694" s="10"/>
      <c r="H1694" s="10"/>
      <c r="I1694" s="10"/>
    </row>
    <row r="1695" spans="1:9" x14ac:dyDescent="0.2">
      <c r="A1695" s="10"/>
      <c r="B1695" s="10"/>
      <c r="C1695" s="10"/>
      <c r="D1695" s="10"/>
      <c r="E1695" s="13"/>
      <c r="F1695" s="129"/>
      <c r="G1695" s="10"/>
      <c r="H1695" s="10"/>
      <c r="I1695" s="10"/>
    </row>
    <row r="1696" spans="1:9" x14ac:dyDescent="0.2">
      <c r="A1696" s="10"/>
      <c r="B1696" s="10"/>
      <c r="C1696" s="10"/>
      <c r="D1696" s="10"/>
      <c r="E1696" s="13"/>
      <c r="F1696" s="129"/>
      <c r="G1696" s="10"/>
      <c r="H1696" s="10"/>
      <c r="I1696" s="10"/>
    </row>
    <row r="1697" spans="1:9" x14ac:dyDescent="0.2">
      <c r="A1697" s="10"/>
      <c r="B1697" s="10"/>
      <c r="C1697" s="10"/>
      <c r="D1697" s="10"/>
      <c r="E1697" s="13"/>
      <c r="F1697" s="129"/>
      <c r="G1697" s="10"/>
      <c r="H1697" s="10"/>
      <c r="I1697" s="10"/>
    </row>
    <row r="1698" spans="1:9" x14ac:dyDescent="0.2">
      <c r="A1698" s="10"/>
      <c r="B1698" s="10"/>
      <c r="C1698" s="10"/>
      <c r="D1698" s="10"/>
      <c r="E1698" s="13"/>
      <c r="F1698" s="129"/>
      <c r="G1698" s="10"/>
      <c r="H1698" s="10"/>
      <c r="I1698" s="10"/>
    </row>
    <row r="1699" spans="1:9" x14ac:dyDescent="0.2">
      <c r="A1699" s="10"/>
      <c r="B1699" s="10"/>
      <c r="C1699" s="10"/>
      <c r="D1699" s="10"/>
      <c r="E1699" s="13"/>
      <c r="F1699" s="129"/>
      <c r="G1699" s="10"/>
      <c r="H1699" s="10"/>
      <c r="I1699" s="10"/>
    </row>
    <row r="1700" spans="1:9" x14ac:dyDescent="0.2">
      <c r="A1700" s="10"/>
      <c r="B1700" s="10"/>
      <c r="C1700" s="10"/>
      <c r="D1700" s="10"/>
      <c r="E1700" s="13"/>
      <c r="F1700" s="129"/>
      <c r="G1700" s="10"/>
      <c r="H1700" s="10"/>
      <c r="I1700" s="10"/>
    </row>
    <row r="1701" spans="1:9" x14ac:dyDescent="0.2">
      <c r="A1701" s="10"/>
      <c r="B1701" s="10"/>
      <c r="C1701" s="10"/>
      <c r="D1701" s="10"/>
      <c r="E1701" s="13"/>
      <c r="F1701" s="129"/>
      <c r="G1701" s="10"/>
      <c r="H1701" s="10"/>
      <c r="I1701" s="10"/>
    </row>
    <row r="1702" spans="1:9" x14ac:dyDescent="0.2">
      <c r="A1702" s="10"/>
      <c r="B1702" s="10"/>
      <c r="C1702" s="10"/>
      <c r="D1702" s="10"/>
      <c r="E1702" s="13"/>
      <c r="F1702" s="129"/>
      <c r="G1702" s="10"/>
      <c r="H1702" s="10"/>
      <c r="I1702" s="10"/>
    </row>
    <row r="1703" spans="1:9" x14ac:dyDescent="0.2">
      <c r="A1703" s="10"/>
      <c r="B1703" s="10"/>
      <c r="C1703" s="10"/>
      <c r="D1703" s="10"/>
      <c r="E1703" s="13"/>
      <c r="F1703" s="129"/>
      <c r="G1703" s="10"/>
      <c r="H1703" s="10"/>
      <c r="I1703" s="10"/>
    </row>
    <row r="1704" spans="1:9" x14ac:dyDescent="0.2">
      <c r="A1704" s="10"/>
      <c r="B1704" s="10"/>
      <c r="C1704" s="10"/>
      <c r="D1704" s="10"/>
      <c r="E1704" s="13"/>
      <c r="F1704" s="129"/>
      <c r="G1704" s="10"/>
      <c r="H1704" s="10"/>
      <c r="I1704" s="10"/>
    </row>
    <row r="1705" spans="1:9" x14ac:dyDescent="0.2">
      <c r="A1705" s="10"/>
      <c r="B1705" s="10"/>
      <c r="C1705" s="10"/>
      <c r="D1705" s="10"/>
      <c r="E1705" s="13"/>
      <c r="F1705" s="129"/>
      <c r="G1705" s="10"/>
      <c r="H1705" s="10"/>
      <c r="I1705" s="10"/>
    </row>
    <row r="1706" spans="1:9" x14ac:dyDescent="0.2">
      <c r="A1706" s="10"/>
      <c r="B1706" s="10"/>
      <c r="C1706" s="10"/>
      <c r="D1706" s="10"/>
      <c r="E1706" s="13"/>
      <c r="F1706" s="129"/>
      <c r="G1706" s="10"/>
      <c r="H1706" s="10"/>
      <c r="I1706" s="10"/>
    </row>
    <row r="1707" spans="1:9" x14ac:dyDescent="0.2">
      <c r="A1707" s="10"/>
      <c r="B1707" s="10"/>
      <c r="C1707" s="10"/>
      <c r="D1707" s="10"/>
      <c r="E1707" s="13"/>
      <c r="F1707" s="129"/>
      <c r="G1707" s="10"/>
      <c r="H1707" s="10"/>
      <c r="I1707" s="10"/>
    </row>
    <row r="1708" spans="1:9" x14ac:dyDescent="0.2">
      <c r="A1708" s="10"/>
      <c r="B1708" s="10"/>
      <c r="C1708" s="10"/>
      <c r="D1708" s="10"/>
      <c r="E1708" s="13"/>
      <c r="F1708" s="129"/>
      <c r="G1708" s="10"/>
      <c r="H1708" s="10"/>
      <c r="I1708" s="10"/>
    </row>
    <row r="1709" spans="1:9" x14ac:dyDescent="0.2">
      <c r="A1709" s="10"/>
      <c r="B1709" s="10"/>
      <c r="C1709" s="10"/>
      <c r="D1709" s="10"/>
      <c r="E1709" s="13"/>
      <c r="F1709" s="129"/>
      <c r="G1709" s="10"/>
      <c r="H1709" s="10"/>
      <c r="I1709" s="10"/>
    </row>
    <row r="1710" spans="1:9" x14ac:dyDescent="0.2">
      <c r="A1710" s="10"/>
      <c r="B1710" s="10"/>
      <c r="C1710" s="10"/>
      <c r="D1710" s="10"/>
      <c r="E1710" s="13"/>
      <c r="F1710" s="129"/>
      <c r="G1710" s="10"/>
      <c r="H1710" s="10"/>
      <c r="I1710" s="10"/>
    </row>
    <row r="1711" spans="1:9" x14ac:dyDescent="0.2">
      <c r="A1711" s="10"/>
      <c r="B1711" s="10"/>
      <c r="C1711" s="10"/>
      <c r="D1711" s="10"/>
      <c r="E1711" s="13"/>
      <c r="F1711" s="129"/>
      <c r="G1711" s="10"/>
      <c r="H1711" s="10"/>
      <c r="I1711" s="10"/>
    </row>
    <row r="1712" spans="1:9" x14ac:dyDescent="0.2">
      <c r="A1712" s="10"/>
      <c r="B1712" s="10"/>
      <c r="C1712" s="10"/>
      <c r="D1712" s="10"/>
      <c r="E1712" s="13"/>
      <c r="F1712" s="129"/>
      <c r="G1712" s="10"/>
      <c r="H1712" s="10"/>
      <c r="I1712" s="10"/>
    </row>
    <row r="1713" spans="1:9" x14ac:dyDescent="0.2">
      <c r="A1713" s="10"/>
      <c r="B1713" s="10"/>
      <c r="C1713" s="10"/>
      <c r="D1713" s="10"/>
      <c r="E1713" s="13"/>
      <c r="F1713" s="129"/>
      <c r="G1713" s="10"/>
      <c r="H1713" s="10"/>
      <c r="I1713" s="10"/>
    </row>
    <row r="1714" spans="1:9" x14ac:dyDescent="0.2">
      <c r="A1714" s="10"/>
      <c r="B1714" s="10"/>
      <c r="C1714" s="10"/>
      <c r="D1714" s="10"/>
      <c r="E1714" s="13"/>
      <c r="F1714" s="129"/>
      <c r="G1714" s="10"/>
      <c r="H1714" s="10"/>
      <c r="I1714" s="10"/>
    </row>
    <row r="1715" spans="1:9" x14ac:dyDescent="0.2">
      <c r="A1715" s="10"/>
      <c r="B1715" s="10"/>
      <c r="C1715" s="10"/>
      <c r="D1715" s="10"/>
      <c r="E1715" s="13"/>
      <c r="F1715" s="129"/>
      <c r="G1715" s="10"/>
      <c r="H1715" s="10"/>
      <c r="I1715" s="10"/>
    </row>
    <row r="1716" spans="1:9" x14ac:dyDescent="0.2">
      <c r="A1716" s="10"/>
      <c r="B1716" s="10"/>
      <c r="C1716" s="10"/>
      <c r="D1716" s="10"/>
      <c r="E1716" s="13"/>
      <c r="F1716" s="129"/>
      <c r="G1716" s="10"/>
      <c r="H1716" s="10"/>
      <c r="I1716" s="10"/>
    </row>
    <row r="1717" spans="1:9" x14ac:dyDescent="0.2">
      <c r="A1717" s="10"/>
      <c r="B1717" s="10"/>
      <c r="C1717" s="10"/>
      <c r="D1717" s="10"/>
      <c r="E1717" s="13"/>
      <c r="F1717" s="129"/>
      <c r="G1717" s="10"/>
      <c r="H1717" s="10"/>
      <c r="I1717" s="10"/>
    </row>
    <row r="1718" spans="1:9" x14ac:dyDescent="0.2">
      <c r="A1718" s="10"/>
      <c r="B1718" s="10"/>
      <c r="C1718" s="10"/>
      <c r="D1718" s="10"/>
      <c r="E1718" s="13"/>
      <c r="F1718" s="129"/>
      <c r="G1718" s="10"/>
      <c r="H1718" s="10"/>
      <c r="I1718" s="10"/>
    </row>
    <row r="1719" spans="1:9" x14ac:dyDescent="0.2">
      <c r="A1719" s="10"/>
      <c r="B1719" s="10"/>
      <c r="C1719" s="10"/>
      <c r="D1719" s="10"/>
      <c r="E1719" s="13"/>
      <c r="F1719" s="129"/>
      <c r="G1719" s="10"/>
      <c r="H1719" s="10"/>
      <c r="I1719" s="10"/>
    </row>
    <row r="1720" spans="1:9" x14ac:dyDescent="0.2">
      <c r="A1720" s="10"/>
      <c r="B1720" s="10"/>
      <c r="C1720" s="10"/>
      <c r="D1720" s="10"/>
      <c r="E1720" s="13"/>
      <c r="F1720" s="129"/>
      <c r="G1720" s="10"/>
      <c r="H1720" s="10"/>
      <c r="I1720" s="10"/>
    </row>
    <row r="1721" spans="1:9" x14ac:dyDescent="0.2">
      <c r="A1721" s="10"/>
      <c r="B1721" s="10"/>
      <c r="C1721" s="10"/>
      <c r="D1721" s="10"/>
      <c r="E1721" s="13"/>
      <c r="F1721" s="129"/>
      <c r="G1721" s="10"/>
      <c r="H1721" s="10"/>
      <c r="I1721" s="10"/>
    </row>
    <row r="1722" spans="1:9" x14ac:dyDescent="0.2">
      <c r="A1722" s="10"/>
      <c r="B1722" s="10"/>
      <c r="C1722" s="10"/>
      <c r="D1722" s="10"/>
      <c r="E1722" s="13"/>
      <c r="F1722" s="129"/>
      <c r="G1722" s="10"/>
      <c r="H1722" s="10"/>
      <c r="I1722" s="10"/>
    </row>
    <row r="1723" spans="1:9" x14ac:dyDescent="0.2">
      <c r="A1723" s="10"/>
      <c r="B1723" s="10"/>
      <c r="C1723" s="10"/>
      <c r="D1723" s="10"/>
      <c r="E1723" s="13"/>
      <c r="F1723" s="129"/>
      <c r="G1723" s="10"/>
      <c r="H1723" s="10"/>
      <c r="I1723" s="10"/>
    </row>
    <row r="1724" spans="1:9" x14ac:dyDescent="0.2">
      <c r="A1724" s="10"/>
      <c r="B1724" s="10"/>
      <c r="C1724" s="10"/>
      <c r="D1724" s="10"/>
      <c r="E1724" s="13"/>
      <c r="F1724" s="129"/>
      <c r="G1724" s="10"/>
      <c r="H1724" s="10"/>
      <c r="I1724" s="10"/>
    </row>
    <row r="1725" spans="1:9" x14ac:dyDescent="0.2">
      <c r="A1725" s="10"/>
      <c r="B1725" s="10"/>
      <c r="C1725" s="10"/>
      <c r="D1725" s="10"/>
      <c r="E1725" s="13"/>
      <c r="F1725" s="129"/>
      <c r="G1725" s="10"/>
      <c r="H1725" s="10"/>
      <c r="I1725" s="10"/>
    </row>
    <row r="1726" spans="1:9" x14ac:dyDescent="0.2">
      <c r="A1726" s="10"/>
      <c r="B1726" s="10"/>
      <c r="C1726" s="10"/>
      <c r="D1726" s="10"/>
      <c r="E1726" s="13"/>
      <c r="F1726" s="129"/>
      <c r="G1726" s="10"/>
      <c r="H1726" s="10"/>
      <c r="I1726" s="10"/>
    </row>
    <row r="1727" spans="1:9" x14ac:dyDescent="0.2">
      <c r="A1727" s="10"/>
      <c r="B1727" s="10"/>
      <c r="C1727" s="10"/>
      <c r="D1727" s="10"/>
      <c r="E1727" s="13"/>
      <c r="F1727" s="129"/>
      <c r="G1727" s="10"/>
      <c r="H1727" s="10"/>
      <c r="I1727" s="10"/>
    </row>
    <row r="1728" spans="1:9" x14ac:dyDescent="0.2">
      <c r="A1728" s="10"/>
      <c r="B1728" s="10"/>
      <c r="C1728" s="10"/>
      <c r="D1728" s="10"/>
      <c r="E1728" s="13"/>
      <c r="F1728" s="129"/>
      <c r="G1728" s="10"/>
      <c r="H1728" s="10"/>
      <c r="I1728" s="10"/>
    </row>
    <row r="1729" spans="1:9" x14ac:dyDescent="0.2">
      <c r="A1729" s="10"/>
      <c r="B1729" s="10"/>
      <c r="C1729" s="10"/>
      <c r="D1729" s="10"/>
      <c r="E1729" s="13"/>
      <c r="F1729" s="129"/>
      <c r="G1729" s="10"/>
      <c r="H1729" s="10"/>
      <c r="I1729" s="10"/>
    </row>
    <row r="1730" spans="1:9" x14ac:dyDescent="0.2">
      <c r="A1730" s="10"/>
      <c r="B1730" s="10"/>
      <c r="C1730" s="10"/>
      <c r="D1730" s="10"/>
      <c r="E1730" s="13"/>
      <c r="F1730" s="129"/>
      <c r="G1730" s="10"/>
      <c r="H1730" s="10"/>
      <c r="I1730" s="10"/>
    </row>
    <row r="1731" spans="1:9" x14ac:dyDescent="0.2">
      <c r="A1731" s="10"/>
      <c r="B1731" s="10"/>
      <c r="C1731" s="10"/>
      <c r="D1731" s="10"/>
      <c r="E1731" s="13"/>
      <c r="F1731" s="129"/>
      <c r="G1731" s="10"/>
      <c r="H1731" s="10"/>
      <c r="I1731" s="10"/>
    </row>
    <row r="1732" spans="1:9" x14ac:dyDescent="0.2">
      <c r="A1732" s="10"/>
      <c r="B1732" s="10"/>
      <c r="C1732" s="10"/>
      <c r="D1732" s="10"/>
      <c r="E1732" s="13"/>
      <c r="F1732" s="129"/>
      <c r="G1732" s="10"/>
      <c r="H1732" s="10"/>
      <c r="I1732" s="10"/>
    </row>
    <row r="1733" spans="1:9" x14ac:dyDescent="0.2">
      <c r="A1733" s="10"/>
      <c r="B1733" s="10"/>
      <c r="C1733" s="10"/>
      <c r="D1733" s="10"/>
      <c r="E1733" s="13"/>
      <c r="F1733" s="129"/>
      <c r="G1733" s="10"/>
      <c r="H1733" s="10"/>
      <c r="I1733" s="10"/>
    </row>
    <row r="1734" spans="1:9" x14ac:dyDescent="0.2">
      <c r="A1734" s="10"/>
      <c r="B1734" s="10"/>
      <c r="C1734" s="10"/>
      <c r="D1734" s="10"/>
      <c r="E1734" s="13"/>
      <c r="F1734" s="129"/>
      <c r="G1734" s="10"/>
      <c r="H1734" s="10"/>
      <c r="I1734" s="10"/>
    </row>
    <row r="1735" spans="1:9" x14ac:dyDescent="0.2">
      <c r="A1735" s="10"/>
      <c r="B1735" s="10"/>
      <c r="C1735" s="10"/>
      <c r="D1735" s="10"/>
      <c r="E1735" s="13"/>
      <c r="F1735" s="129"/>
      <c r="G1735" s="10"/>
      <c r="H1735" s="10"/>
      <c r="I1735" s="10"/>
    </row>
    <row r="1736" spans="1:9" x14ac:dyDescent="0.2">
      <c r="A1736" s="10"/>
      <c r="B1736" s="10"/>
      <c r="C1736" s="10"/>
      <c r="D1736" s="10"/>
      <c r="E1736" s="13"/>
      <c r="F1736" s="129"/>
      <c r="G1736" s="10"/>
      <c r="H1736" s="10"/>
      <c r="I1736" s="10"/>
    </row>
    <row r="1737" spans="1:9" x14ac:dyDescent="0.2">
      <c r="A1737" s="10"/>
      <c r="B1737" s="10"/>
      <c r="C1737" s="10"/>
      <c r="D1737" s="10"/>
      <c r="E1737" s="13"/>
      <c r="F1737" s="129"/>
      <c r="G1737" s="10"/>
      <c r="H1737" s="10"/>
      <c r="I1737" s="10"/>
    </row>
    <row r="1738" spans="1:9" x14ac:dyDescent="0.2">
      <c r="A1738" s="10"/>
      <c r="B1738" s="10"/>
      <c r="C1738" s="10"/>
      <c r="D1738" s="10"/>
      <c r="E1738" s="13"/>
      <c r="F1738" s="129"/>
      <c r="G1738" s="10"/>
      <c r="H1738" s="10"/>
      <c r="I1738" s="10"/>
    </row>
    <row r="1739" spans="1:9" x14ac:dyDescent="0.2">
      <c r="A1739" s="10"/>
      <c r="B1739" s="10"/>
      <c r="C1739" s="10"/>
      <c r="D1739" s="10"/>
      <c r="E1739" s="13"/>
      <c r="F1739" s="129"/>
      <c r="G1739" s="10"/>
      <c r="H1739" s="10"/>
      <c r="I1739" s="10"/>
    </row>
    <row r="1740" spans="1:9" x14ac:dyDescent="0.2">
      <c r="A1740" s="10"/>
      <c r="B1740" s="10"/>
      <c r="C1740" s="10"/>
      <c r="D1740" s="10"/>
      <c r="E1740" s="13"/>
      <c r="F1740" s="129"/>
      <c r="G1740" s="10"/>
      <c r="H1740" s="10"/>
      <c r="I1740" s="10"/>
    </row>
    <row r="1741" spans="1:9" x14ac:dyDescent="0.2">
      <c r="A1741" s="10"/>
      <c r="B1741" s="10"/>
      <c r="C1741" s="10"/>
      <c r="D1741" s="10"/>
      <c r="E1741" s="13"/>
      <c r="F1741" s="129"/>
      <c r="G1741" s="10"/>
      <c r="H1741" s="10"/>
      <c r="I1741" s="10"/>
    </row>
    <row r="1742" spans="1:9" x14ac:dyDescent="0.2">
      <c r="A1742" s="10"/>
      <c r="B1742" s="10"/>
      <c r="C1742" s="10"/>
      <c r="D1742" s="10"/>
      <c r="E1742" s="13"/>
      <c r="F1742" s="129"/>
      <c r="G1742" s="10"/>
      <c r="H1742" s="10"/>
      <c r="I1742" s="10"/>
    </row>
    <row r="1743" spans="1:9" x14ac:dyDescent="0.2">
      <c r="A1743" s="10"/>
      <c r="B1743" s="10"/>
      <c r="C1743" s="10"/>
      <c r="D1743" s="10"/>
      <c r="E1743" s="13"/>
      <c r="F1743" s="129"/>
      <c r="G1743" s="10"/>
      <c r="H1743" s="10"/>
      <c r="I1743" s="10"/>
    </row>
    <row r="1744" spans="1:9" x14ac:dyDescent="0.2">
      <c r="A1744" s="10"/>
      <c r="B1744" s="10"/>
      <c r="C1744" s="10"/>
      <c r="D1744" s="10"/>
      <c r="E1744" s="13"/>
      <c r="F1744" s="129"/>
      <c r="G1744" s="10"/>
      <c r="H1744" s="10"/>
      <c r="I1744" s="10"/>
    </row>
    <row r="1745" spans="1:9" x14ac:dyDescent="0.2">
      <c r="A1745" s="10"/>
      <c r="B1745" s="10"/>
      <c r="C1745" s="10"/>
      <c r="D1745" s="10"/>
      <c r="E1745" s="13"/>
      <c r="F1745" s="129"/>
      <c r="G1745" s="10"/>
      <c r="H1745" s="10"/>
      <c r="I1745" s="10"/>
    </row>
    <row r="1746" spans="1:9" x14ac:dyDescent="0.2">
      <c r="A1746" s="10"/>
      <c r="B1746" s="10"/>
      <c r="C1746" s="10"/>
      <c r="D1746" s="10"/>
      <c r="E1746" s="13"/>
      <c r="F1746" s="129"/>
      <c r="G1746" s="10"/>
      <c r="H1746" s="10"/>
      <c r="I1746" s="10"/>
    </row>
    <row r="1747" spans="1:9" x14ac:dyDescent="0.2">
      <c r="A1747" s="10"/>
      <c r="B1747" s="10"/>
      <c r="C1747" s="10"/>
      <c r="D1747" s="10"/>
      <c r="E1747" s="13"/>
      <c r="F1747" s="129"/>
      <c r="G1747" s="10"/>
      <c r="H1747" s="10"/>
      <c r="I1747" s="10"/>
    </row>
    <row r="1748" spans="1:9" x14ac:dyDescent="0.2">
      <c r="A1748" s="10"/>
      <c r="B1748" s="10"/>
      <c r="C1748" s="10"/>
      <c r="D1748" s="10"/>
      <c r="E1748" s="13"/>
      <c r="F1748" s="129"/>
      <c r="G1748" s="10"/>
      <c r="H1748" s="10"/>
      <c r="I1748" s="10"/>
    </row>
    <row r="1749" spans="1:9" x14ac:dyDescent="0.2">
      <c r="A1749" s="10"/>
      <c r="B1749" s="10"/>
      <c r="C1749" s="10"/>
      <c r="D1749" s="10"/>
      <c r="E1749" s="13"/>
      <c r="F1749" s="129"/>
      <c r="G1749" s="10"/>
      <c r="H1749" s="10"/>
      <c r="I1749" s="10"/>
    </row>
    <row r="1750" spans="1:9" x14ac:dyDescent="0.2">
      <c r="A1750" s="10"/>
      <c r="B1750" s="10"/>
      <c r="C1750" s="10"/>
      <c r="D1750" s="10"/>
      <c r="E1750" s="13"/>
      <c r="F1750" s="129"/>
      <c r="G1750" s="10"/>
      <c r="H1750" s="10"/>
      <c r="I1750" s="10"/>
    </row>
    <row r="1751" spans="1:9" x14ac:dyDescent="0.2">
      <c r="A1751" s="10"/>
      <c r="B1751" s="10"/>
      <c r="C1751" s="10"/>
      <c r="D1751" s="10"/>
      <c r="E1751" s="13"/>
      <c r="F1751" s="129"/>
      <c r="G1751" s="10"/>
      <c r="H1751" s="10"/>
      <c r="I1751" s="10"/>
    </row>
    <row r="1752" spans="1:9" x14ac:dyDescent="0.2">
      <c r="A1752" s="10"/>
      <c r="B1752" s="10"/>
      <c r="C1752" s="10"/>
      <c r="D1752" s="10"/>
      <c r="E1752" s="13"/>
      <c r="F1752" s="129"/>
      <c r="G1752" s="10"/>
      <c r="H1752" s="10"/>
      <c r="I1752" s="10"/>
    </row>
    <row r="1753" spans="1:9" x14ac:dyDescent="0.2">
      <c r="A1753" s="10"/>
      <c r="B1753" s="10"/>
      <c r="C1753" s="10"/>
      <c r="D1753" s="10"/>
      <c r="E1753" s="13"/>
      <c r="F1753" s="129"/>
      <c r="G1753" s="10"/>
      <c r="H1753" s="10"/>
      <c r="I1753" s="10"/>
    </row>
    <row r="1754" spans="1:9" x14ac:dyDescent="0.2">
      <c r="A1754" s="10"/>
      <c r="B1754" s="10"/>
      <c r="C1754" s="10"/>
      <c r="D1754" s="10"/>
      <c r="E1754" s="13"/>
      <c r="F1754" s="129"/>
      <c r="G1754" s="10"/>
      <c r="H1754" s="10"/>
      <c r="I1754" s="10"/>
    </row>
    <row r="1755" spans="1:9" x14ac:dyDescent="0.2">
      <c r="A1755" s="10"/>
      <c r="B1755" s="10"/>
      <c r="C1755" s="10"/>
      <c r="D1755" s="10"/>
      <c r="E1755" s="13"/>
      <c r="F1755" s="129"/>
      <c r="G1755" s="10"/>
      <c r="H1755" s="10"/>
      <c r="I1755" s="10"/>
    </row>
    <row r="1756" spans="1:9" x14ac:dyDescent="0.2">
      <c r="A1756" s="10"/>
      <c r="B1756" s="10"/>
      <c r="C1756" s="10"/>
      <c r="D1756" s="10"/>
      <c r="E1756" s="13"/>
      <c r="F1756" s="129"/>
      <c r="G1756" s="10"/>
      <c r="H1756" s="10"/>
      <c r="I1756" s="10"/>
    </row>
    <row r="1757" spans="1:9" x14ac:dyDescent="0.2">
      <c r="A1757" s="10"/>
      <c r="B1757" s="10"/>
      <c r="C1757" s="10"/>
      <c r="D1757" s="10"/>
      <c r="E1757" s="13"/>
      <c r="F1757" s="129"/>
      <c r="G1757" s="10"/>
      <c r="H1757" s="10"/>
      <c r="I1757" s="10"/>
    </row>
    <row r="1758" spans="1:9" x14ac:dyDescent="0.2">
      <c r="A1758" s="10"/>
      <c r="B1758" s="10"/>
      <c r="C1758" s="10"/>
      <c r="D1758" s="10"/>
      <c r="E1758" s="13"/>
      <c r="F1758" s="129"/>
      <c r="G1758" s="10"/>
      <c r="H1758" s="10"/>
      <c r="I1758" s="10"/>
    </row>
    <row r="1759" spans="1:9" x14ac:dyDescent="0.2">
      <c r="A1759" s="10"/>
      <c r="B1759" s="10"/>
      <c r="C1759" s="10"/>
      <c r="D1759" s="10"/>
      <c r="E1759" s="13"/>
      <c r="F1759" s="129"/>
      <c r="G1759" s="10"/>
      <c r="H1759" s="10"/>
      <c r="I1759" s="10"/>
    </row>
    <row r="1760" spans="1:9" x14ac:dyDescent="0.2">
      <c r="A1760" s="10"/>
      <c r="B1760" s="10"/>
      <c r="C1760" s="10"/>
      <c r="D1760" s="10"/>
      <c r="E1760" s="13"/>
      <c r="F1760" s="129"/>
      <c r="G1760" s="10"/>
      <c r="H1760" s="10"/>
      <c r="I1760" s="10"/>
    </row>
    <row r="1761" spans="1:9" x14ac:dyDescent="0.2">
      <c r="A1761" s="10"/>
      <c r="B1761" s="10"/>
      <c r="C1761" s="10"/>
      <c r="D1761" s="10"/>
      <c r="E1761" s="13"/>
      <c r="F1761" s="129"/>
      <c r="G1761" s="10"/>
      <c r="H1761" s="10"/>
      <c r="I1761" s="10"/>
    </row>
    <row r="1762" spans="1:9" x14ac:dyDescent="0.2">
      <c r="A1762" s="10"/>
      <c r="B1762" s="10"/>
      <c r="C1762" s="10"/>
      <c r="D1762" s="10"/>
      <c r="E1762" s="13"/>
      <c r="F1762" s="129"/>
      <c r="G1762" s="10"/>
      <c r="H1762" s="10"/>
      <c r="I1762" s="10"/>
    </row>
    <row r="1763" spans="1:9" x14ac:dyDescent="0.2">
      <c r="A1763" s="10"/>
      <c r="B1763" s="10"/>
      <c r="C1763" s="10"/>
      <c r="D1763" s="10"/>
      <c r="E1763" s="13"/>
      <c r="F1763" s="129"/>
      <c r="G1763" s="10"/>
      <c r="H1763" s="10"/>
      <c r="I1763" s="10"/>
    </row>
    <row r="1764" spans="1:9" x14ac:dyDescent="0.2">
      <c r="A1764" s="10"/>
      <c r="B1764" s="10"/>
      <c r="C1764" s="10"/>
      <c r="D1764" s="10"/>
      <c r="E1764" s="13"/>
      <c r="F1764" s="129"/>
      <c r="G1764" s="10"/>
      <c r="H1764" s="10"/>
      <c r="I1764" s="10"/>
    </row>
    <row r="1765" spans="1:9" x14ac:dyDescent="0.2">
      <c r="A1765" s="10"/>
      <c r="B1765" s="10"/>
      <c r="C1765" s="10"/>
      <c r="D1765" s="10"/>
      <c r="E1765" s="13"/>
      <c r="F1765" s="129"/>
      <c r="G1765" s="10"/>
      <c r="H1765" s="10"/>
      <c r="I1765" s="10"/>
    </row>
    <row r="1766" spans="1:9" x14ac:dyDescent="0.2">
      <c r="A1766" s="10"/>
      <c r="B1766" s="10"/>
      <c r="C1766" s="10"/>
      <c r="D1766" s="10"/>
      <c r="E1766" s="13"/>
      <c r="F1766" s="129"/>
      <c r="G1766" s="10"/>
      <c r="H1766" s="10"/>
      <c r="I1766" s="10"/>
    </row>
    <row r="1767" spans="1:9" x14ac:dyDescent="0.2">
      <c r="A1767" s="10"/>
      <c r="B1767" s="10"/>
      <c r="C1767" s="10"/>
      <c r="D1767" s="10"/>
      <c r="E1767" s="13"/>
      <c r="F1767" s="129"/>
      <c r="G1767" s="10"/>
      <c r="H1767" s="10"/>
      <c r="I1767" s="10"/>
    </row>
    <row r="1768" spans="1:9" x14ac:dyDescent="0.2">
      <c r="A1768" s="10"/>
      <c r="B1768" s="10"/>
      <c r="C1768" s="10"/>
      <c r="D1768" s="10"/>
      <c r="E1768" s="13"/>
      <c r="F1768" s="129"/>
      <c r="G1768" s="10"/>
      <c r="H1768" s="10"/>
      <c r="I1768" s="10"/>
    </row>
    <row r="1769" spans="1:9" x14ac:dyDescent="0.2">
      <c r="A1769" s="10"/>
      <c r="B1769" s="10"/>
      <c r="C1769" s="10"/>
      <c r="D1769" s="10"/>
      <c r="E1769" s="13"/>
      <c r="F1769" s="129"/>
      <c r="G1769" s="10"/>
      <c r="H1769" s="10"/>
      <c r="I1769" s="10"/>
    </row>
    <row r="1770" spans="1:9" x14ac:dyDescent="0.2">
      <c r="A1770" s="10"/>
      <c r="B1770" s="10"/>
      <c r="C1770" s="10"/>
      <c r="D1770" s="10"/>
      <c r="E1770" s="13"/>
      <c r="F1770" s="129"/>
      <c r="G1770" s="10"/>
      <c r="H1770" s="10"/>
      <c r="I1770" s="10"/>
    </row>
    <row r="1771" spans="1:9" x14ac:dyDescent="0.2">
      <c r="A1771" s="10"/>
      <c r="B1771" s="10"/>
      <c r="C1771" s="10"/>
      <c r="D1771" s="10"/>
      <c r="E1771" s="13"/>
      <c r="F1771" s="129"/>
      <c r="G1771" s="10"/>
      <c r="H1771" s="10"/>
      <c r="I1771" s="10"/>
    </row>
    <row r="1772" spans="1:9" x14ac:dyDescent="0.2">
      <c r="A1772" s="10"/>
      <c r="B1772" s="10"/>
      <c r="C1772" s="10"/>
      <c r="D1772" s="10"/>
      <c r="E1772" s="13"/>
      <c r="F1772" s="129"/>
      <c r="G1772" s="10"/>
      <c r="H1772" s="10"/>
      <c r="I1772" s="10"/>
    </row>
    <row r="1773" spans="1:9" x14ac:dyDescent="0.2">
      <c r="A1773" s="10"/>
      <c r="B1773" s="10"/>
      <c r="C1773" s="10"/>
      <c r="D1773" s="10"/>
      <c r="E1773" s="13"/>
      <c r="F1773" s="129"/>
      <c r="G1773" s="10"/>
      <c r="H1773" s="10"/>
      <c r="I1773" s="10"/>
    </row>
    <row r="1774" spans="1:9" x14ac:dyDescent="0.2">
      <c r="A1774" s="10"/>
      <c r="B1774" s="10"/>
      <c r="C1774" s="10"/>
      <c r="D1774" s="10"/>
      <c r="E1774" s="13"/>
      <c r="F1774" s="129"/>
      <c r="G1774" s="10"/>
      <c r="H1774" s="10"/>
      <c r="I1774" s="10"/>
    </row>
    <row r="1775" spans="1:9" x14ac:dyDescent="0.2">
      <c r="A1775" s="10"/>
      <c r="B1775" s="10"/>
      <c r="C1775" s="10"/>
      <c r="D1775" s="10"/>
      <c r="E1775" s="13"/>
      <c r="F1775" s="129"/>
      <c r="G1775" s="10"/>
      <c r="H1775" s="10"/>
      <c r="I1775" s="10"/>
    </row>
    <row r="1776" spans="1:9" x14ac:dyDescent="0.2">
      <c r="A1776" s="10"/>
      <c r="B1776" s="10"/>
      <c r="C1776" s="10"/>
      <c r="D1776" s="10"/>
      <c r="E1776" s="13"/>
      <c r="F1776" s="129"/>
      <c r="G1776" s="10"/>
      <c r="H1776" s="10"/>
      <c r="I1776" s="10"/>
    </row>
    <row r="1777" spans="1:9" x14ac:dyDescent="0.2">
      <c r="A1777" s="10"/>
      <c r="B1777" s="10"/>
      <c r="C1777" s="10"/>
      <c r="D1777" s="10"/>
      <c r="E1777" s="13"/>
      <c r="F1777" s="129"/>
      <c r="G1777" s="10"/>
      <c r="H1777" s="10"/>
      <c r="I1777" s="10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J17" sqref="J17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98"/>
  <sheetViews>
    <sheetView topLeftCell="A74" workbookViewId="0">
      <selection activeCell="L75" sqref="L75:L78"/>
    </sheetView>
  </sheetViews>
  <sheetFormatPr defaultRowHeight="15" x14ac:dyDescent="0.25"/>
  <cols>
    <col min="1" max="1" width="5.7109375" bestFit="1" customWidth="1"/>
    <col min="2" max="2" width="29.7109375" bestFit="1" customWidth="1"/>
    <col min="3" max="3" width="7" bestFit="1" customWidth="1"/>
    <col min="4" max="4" width="4.5703125" bestFit="1" customWidth="1"/>
    <col min="5" max="5" width="5" style="225" bestFit="1" customWidth="1"/>
    <col min="6" max="6" width="7.85546875" style="225" bestFit="1" customWidth="1"/>
    <col min="7" max="7" width="6.85546875" style="225" bestFit="1" customWidth="1"/>
    <col min="8" max="8" width="7.85546875" style="225" bestFit="1" customWidth="1"/>
    <col min="9" max="11" width="5.7109375" customWidth="1"/>
    <col min="12" max="12" width="19.42578125" bestFit="1" customWidth="1"/>
    <col min="13" max="13" width="13.5703125" bestFit="1" customWidth="1"/>
    <col min="14" max="14" width="60.42578125" customWidth="1"/>
  </cols>
  <sheetData>
    <row r="1" spans="1:9" hidden="1" x14ac:dyDescent="0.25">
      <c r="A1" s="361">
        <v>2013</v>
      </c>
    </row>
    <row r="2" spans="1:9" hidden="1" x14ac:dyDescent="0.25">
      <c r="A2" s="362" t="s">
        <v>2486</v>
      </c>
      <c r="B2" s="362" t="s">
        <v>2487</v>
      </c>
      <c r="C2" s="362" t="s">
        <v>2488</v>
      </c>
      <c r="D2" s="362" t="s">
        <v>2489</v>
      </c>
      <c r="E2" s="700" t="s">
        <v>1635</v>
      </c>
      <c r="F2" s="700"/>
      <c r="G2" s="700" t="s">
        <v>1636</v>
      </c>
      <c r="H2" s="700" t="s">
        <v>2490</v>
      </c>
      <c r="I2" s="56"/>
    </row>
    <row r="3" spans="1:9" hidden="1" x14ac:dyDescent="0.25">
      <c r="A3" s="363">
        <v>1</v>
      </c>
      <c r="B3" s="364" t="s">
        <v>2491</v>
      </c>
      <c r="C3" s="365">
        <v>41275</v>
      </c>
      <c r="D3" s="363" t="s">
        <v>2492</v>
      </c>
      <c r="E3" s="569" t="s">
        <v>2</v>
      </c>
      <c r="F3" s="569"/>
      <c r="G3" s="569" t="s">
        <v>2</v>
      </c>
      <c r="H3" s="569" t="s">
        <v>2</v>
      </c>
    </row>
    <row r="4" spans="1:9" hidden="1" x14ac:dyDescent="0.25">
      <c r="A4" s="281">
        <v>2</v>
      </c>
      <c r="B4" s="366" t="s">
        <v>2493</v>
      </c>
      <c r="C4" s="367">
        <v>41316</v>
      </c>
      <c r="D4" s="281" t="s">
        <v>2494</v>
      </c>
      <c r="E4" s="282"/>
      <c r="F4" s="282"/>
      <c r="G4" s="282"/>
      <c r="H4" s="282" t="s">
        <v>2</v>
      </c>
    </row>
    <row r="5" spans="1:9" hidden="1" x14ac:dyDescent="0.25">
      <c r="A5" s="281"/>
      <c r="B5" s="366"/>
      <c r="C5" s="367"/>
      <c r="D5" s="281"/>
      <c r="E5" s="282"/>
      <c r="F5" s="282"/>
      <c r="G5" s="282"/>
      <c r="H5" s="282"/>
    </row>
    <row r="6" spans="1:9" hidden="1" x14ac:dyDescent="0.25">
      <c r="A6" s="281"/>
      <c r="B6" s="366"/>
      <c r="C6" s="367"/>
      <c r="D6" s="281"/>
      <c r="E6" s="282"/>
      <c r="F6" s="282"/>
      <c r="G6" s="282"/>
      <c r="H6" s="282"/>
    </row>
    <row r="7" spans="1:9" hidden="1" x14ac:dyDescent="0.25">
      <c r="A7" s="281"/>
      <c r="B7" s="366"/>
      <c r="C7" s="367"/>
      <c r="D7" s="281"/>
      <c r="E7" s="282"/>
      <c r="F7" s="282"/>
      <c r="G7" s="282"/>
      <c r="H7" s="282"/>
    </row>
    <row r="8" spans="1:9" hidden="1" x14ac:dyDescent="0.25">
      <c r="A8" s="281"/>
      <c r="B8" s="366"/>
      <c r="C8" s="367"/>
      <c r="D8" s="281"/>
      <c r="E8" s="282"/>
      <c r="F8" s="282"/>
      <c r="G8" s="282"/>
      <c r="H8" s="282"/>
    </row>
    <row r="9" spans="1:9" hidden="1" x14ac:dyDescent="0.25">
      <c r="A9" s="363">
        <v>3</v>
      </c>
      <c r="B9" s="364" t="s">
        <v>2495</v>
      </c>
      <c r="C9" s="365">
        <v>41360</v>
      </c>
      <c r="D9" s="363" t="s">
        <v>2496</v>
      </c>
      <c r="E9" s="569" t="s">
        <v>2</v>
      </c>
      <c r="F9" s="569"/>
      <c r="G9" s="569"/>
      <c r="H9" s="569"/>
    </row>
    <row r="10" spans="1:9" hidden="1" x14ac:dyDescent="0.25">
      <c r="A10" s="281">
        <v>4</v>
      </c>
      <c r="B10" s="366" t="s">
        <v>2497</v>
      </c>
      <c r="C10" s="367">
        <v>41362</v>
      </c>
      <c r="D10" s="281" t="s">
        <v>2498</v>
      </c>
      <c r="E10" s="282"/>
      <c r="F10" s="282"/>
      <c r="G10" s="282" t="s">
        <v>2</v>
      </c>
      <c r="H10" s="282"/>
    </row>
    <row r="11" spans="1:9" hidden="1" x14ac:dyDescent="0.25">
      <c r="A11" s="363">
        <v>5</v>
      </c>
      <c r="B11" s="364" t="s">
        <v>2499</v>
      </c>
      <c r="C11" s="365">
        <v>41365</v>
      </c>
      <c r="D11" s="363" t="s">
        <v>2494</v>
      </c>
      <c r="E11" s="569"/>
      <c r="F11" s="569"/>
      <c r="G11" s="569" t="s">
        <v>2</v>
      </c>
      <c r="H11" s="569"/>
    </row>
    <row r="12" spans="1:9" hidden="1" x14ac:dyDescent="0.25">
      <c r="A12" s="281">
        <v>6</v>
      </c>
      <c r="B12" s="366" t="s">
        <v>2500</v>
      </c>
      <c r="C12" s="367">
        <v>41368</v>
      </c>
      <c r="D12" s="281" t="s">
        <v>2501</v>
      </c>
      <c r="E12" s="282"/>
      <c r="F12" s="282"/>
      <c r="G12" s="282"/>
      <c r="H12" s="282" t="s">
        <v>2</v>
      </c>
    </row>
    <row r="13" spans="1:9" hidden="1" x14ac:dyDescent="0.25">
      <c r="A13" s="363">
        <v>7</v>
      </c>
      <c r="B13" s="364" t="s">
        <v>2502</v>
      </c>
      <c r="C13" s="365">
        <v>41375</v>
      </c>
      <c r="D13" s="363" t="s">
        <v>2501</v>
      </c>
      <c r="E13" s="569" t="s">
        <v>2</v>
      </c>
      <c r="F13" s="569"/>
      <c r="G13" s="569"/>
      <c r="H13" s="569"/>
    </row>
    <row r="14" spans="1:9" hidden="1" x14ac:dyDescent="0.25">
      <c r="A14" s="281">
        <v>8</v>
      </c>
      <c r="B14" s="366" t="s">
        <v>2503</v>
      </c>
      <c r="C14" s="367">
        <v>41395</v>
      </c>
      <c r="D14" s="281" t="s">
        <v>2496</v>
      </c>
      <c r="E14" s="282" t="s">
        <v>2</v>
      </c>
      <c r="F14" s="282"/>
      <c r="G14" s="282"/>
      <c r="H14" s="282" t="s">
        <v>2</v>
      </c>
    </row>
    <row r="15" spans="1:9" hidden="1" x14ac:dyDescent="0.25">
      <c r="A15" s="281"/>
      <c r="B15" s="366"/>
      <c r="C15" s="367"/>
      <c r="D15" s="281"/>
      <c r="E15" s="282"/>
      <c r="F15" s="282"/>
      <c r="G15" s="282"/>
      <c r="H15" s="282"/>
    </row>
    <row r="16" spans="1:9" hidden="1" x14ac:dyDescent="0.25">
      <c r="A16" s="363">
        <v>9</v>
      </c>
      <c r="B16" s="364" t="s">
        <v>2504</v>
      </c>
      <c r="C16" s="365">
        <v>41400</v>
      </c>
      <c r="D16" s="363" t="s">
        <v>2494</v>
      </c>
      <c r="E16" s="569"/>
      <c r="F16" s="569"/>
      <c r="G16" s="569" t="s">
        <v>2</v>
      </c>
      <c r="H16" s="569"/>
    </row>
    <row r="17" spans="1:8" hidden="1" x14ac:dyDescent="0.25">
      <c r="A17" s="281">
        <v>10</v>
      </c>
      <c r="B17" s="366" t="s">
        <v>2505</v>
      </c>
      <c r="C17" s="367">
        <v>41421</v>
      </c>
      <c r="D17" s="281" t="s">
        <v>2494</v>
      </c>
      <c r="E17" s="282"/>
      <c r="F17" s="282"/>
      <c r="G17" s="282" t="s">
        <v>2</v>
      </c>
      <c r="H17" s="282"/>
    </row>
    <row r="18" spans="1:8" hidden="1" x14ac:dyDescent="0.25">
      <c r="A18" s="363">
        <v>11</v>
      </c>
      <c r="B18" s="364" t="s">
        <v>2506</v>
      </c>
      <c r="C18" s="365">
        <v>41437</v>
      </c>
      <c r="D18" s="363" t="s">
        <v>2496</v>
      </c>
      <c r="E18" s="569"/>
      <c r="F18" s="569"/>
      <c r="G18" s="569"/>
      <c r="H18" s="569" t="s">
        <v>2</v>
      </c>
    </row>
    <row r="19" spans="1:8" hidden="1" x14ac:dyDescent="0.25">
      <c r="A19" s="281">
        <v>12</v>
      </c>
      <c r="B19" s="366" t="s">
        <v>2507</v>
      </c>
      <c r="C19" s="367">
        <v>41495</v>
      </c>
      <c r="D19" s="281" t="s">
        <v>2498</v>
      </c>
      <c r="E19" s="282" t="s">
        <v>2</v>
      </c>
      <c r="F19" s="282"/>
      <c r="G19" s="282"/>
      <c r="H19" s="282"/>
    </row>
    <row r="20" spans="1:8" hidden="1" x14ac:dyDescent="0.25">
      <c r="A20" s="363">
        <v>13</v>
      </c>
      <c r="B20" s="364" t="s">
        <v>2508</v>
      </c>
      <c r="C20" s="365">
        <v>41501</v>
      </c>
      <c r="D20" s="363" t="s">
        <v>2501</v>
      </c>
      <c r="E20" s="569" t="s">
        <v>2</v>
      </c>
      <c r="F20" s="569"/>
      <c r="G20" s="569"/>
      <c r="H20" s="569"/>
    </row>
    <row r="21" spans="1:8" hidden="1" x14ac:dyDescent="0.25">
      <c r="A21" s="281">
        <v>14</v>
      </c>
      <c r="B21" s="366" t="s">
        <v>2509</v>
      </c>
      <c r="C21" s="367">
        <v>41512</v>
      </c>
      <c r="D21" s="281" t="s">
        <v>2494</v>
      </c>
      <c r="E21" s="282"/>
      <c r="F21" s="282"/>
      <c r="G21" s="282" t="s">
        <v>2</v>
      </c>
      <c r="H21" s="282"/>
    </row>
    <row r="22" spans="1:8" hidden="1" x14ac:dyDescent="0.25">
      <c r="A22" s="363">
        <v>15</v>
      </c>
      <c r="B22" s="364" t="s">
        <v>2510</v>
      </c>
      <c r="C22" s="365">
        <v>41526</v>
      </c>
      <c r="D22" s="363" t="s">
        <v>2494</v>
      </c>
      <c r="E22" s="569" t="s">
        <v>2</v>
      </c>
      <c r="F22" s="569"/>
      <c r="G22" s="569"/>
      <c r="H22" s="569"/>
    </row>
    <row r="23" spans="1:8" hidden="1" x14ac:dyDescent="0.25">
      <c r="A23" s="281">
        <v>16</v>
      </c>
      <c r="B23" s="366" t="s">
        <v>2511</v>
      </c>
      <c r="C23" s="367">
        <v>41536</v>
      </c>
      <c r="D23" s="281" t="s">
        <v>2501</v>
      </c>
      <c r="E23" s="282"/>
      <c r="F23" s="282"/>
      <c r="G23" s="282"/>
      <c r="H23" s="282" t="s">
        <v>2</v>
      </c>
    </row>
    <row r="24" spans="1:8" hidden="1" x14ac:dyDescent="0.25">
      <c r="A24" s="363">
        <v>17</v>
      </c>
      <c r="B24" s="364" t="s">
        <v>2512</v>
      </c>
      <c r="C24" s="365">
        <v>41548</v>
      </c>
      <c r="D24" s="363" t="s">
        <v>2492</v>
      </c>
      <c r="E24" s="569"/>
      <c r="F24" s="569"/>
      <c r="G24" s="569"/>
      <c r="H24" s="569" t="s">
        <v>2</v>
      </c>
    </row>
    <row r="25" spans="1:8" ht="26.25" hidden="1" x14ac:dyDescent="0.25">
      <c r="A25" s="281">
        <v>18</v>
      </c>
      <c r="B25" s="368" t="s">
        <v>2513</v>
      </c>
      <c r="C25" s="367">
        <v>41549</v>
      </c>
      <c r="D25" s="281" t="s">
        <v>2496</v>
      </c>
      <c r="E25" s="282" t="s">
        <v>2</v>
      </c>
      <c r="F25" s="282"/>
      <c r="G25" s="282"/>
      <c r="H25" s="282" t="s">
        <v>2</v>
      </c>
    </row>
    <row r="26" spans="1:8" hidden="1" x14ac:dyDescent="0.25">
      <c r="A26" s="363">
        <v>19</v>
      </c>
      <c r="B26" s="364" t="s">
        <v>2512</v>
      </c>
      <c r="C26" s="365">
        <v>41550</v>
      </c>
      <c r="D26" s="363" t="s">
        <v>2501</v>
      </c>
      <c r="E26" s="569"/>
      <c r="F26" s="569"/>
      <c r="G26" s="569"/>
      <c r="H26" s="569" t="s">
        <v>2</v>
      </c>
    </row>
    <row r="27" spans="1:8" hidden="1" x14ac:dyDescent="0.25">
      <c r="A27" s="363"/>
      <c r="B27" s="364"/>
      <c r="C27" s="365"/>
      <c r="D27" s="363"/>
      <c r="E27" s="569"/>
      <c r="F27" s="569"/>
      <c r="G27" s="569"/>
      <c r="H27" s="569"/>
    </row>
    <row r="28" spans="1:8" hidden="1" x14ac:dyDescent="0.25">
      <c r="A28" s="363"/>
      <c r="B28" s="364"/>
      <c r="C28" s="365"/>
      <c r="D28" s="363"/>
      <c r="E28" s="569"/>
      <c r="F28" s="569"/>
      <c r="G28" s="569"/>
      <c r="H28" s="569"/>
    </row>
    <row r="29" spans="1:8" hidden="1" x14ac:dyDescent="0.25">
      <c r="A29" s="281">
        <v>21</v>
      </c>
      <c r="B29" s="281" t="s">
        <v>2514</v>
      </c>
      <c r="C29" s="367">
        <v>41561</v>
      </c>
      <c r="D29" s="281" t="s">
        <v>2494</v>
      </c>
      <c r="E29" s="282" t="s">
        <v>2</v>
      </c>
      <c r="F29" s="282"/>
      <c r="G29" s="282"/>
      <c r="H29" s="282"/>
    </row>
    <row r="30" spans="1:8" hidden="1" x14ac:dyDescent="0.25">
      <c r="A30" s="363">
        <v>22</v>
      </c>
      <c r="B30" s="363" t="s">
        <v>2515</v>
      </c>
      <c r="C30" s="365">
        <v>41583</v>
      </c>
      <c r="D30" s="363" t="s">
        <v>2492</v>
      </c>
      <c r="E30" s="569" t="s">
        <v>2</v>
      </c>
      <c r="F30" s="569"/>
      <c r="G30" s="569"/>
      <c r="H30" s="569"/>
    </row>
    <row r="31" spans="1:8" hidden="1" x14ac:dyDescent="0.25">
      <c r="A31" s="281">
        <v>23</v>
      </c>
      <c r="B31" s="281" t="s">
        <v>2516</v>
      </c>
      <c r="C31" s="367">
        <v>41633</v>
      </c>
      <c r="D31" s="281" t="s">
        <v>2496</v>
      </c>
      <c r="E31" s="282" t="s">
        <v>2</v>
      </c>
      <c r="F31" s="282"/>
      <c r="G31" s="282" t="s">
        <v>2</v>
      </c>
      <c r="H31" s="282"/>
    </row>
    <row r="32" spans="1:8" hidden="1" x14ac:dyDescent="0.25">
      <c r="A32" s="363">
        <v>24</v>
      </c>
      <c r="B32" s="363" t="s">
        <v>2517</v>
      </c>
      <c r="C32" s="365">
        <v>41634</v>
      </c>
      <c r="D32" s="363" t="s">
        <v>2501</v>
      </c>
      <c r="E32" s="569"/>
      <c r="F32" s="569"/>
      <c r="G32" s="569" t="s">
        <v>2</v>
      </c>
      <c r="H32" s="569"/>
    </row>
    <row r="33" spans="1:9" hidden="1" x14ac:dyDescent="0.25">
      <c r="A33" s="11"/>
      <c r="B33" s="11"/>
      <c r="C33" s="11"/>
      <c r="D33" s="11"/>
      <c r="E33" s="437"/>
      <c r="F33" s="437"/>
      <c r="G33" s="437"/>
      <c r="H33" s="437"/>
      <c r="I33" s="106"/>
    </row>
    <row r="34" spans="1:9" hidden="1" x14ac:dyDescent="0.25">
      <c r="A34" s="106"/>
      <c r="B34" s="106"/>
      <c r="C34" s="106"/>
      <c r="D34" s="106"/>
      <c r="E34" s="464"/>
      <c r="F34" s="464"/>
      <c r="G34" s="464"/>
      <c r="H34" s="464"/>
      <c r="I34" s="106"/>
    </row>
    <row r="35" spans="1:9" hidden="1" x14ac:dyDescent="0.25">
      <c r="A35" s="106"/>
      <c r="B35" s="106"/>
      <c r="C35" s="106"/>
      <c r="D35" s="106"/>
      <c r="E35" s="464"/>
      <c r="F35" s="464"/>
      <c r="G35" s="464"/>
      <c r="H35" s="464"/>
      <c r="I35" s="106"/>
    </row>
    <row r="36" spans="1:9" hidden="1" x14ac:dyDescent="0.25">
      <c r="A36" s="361">
        <v>2014</v>
      </c>
      <c r="B36" s="106"/>
      <c r="C36" s="106"/>
      <c r="D36" s="106"/>
      <c r="E36" s="464"/>
      <c r="F36" s="464"/>
      <c r="G36" s="464"/>
      <c r="H36" s="464"/>
    </row>
    <row r="37" spans="1:9" hidden="1" x14ac:dyDescent="0.25">
      <c r="A37" s="362" t="s">
        <v>2486</v>
      </c>
      <c r="B37" s="362" t="s">
        <v>2487</v>
      </c>
      <c r="C37" s="362" t="s">
        <v>2488</v>
      </c>
      <c r="D37" s="362" t="s">
        <v>2489</v>
      </c>
      <c r="E37" s="700" t="s">
        <v>1635</v>
      </c>
      <c r="F37" s="700" t="s">
        <v>2518</v>
      </c>
      <c r="G37" s="700" t="s">
        <v>1636</v>
      </c>
      <c r="H37" s="700" t="s">
        <v>2490</v>
      </c>
    </row>
    <row r="38" spans="1:9" hidden="1" x14ac:dyDescent="0.25">
      <c r="A38" s="369">
        <v>1</v>
      </c>
      <c r="B38" s="364" t="s">
        <v>2491</v>
      </c>
      <c r="C38" s="365">
        <v>41640</v>
      </c>
      <c r="D38" s="363" t="s">
        <v>2496</v>
      </c>
      <c r="E38" s="569" t="s">
        <v>2</v>
      </c>
      <c r="F38" s="569"/>
      <c r="G38" s="569" t="s">
        <v>2</v>
      </c>
      <c r="H38" s="569" t="s">
        <v>2</v>
      </c>
    </row>
    <row r="39" spans="1:9" hidden="1" x14ac:dyDescent="0.25">
      <c r="A39" s="370">
        <v>2</v>
      </c>
      <c r="B39" s="366" t="s">
        <v>2519</v>
      </c>
      <c r="C39" s="367">
        <v>41654</v>
      </c>
      <c r="D39" s="281" t="s">
        <v>2496</v>
      </c>
      <c r="E39" s="282"/>
      <c r="F39" s="282" t="s">
        <v>2</v>
      </c>
      <c r="G39" s="282"/>
      <c r="H39" s="282"/>
    </row>
    <row r="40" spans="1:9" hidden="1" x14ac:dyDescent="0.25">
      <c r="A40" s="369">
        <v>3</v>
      </c>
      <c r="B40" s="364" t="s">
        <v>2520</v>
      </c>
      <c r="C40" s="365">
        <v>41670</v>
      </c>
      <c r="D40" s="363" t="s">
        <v>2498</v>
      </c>
      <c r="E40" s="569"/>
      <c r="F40" s="569"/>
      <c r="G40" s="569"/>
      <c r="H40" s="569" t="s">
        <v>2</v>
      </c>
    </row>
    <row r="41" spans="1:9" hidden="1" x14ac:dyDescent="0.25">
      <c r="A41" s="370">
        <v>4</v>
      </c>
      <c r="B41" s="366" t="s">
        <v>2520</v>
      </c>
      <c r="C41" s="367">
        <v>41673</v>
      </c>
      <c r="D41" s="281" t="s">
        <v>2494</v>
      </c>
      <c r="E41" s="282"/>
      <c r="F41" s="282"/>
      <c r="G41" s="282"/>
      <c r="H41" s="282" t="s">
        <v>2</v>
      </c>
    </row>
    <row r="42" spans="1:9" hidden="1" x14ac:dyDescent="0.25">
      <c r="A42" s="369">
        <v>5</v>
      </c>
      <c r="B42" s="364" t="s">
        <v>2520</v>
      </c>
      <c r="C42" s="365">
        <v>41674</v>
      </c>
      <c r="D42" s="363" t="s">
        <v>2492</v>
      </c>
      <c r="E42" s="569"/>
      <c r="F42" s="569"/>
      <c r="G42" s="569"/>
      <c r="H42" s="569" t="s">
        <v>2</v>
      </c>
    </row>
    <row r="43" spans="1:9" hidden="1" x14ac:dyDescent="0.25">
      <c r="A43" s="370">
        <v>6</v>
      </c>
      <c r="B43" s="366" t="s">
        <v>2520</v>
      </c>
      <c r="C43" s="367">
        <v>41675</v>
      </c>
      <c r="D43" s="281" t="s">
        <v>2496</v>
      </c>
      <c r="E43" s="282"/>
      <c r="F43" s="282"/>
      <c r="G43" s="282"/>
      <c r="H43" s="282" t="s">
        <v>2</v>
      </c>
    </row>
    <row r="44" spans="1:9" hidden="1" x14ac:dyDescent="0.25">
      <c r="A44" s="369">
        <v>7</v>
      </c>
      <c r="B44" s="364" t="s">
        <v>2520</v>
      </c>
      <c r="C44" s="365">
        <v>41676</v>
      </c>
      <c r="D44" s="363" t="s">
        <v>2501</v>
      </c>
      <c r="E44" s="569"/>
      <c r="F44" s="569"/>
      <c r="G44" s="569"/>
      <c r="H44" s="569" t="s">
        <v>2</v>
      </c>
    </row>
    <row r="45" spans="1:9" hidden="1" x14ac:dyDescent="0.25">
      <c r="A45" s="370">
        <v>8</v>
      </c>
      <c r="B45" s="366" t="s">
        <v>2521</v>
      </c>
      <c r="C45" s="367">
        <v>41729</v>
      </c>
      <c r="D45" s="281" t="s">
        <v>2494</v>
      </c>
      <c r="E45" s="282" t="s">
        <v>2</v>
      </c>
      <c r="F45" s="282" t="s">
        <v>2</v>
      </c>
      <c r="G45" s="282"/>
      <c r="H45" s="282"/>
    </row>
    <row r="46" spans="1:9" hidden="1" x14ac:dyDescent="0.25">
      <c r="A46" s="369">
        <v>9</v>
      </c>
      <c r="B46" s="364" t="s">
        <v>2522</v>
      </c>
      <c r="C46" s="365">
        <v>41371</v>
      </c>
      <c r="D46" s="363" t="s">
        <v>2494</v>
      </c>
      <c r="E46" s="569"/>
      <c r="F46" s="569"/>
      <c r="G46" s="569"/>
      <c r="H46" s="569" t="s">
        <v>2</v>
      </c>
    </row>
    <row r="47" spans="1:9" hidden="1" x14ac:dyDescent="0.25">
      <c r="A47" s="370">
        <v>10</v>
      </c>
      <c r="B47" s="366" t="s">
        <v>2497</v>
      </c>
      <c r="C47" s="367">
        <v>41382</v>
      </c>
      <c r="D47" s="366" t="s">
        <v>2498</v>
      </c>
      <c r="E47" s="571"/>
      <c r="F47" s="571"/>
      <c r="G47" s="571" t="s">
        <v>2</v>
      </c>
      <c r="H47" s="571"/>
    </row>
    <row r="48" spans="1:9" hidden="1" x14ac:dyDescent="0.25">
      <c r="A48" s="369">
        <v>11</v>
      </c>
      <c r="B48" s="364" t="s">
        <v>2499</v>
      </c>
      <c r="C48" s="365">
        <v>41385</v>
      </c>
      <c r="D48" s="363" t="s">
        <v>2494</v>
      </c>
      <c r="E48" s="569"/>
      <c r="F48" s="569"/>
      <c r="G48" s="569" t="s">
        <v>2</v>
      </c>
      <c r="H48" s="569"/>
    </row>
    <row r="49" spans="1:8" hidden="1" x14ac:dyDescent="0.25">
      <c r="A49" s="370">
        <v>12</v>
      </c>
      <c r="B49" s="366" t="s">
        <v>2503</v>
      </c>
      <c r="C49" s="367">
        <v>41395</v>
      </c>
      <c r="D49" s="281" t="s">
        <v>2501</v>
      </c>
      <c r="E49" s="282" t="s">
        <v>2</v>
      </c>
      <c r="F49" s="282" t="s">
        <v>2</v>
      </c>
      <c r="G49" s="282"/>
      <c r="H49" s="282" t="s">
        <v>2</v>
      </c>
    </row>
    <row r="50" spans="1:8" hidden="1" x14ac:dyDescent="0.25">
      <c r="A50" s="369">
        <v>13</v>
      </c>
      <c r="B50" s="363" t="s">
        <v>2503</v>
      </c>
      <c r="C50" s="365">
        <v>41396</v>
      </c>
      <c r="D50" s="363" t="s">
        <v>2498</v>
      </c>
      <c r="E50" s="569"/>
      <c r="F50" s="569"/>
      <c r="G50" s="569"/>
      <c r="H50" s="569" t="s">
        <v>2</v>
      </c>
    </row>
    <row r="51" spans="1:8" hidden="1" x14ac:dyDescent="0.25">
      <c r="A51" s="370">
        <v>14</v>
      </c>
      <c r="B51" s="366" t="s">
        <v>2504</v>
      </c>
      <c r="C51" s="367">
        <v>41399</v>
      </c>
      <c r="D51" s="366" t="s">
        <v>2494</v>
      </c>
      <c r="E51" s="571"/>
      <c r="F51" s="571"/>
      <c r="G51" s="571" t="s">
        <v>2</v>
      </c>
      <c r="H51" s="571"/>
    </row>
    <row r="52" spans="1:8" hidden="1" x14ac:dyDescent="0.25">
      <c r="A52" s="369">
        <v>15</v>
      </c>
      <c r="B52" s="363" t="s">
        <v>2505</v>
      </c>
      <c r="C52" s="365">
        <v>41420</v>
      </c>
      <c r="D52" s="363" t="s">
        <v>2494</v>
      </c>
      <c r="E52" s="569"/>
      <c r="F52" s="569"/>
      <c r="G52" s="569" t="s">
        <v>2</v>
      </c>
      <c r="H52" s="569"/>
    </row>
    <row r="53" spans="1:8" hidden="1" x14ac:dyDescent="0.25">
      <c r="A53" s="370">
        <v>16</v>
      </c>
      <c r="B53" s="366" t="s">
        <v>2506</v>
      </c>
      <c r="C53" s="367">
        <v>41427</v>
      </c>
      <c r="D53" s="281" t="s">
        <v>2494</v>
      </c>
      <c r="E53" s="282"/>
      <c r="F53" s="282"/>
      <c r="G53" s="282"/>
      <c r="H53" s="282" t="s">
        <v>2</v>
      </c>
    </row>
    <row r="54" spans="1:8" hidden="1" x14ac:dyDescent="0.25">
      <c r="A54" s="369">
        <v>17</v>
      </c>
      <c r="B54" s="363" t="s">
        <v>2507</v>
      </c>
      <c r="C54" s="365">
        <v>41484</v>
      </c>
      <c r="D54" s="363" t="s">
        <v>2492</v>
      </c>
      <c r="E54" s="569" t="s">
        <v>2</v>
      </c>
      <c r="F54" s="569" t="s">
        <v>2</v>
      </c>
      <c r="G54" s="569"/>
      <c r="H54" s="569"/>
    </row>
    <row r="55" spans="1:8" hidden="1" x14ac:dyDescent="0.25">
      <c r="A55" s="370">
        <v>18</v>
      </c>
      <c r="B55" s="366" t="s">
        <v>2508</v>
      </c>
      <c r="C55" s="367">
        <v>41501</v>
      </c>
      <c r="D55" s="281" t="s">
        <v>2498</v>
      </c>
      <c r="E55" s="282" t="s">
        <v>2</v>
      </c>
      <c r="F55" s="282" t="s">
        <v>2</v>
      </c>
      <c r="G55" s="282"/>
      <c r="H55" s="282"/>
    </row>
    <row r="56" spans="1:8" hidden="1" x14ac:dyDescent="0.25">
      <c r="A56" s="369">
        <v>19</v>
      </c>
      <c r="B56" s="363" t="s">
        <v>2509</v>
      </c>
      <c r="C56" s="365">
        <v>41511</v>
      </c>
      <c r="D56" s="363" t="s">
        <v>2494</v>
      </c>
      <c r="E56" s="569"/>
      <c r="F56" s="569"/>
      <c r="G56" s="569" t="s">
        <v>2</v>
      </c>
      <c r="H56" s="569"/>
    </row>
    <row r="57" spans="1:8" hidden="1" x14ac:dyDescent="0.25">
      <c r="A57" s="370">
        <v>20</v>
      </c>
      <c r="B57" s="366" t="s">
        <v>2510</v>
      </c>
      <c r="C57" s="367">
        <v>41515</v>
      </c>
      <c r="D57" s="281" t="s">
        <v>2498</v>
      </c>
      <c r="E57" s="282" t="s">
        <v>2</v>
      </c>
      <c r="F57" s="282" t="s">
        <v>2</v>
      </c>
      <c r="G57" s="282"/>
      <c r="H57" s="282"/>
    </row>
    <row r="58" spans="1:8" hidden="1" x14ac:dyDescent="0.25">
      <c r="A58" s="369">
        <v>21</v>
      </c>
      <c r="B58" s="363" t="s">
        <v>2523</v>
      </c>
      <c r="C58" s="365">
        <v>41525</v>
      </c>
      <c r="D58" s="363" t="s">
        <v>2494</v>
      </c>
      <c r="E58" s="569"/>
      <c r="F58" s="569"/>
      <c r="G58" s="569"/>
      <c r="H58" s="569" t="s">
        <v>2</v>
      </c>
    </row>
    <row r="59" spans="1:8" hidden="1" x14ac:dyDescent="0.25">
      <c r="A59" s="370">
        <v>22</v>
      </c>
      <c r="B59" s="366" t="s">
        <v>2512</v>
      </c>
      <c r="C59" s="367">
        <v>41548</v>
      </c>
      <c r="D59" s="281" t="s">
        <v>2496</v>
      </c>
      <c r="E59" s="282"/>
      <c r="F59" s="282"/>
      <c r="G59" s="282"/>
      <c r="H59" s="282" t="s">
        <v>2</v>
      </c>
    </row>
    <row r="60" spans="1:8" hidden="1" x14ac:dyDescent="0.25">
      <c r="A60" s="369">
        <v>23</v>
      </c>
      <c r="B60" s="363" t="s">
        <v>2524</v>
      </c>
      <c r="C60" s="365">
        <v>41549</v>
      </c>
      <c r="D60" s="363" t="s">
        <v>2501</v>
      </c>
      <c r="E60" s="569" t="s">
        <v>2</v>
      </c>
      <c r="F60" s="569" t="s">
        <v>2</v>
      </c>
      <c r="G60" s="569"/>
      <c r="H60" s="569" t="s">
        <v>2</v>
      </c>
    </row>
    <row r="61" spans="1:8" hidden="1" x14ac:dyDescent="0.25">
      <c r="A61" s="370">
        <v>24</v>
      </c>
      <c r="B61" s="366" t="s">
        <v>2525</v>
      </c>
      <c r="C61" s="367">
        <v>41550</v>
      </c>
      <c r="D61" s="281" t="s">
        <v>2498</v>
      </c>
      <c r="E61" s="282" t="s">
        <v>2</v>
      </c>
      <c r="F61" s="282" t="s">
        <v>2</v>
      </c>
      <c r="G61" s="282"/>
      <c r="H61" s="282" t="s">
        <v>2</v>
      </c>
    </row>
    <row r="62" spans="1:8" hidden="1" x14ac:dyDescent="0.25">
      <c r="A62" s="369">
        <v>25</v>
      </c>
      <c r="B62" s="364" t="s">
        <v>2512</v>
      </c>
      <c r="C62" s="365">
        <v>41553</v>
      </c>
      <c r="D62" s="363" t="s">
        <v>2494</v>
      </c>
      <c r="E62" s="569"/>
      <c r="F62" s="569"/>
      <c r="G62" s="569"/>
      <c r="H62" s="569" t="s">
        <v>2</v>
      </c>
    </row>
    <row r="63" spans="1:8" hidden="1" x14ac:dyDescent="0.25">
      <c r="A63" s="370">
        <v>26</v>
      </c>
      <c r="B63" s="366" t="s">
        <v>2512</v>
      </c>
      <c r="C63" s="367">
        <v>41554</v>
      </c>
      <c r="D63" s="281" t="s">
        <v>2492</v>
      </c>
      <c r="E63" s="282"/>
      <c r="F63" s="282"/>
      <c r="G63" s="282"/>
      <c r="H63" s="282" t="s">
        <v>2</v>
      </c>
    </row>
    <row r="64" spans="1:8" hidden="1" x14ac:dyDescent="0.25">
      <c r="A64" s="369">
        <v>27</v>
      </c>
      <c r="B64" s="364" t="s">
        <v>2526</v>
      </c>
      <c r="C64" s="365">
        <v>41570</v>
      </c>
      <c r="D64" s="363" t="s">
        <v>2501</v>
      </c>
      <c r="E64" s="569" t="s">
        <v>2</v>
      </c>
      <c r="F64" s="569"/>
      <c r="G64" s="569"/>
      <c r="H64" s="569"/>
    </row>
    <row r="65" spans="1:14" hidden="1" x14ac:dyDescent="0.25">
      <c r="A65" s="370">
        <v>28</v>
      </c>
      <c r="B65" s="366" t="s">
        <v>2527</v>
      </c>
      <c r="C65" s="367">
        <v>41571</v>
      </c>
      <c r="D65" s="281" t="s">
        <v>2498</v>
      </c>
      <c r="E65" s="282"/>
      <c r="F65" s="282" t="s">
        <v>2</v>
      </c>
      <c r="G65" s="282"/>
      <c r="H65" s="282"/>
    </row>
    <row r="66" spans="1:14" hidden="1" x14ac:dyDescent="0.25">
      <c r="A66" s="369">
        <v>29</v>
      </c>
      <c r="B66" s="364" t="s">
        <v>2516</v>
      </c>
      <c r="C66" s="365">
        <v>41633</v>
      </c>
      <c r="D66" s="363" t="s">
        <v>2501</v>
      </c>
      <c r="E66" s="569" t="s">
        <v>2</v>
      </c>
      <c r="F66" s="569" t="s">
        <v>2</v>
      </c>
      <c r="G66" s="569" t="s">
        <v>2</v>
      </c>
      <c r="H66" s="569"/>
    </row>
    <row r="67" spans="1:14" hidden="1" x14ac:dyDescent="0.25">
      <c r="A67" s="370">
        <v>30</v>
      </c>
      <c r="B67" s="366" t="s">
        <v>2517</v>
      </c>
      <c r="C67" s="367">
        <v>41634</v>
      </c>
      <c r="D67" s="281" t="s">
        <v>2501</v>
      </c>
      <c r="E67" s="282"/>
      <c r="F67" s="282"/>
      <c r="G67" s="282" t="s">
        <v>2</v>
      </c>
      <c r="H67" s="282"/>
    </row>
    <row r="68" spans="1:14" hidden="1" x14ac:dyDescent="0.25"/>
    <row r="70" spans="1:14" x14ac:dyDescent="0.25">
      <c r="A70" s="798" t="s">
        <v>3111</v>
      </c>
      <c r="B70" s="798"/>
      <c r="C70" s="798"/>
      <c r="D70" s="798"/>
      <c r="E70" s="798"/>
      <c r="F70" s="798"/>
      <c r="G70" s="798"/>
      <c r="H70" s="798"/>
      <c r="L70" s="798" t="s">
        <v>3150</v>
      </c>
      <c r="M70" s="798"/>
      <c r="N70" s="798"/>
    </row>
    <row r="71" spans="1:14" ht="33.75" x14ac:dyDescent="0.25">
      <c r="A71" s="362" t="s">
        <v>2486</v>
      </c>
      <c r="B71" s="362" t="s">
        <v>2487</v>
      </c>
      <c r="C71" s="362" t="s">
        <v>2488</v>
      </c>
      <c r="D71" s="362" t="s">
        <v>2489</v>
      </c>
      <c r="E71" s="700" t="s">
        <v>1635</v>
      </c>
      <c r="F71" s="700" t="s">
        <v>2518</v>
      </c>
      <c r="G71" s="700" t="s">
        <v>1636</v>
      </c>
      <c r="H71" s="700" t="s">
        <v>2490</v>
      </c>
      <c r="L71" s="574" t="s">
        <v>3112</v>
      </c>
      <c r="M71" s="574" t="s">
        <v>3113</v>
      </c>
      <c r="N71" s="574" t="s">
        <v>3114</v>
      </c>
    </row>
    <row r="72" spans="1:14" s="225" customFormat="1" x14ac:dyDescent="0.25">
      <c r="A72" s="566">
        <v>1</v>
      </c>
      <c r="B72" s="567" t="s">
        <v>2491</v>
      </c>
      <c r="C72" s="568">
        <v>42005</v>
      </c>
      <c r="D72" s="569" t="s">
        <v>2501</v>
      </c>
      <c r="E72" s="569" t="s">
        <v>2</v>
      </c>
      <c r="F72" s="569" t="s">
        <v>2</v>
      </c>
      <c r="G72" s="569" t="s">
        <v>2</v>
      </c>
      <c r="H72" s="569" t="s">
        <v>2</v>
      </c>
      <c r="L72" s="797" t="s">
        <v>3115</v>
      </c>
      <c r="M72" s="797" t="s">
        <v>3116</v>
      </c>
      <c r="N72" s="575" t="s">
        <v>3117</v>
      </c>
    </row>
    <row r="73" spans="1:14" s="225" customFormat="1" x14ac:dyDescent="0.25">
      <c r="A73" s="570">
        <v>2</v>
      </c>
      <c r="B73" s="571" t="s">
        <v>2519</v>
      </c>
      <c r="C73" s="572">
        <v>42019</v>
      </c>
      <c r="D73" s="282" t="s">
        <v>2501</v>
      </c>
      <c r="E73" s="282"/>
      <c r="F73" s="282" t="s">
        <v>2</v>
      </c>
      <c r="G73" s="282"/>
      <c r="H73" s="282"/>
      <c r="L73" s="797"/>
      <c r="M73" s="797"/>
      <c r="N73" s="575" t="s">
        <v>3118</v>
      </c>
    </row>
    <row r="74" spans="1:14" s="225" customFormat="1" x14ac:dyDescent="0.25">
      <c r="A74" s="566">
        <v>3</v>
      </c>
      <c r="B74" s="567" t="s">
        <v>3091</v>
      </c>
      <c r="C74" s="568">
        <v>42030</v>
      </c>
      <c r="D74" s="569" t="s">
        <v>2494</v>
      </c>
      <c r="E74" s="569" t="s">
        <v>2</v>
      </c>
      <c r="F74" s="569" t="s">
        <v>2</v>
      </c>
      <c r="G74" s="569"/>
      <c r="H74" s="569"/>
      <c r="L74" s="797"/>
      <c r="M74" s="797"/>
      <c r="N74" s="575" t="s">
        <v>3119</v>
      </c>
    </row>
    <row r="75" spans="1:14" s="225" customFormat="1" x14ac:dyDescent="0.25">
      <c r="A75" s="570">
        <v>4</v>
      </c>
      <c r="B75" s="571" t="s">
        <v>2520</v>
      </c>
      <c r="C75" s="572">
        <v>42053</v>
      </c>
      <c r="D75" s="282" t="s">
        <v>2496</v>
      </c>
      <c r="E75" s="282"/>
      <c r="F75" s="282"/>
      <c r="G75" s="282"/>
      <c r="H75" s="282" t="s">
        <v>2</v>
      </c>
      <c r="L75" s="799" t="s">
        <v>2520</v>
      </c>
      <c r="M75" s="800" t="s">
        <v>3120</v>
      </c>
      <c r="N75" s="576" t="s">
        <v>3121</v>
      </c>
    </row>
    <row r="76" spans="1:14" s="225" customFormat="1" x14ac:dyDescent="0.25">
      <c r="A76" s="566">
        <v>5</v>
      </c>
      <c r="B76" s="573" t="s">
        <v>2520</v>
      </c>
      <c r="C76" s="568">
        <v>42054</v>
      </c>
      <c r="D76" s="569" t="s">
        <v>2501</v>
      </c>
      <c r="E76" s="569"/>
      <c r="F76" s="569"/>
      <c r="G76" s="569"/>
      <c r="H76" s="569" t="s">
        <v>2</v>
      </c>
      <c r="L76" s="799"/>
      <c r="M76" s="800"/>
      <c r="N76" s="576" t="s">
        <v>3122</v>
      </c>
    </row>
    <row r="77" spans="1:14" s="225" customFormat="1" x14ac:dyDescent="0.25">
      <c r="A77" s="570">
        <v>6</v>
      </c>
      <c r="B77" s="571" t="s">
        <v>2520</v>
      </c>
      <c r="C77" s="572">
        <v>42055</v>
      </c>
      <c r="D77" s="282" t="s">
        <v>2498</v>
      </c>
      <c r="E77" s="282"/>
      <c r="F77" s="282"/>
      <c r="G77" s="282"/>
      <c r="H77" s="282" t="s">
        <v>2</v>
      </c>
      <c r="L77" s="799"/>
      <c r="M77" s="800"/>
      <c r="N77" s="576" t="s">
        <v>3123</v>
      </c>
    </row>
    <row r="78" spans="1:14" s="225" customFormat="1" x14ac:dyDescent="0.25">
      <c r="A78" s="566">
        <v>7</v>
      </c>
      <c r="B78" s="567" t="s">
        <v>2495</v>
      </c>
      <c r="C78" s="568">
        <v>42069</v>
      </c>
      <c r="D78" s="569" t="s">
        <v>2498</v>
      </c>
      <c r="E78" s="569" t="s">
        <v>2</v>
      </c>
      <c r="F78" s="569"/>
      <c r="G78" s="569"/>
      <c r="H78" s="569"/>
      <c r="L78" s="799"/>
      <c r="M78" s="800"/>
      <c r="N78" s="576" t="s">
        <v>3124</v>
      </c>
    </row>
    <row r="79" spans="1:14" s="225" customFormat="1" x14ac:dyDescent="0.25">
      <c r="A79" s="570">
        <v>8</v>
      </c>
      <c r="B79" s="571" t="s">
        <v>2497</v>
      </c>
      <c r="C79" s="572">
        <v>42097</v>
      </c>
      <c r="D79" s="282" t="s">
        <v>2498</v>
      </c>
      <c r="E79" s="282"/>
      <c r="F79" s="282" t="s">
        <v>2</v>
      </c>
      <c r="G79" s="282" t="s">
        <v>2</v>
      </c>
      <c r="H79" s="282"/>
      <c r="L79" s="797" t="s">
        <v>3125</v>
      </c>
      <c r="M79" s="797" t="s">
        <v>3126</v>
      </c>
      <c r="N79" s="575" t="s">
        <v>3127</v>
      </c>
    </row>
    <row r="80" spans="1:14" s="225" customFormat="1" x14ac:dyDescent="0.25">
      <c r="A80" s="566">
        <v>9</v>
      </c>
      <c r="B80" s="567" t="s">
        <v>3147</v>
      </c>
      <c r="C80" s="568">
        <v>42100</v>
      </c>
      <c r="D80" s="569" t="s">
        <v>2494</v>
      </c>
      <c r="E80" s="569"/>
      <c r="F80" s="569"/>
      <c r="G80" s="569" t="s">
        <v>2</v>
      </c>
      <c r="H80" s="569" t="s">
        <v>2</v>
      </c>
      <c r="L80" s="797"/>
      <c r="M80" s="797"/>
      <c r="N80" s="575" t="s">
        <v>3128</v>
      </c>
    </row>
    <row r="81" spans="1:14" s="225" customFormat="1" x14ac:dyDescent="0.25">
      <c r="A81" s="570">
        <v>10</v>
      </c>
      <c r="B81" s="571" t="s">
        <v>3148</v>
      </c>
      <c r="C81" s="572">
        <v>42125</v>
      </c>
      <c r="D81" s="282" t="s">
        <v>2498</v>
      </c>
      <c r="E81" s="282" t="s">
        <v>2</v>
      </c>
      <c r="F81" s="282" t="s">
        <v>2</v>
      </c>
      <c r="G81" s="282"/>
      <c r="H81" s="282" t="s">
        <v>2</v>
      </c>
      <c r="L81" s="797"/>
      <c r="M81" s="797"/>
      <c r="N81" s="575" t="s">
        <v>3129</v>
      </c>
    </row>
    <row r="82" spans="1:14" s="225" customFormat="1" x14ac:dyDescent="0.25">
      <c r="A82" s="566">
        <v>11</v>
      </c>
      <c r="B82" s="567" t="s">
        <v>3107</v>
      </c>
      <c r="C82" s="568">
        <v>42128</v>
      </c>
      <c r="D82" s="569" t="s">
        <v>2494</v>
      </c>
      <c r="E82" s="569"/>
      <c r="F82" s="569"/>
      <c r="G82" s="569" t="s">
        <v>2</v>
      </c>
      <c r="H82" s="569"/>
      <c r="L82" s="799" t="s">
        <v>3130</v>
      </c>
      <c r="M82" s="799" t="s">
        <v>3131</v>
      </c>
      <c r="N82" s="576" t="s">
        <v>3132</v>
      </c>
    </row>
    <row r="83" spans="1:14" s="225" customFormat="1" x14ac:dyDescent="0.25">
      <c r="A83" s="570">
        <v>12</v>
      </c>
      <c r="B83" s="571" t="s">
        <v>3108</v>
      </c>
      <c r="C83" s="572">
        <v>42149</v>
      </c>
      <c r="D83" s="282" t="s">
        <v>2494</v>
      </c>
      <c r="E83" s="282"/>
      <c r="F83" s="282"/>
      <c r="G83" s="282" t="s">
        <v>2</v>
      </c>
      <c r="H83" s="282"/>
      <c r="L83" s="799"/>
      <c r="M83" s="799"/>
      <c r="N83" s="576" t="s">
        <v>3133</v>
      </c>
    </row>
    <row r="84" spans="1:14" s="225" customFormat="1" x14ac:dyDescent="0.25">
      <c r="A84" s="566">
        <v>13</v>
      </c>
      <c r="B84" s="567" t="s">
        <v>2506</v>
      </c>
      <c r="C84" s="568">
        <v>42177</v>
      </c>
      <c r="D84" s="569" t="s">
        <v>2494</v>
      </c>
      <c r="E84" s="569"/>
      <c r="F84" s="569"/>
      <c r="G84" s="569"/>
      <c r="H84" s="569" t="s">
        <v>2</v>
      </c>
      <c r="L84" s="797" t="s">
        <v>2506</v>
      </c>
      <c r="M84" s="797" t="s">
        <v>3134</v>
      </c>
      <c r="N84" s="575" t="s">
        <v>3135</v>
      </c>
    </row>
    <row r="85" spans="1:14" s="225" customFormat="1" x14ac:dyDescent="0.25">
      <c r="A85" s="570">
        <v>14</v>
      </c>
      <c r="B85" s="571" t="s">
        <v>3109</v>
      </c>
      <c r="C85" s="572">
        <v>42247</v>
      </c>
      <c r="D85" s="282" t="s">
        <v>2494</v>
      </c>
      <c r="E85" s="282"/>
      <c r="F85" s="282"/>
      <c r="G85" s="282" t="s">
        <v>2</v>
      </c>
      <c r="H85" s="282"/>
      <c r="L85" s="797"/>
      <c r="M85" s="797"/>
      <c r="N85" s="575" t="s">
        <v>3136</v>
      </c>
    </row>
    <row r="86" spans="1:14" s="225" customFormat="1" ht="15" customHeight="1" x14ac:dyDescent="0.25">
      <c r="A86" s="566">
        <v>15</v>
      </c>
      <c r="B86" s="567" t="s">
        <v>3092</v>
      </c>
      <c r="C86" s="568">
        <v>42264</v>
      </c>
      <c r="D86" s="569" t="s">
        <v>2501</v>
      </c>
      <c r="E86" s="569" t="s">
        <v>2</v>
      </c>
      <c r="F86" s="569" t="s">
        <v>2</v>
      </c>
      <c r="G86" s="569"/>
      <c r="H86" s="569"/>
      <c r="L86" s="797"/>
      <c r="M86" s="797"/>
      <c r="N86" s="575" t="s">
        <v>3137</v>
      </c>
    </row>
    <row r="87" spans="1:14" s="225" customFormat="1" x14ac:dyDescent="0.25">
      <c r="A87" s="570">
        <v>16</v>
      </c>
      <c r="B87" s="571" t="s">
        <v>3093</v>
      </c>
      <c r="C87" s="572">
        <v>42271</v>
      </c>
      <c r="D87" s="282" t="s">
        <v>2501</v>
      </c>
      <c r="E87" s="282" t="s">
        <v>2</v>
      </c>
      <c r="F87" s="282"/>
      <c r="G87" s="282"/>
      <c r="H87" s="282"/>
      <c r="L87" s="691" t="s">
        <v>3138</v>
      </c>
      <c r="M87" s="691" t="s">
        <v>3139</v>
      </c>
      <c r="N87" s="576" t="s">
        <v>3140</v>
      </c>
    </row>
    <row r="88" spans="1:14" s="225" customFormat="1" x14ac:dyDescent="0.25">
      <c r="A88" s="566">
        <v>17</v>
      </c>
      <c r="B88" s="567" t="s">
        <v>2512</v>
      </c>
      <c r="C88" s="568">
        <v>42278</v>
      </c>
      <c r="D88" s="569" t="s">
        <v>2501</v>
      </c>
      <c r="E88" s="569"/>
      <c r="F88" s="569"/>
      <c r="G88" s="569"/>
      <c r="H88" s="569" t="s">
        <v>2</v>
      </c>
      <c r="L88" s="797" t="s">
        <v>2512</v>
      </c>
      <c r="M88" s="797" t="s">
        <v>3141</v>
      </c>
      <c r="N88" s="575" t="s">
        <v>3142</v>
      </c>
    </row>
    <row r="89" spans="1:14" s="225" customFormat="1" x14ac:dyDescent="0.25">
      <c r="A89" s="570">
        <v>18</v>
      </c>
      <c r="B89" s="571" t="s">
        <v>3149</v>
      </c>
      <c r="C89" s="572">
        <v>42279</v>
      </c>
      <c r="D89" s="282" t="s">
        <v>2498</v>
      </c>
      <c r="E89" s="282" t="s">
        <v>2</v>
      </c>
      <c r="F89" s="282" t="s">
        <v>2</v>
      </c>
      <c r="G89" s="282"/>
      <c r="H89" s="282" t="s">
        <v>2</v>
      </c>
      <c r="L89" s="797"/>
      <c r="M89" s="797"/>
      <c r="N89" s="575" t="s">
        <v>3143</v>
      </c>
    </row>
    <row r="90" spans="1:14" s="225" customFormat="1" x14ac:dyDescent="0.25">
      <c r="A90" s="566">
        <v>19</v>
      </c>
      <c r="B90" s="567" t="s">
        <v>2512</v>
      </c>
      <c r="C90" s="568">
        <v>42282</v>
      </c>
      <c r="D90" s="569" t="s">
        <v>2494</v>
      </c>
      <c r="E90" s="569"/>
      <c r="F90" s="569"/>
      <c r="G90" s="569"/>
      <c r="H90" s="569" t="s">
        <v>2</v>
      </c>
      <c r="L90" s="797"/>
      <c r="M90" s="797"/>
      <c r="N90" s="575" t="s">
        <v>3144</v>
      </c>
    </row>
    <row r="91" spans="1:14" s="225" customFormat="1" ht="14.25" customHeight="1" x14ac:dyDescent="0.25">
      <c r="A91" s="570">
        <v>20</v>
      </c>
      <c r="B91" s="571" t="s">
        <v>2512</v>
      </c>
      <c r="C91" s="572">
        <v>42283</v>
      </c>
      <c r="D91" s="282" t="s">
        <v>2492</v>
      </c>
      <c r="E91" s="282"/>
      <c r="F91" s="282"/>
      <c r="G91" s="282"/>
      <c r="H91" s="282" t="s">
        <v>2</v>
      </c>
      <c r="L91" s="797"/>
      <c r="M91" s="797"/>
      <c r="N91" s="575" t="s">
        <v>3145</v>
      </c>
    </row>
    <row r="92" spans="1:14" s="225" customFormat="1" x14ac:dyDescent="0.25">
      <c r="A92" s="566">
        <v>21</v>
      </c>
      <c r="B92" s="567" t="s">
        <v>2512</v>
      </c>
      <c r="C92" s="568">
        <v>42284</v>
      </c>
      <c r="D92" s="569" t="s">
        <v>2496</v>
      </c>
      <c r="E92" s="569"/>
      <c r="F92" s="569"/>
      <c r="G92" s="569"/>
      <c r="H92" s="569" t="s">
        <v>2</v>
      </c>
      <c r="L92" s="797"/>
      <c r="M92" s="797"/>
      <c r="N92" s="575" t="s">
        <v>3146</v>
      </c>
    </row>
    <row r="93" spans="1:14" s="225" customFormat="1" x14ac:dyDescent="0.25">
      <c r="A93" s="570">
        <v>22</v>
      </c>
      <c r="B93" s="571" t="s">
        <v>3094</v>
      </c>
      <c r="C93" s="572">
        <v>42299</v>
      </c>
      <c r="D93" s="282" t="s">
        <v>2501</v>
      </c>
      <c r="E93" s="282" t="s">
        <v>2</v>
      </c>
      <c r="F93" s="282"/>
      <c r="G93" s="282"/>
      <c r="H93" s="282"/>
    </row>
    <row r="94" spans="1:14" s="225" customFormat="1" x14ac:dyDescent="0.25">
      <c r="A94" s="566">
        <v>23</v>
      </c>
      <c r="B94" s="567" t="s">
        <v>3095</v>
      </c>
      <c r="C94" s="568">
        <v>42300</v>
      </c>
      <c r="D94" s="569" t="s">
        <v>2498</v>
      </c>
      <c r="E94" s="569"/>
      <c r="F94" s="569" t="s">
        <v>2</v>
      </c>
      <c r="G94" s="569"/>
      <c r="H94" s="569"/>
    </row>
    <row r="95" spans="1:14" s="225" customFormat="1" x14ac:dyDescent="0.25">
      <c r="A95" s="570">
        <v>24</v>
      </c>
      <c r="B95" s="571" t="s">
        <v>3096</v>
      </c>
      <c r="C95" s="572">
        <v>42318</v>
      </c>
      <c r="D95" s="282" t="s">
        <v>2492</v>
      </c>
      <c r="E95" s="282"/>
      <c r="F95" s="282" t="s">
        <v>2</v>
      </c>
      <c r="G95" s="282"/>
      <c r="H95" s="282"/>
    </row>
    <row r="96" spans="1:14" s="225" customFormat="1" x14ac:dyDescent="0.25">
      <c r="A96" s="566">
        <v>25</v>
      </c>
      <c r="B96" s="567" t="s">
        <v>2526</v>
      </c>
      <c r="C96" s="568">
        <v>42319</v>
      </c>
      <c r="D96" s="569" t="s">
        <v>2496</v>
      </c>
      <c r="E96" s="569" t="s">
        <v>2</v>
      </c>
      <c r="F96" s="569"/>
      <c r="G96" s="569"/>
      <c r="H96" s="569"/>
    </row>
    <row r="97" spans="1:8" s="225" customFormat="1" x14ac:dyDescent="0.25">
      <c r="A97" s="570">
        <v>26</v>
      </c>
      <c r="B97" s="571" t="s">
        <v>3097</v>
      </c>
      <c r="C97" s="572">
        <v>42363</v>
      </c>
      <c r="D97" s="282" t="s">
        <v>2498</v>
      </c>
      <c r="E97" s="282" t="s">
        <v>2</v>
      </c>
      <c r="F97" s="282" t="s">
        <v>2</v>
      </c>
      <c r="G97" s="282" t="s">
        <v>2</v>
      </c>
      <c r="H97" s="282"/>
    </row>
    <row r="98" spans="1:8" s="225" customFormat="1" x14ac:dyDescent="0.25">
      <c r="A98" s="566">
        <v>27</v>
      </c>
      <c r="B98" s="567" t="s">
        <v>3110</v>
      </c>
      <c r="C98" s="568">
        <v>42366</v>
      </c>
      <c r="D98" s="569" t="s">
        <v>2494</v>
      </c>
      <c r="E98" s="569"/>
      <c r="F98" s="569"/>
      <c r="G98" s="569" t="s">
        <v>2</v>
      </c>
      <c r="H98" s="569"/>
    </row>
  </sheetData>
  <mergeCells count="14">
    <mergeCell ref="L88:L92"/>
    <mergeCell ref="M88:M92"/>
    <mergeCell ref="A70:H70"/>
    <mergeCell ref="L70:N70"/>
    <mergeCell ref="L79:L81"/>
    <mergeCell ref="M79:M81"/>
    <mergeCell ref="L82:L83"/>
    <mergeCell ref="M82:M83"/>
    <mergeCell ref="L72:L74"/>
    <mergeCell ref="M72:M74"/>
    <mergeCell ref="L75:L78"/>
    <mergeCell ref="M75:M78"/>
    <mergeCell ref="L84:L86"/>
    <mergeCell ref="M84:M8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L84"/>
  <sheetViews>
    <sheetView topLeftCell="A5" zoomScale="80" zoomScaleNormal="80" workbookViewId="0">
      <selection activeCell="F5" sqref="F5"/>
    </sheetView>
  </sheetViews>
  <sheetFormatPr defaultRowHeight="15.75" x14ac:dyDescent="0.25"/>
  <cols>
    <col min="1" max="1" width="32.140625" style="351" bestFit="1" customWidth="1"/>
    <col min="2" max="2" width="19.5703125" style="351" customWidth="1"/>
    <col min="3" max="3" width="21" style="352" customWidth="1"/>
    <col min="4" max="4" width="21.85546875" style="352" customWidth="1"/>
    <col min="5" max="5" width="19" style="351" customWidth="1"/>
    <col min="6" max="9" width="9.140625" style="351"/>
    <col min="10" max="10" width="10.140625" style="351" bestFit="1" customWidth="1"/>
    <col min="11" max="16384" width="9.140625" style="351"/>
  </cols>
  <sheetData>
    <row r="2" spans="1:5" ht="18.75" x14ac:dyDescent="0.3">
      <c r="A2" s="801" t="s">
        <v>2448</v>
      </c>
      <c r="B2" s="801"/>
      <c r="C2" s="801"/>
      <c r="D2" s="801"/>
      <c r="E2" s="801"/>
    </row>
    <row r="4" spans="1:5" x14ac:dyDescent="0.25">
      <c r="C4" s="803" t="s">
        <v>2449</v>
      </c>
      <c r="D4" s="804"/>
      <c r="E4" s="805"/>
    </row>
    <row r="5" spans="1:5" ht="31.5" x14ac:dyDescent="0.25">
      <c r="A5" s="808" t="s">
        <v>2450</v>
      </c>
      <c r="B5" s="808" t="s">
        <v>2451</v>
      </c>
      <c r="C5" s="353" t="s">
        <v>2452</v>
      </c>
      <c r="D5" s="354" t="s">
        <v>2453</v>
      </c>
      <c r="E5" s="353" t="s">
        <v>3101</v>
      </c>
    </row>
    <row r="6" spans="1:5" ht="31.5" x14ac:dyDescent="0.25">
      <c r="A6" s="808"/>
      <c r="B6" s="808"/>
      <c r="C6" s="353" t="s">
        <v>2454</v>
      </c>
      <c r="D6" s="354" t="s">
        <v>2454</v>
      </c>
      <c r="E6" s="353" t="s">
        <v>2454</v>
      </c>
    </row>
    <row r="7" spans="1:5" x14ac:dyDescent="0.25">
      <c r="A7" s="564" t="s">
        <v>2455</v>
      </c>
      <c r="B7" s="356" t="s">
        <v>2456</v>
      </c>
      <c r="C7" s="357">
        <v>402.584</v>
      </c>
      <c r="D7" s="357">
        <v>132.08000000000001</v>
      </c>
      <c r="E7" s="340"/>
    </row>
    <row r="8" spans="1:5" x14ac:dyDescent="0.25">
      <c r="A8" s="564" t="s">
        <v>2455</v>
      </c>
      <c r="B8" s="356" t="s">
        <v>2457</v>
      </c>
      <c r="C8" s="357">
        <v>402.584</v>
      </c>
      <c r="D8" s="357">
        <v>142.47999999999999</v>
      </c>
      <c r="E8" s="340"/>
    </row>
    <row r="9" spans="1:5" x14ac:dyDescent="0.25">
      <c r="A9" s="564" t="s">
        <v>2455</v>
      </c>
      <c r="B9" s="356" t="s">
        <v>2458</v>
      </c>
      <c r="C9" s="357">
        <v>442.637</v>
      </c>
      <c r="D9" s="357">
        <v>158.08000000000001</v>
      </c>
      <c r="E9" s="340"/>
    </row>
    <row r="10" spans="1:5" x14ac:dyDescent="0.25">
      <c r="A10" s="564" t="s">
        <v>2455</v>
      </c>
      <c r="B10" s="356" t="s">
        <v>2459</v>
      </c>
      <c r="C10" s="357">
        <v>463.17700000000002</v>
      </c>
      <c r="D10" s="357">
        <v>168.48</v>
      </c>
      <c r="E10" s="340"/>
    </row>
    <row r="11" spans="1:5" x14ac:dyDescent="0.25">
      <c r="A11" s="564" t="s">
        <v>2455</v>
      </c>
      <c r="B11" s="356" t="s">
        <v>2460</v>
      </c>
      <c r="C11" s="357">
        <v>478.58199999999999</v>
      </c>
      <c r="D11" s="357">
        <v>178.88</v>
      </c>
      <c r="E11" s="340"/>
    </row>
    <row r="12" spans="1:5" x14ac:dyDescent="0.25">
      <c r="A12" s="564"/>
      <c r="B12" s="356"/>
      <c r="C12" s="357"/>
      <c r="D12" s="357"/>
      <c r="E12" s="340"/>
    </row>
    <row r="13" spans="1:5" x14ac:dyDescent="0.25">
      <c r="A13" s="564" t="s">
        <v>2461</v>
      </c>
      <c r="B13" s="356" t="s">
        <v>2456</v>
      </c>
      <c r="C13" s="357">
        <v>352.26100000000002</v>
      </c>
      <c r="D13" s="357">
        <v>117.52</v>
      </c>
      <c r="E13" s="340"/>
    </row>
    <row r="14" spans="1:5" x14ac:dyDescent="0.25">
      <c r="A14" s="564" t="s">
        <v>2461</v>
      </c>
      <c r="B14" s="356" t="s">
        <v>2457</v>
      </c>
      <c r="C14" s="357">
        <v>402.584</v>
      </c>
      <c r="D14" s="357">
        <v>117.52</v>
      </c>
      <c r="E14" s="340"/>
    </row>
    <row r="15" spans="1:5" x14ac:dyDescent="0.25">
      <c r="A15" s="564" t="s">
        <v>2461</v>
      </c>
      <c r="B15" s="356" t="s">
        <v>2458</v>
      </c>
      <c r="C15" s="357">
        <v>402.584</v>
      </c>
      <c r="D15" s="357">
        <v>142.47999999999999</v>
      </c>
      <c r="E15" s="340"/>
    </row>
    <row r="16" spans="1:5" x14ac:dyDescent="0.25">
      <c r="A16" s="564" t="s">
        <v>2461</v>
      </c>
      <c r="B16" s="356" t="s">
        <v>2459</v>
      </c>
      <c r="C16" s="357">
        <v>428.25900000000001</v>
      </c>
      <c r="D16" s="357">
        <v>142.47999999999999</v>
      </c>
      <c r="E16" s="340"/>
    </row>
    <row r="17" spans="1:12" x14ac:dyDescent="0.25">
      <c r="A17" s="564" t="s">
        <v>2461</v>
      </c>
      <c r="B17" s="356" t="s">
        <v>2460</v>
      </c>
      <c r="C17" s="357">
        <v>452.90699999999998</v>
      </c>
      <c r="D17" s="357">
        <v>158.08000000000001</v>
      </c>
      <c r="E17" s="340"/>
    </row>
    <row r="18" spans="1:12" x14ac:dyDescent="0.25">
      <c r="A18" s="564" t="s">
        <v>2461</v>
      </c>
      <c r="B18" s="356" t="s">
        <v>928</v>
      </c>
      <c r="C18" s="357">
        <v>478.58199999999999</v>
      </c>
      <c r="D18" s="357">
        <v>179</v>
      </c>
      <c r="E18" s="340"/>
    </row>
    <row r="19" spans="1:12" x14ac:dyDescent="0.25">
      <c r="E19" s="559"/>
    </row>
    <row r="20" spans="1:12" x14ac:dyDescent="0.25">
      <c r="E20" s="559"/>
    </row>
    <row r="21" spans="1:12" ht="18.75" x14ac:dyDescent="0.3">
      <c r="A21" s="801" t="s">
        <v>3104</v>
      </c>
      <c r="B21" s="801"/>
      <c r="C21" s="801"/>
      <c r="D21" s="801"/>
      <c r="E21" s="801"/>
    </row>
    <row r="23" spans="1:12" x14ac:dyDescent="0.25">
      <c r="C23" s="813" t="s">
        <v>2449</v>
      </c>
      <c r="D23" s="813"/>
      <c r="E23" s="813"/>
    </row>
    <row r="24" spans="1:12" ht="47.25" x14ac:dyDescent="0.25">
      <c r="A24" s="558" t="s">
        <v>2450</v>
      </c>
      <c r="B24" s="558" t="s">
        <v>2451</v>
      </c>
      <c r="C24" s="353" t="s">
        <v>2462</v>
      </c>
      <c r="D24" s="558" t="s">
        <v>2463</v>
      </c>
      <c r="E24" s="353" t="s">
        <v>3103</v>
      </c>
      <c r="I24" s="593"/>
      <c r="J24" s="248"/>
      <c r="K24" s="632"/>
      <c r="L24" s="106"/>
    </row>
    <row r="25" spans="1:12" x14ac:dyDescent="0.25">
      <c r="A25" s="809" t="s">
        <v>2464</v>
      </c>
      <c r="B25" s="809"/>
      <c r="C25" s="809"/>
      <c r="D25" s="809"/>
      <c r="E25" s="809"/>
      <c r="K25" s="633"/>
    </row>
    <row r="26" spans="1:12" ht="157.5" x14ac:dyDescent="0.25">
      <c r="A26" s="564" t="s">
        <v>2465</v>
      </c>
      <c r="B26" s="355" t="s">
        <v>2466</v>
      </c>
      <c r="C26" s="357">
        <v>575.12</v>
      </c>
      <c r="D26" s="358">
        <v>197.6</v>
      </c>
      <c r="E26" s="340"/>
    </row>
    <row r="27" spans="1:12" ht="126" x14ac:dyDescent="0.25">
      <c r="A27" s="564" t="s">
        <v>2467</v>
      </c>
      <c r="B27" s="355" t="s">
        <v>2468</v>
      </c>
      <c r="C27" s="721">
        <v>539.17499999999995</v>
      </c>
      <c r="D27" s="722">
        <v>176.8</v>
      </c>
      <c r="E27" s="340"/>
    </row>
    <row r="28" spans="1:12" ht="126" x14ac:dyDescent="0.25">
      <c r="A28" s="564" t="s">
        <v>2469</v>
      </c>
      <c r="B28" s="355" t="s">
        <v>2470</v>
      </c>
      <c r="C28" s="357">
        <v>513.5</v>
      </c>
      <c r="D28" s="357">
        <v>166.4</v>
      </c>
      <c r="E28" s="340"/>
    </row>
    <row r="29" spans="1:12" ht="83.25" customHeight="1" x14ac:dyDescent="0.25">
      <c r="A29" s="564" t="s">
        <v>2471</v>
      </c>
      <c r="B29" s="355"/>
      <c r="C29" s="357"/>
      <c r="D29" s="357"/>
      <c r="E29" s="340"/>
    </row>
    <row r="30" spans="1:12" x14ac:dyDescent="0.25">
      <c r="A30" s="810" t="s">
        <v>2472</v>
      </c>
      <c r="B30" s="811"/>
      <c r="C30" s="811"/>
      <c r="D30" s="811"/>
      <c r="E30" s="812"/>
    </row>
    <row r="31" spans="1:12" ht="94.5" x14ac:dyDescent="0.25">
      <c r="A31" s="564" t="s">
        <v>2473</v>
      </c>
      <c r="B31" s="355" t="s">
        <v>2474</v>
      </c>
      <c r="C31" s="721">
        <v>487.82499999999999</v>
      </c>
      <c r="D31" s="721">
        <v>166.4</v>
      </c>
      <c r="E31" s="340"/>
    </row>
    <row r="32" spans="1:12" ht="63" x14ac:dyDescent="0.25">
      <c r="A32" s="564" t="s">
        <v>2475</v>
      </c>
      <c r="B32" s="355" t="s">
        <v>2476</v>
      </c>
      <c r="C32" s="721">
        <v>462.15</v>
      </c>
      <c r="D32" s="721">
        <v>145.6</v>
      </c>
      <c r="E32" s="340"/>
    </row>
    <row r="33" spans="1:5" ht="94.5" x14ac:dyDescent="0.25">
      <c r="A33" s="564" t="s">
        <v>2477</v>
      </c>
      <c r="B33" s="355" t="s">
        <v>2474</v>
      </c>
      <c r="C33" s="357">
        <v>558.68799999999999</v>
      </c>
      <c r="D33" s="357">
        <v>158.08000000000001</v>
      </c>
      <c r="E33" s="340"/>
    </row>
    <row r="34" spans="1:5" ht="63" x14ac:dyDescent="0.25">
      <c r="A34" s="564" t="s">
        <v>2478</v>
      </c>
      <c r="B34" s="355" t="s">
        <v>2476</v>
      </c>
      <c r="C34" s="357">
        <v>492.96</v>
      </c>
      <c r="D34" s="357">
        <v>149.76</v>
      </c>
      <c r="E34" s="340"/>
    </row>
    <row r="35" spans="1:5" ht="94.5" x14ac:dyDescent="0.25">
      <c r="A35" s="564" t="s">
        <v>2479</v>
      </c>
      <c r="B35" s="355" t="s">
        <v>2474</v>
      </c>
      <c r="C35" s="357">
        <v>480.63600000000002</v>
      </c>
      <c r="D35" s="357">
        <v>159.12</v>
      </c>
      <c r="E35" s="340"/>
    </row>
    <row r="36" spans="1:5" ht="63" x14ac:dyDescent="0.25">
      <c r="A36" s="564" t="s">
        <v>2480</v>
      </c>
      <c r="B36" s="355" t="s">
        <v>2476</v>
      </c>
      <c r="C36" s="357">
        <v>455.988</v>
      </c>
      <c r="D36" s="357">
        <v>143.52000000000001</v>
      </c>
      <c r="E36" s="340"/>
    </row>
    <row r="39" spans="1:5" ht="18.75" x14ac:dyDescent="0.3">
      <c r="A39" s="801" t="s">
        <v>3105</v>
      </c>
      <c r="B39" s="801"/>
      <c r="C39" s="801"/>
      <c r="D39" s="801"/>
      <c r="E39" s="801"/>
    </row>
    <row r="41" spans="1:5" ht="16.5" thickBot="1" x14ac:dyDescent="0.3">
      <c r="C41" s="802" t="s">
        <v>2449</v>
      </c>
      <c r="D41" s="802"/>
      <c r="E41" s="802"/>
    </row>
    <row r="42" spans="1:5" ht="31.5" x14ac:dyDescent="0.25">
      <c r="A42" s="806" t="s">
        <v>2450</v>
      </c>
      <c r="B42" s="806" t="s">
        <v>2451</v>
      </c>
      <c r="C42" s="560" t="s">
        <v>2452</v>
      </c>
      <c r="D42" s="561" t="s">
        <v>2453</v>
      </c>
      <c r="E42" s="562" t="s">
        <v>3101</v>
      </c>
    </row>
    <row r="43" spans="1:5" ht="31.5" x14ac:dyDescent="0.25">
      <c r="A43" s="807"/>
      <c r="B43" s="807"/>
      <c r="C43" s="359" t="s">
        <v>2454</v>
      </c>
      <c r="D43" s="555" t="s">
        <v>2454</v>
      </c>
      <c r="E43" s="353" t="s">
        <v>2454</v>
      </c>
    </row>
    <row r="44" spans="1:5" x14ac:dyDescent="0.25">
      <c r="A44" s="564" t="s">
        <v>2481</v>
      </c>
      <c r="B44" s="355" t="s">
        <v>2456</v>
      </c>
      <c r="C44" s="357">
        <v>396.42200000000003</v>
      </c>
      <c r="D44" s="556">
        <v>115.44</v>
      </c>
      <c r="E44" s="340"/>
    </row>
    <row r="45" spans="1:5" x14ac:dyDescent="0.25">
      <c r="A45" s="564" t="s">
        <v>2481</v>
      </c>
      <c r="B45" s="355" t="s">
        <v>2457</v>
      </c>
      <c r="C45" s="357">
        <v>396.42200000000003</v>
      </c>
      <c r="D45" s="556">
        <v>115.44</v>
      </c>
      <c r="E45" s="340"/>
    </row>
    <row r="46" spans="1:5" x14ac:dyDescent="0.25">
      <c r="A46" s="564" t="s">
        <v>2481</v>
      </c>
      <c r="B46" s="355" t="s">
        <v>2458</v>
      </c>
      <c r="C46" s="357">
        <v>422.09699999999998</v>
      </c>
      <c r="D46" s="556">
        <v>131.04</v>
      </c>
      <c r="E46" s="340">
        <v>179</v>
      </c>
    </row>
    <row r="47" spans="1:5" x14ac:dyDescent="0.25">
      <c r="A47" s="564" t="s">
        <v>2481</v>
      </c>
      <c r="B47" s="355" t="s">
        <v>2459</v>
      </c>
      <c r="C47" s="357">
        <v>446.745</v>
      </c>
      <c r="D47" s="556">
        <v>140.4</v>
      </c>
      <c r="E47" s="340">
        <v>179</v>
      </c>
    </row>
    <row r="48" spans="1:5" x14ac:dyDescent="0.25">
      <c r="A48" s="564" t="s">
        <v>2481</v>
      </c>
      <c r="B48" s="355" t="s">
        <v>2460</v>
      </c>
      <c r="C48" s="721">
        <v>471.39300000000003</v>
      </c>
      <c r="D48" s="723">
        <v>156</v>
      </c>
      <c r="E48" s="340">
        <v>198</v>
      </c>
    </row>
    <row r="49" spans="1:5" x14ac:dyDescent="0.25">
      <c r="A49" s="564" t="s">
        <v>2481</v>
      </c>
      <c r="B49" s="634" t="s">
        <v>928</v>
      </c>
      <c r="C49" s="721">
        <v>471.39300000000003</v>
      </c>
      <c r="D49" s="724">
        <v>166</v>
      </c>
      <c r="E49" s="340"/>
    </row>
    <row r="50" spans="1:5" x14ac:dyDescent="0.25">
      <c r="A50" s="564" t="s">
        <v>4007</v>
      </c>
      <c r="B50" s="634" t="s">
        <v>928</v>
      </c>
      <c r="C50" s="357">
        <v>559</v>
      </c>
      <c r="D50" s="634"/>
      <c r="E50" s="340"/>
    </row>
    <row r="52" spans="1:5" ht="18.75" x14ac:dyDescent="0.3">
      <c r="A52" s="801" t="s">
        <v>3106</v>
      </c>
      <c r="B52" s="801"/>
      <c r="C52" s="801"/>
      <c r="D52" s="801"/>
      <c r="E52" s="801"/>
    </row>
    <row r="54" spans="1:5" ht="16.5" thickBot="1" x14ac:dyDescent="0.3">
      <c r="C54" s="802" t="s">
        <v>2449</v>
      </c>
      <c r="D54" s="802"/>
      <c r="E54" s="802"/>
    </row>
    <row r="55" spans="1:5" ht="31.5" x14ac:dyDescent="0.25">
      <c r="A55" s="806" t="s">
        <v>2450</v>
      </c>
      <c r="B55" s="806" t="s">
        <v>2451</v>
      </c>
      <c r="C55" s="560" t="s">
        <v>2452</v>
      </c>
      <c r="D55" s="563" t="s">
        <v>2453</v>
      </c>
      <c r="E55" s="562" t="s">
        <v>3101</v>
      </c>
    </row>
    <row r="56" spans="1:5" ht="31.5" x14ac:dyDescent="0.25">
      <c r="A56" s="807"/>
      <c r="B56" s="807"/>
      <c r="C56" s="359" t="s">
        <v>2454</v>
      </c>
      <c r="D56" s="360" t="s">
        <v>2454</v>
      </c>
      <c r="E56" s="353" t="s">
        <v>2454</v>
      </c>
    </row>
    <row r="57" spans="1:5" x14ac:dyDescent="0.25">
      <c r="A57" s="564" t="s">
        <v>2482</v>
      </c>
      <c r="B57" s="355" t="s">
        <v>2458</v>
      </c>
      <c r="C57" s="357" t="s">
        <v>92</v>
      </c>
      <c r="D57" s="357">
        <v>119</v>
      </c>
      <c r="E57" s="340">
        <v>356</v>
      </c>
    </row>
    <row r="58" spans="1:5" x14ac:dyDescent="0.25">
      <c r="A58" s="564" t="s">
        <v>2483</v>
      </c>
      <c r="B58" s="355" t="s">
        <v>2458</v>
      </c>
      <c r="C58" s="357" t="s">
        <v>92</v>
      </c>
      <c r="D58" s="357">
        <v>133</v>
      </c>
      <c r="E58" s="340"/>
    </row>
    <row r="59" spans="1:5" x14ac:dyDescent="0.25">
      <c r="A59" s="564" t="s">
        <v>2484</v>
      </c>
      <c r="B59" s="355" t="s">
        <v>2460</v>
      </c>
      <c r="C59" s="357" t="s">
        <v>92</v>
      </c>
      <c r="D59" s="357">
        <v>188</v>
      </c>
      <c r="E59" s="340"/>
    </row>
    <row r="60" spans="1:5" x14ac:dyDescent="0.25">
      <c r="A60" s="565" t="s">
        <v>2485</v>
      </c>
      <c r="B60" s="355" t="s">
        <v>2458</v>
      </c>
      <c r="C60" s="357" t="s">
        <v>92</v>
      </c>
      <c r="D60" s="357">
        <v>150</v>
      </c>
      <c r="E60" s="340"/>
    </row>
    <row r="75" spans="2:5" x14ac:dyDescent="0.25">
      <c r="B75" s="352"/>
      <c r="E75" s="352"/>
    </row>
    <row r="76" spans="2:5" x14ac:dyDescent="0.25">
      <c r="B76" s="352"/>
      <c r="E76" s="352"/>
    </row>
    <row r="77" spans="2:5" x14ac:dyDescent="0.25">
      <c r="B77" s="352"/>
      <c r="E77" s="352"/>
    </row>
    <row r="78" spans="2:5" x14ac:dyDescent="0.25">
      <c r="B78" s="352"/>
      <c r="E78" s="352"/>
    </row>
    <row r="79" spans="2:5" x14ac:dyDescent="0.25">
      <c r="B79" s="352"/>
      <c r="E79" s="352"/>
    </row>
    <row r="80" spans="2:5" x14ac:dyDescent="0.25">
      <c r="B80" s="352"/>
      <c r="E80" s="352"/>
    </row>
    <row r="81" spans="2:5" x14ac:dyDescent="0.25">
      <c r="B81" s="352"/>
      <c r="E81" s="352"/>
    </row>
    <row r="82" spans="2:5" x14ac:dyDescent="0.25">
      <c r="B82" s="352"/>
      <c r="E82" s="352"/>
    </row>
    <row r="83" spans="2:5" x14ac:dyDescent="0.25">
      <c r="B83" s="352"/>
      <c r="E83" s="352"/>
    </row>
    <row r="84" spans="2:5" x14ac:dyDescent="0.25">
      <c r="B84" s="352"/>
      <c r="E84" s="352"/>
    </row>
  </sheetData>
  <mergeCells count="16">
    <mergeCell ref="A55:A56"/>
    <mergeCell ref="B55:B56"/>
    <mergeCell ref="A5:A6"/>
    <mergeCell ref="B5:B6"/>
    <mergeCell ref="A42:A43"/>
    <mergeCell ref="B42:B43"/>
    <mergeCell ref="A21:E21"/>
    <mergeCell ref="A25:E25"/>
    <mergeCell ref="A30:E30"/>
    <mergeCell ref="C23:E23"/>
    <mergeCell ref="A2:E2"/>
    <mergeCell ref="A39:E39"/>
    <mergeCell ref="A52:E52"/>
    <mergeCell ref="C54:E54"/>
    <mergeCell ref="C4:E4"/>
    <mergeCell ref="C41:E41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X2110"/>
  <sheetViews>
    <sheetView zoomScale="90" zoomScaleNormal="90" workbookViewId="0">
      <selection activeCell="B1719" sqref="B1719"/>
    </sheetView>
  </sheetViews>
  <sheetFormatPr defaultRowHeight="15" x14ac:dyDescent="0.25"/>
  <cols>
    <col min="1" max="1" width="22.7109375" customWidth="1"/>
    <col min="2" max="2" width="55.85546875" customWidth="1"/>
    <col min="3" max="3" width="34.5703125" customWidth="1"/>
    <col min="4" max="4" width="49" customWidth="1"/>
    <col min="5" max="5" width="30.7109375" customWidth="1"/>
    <col min="6" max="6" width="12.140625" customWidth="1"/>
    <col min="7" max="7" width="36.85546875" customWidth="1"/>
    <col min="8" max="8" width="13.5703125" customWidth="1"/>
    <col min="9" max="9" width="7.7109375" customWidth="1"/>
    <col min="10" max="10" width="19.42578125" customWidth="1"/>
    <col min="11" max="11" width="58.7109375" customWidth="1"/>
    <col min="12" max="12" width="4.28515625" customWidth="1"/>
    <col min="13" max="13" width="3.7109375" customWidth="1"/>
    <col min="14" max="14" width="3.7109375" hidden="1" customWidth="1"/>
    <col min="15" max="15" width="19.7109375" customWidth="1"/>
    <col min="16" max="16" width="20.85546875" customWidth="1"/>
    <col min="17" max="18" width="8.7109375" customWidth="1"/>
    <col min="19" max="19" width="8.7109375" hidden="1" customWidth="1"/>
    <col min="20" max="20" width="8.7109375" customWidth="1"/>
    <col min="21" max="21" width="11.28515625" customWidth="1"/>
    <col min="22" max="22" width="10.140625" bestFit="1" customWidth="1"/>
    <col min="23" max="23" width="10" customWidth="1"/>
    <col min="24" max="24" width="11.85546875" bestFit="1" customWidth="1"/>
  </cols>
  <sheetData>
    <row r="2" spans="1:19" x14ac:dyDescent="0.25">
      <c r="A2" s="107">
        <v>60115142</v>
      </c>
      <c r="B2" s="107"/>
      <c r="C2" s="107"/>
      <c r="D2" s="103"/>
      <c r="E2" s="103"/>
      <c r="F2" s="103"/>
      <c r="G2" s="103"/>
      <c r="H2" s="103"/>
      <c r="I2" s="103"/>
    </row>
    <row r="3" spans="1:19" x14ac:dyDescent="0.25">
      <c r="A3" s="103" t="s">
        <v>1005</v>
      </c>
      <c r="B3" s="103"/>
      <c r="C3" s="103"/>
      <c r="D3" s="103"/>
      <c r="E3" s="103"/>
      <c r="F3" s="103"/>
      <c r="G3" s="103"/>
      <c r="H3" s="103"/>
      <c r="I3" s="103"/>
    </row>
    <row r="4" spans="1:19" x14ac:dyDescent="0.25">
      <c r="A4" s="107">
        <v>40992</v>
      </c>
      <c r="B4" s="107"/>
      <c r="C4" s="107"/>
      <c r="D4" s="103"/>
      <c r="E4" s="103"/>
      <c r="F4" s="103"/>
      <c r="G4" s="103"/>
      <c r="H4" s="103"/>
      <c r="I4" s="103"/>
    </row>
    <row r="5" spans="1:19" x14ac:dyDescent="0.25">
      <c r="D5" s="103"/>
      <c r="E5" s="103"/>
      <c r="F5" s="103"/>
      <c r="G5" s="103"/>
      <c r="H5" s="103"/>
      <c r="I5" s="103"/>
    </row>
    <row r="7" spans="1:19" ht="127.5" x14ac:dyDescent="0.25">
      <c r="A7" s="1" t="s">
        <v>40</v>
      </c>
      <c r="B7" s="1"/>
      <c r="C7" s="1"/>
      <c r="D7" s="1" t="s">
        <v>15</v>
      </c>
      <c r="E7" s="1" t="s">
        <v>41</v>
      </c>
      <c r="F7" s="1"/>
      <c r="G7" s="1"/>
      <c r="H7" s="1"/>
      <c r="I7" s="1"/>
      <c r="J7" s="1" t="s">
        <v>265</v>
      </c>
      <c r="K7" s="1"/>
      <c r="L7" s="1"/>
      <c r="M7" s="1"/>
      <c r="N7" s="1" t="s">
        <v>1006</v>
      </c>
      <c r="O7" s="1" t="s">
        <v>230</v>
      </c>
      <c r="P7" s="1"/>
      <c r="Q7" s="1" t="s">
        <v>42</v>
      </c>
    </row>
    <row r="8" spans="1:19" x14ac:dyDescent="0.25">
      <c r="A8" s="23" t="s">
        <v>432</v>
      </c>
      <c r="B8" s="23"/>
      <c r="C8" s="23"/>
      <c r="D8" s="10">
        <v>1000079359</v>
      </c>
      <c r="E8" s="10" t="s">
        <v>264</v>
      </c>
      <c r="F8" s="10"/>
      <c r="G8" s="10"/>
      <c r="H8" s="10"/>
      <c r="I8" s="10"/>
      <c r="J8" s="13">
        <v>5856</v>
      </c>
      <c r="K8" s="13"/>
      <c r="L8" s="13"/>
      <c r="M8" s="13"/>
      <c r="N8" s="13">
        <f>J8/1.2</f>
        <v>4880</v>
      </c>
      <c r="O8" s="23">
        <v>60115142</v>
      </c>
      <c r="P8" s="23"/>
      <c r="Q8" s="15" t="s">
        <v>280</v>
      </c>
    </row>
    <row r="9" spans="1:19" x14ac:dyDescent="0.25">
      <c r="A9" s="23" t="s">
        <v>554</v>
      </c>
      <c r="B9" s="23"/>
      <c r="C9" s="23"/>
      <c r="D9" s="10">
        <v>1000079359</v>
      </c>
      <c r="E9" s="10" t="s">
        <v>492</v>
      </c>
      <c r="F9" s="10"/>
      <c r="G9" s="10"/>
      <c r="H9" s="10"/>
      <c r="I9" s="10"/>
      <c r="J9" s="13">
        <v>11712</v>
      </c>
      <c r="K9" s="13"/>
      <c r="L9" s="13"/>
      <c r="M9" s="13"/>
      <c r="N9" s="13">
        <f t="shared" ref="N9:N14" si="0">J9/1.2</f>
        <v>9760</v>
      </c>
      <c r="O9" s="10">
        <v>60115142</v>
      </c>
      <c r="P9" s="10"/>
      <c r="Q9" s="10" t="s">
        <v>280</v>
      </c>
    </row>
    <row r="10" spans="1:19" x14ac:dyDescent="0.25">
      <c r="A10" s="29" t="s">
        <v>637</v>
      </c>
      <c r="B10" s="29"/>
      <c r="C10" s="29"/>
      <c r="D10" s="10">
        <v>1000079359</v>
      </c>
      <c r="E10" s="10" t="s">
        <v>470</v>
      </c>
      <c r="F10" s="10"/>
      <c r="G10" s="10"/>
      <c r="H10" s="10"/>
      <c r="I10" s="10"/>
      <c r="J10" s="13">
        <v>13468.8</v>
      </c>
      <c r="K10" s="13"/>
      <c r="L10" s="13"/>
      <c r="M10" s="13"/>
      <c r="N10" s="13">
        <f t="shared" si="0"/>
        <v>11224</v>
      </c>
      <c r="O10" s="10">
        <v>60115142</v>
      </c>
      <c r="P10" s="10"/>
      <c r="Q10" s="10" t="s">
        <v>280</v>
      </c>
    </row>
    <row r="11" spans="1:19" x14ac:dyDescent="0.25">
      <c r="A11" s="54" t="s">
        <v>760</v>
      </c>
      <c r="B11" s="54"/>
      <c r="C11" s="54"/>
      <c r="D11" s="77">
        <v>1000079359</v>
      </c>
      <c r="E11" s="77" t="s">
        <v>701</v>
      </c>
      <c r="F11" s="77"/>
      <c r="G11" s="77"/>
      <c r="H11" s="77"/>
      <c r="I11" s="77"/>
      <c r="J11" s="105"/>
      <c r="K11" s="105"/>
      <c r="L11" s="105"/>
      <c r="M11" s="105"/>
      <c r="N11" s="105"/>
      <c r="O11" s="77">
        <v>60115142</v>
      </c>
      <c r="P11" s="77"/>
      <c r="Q11" s="77" t="s">
        <v>92</v>
      </c>
      <c r="R11" s="108"/>
      <c r="S11" s="108"/>
    </row>
    <row r="12" spans="1:19" x14ac:dyDescent="0.25">
      <c r="A12" s="29" t="s">
        <v>784</v>
      </c>
      <c r="B12" s="29"/>
      <c r="C12" s="29"/>
      <c r="D12" s="10">
        <v>1000079359</v>
      </c>
      <c r="E12" s="10" t="s">
        <v>701</v>
      </c>
      <c r="F12" s="10"/>
      <c r="G12" s="10"/>
      <c r="H12" s="10"/>
      <c r="I12" s="10"/>
      <c r="J12" s="86">
        <v>9369.6</v>
      </c>
      <c r="K12" s="86"/>
      <c r="L12" s="86"/>
      <c r="M12" s="86"/>
      <c r="N12" s="13">
        <f t="shared" si="0"/>
        <v>7808.0000000000009</v>
      </c>
      <c r="O12" s="23">
        <v>60115142</v>
      </c>
      <c r="P12" s="23"/>
      <c r="Q12" s="23" t="s">
        <v>280</v>
      </c>
    </row>
    <row r="13" spans="1:19" x14ac:dyDescent="0.25">
      <c r="A13" s="29" t="s">
        <v>785</v>
      </c>
      <c r="B13" s="29"/>
      <c r="C13" s="29"/>
      <c r="D13" s="10">
        <v>1000079359</v>
      </c>
      <c r="E13" s="10" t="s">
        <v>701</v>
      </c>
      <c r="F13" s="10"/>
      <c r="G13" s="10"/>
      <c r="H13" s="10"/>
      <c r="I13" s="10"/>
      <c r="J13" s="85">
        <v>2342.4</v>
      </c>
      <c r="K13" s="85"/>
      <c r="L13" s="85"/>
      <c r="M13" s="85"/>
      <c r="N13" s="13">
        <f t="shared" si="0"/>
        <v>1952.0000000000002</v>
      </c>
      <c r="O13" s="10">
        <v>60115142</v>
      </c>
      <c r="P13" s="10"/>
      <c r="Q13" s="10" t="s">
        <v>280</v>
      </c>
    </row>
    <row r="14" spans="1:19" x14ac:dyDescent="0.25">
      <c r="A14" s="29" t="s">
        <v>870</v>
      </c>
      <c r="B14" s="29"/>
      <c r="C14" s="29"/>
      <c r="D14" s="10">
        <v>1000079359</v>
      </c>
      <c r="E14" s="10" t="s">
        <v>472</v>
      </c>
      <c r="F14" s="10"/>
      <c r="G14" s="10"/>
      <c r="H14" s="10"/>
      <c r="I14" s="10"/>
      <c r="J14" s="10">
        <v>8198.4</v>
      </c>
      <c r="K14" s="10"/>
      <c r="L14" s="10"/>
      <c r="M14" s="10"/>
      <c r="N14" s="13">
        <f t="shared" si="0"/>
        <v>6832</v>
      </c>
      <c r="O14" s="10">
        <v>60115142</v>
      </c>
      <c r="P14" s="10"/>
      <c r="Q14" s="10" t="s">
        <v>280</v>
      </c>
    </row>
    <row r="15" spans="1:19" x14ac:dyDescent="0.25">
      <c r="N15" s="109">
        <f>SUM(N8:N14)</f>
        <v>42456</v>
      </c>
    </row>
    <row r="16" spans="1:19" x14ac:dyDescent="0.25">
      <c r="J16" t="s">
        <v>1007</v>
      </c>
      <c r="N16" s="109">
        <f>A4-N15</f>
        <v>-1464</v>
      </c>
    </row>
    <row r="20" spans="1:19" x14ac:dyDescent="0.25">
      <c r="J20">
        <v>35624</v>
      </c>
    </row>
    <row r="21" spans="1:19" x14ac:dyDescent="0.25">
      <c r="J21">
        <f>A4-J20</f>
        <v>5368</v>
      </c>
    </row>
    <row r="25" spans="1:19" x14ac:dyDescent="0.25">
      <c r="A25">
        <v>60116349</v>
      </c>
    </row>
    <row r="26" spans="1:19" x14ac:dyDescent="0.25">
      <c r="A26">
        <v>18810</v>
      </c>
    </row>
    <row r="27" spans="1:19" x14ac:dyDescent="0.25">
      <c r="A27">
        <v>471</v>
      </c>
    </row>
    <row r="28" spans="1:19" x14ac:dyDescent="0.25">
      <c r="A28">
        <v>156</v>
      </c>
    </row>
    <row r="30" spans="1:19" ht="63.75" x14ac:dyDescent="0.25">
      <c r="A30" s="1" t="s">
        <v>40</v>
      </c>
      <c r="B30" s="1"/>
      <c r="C30" s="1"/>
      <c r="D30" s="1" t="s">
        <v>41</v>
      </c>
      <c r="E30" s="1" t="s">
        <v>1</v>
      </c>
      <c r="F30" s="1"/>
      <c r="G30" s="1"/>
      <c r="H30" s="1"/>
      <c r="I30" s="1"/>
      <c r="J30" s="1" t="s">
        <v>1006</v>
      </c>
      <c r="K30" s="1"/>
      <c r="L30" s="1"/>
      <c r="M30" s="1"/>
      <c r="N30" s="1" t="s">
        <v>1008</v>
      </c>
      <c r="O30" s="1" t="s">
        <v>938</v>
      </c>
      <c r="P30" s="1"/>
      <c r="Q30" s="1" t="s">
        <v>1009</v>
      </c>
      <c r="R30" s="1" t="s">
        <v>1014</v>
      </c>
      <c r="S30" s="201"/>
    </row>
    <row r="31" spans="1:19" ht="39" x14ac:dyDescent="0.25">
      <c r="A31" s="24" t="s">
        <v>544</v>
      </c>
      <c r="B31" s="24"/>
      <c r="C31" s="24"/>
      <c r="D31" s="10" t="s">
        <v>492</v>
      </c>
      <c r="E31" s="76" t="s">
        <v>545</v>
      </c>
      <c r="F31" s="76"/>
      <c r="G31" s="76"/>
      <c r="H31" s="76"/>
      <c r="I31" s="76"/>
      <c r="J31" s="10" t="e">
        <f>#REF!/1.2</f>
        <v>#REF!</v>
      </c>
      <c r="K31" s="10"/>
      <c r="L31" s="10"/>
      <c r="M31" s="10"/>
      <c r="N31" s="10">
        <v>18</v>
      </c>
      <c r="O31" s="10" t="s">
        <v>1010</v>
      </c>
      <c r="P31" s="10"/>
      <c r="Q31" s="10">
        <v>15</v>
      </c>
      <c r="R31" s="110">
        <f>Q31*471</f>
        <v>7065</v>
      </c>
      <c r="S31" s="106"/>
    </row>
    <row r="32" spans="1:19" ht="102.75" x14ac:dyDescent="0.25">
      <c r="A32" s="104" t="s">
        <v>642</v>
      </c>
      <c r="B32" s="104"/>
      <c r="C32" s="104"/>
      <c r="D32" s="10" t="s">
        <v>470</v>
      </c>
      <c r="E32" s="76" t="s">
        <v>663</v>
      </c>
      <c r="F32" s="76"/>
      <c r="G32" s="76"/>
      <c r="H32" s="76"/>
      <c r="I32" s="76"/>
      <c r="J32" s="10" t="e">
        <f>#REF!/1.2</f>
        <v>#REF!</v>
      </c>
      <c r="K32" s="10"/>
      <c r="L32" s="10"/>
      <c r="M32" s="10"/>
      <c r="N32" s="76" t="s">
        <v>1013</v>
      </c>
      <c r="O32" s="10" t="s">
        <v>1011</v>
      </c>
      <c r="P32" s="10"/>
      <c r="Q32" s="76" t="s">
        <v>1013</v>
      </c>
      <c r="R32" s="110">
        <f>(15*471)+(7*156)</f>
        <v>8157</v>
      </c>
      <c r="S32" s="106"/>
    </row>
    <row r="33" spans="1:19" ht="39" x14ac:dyDescent="0.25">
      <c r="A33" s="10" t="s">
        <v>752</v>
      </c>
      <c r="B33" s="10"/>
      <c r="C33" s="10"/>
      <c r="D33" s="10" t="s">
        <v>701</v>
      </c>
      <c r="E33" s="76" t="s">
        <v>753</v>
      </c>
      <c r="F33" s="76"/>
      <c r="G33" s="76"/>
      <c r="H33" s="76"/>
      <c r="I33" s="76"/>
      <c r="J33" s="10" t="e">
        <f>#REF!/1.2</f>
        <v>#REF!</v>
      </c>
      <c r="K33" s="10"/>
      <c r="L33" s="10"/>
      <c r="M33" s="10"/>
      <c r="N33" s="10" t="e">
        <f>J33/156</f>
        <v>#REF!</v>
      </c>
      <c r="O33" s="10" t="s">
        <v>1012</v>
      </c>
      <c r="P33" s="10"/>
      <c r="Q33" s="10">
        <v>18</v>
      </c>
      <c r="R33" s="110">
        <f>Q33*156</f>
        <v>2808</v>
      </c>
      <c r="S33" s="106"/>
    </row>
    <row r="34" spans="1:19" x14ac:dyDescent="0.25">
      <c r="J34" t="e">
        <f>SUM(J31:J33)</f>
        <v>#REF!</v>
      </c>
      <c r="R34">
        <f>SUM(R31:R33)</f>
        <v>18030</v>
      </c>
    </row>
    <row r="35" spans="1:19" x14ac:dyDescent="0.25">
      <c r="J35" t="e">
        <f>A26-J34</f>
        <v>#REF!</v>
      </c>
      <c r="R35">
        <f>A26-R34</f>
        <v>780</v>
      </c>
    </row>
    <row r="37" spans="1:19" x14ac:dyDescent="0.25">
      <c r="O37" t="e">
        <f>R34-J31-J32</f>
        <v>#REF!</v>
      </c>
      <c r="R37" t="e">
        <f>R34-J31-J32</f>
        <v>#REF!</v>
      </c>
    </row>
    <row r="38" spans="1:19" x14ac:dyDescent="0.25">
      <c r="O38" t="e">
        <f>O37/156</f>
        <v>#REF!</v>
      </c>
      <c r="R38">
        <f>9*156</f>
        <v>1404</v>
      </c>
    </row>
    <row r="60" spans="1:15" x14ac:dyDescent="0.25">
      <c r="A60" t="s">
        <v>1018</v>
      </c>
    </row>
    <row r="63" spans="1:15" x14ac:dyDescent="0.25">
      <c r="E63" t="s">
        <v>1019</v>
      </c>
      <c r="J63" t="s">
        <v>1021</v>
      </c>
      <c r="N63" t="s">
        <v>1022</v>
      </c>
      <c r="O63" t="s">
        <v>1023</v>
      </c>
    </row>
    <row r="64" spans="1:15" x14ac:dyDescent="0.25">
      <c r="A64" t="s">
        <v>1016</v>
      </c>
      <c r="D64">
        <v>119</v>
      </c>
      <c r="E64">
        <v>1</v>
      </c>
      <c r="J64">
        <v>20</v>
      </c>
      <c r="N64">
        <v>20</v>
      </c>
      <c r="O64">
        <v>25</v>
      </c>
    </row>
    <row r="65" spans="1:15" x14ac:dyDescent="0.25">
      <c r="A65" t="s">
        <v>1016</v>
      </c>
      <c r="D65">
        <v>119</v>
      </c>
      <c r="E65">
        <v>1</v>
      </c>
      <c r="J65">
        <v>20</v>
      </c>
      <c r="N65">
        <v>20</v>
      </c>
      <c r="O65">
        <v>25</v>
      </c>
    </row>
    <row r="66" spans="1:15" x14ac:dyDescent="0.25">
      <c r="A66" t="s">
        <v>1017</v>
      </c>
      <c r="D66">
        <v>133</v>
      </c>
      <c r="E66">
        <v>1</v>
      </c>
      <c r="J66">
        <v>20</v>
      </c>
      <c r="N66">
        <v>20</v>
      </c>
      <c r="O66">
        <v>25</v>
      </c>
    </row>
    <row r="67" spans="1:15" x14ac:dyDescent="0.25">
      <c r="A67" t="s">
        <v>928</v>
      </c>
      <c r="D67">
        <v>188</v>
      </c>
      <c r="E67">
        <v>1</v>
      </c>
      <c r="J67">
        <v>8</v>
      </c>
      <c r="N67">
        <v>4</v>
      </c>
      <c r="O67">
        <v>5</v>
      </c>
    </row>
    <row r="70" spans="1:15" x14ac:dyDescent="0.25">
      <c r="A70" s="56" t="s">
        <v>473</v>
      </c>
      <c r="B70" s="56"/>
      <c r="C70" s="56"/>
      <c r="D70" s="56" t="s">
        <v>474</v>
      </c>
      <c r="E70" s="56" t="s">
        <v>475</v>
      </c>
      <c r="F70" s="56"/>
      <c r="G70" s="56"/>
      <c r="H70" s="56"/>
      <c r="I70" s="56"/>
    </row>
    <row r="71" spans="1:15" x14ac:dyDescent="0.25">
      <c r="A71">
        <v>1</v>
      </c>
      <c r="D71">
        <v>4</v>
      </c>
      <c r="E71">
        <v>4</v>
      </c>
    </row>
    <row r="72" spans="1:15" x14ac:dyDescent="0.25">
      <c r="A72" t="e">
        <f>D64*#REF!</f>
        <v>#REF!</v>
      </c>
      <c r="D72">
        <f>D64*J64</f>
        <v>2380</v>
      </c>
      <c r="E72">
        <f>D64*N64</f>
        <v>2380</v>
      </c>
    </row>
    <row r="73" spans="1:15" x14ac:dyDescent="0.25">
      <c r="A73" t="e">
        <f>D65*#REF!</f>
        <v>#REF!</v>
      </c>
      <c r="D73">
        <f>D65*J65</f>
        <v>2380</v>
      </c>
      <c r="E73">
        <f>D65*N65</f>
        <v>2380</v>
      </c>
    </row>
    <row r="74" spans="1:15" x14ac:dyDescent="0.25">
      <c r="A74" t="e">
        <f>D66*#REF!</f>
        <v>#REF!</v>
      </c>
      <c r="D74">
        <f>D66*J66</f>
        <v>2660</v>
      </c>
      <c r="E74">
        <f>D66*N66</f>
        <v>2660</v>
      </c>
    </row>
    <row r="75" spans="1:15" x14ac:dyDescent="0.25">
      <c r="A75" t="e">
        <f>D67*#REF!</f>
        <v>#REF!</v>
      </c>
      <c r="D75">
        <f>D67*J67</f>
        <v>1504</v>
      </c>
      <c r="E75">
        <f>D67*N67</f>
        <v>752</v>
      </c>
    </row>
    <row r="76" spans="1:15" x14ac:dyDescent="0.25">
      <c r="A76" s="56" t="e">
        <f>SUM(A72:A75)</f>
        <v>#REF!</v>
      </c>
      <c r="B76" s="56"/>
      <c r="C76" s="56"/>
      <c r="D76" s="56">
        <f>SUM(D72:D75)</f>
        <v>8924</v>
      </c>
      <c r="E76" s="56">
        <f>SUM(E72:E75)</f>
        <v>8172</v>
      </c>
      <c r="F76" s="56"/>
      <c r="G76" s="56"/>
      <c r="H76" s="56"/>
      <c r="I76" s="56"/>
    </row>
    <row r="80" spans="1:15" x14ac:dyDescent="0.25">
      <c r="A80">
        <f>2795*2</f>
        <v>5590</v>
      </c>
      <c r="E80">
        <v>7420</v>
      </c>
    </row>
    <row r="81" spans="1:5" x14ac:dyDescent="0.25">
      <c r="E81">
        <v>188</v>
      </c>
    </row>
    <row r="82" spans="1:5" x14ac:dyDescent="0.25">
      <c r="A82">
        <f>2795*4</f>
        <v>11180</v>
      </c>
    </row>
    <row r="85" spans="1:5" x14ac:dyDescent="0.25">
      <c r="A85">
        <v>2795</v>
      </c>
      <c r="D85">
        <f>1855+188</f>
        <v>2043</v>
      </c>
    </row>
    <row r="87" spans="1:5" x14ac:dyDescent="0.25">
      <c r="E87">
        <f>2795*2</f>
        <v>5590</v>
      </c>
    </row>
    <row r="88" spans="1:5" x14ac:dyDescent="0.25">
      <c r="E88">
        <f>12*2043</f>
        <v>24516</v>
      </c>
    </row>
    <row r="97" spans="1:21" x14ac:dyDescent="0.25">
      <c r="J97" t="s">
        <v>1505</v>
      </c>
      <c r="N97" t="s">
        <v>1485</v>
      </c>
      <c r="O97" t="s">
        <v>1485</v>
      </c>
      <c r="Q97" t="s">
        <v>1486</v>
      </c>
      <c r="R97" t="s">
        <v>1508</v>
      </c>
      <c r="T97" t="s">
        <v>1509</v>
      </c>
    </row>
    <row r="99" spans="1:21" x14ac:dyDescent="0.25">
      <c r="E99">
        <v>5645</v>
      </c>
      <c r="J99">
        <v>4</v>
      </c>
      <c r="N99">
        <v>3</v>
      </c>
      <c r="O99">
        <v>2</v>
      </c>
      <c r="Q99">
        <v>4</v>
      </c>
      <c r="R99">
        <v>4</v>
      </c>
      <c r="T99">
        <v>5</v>
      </c>
      <c r="U99">
        <f>SUM(O99:T99)</f>
        <v>15</v>
      </c>
    </row>
    <row r="100" spans="1:21" x14ac:dyDescent="0.25">
      <c r="E100">
        <v>5645</v>
      </c>
      <c r="J100">
        <v>4</v>
      </c>
      <c r="N100">
        <v>3</v>
      </c>
      <c r="O100">
        <v>2</v>
      </c>
      <c r="Q100">
        <v>4</v>
      </c>
      <c r="R100">
        <v>4</v>
      </c>
      <c r="T100">
        <v>5</v>
      </c>
    </row>
    <row r="101" spans="1:21" x14ac:dyDescent="0.25">
      <c r="E101">
        <v>6435</v>
      </c>
      <c r="J101">
        <v>4</v>
      </c>
      <c r="N101">
        <v>3</v>
      </c>
      <c r="O101">
        <v>2</v>
      </c>
      <c r="Q101">
        <v>4</v>
      </c>
      <c r="R101">
        <v>4</v>
      </c>
      <c r="T101">
        <v>5</v>
      </c>
    </row>
    <row r="102" spans="1:21" x14ac:dyDescent="0.25">
      <c r="E102">
        <v>1093</v>
      </c>
      <c r="J102">
        <v>4</v>
      </c>
      <c r="N102">
        <v>3</v>
      </c>
      <c r="O102">
        <v>2</v>
      </c>
      <c r="Q102">
        <v>4</v>
      </c>
      <c r="R102">
        <v>4</v>
      </c>
      <c r="T102">
        <v>5</v>
      </c>
    </row>
    <row r="103" spans="1:21" x14ac:dyDescent="0.25">
      <c r="E103">
        <f>SUM(E99:E102)</f>
        <v>18818</v>
      </c>
    </row>
    <row r="105" spans="1:21" x14ac:dyDescent="0.25">
      <c r="A105" s="32" t="s">
        <v>1510</v>
      </c>
      <c r="B105" s="32"/>
      <c r="C105" s="32"/>
      <c r="D105" s="151" t="s">
        <v>1512</v>
      </c>
      <c r="E105" s="32" t="s">
        <v>1511</v>
      </c>
      <c r="F105" s="131"/>
      <c r="G105" s="131"/>
      <c r="H105" s="131"/>
      <c r="I105" s="131"/>
    </row>
    <row r="106" spans="1:21" x14ac:dyDescent="0.25">
      <c r="A106" s="152">
        <v>41775</v>
      </c>
      <c r="B106" s="152"/>
      <c r="C106" s="152"/>
      <c r="D106" s="10">
        <v>15</v>
      </c>
      <c r="E106" s="153">
        <f>(5645+5645+6435+1093)*15</f>
        <v>282270</v>
      </c>
      <c r="F106" s="194"/>
      <c r="G106" s="194"/>
      <c r="H106" s="194"/>
      <c r="I106" s="194"/>
    </row>
    <row r="107" spans="1:21" x14ac:dyDescent="0.25">
      <c r="A107" s="152">
        <v>41789</v>
      </c>
      <c r="B107" s="152"/>
      <c r="C107" s="152"/>
      <c r="D107" s="10">
        <v>13</v>
      </c>
      <c r="E107" s="153">
        <f>5988*13</f>
        <v>77844</v>
      </c>
      <c r="F107" s="194"/>
      <c r="G107" s="194"/>
      <c r="H107" s="194"/>
      <c r="I107" s="194"/>
    </row>
    <row r="108" spans="1:21" x14ac:dyDescent="0.25">
      <c r="A108" s="152">
        <v>41789</v>
      </c>
      <c r="B108" s="152"/>
      <c r="C108" s="152"/>
      <c r="D108" s="10">
        <v>13</v>
      </c>
      <c r="E108" s="153">
        <f>6818*D108</f>
        <v>88634</v>
      </c>
      <c r="F108" s="194"/>
      <c r="G108" s="194"/>
      <c r="H108" s="194"/>
      <c r="I108" s="194"/>
    </row>
    <row r="109" spans="1:21" x14ac:dyDescent="0.25">
      <c r="A109" s="152">
        <v>41775</v>
      </c>
      <c r="B109" s="152"/>
      <c r="C109" s="152"/>
      <c r="D109" s="10">
        <v>15</v>
      </c>
      <c r="E109" s="153">
        <f>489*5*15</f>
        <v>36675</v>
      </c>
      <c r="F109" s="194"/>
      <c r="G109" s="194"/>
      <c r="H109" s="194"/>
      <c r="I109" s="194"/>
    </row>
    <row r="110" spans="1:21" x14ac:dyDescent="0.25">
      <c r="A110" s="152">
        <v>41803</v>
      </c>
      <c r="B110" s="152"/>
      <c r="C110" s="152"/>
      <c r="D110" s="10">
        <v>11</v>
      </c>
      <c r="E110" s="153">
        <f>11500*D110</f>
        <v>126500</v>
      </c>
      <c r="F110" s="194"/>
      <c r="G110" s="194"/>
      <c r="H110" s="194"/>
      <c r="I110" s="194"/>
    </row>
    <row r="111" spans="1:21" x14ac:dyDescent="0.25">
      <c r="A111" s="152">
        <v>41789</v>
      </c>
      <c r="B111" s="152"/>
      <c r="C111" s="152"/>
      <c r="D111" s="10">
        <v>13</v>
      </c>
      <c r="E111" s="153">
        <f>6800*D111</f>
        <v>88400</v>
      </c>
      <c r="F111" s="194"/>
      <c r="G111" s="194"/>
      <c r="H111" s="194"/>
      <c r="I111" s="194"/>
    </row>
    <row r="112" spans="1:21" x14ac:dyDescent="0.25">
      <c r="A112" s="10"/>
      <c r="B112" s="10"/>
      <c r="C112" s="10"/>
      <c r="D112" s="10"/>
      <c r="E112" s="10"/>
      <c r="F112" s="11"/>
      <c r="G112" s="11"/>
      <c r="H112" s="11"/>
      <c r="I112" s="11"/>
      <c r="J112" s="106"/>
      <c r="K112" s="106"/>
      <c r="L112" s="106"/>
      <c r="M112" s="106"/>
      <c r="N112" s="106"/>
      <c r="O112" s="106"/>
      <c r="P112" s="106"/>
    </row>
    <row r="113" spans="1:24" x14ac:dyDescent="0.25">
      <c r="A113" s="150"/>
      <c r="B113" s="150"/>
      <c r="C113" s="150"/>
      <c r="D113" s="161" t="s">
        <v>1020</v>
      </c>
      <c r="E113" s="160">
        <f>SUM(E106:E111)</f>
        <v>700323</v>
      </c>
      <c r="F113" s="159"/>
      <c r="G113" s="159"/>
      <c r="H113" s="159"/>
      <c r="I113" s="159"/>
      <c r="J113" s="133"/>
      <c r="K113" s="133"/>
      <c r="L113" s="133"/>
      <c r="M113" s="133"/>
      <c r="N113" s="134"/>
      <c r="O113" s="106"/>
      <c r="P113" s="106"/>
    </row>
    <row r="114" spans="1:24" x14ac:dyDescent="0.25">
      <c r="A114" s="136"/>
      <c r="B114" s="136"/>
      <c r="C114" s="136"/>
      <c r="D114" s="139"/>
      <c r="E114" s="159"/>
      <c r="F114" s="159"/>
      <c r="G114" s="159"/>
      <c r="H114" s="159"/>
      <c r="I114" s="159"/>
      <c r="J114" s="133"/>
      <c r="K114" s="133"/>
      <c r="L114" s="133"/>
      <c r="M114" s="133"/>
      <c r="N114" s="134"/>
      <c r="O114" s="106"/>
      <c r="P114" s="106"/>
    </row>
    <row r="115" spans="1:24" x14ac:dyDescent="0.25">
      <c r="A115" s="136"/>
      <c r="B115" s="136"/>
      <c r="C115" s="136"/>
      <c r="D115" s="137"/>
      <c r="E115" s="138"/>
      <c r="F115" s="138"/>
      <c r="G115" s="138"/>
      <c r="H115" s="138"/>
      <c r="I115" s="138"/>
      <c r="J115" s="133"/>
      <c r="K115" s="133"/>
      <c r="L115" s="133"/>
      <c r="M115" s="133"/>
      <c r="N115" s="134"/>
      <c r="O115" s="106"/>
      <c r="P115" s="106"/>
    </row>
    <row r="116" spans="1:24" x14ac:dyDescent="0.25">
      <c r="A116" s="155"/>
      <c r="B116" s="155"/>
      <c r="C116" s="155"/>
      <c r="D116" s="156"/>
      <c r="E116" s="157"/>
      <c r="F116" s="157"/>
      <c r="G116" s="157"/>
      <c r="H116" s="157"/>
      <c r="I116" s="157"/>
      <c r="J116" s="133"/>
      <c r="K116" s="133"/>
      <c r="L116" s="133"/>
      <c r="M116" s="133"/>
      <c r="N116" s="134"/>
      <c r="O116" s="106"/>
      <c r="P116" s="106"/>
    </row>
    <row r="117" spans="1:24" x14ac:dyDescent="0.25">
      <c r="A117" s="32" t="s">
        <v>1510</v>
      </c>
      <c r="B117" s="32"/>
      <c r="C117" s="32"/>
      <c r="D117" s="151" t="s">
        <v>1512</v>
      </c>
      <c r="E117" s="32" t="s">
        <v>1511</v>
      </c>
      <c r="F117" s="131"/>
      <c r="G117" s="131"/>
      <c r="H117" s="131"/>
      <c r="I117" s="131"/>
      <c r="J117" s="132"/>
      <c r="K117" s="132"/>
      <c r="L117" s="132"/>
      <c r="M117" s="132"/>
      <c r="N117" s="135"/>
      <c r="O117" s="106"/>
      <c r="P117" s="106"/>
    </row>
    <row r="118" spans="1:24" x14ac:dyDescent="0.25">
      <c r="A118" s="152">
        <v>41789</v>
      </c>
      <c r="B118" s="152"/>
      <c r="C118" s="152"/>
      <c r="D118" s="154">
        <v>13</v>
      </c>
      <c r="E118" s="154">
        <f>447*5*D118</f>
        <v>29055</v>
      </c>
      <c r="F118" s="155"/>
      <c r="G118" s="155"/>
      <c r="H118" s="155"/>
      <c r="I118" s="155"/>
      <c r="J118" s="106"/>
      <c r="K118" s="106"/>
      <c r="L118" s="106"/>
      <c r="M118" s="106"/>
      <c r="N118" s="106"/>
      <c r="O118" s="106"/>
      <c r="P118" s="106"/>
    </row>
    <row r="119" spans="1:24" x14ac:dyDescent="0.25">
      <c r="A119" s="152">
        <v>41775</v>
      </c>
      <c r="B119" s="152"/>
      <c r="C119" s="152"/>
      <c r="D119" s="154">
        <v>15</v>
      </c>
      <c r="E119" s="154">
        <f>472*5*D119</f>
        <v>35400</v>
      </c>
      <c r="F119" s="155"/>
      <c r="G119" s="155"/>
      <c r="H119" s="155"/>
      <c r="I119" s="155"/>
      <c r="J119" s="106"/>
      <c r="K119" s="106"/>
      <c r="L119" s="106"/>
      <c r="M119" s="106"/>
      <c r="N119" s="106"/>
      <c r="O119" s="106"/>
      <c r="P119" s="106"/>
    </row>
    <row r="120" spans="1:24" x14ac:dyDescent="0.25">
      <c r="A120" s="152">
        <v>41789</v>
      </c>
      <c r="B120" s="152"/>
      <c r="C120" s="152"/>
      <c r="D120" s="154">
        <v>13</v>
      </c>
      <c r="E120" s="154">
        <f>166*D120*5</f>
        <v>10790</v>
      </c>
      <c r="F120" s="155"/>
      <c r="G120" s="155"/>
      <c r="H120" s="155"/>
      <c r="I120" s="155"/>
      <c r="J120" s="106"/>
      <c r="K120" s="106"/>
      <c r="L120" s="106"/>
      <c r="M120" s="106"/>
      <c r="N120" s="106"/>
      <c r="O120" s="106"/>
      <c r="P120" s="106"/>
    </row>
    <row r="121" spans="1:24" x14ac:dyDescent="0.25">
      <c r="A121" s="152">
        <v>41775</v>
      </c>
      <c r="B121" s="152"/>
      <c r="C121" s="152"/>
      <c r="D121" s="154">
        <v>15</v>
      </c>
      <c r="E121" s="154">
        <f>539*5*D121</f>
        <v>40425</v>
      </c>
      <c r="F121" s="155"/>
      <c r="G121" s="155"/>
      <c r="H121" s="155"/>
      <c r="I121" s="155"/>
    </row>
    <row r="122" spans="1:24" x14ac:dyDescent="0.25">
      <c r="A122" s="152">
        <v>41789</v>
      </c>
      <c r="B122" s="152"/>
      <c r="C122" s="152"/>
      <c r="D122" s="154">
        <v>13</v>
      </c>
      <c r="E122" s="154">
        <f>539*5*D122</f>
        <v>35035</v>
      </c>
      <c r="F122" s="155"/>
      <c r="G122" s="155"/>
      <c r="H122" s="155"/>
      <c r="I122" s="155"/>
    </row>
    <row r="123" spans="1:24" x14ac:dyDescent="0.25">
      <c r="A123" s="152">
        <v>41789</v>
      </c>
      <c r="B123" s="152"/>
      <c r="C123" s="152"/>
      <c r="D123" s="154">
        <v>13</v>
      </c>
      <c r="E123" s="10">
        <f>488*5*D123</f>
        <v>31720</v>
      </c>
      <c r="F123" s="11"/>
      <c r="G123" s="11"/>
      <c r="H123" s="11"/>
      <c r="I123" s="11"/>
    </row>
    <row r="124" spans="1:24" x14ac:dyDescent="0.25">
      <c r="A124" s="152">
        <v>41789</v>
      </c>
      <c r="B124" s="152"/>
      <c r="C124" s="152"/>
      <c r="D124" s="17">
        <v>13</v>
      </c>
      <c r="E124" s="17">
        <f>488*D124*5</f>
        <v>31720</v>
      </c>
      <c r="F124" s="145"/>
      <c r="G124" s="145"/>
      <c r="H124" s="145"/>
      <c r="I124" s="145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</row>
    <row r="125" spans="1:24" x14ac:dyDescent="0.25">
      <c r="A125" s="152">
        <v>41851</v>
      </c>
      <c r="B125" s="152"/>
      <c r="C125" s="152"/>
      <c r="D125" s="17">
        <v>4</v>
      </c>
      <c r="E125" s="17">
        <f>488*D125*5</f>
        <v>9760</v>
      </c>
      <c r="F125" s="145"/>
      <c r="G125" s="145"/>
      <c r="H125" s="145"/>
      <c r="I125" s="145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</row>
    <row r="126" spans="1:24" x14ac:dyDescent="0.25">
      <c r="A126" s="152">
        <v>41803</v>
      </c>
      <c r="B126" s="152"/>
      <c r="C126" s="152"/>
      <c r="D126" s="17">
        <v>11</v>
      </c>
      <c r="E126" s="158"/>
      <c r="F126" s="195"/>
      <c r="G126" s="195"/>
      <c r="H126" s="195"/>
      <c r="I126" s="195"/>
      <c r="J126" s="149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</row>
    <row r="127" spans="1:24" x14ac:dyDescent="0.25">
      <c r="A127" s="152">
        <v>41866</v>
      </c>
      <c r="B127" s="152"/>
      <c r="C127" s="152"/>
      <c r="D127" s="17">
        <v>2</v>
      </c>
      <c r="E127" s="158">
        <f>653*D127*5</f>
        <v>6530</v>
      </c>
      <c r="F127" s="195"/>
      <c r="G127" s="195"/>
      <c r="H127" s="195"/>
      <c r="I127" s="195"/>
      <c r="J127" s="149"/>
      <c r="K127" s="149"/>
      <c r="L127" s="149"/>
      <c r="M127" s="149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</row>
    <row r="128" spans="1:24" x14ac:dyDescent="0.25">
      <c r="A128" s="152">
        <v>41761</v>
      </c>
      <c r="B128" s="152"/>
      <c r="C128" s="152"/>
      <c r="D128" s="17">
        <v>17</v>
      </c>
      <c r="E128" s="158">
        <f>1500*D128*5</f>
        <v>127500</v>
      </c>
      <c r="F128" s="195"/>
      <c r="G128" s="195"/>
      <c r="H128" s="195"/>
      <c r="I128" s="195"/>
      <c r="J128" s="149"/>
      <c r="K128" s="149"/>
      <c r="L128" s="149"/>
      <c r="M128" s="149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</row>
    <row r="129" spans="1:24" x14ac:dyDescent="0.25">
      <c r="A129" s="152">
        <v>41803</v>
      </c>
      <c r="B129" s="152"/>
      <c r="C129" s="152"/>
      <c r="D129" s="17">
        <v>11</v>
      </c>
      <c r="E129" s="17">
        <f>336*D129*5</f>
        <v>18480</v>
      </c>
      <c r="F129" s="145"/>
      <c r="G129" s="145"/>
      <c r="H129" s="145"/>
      <c r="I129" s="145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</row>
    <row r="130" spans="1:24" x14ac:dyDescent="0.25">
      <c r="A130" s="152">
        <v>41803</v>
      </c>
      <c r="B130" s="152"/>
      <c r="C130" s="152"/>
      <c r="D130" s="10">
        <v>11</v>
      </c>
      <c r="E130" s="10">
        <f>5575*D130</f>
        <v>61325</v>
      </c>
      <c r="F130" s="11"/>
      <c r="G130" s="11"/>
      <c r="H130" s="11"/>
      <c r="I130" s="11"/>
    </row>
    <row r="131" spans="1:24" x14ac:dyDescent="0.25">
      <c r="A131" s="152">
        <v>41851</v>
      </c>
      <c r="B131" s="152"/>
      <c r="C131" s="152"/>
      <c r="D131" s="17">
        <v>4</v>
      </c>
      <c r="E131" s="110">
        <v>94300</v>
      </c>
      <c r="F131" s="106"/>
      <c r="G131" s="106"/>
      <c r="H131" s="106"/>
      <c r="I131" s="106"/>
    </row>
    <row r="132" spans="1:24" x14ac:dyDescent="0.25">
      <c r="A132" s="152">
        <v>41851</v>
      </c>
      <c r="B132" s="152"/>
      <c r="C132" s="152"/>
      <c r="D132" s="17">
        <v>4</v>
      </c>
      <c r="E132" s="110">
        <f>471*D132*5</f>
        <v>9420</v>
      </c>
      <c r="F132" s="106"/>
      <c r="G132" s="106"/>
      <c r="H132" s="106"/>
      <c r="I132" s="106"/>
    </row>
    <row r="133" spans="1:24" x14ac:dyDescent="0.25">
      <c r="A133" s="110"/>
      <c r="B133" s="110"/>
      <c r="C133" s="110"/>
      <c r="D133" s="161" t="s">
        <v>1020</v>
      </c>
      <c r="E133" s="160">
        <f>SUM(E118:E132)</f>
        <v>541460</v>
      </c>
      <c r="F133" s="159"/>
      <c r="G133" s="159"/>
      <c r="H133" s="159"/>
      <c r="I133" s="159"/>
    </row>
    <row r="134" spans="1:24" x14ac:dyDescent="0.25">
      <c r="A134" s="110"/>
      <c r="B134" s="110"/>
      <c r="C134" s="110"/>
      <c r="D134" s="110"/>
      <c r="E134" s="110"/>
      <c r="F134" s="106"/>
      <c r="G134" s="106"/>
      <c r="H134" s="106"/>
      <c r="I134" s="106"/>
    </row>
    <row r="135" spans="1:24" x14ac:dyDescent="0.25">
      <c r="A135" s="110"/>
      <c r="B135" s="110"/>
      <c r="C135" s="110"/>
      <c r="D135" s="110"/>
      <c r="E135" s="110"/>
      <c r="F135" s="106"/>
      <c r="G135" s="106"/>
      <c r="H135" s="106"/>
      <c r="I135" s="106"/>
    </row>
    <row r="137" spans="1:24" x14ac:dyDescent="0.25">
      <c r="D137" t="s">
        <v>1020</v>
      </c>
      <c r="E137" s="162">
        <f>E113+E133</f>
        <v>1241783</v>
      </c>
      <c r="F137" s="162"/>
      <c r="G137" s="162"/>
      <c r="H137" s="162"/>
      <c r="I137" s="162"/>
    </row>
    <row r="156" spans="1:10" x14ac:dyDescent="0.25">
      <c r="J156">
        <v>22900</v>
      </c>
    </row>
    <row r="159" spans="1:10" x14ac:dyDescent="0.25">
      <c r="A159" s="5">
        <v>60123527</v>
      </c>
      <c r="B159" s="5"/>
      <c r="C159" s="5"/>
    </row>
    <row r="160" spans="1:10" x14ac:dyDescent="0.25">
      <c r="A160" s="164">
        <v>62270</v>
      </c>
      <c r="B160" s="164"/>
      <c r="C160" s="164"/>
    </row>
    <row r="162" spans="1:17" x14ac:dyDescent="0.25">
      <c r="A162" s="147" t="s">
        <v>1522</v>
      </c>
      <c r="B162" s="147"/>
      <c r="C162" s="147"/>
      <c r="D162" s="147" t="s">
        <v>1523</v>
      </c>
    </row>
    <row r="163" spans="1:17" x14ac:dyDescent="0.25">
      <c r="A163" s="86">
        <v>8622</v>
      </c>
      <c r="B163" s="86"/>
      <c r="C163" s="86"/>
      <c r="D163" s="86">
        <f t="shared" ref="D163:D169" si="1">A163/1.2</f>
        <v>7185</v>
      </c>
    </row>
    <row r="164" spans="1:17" x14ac:dyDescent="0.25">
      <c r="A164" s="39">
        <v>11496</v>
      </c>
      <c r="B164" s="39"/>
      <c r="C164" s="39"/>
      <c r="D164" s="86">
        <f t="shared" si="1"/>
        <v>9580</v>
      </c>
    </row>
    <row r="165" spans="1:17" x14ac:dyDescent="0.25">
      <c r="A165" s="39">
        <v>13795.2</v>
      </c>
      <c r="B165" s="39"/>
      <c r="C165" s="39"/>
      <c r="D165" s="86">
        <f t="shared" si="1"/>
        <v>11496.000000000002</v>
      </c>
    </row>
    <row r="166" spans="1:17" x14ac:dyDescent="0.25">
      <c r="A166" s="39">
        <v>10346.4</v>
      </c>
      <c r="B166" s="39"/>
      <c r="C166" s="39"/>
      <c r="D166" s="86">
        <f t="shared" si="1"/>
        <v>8622</v>
      </c>
    </row>
    <row r="167" spans="1:17" x14ac:dyDescent="0.25">
      <c r="A167" s="39">
        <v>10921.2</v>
      </c>
      <c r="B167" s="39"/>
      <c r="C167" s="39"/>
      <c r="D167" s="86">
        <f t="shared" si="1"/>
        <v>9101.0000000000018</v>
      </c>
    </row>
    <row r="168" spans="1:17" x14ac:dyDescent="0.25">
      <c r="A168" s="39">
        <v>13220.4</v>
      </c>
      <c r="B168" s="39"/>
      <c r="C168" s="39"/>
      <c r="D168" s="86">
        <f t="shared" si="1"/>
        <v>11017</v>
      </c>
    </row>
    <row r="169" spans="1:17" x14ac:dyDescent="0.25">
      <c r="A169" s="39">
        <v>2874</v>
      </c>
      <c r="B169" s="39"/>
      <c r="C169" s="39"/>
      <c r="D169" s="86">
        <f t="shared" si="1"/>
        <v>2395</v>
      </c>
    </row>
    <row r="170" spans="1:17" x14ac:dyDescent="0.25">
      <c r="A170" s="13">
        <f>SUM(A163:A169)</f>
        <v>71275.199999999997</v>
      </c>
      <c r="B170" s="13"/>
      <c r="C170" s="13"/>
      <c r="D170" s="13">
        <f>SUM(D163:D169)</f>
        <v>59396</v>
      </c>
    </row>
    <row r="173" spans="1:17" x14ac:dyDescent="0.25">
      <c r="A173" s="56" t="s">
        <v>1524</v>
      </c>
      <c r="B173" s="56"/>
      <c r="C173" s="56"/>
      <c r="D173" s="163">
        <f>A160-D170</f>
        <v>2874</v>
      </c>
    </row>
    <row r="176" spans="1:17" x14ac:dyDescent="0.25">
      <c r="A176" s="169" t="s">
        <v>472</v>
      </c>
      <c r="B176" s="169"/>
      <c r="C176" s="169"/>
      <c r="D176" s="169" t="s">
        <v>473</v>
      </c>
      <c r="E176" s="169" t="s">
        <v>474</v>
      </c>
      <c r="F176" s="169"/>
      <c r="G176" s="169"/>
      <c r="H176" s="169"/>
      <c r="I176" s="169"/>
      <c r="J176" s="169" t="s">
        <v>476</v>
      </c>
      <c r="K176" s="169"/>
      <c r="L176" s="169"/>
      <c r="M176" s="169"/>
      <c r="N176" s="169" t="s">
        <v>1548</v>
      </c>
      <c r="O176" s="169" t="s">
        <v>1478</v>
      </c>
      <c r="P176" s="169"/>
      <c r="Q176" s="169" t="s">
        <v>1488</v>
      </c>
    </row>
    <row r="177" spans="1:17" x14ac:dyDescent="0.25">
      <c r="A177" s="168">
        <v>4</v>
      </c>
      <c r="B177" s="168"/>
      <c r="C177" s="168"/>
      <c r="D177" s="168">
        <v>5</v>
      </c>
      <c r="E177" s="168">
        <v>4</v>
      </c>
      <c r="F177" s="168"/>
      <c r="G177" s="168"/>
      <c r="H177" s="168"/>
      <c r="I177" s="168"/>
      <c r="J177" s="168">
        <v>5</v>
      </c>
      <c r="K177" s="168"/>
      <c r="L177" s="168"/>
      <c r="M177" s="168"/>
      <c r="N177" s="168">
        <v>4</v>
      </c>
      <c r="O177" s="168">
        <v>4</v>
      </c>
      <c r="P177" s="168"/>
      <c r="Q177" s="168">
        <v>5</v>
      </c>
    </row>
    <row r="178" spans="1:17" x14ac:dyDescent="0.25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</row>
    <row r="179" spans="1:17" x14ac:dyDescent="0.25">
      <c r="A179" s="168"/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</row>
    <row r="182" spans="1:17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</row>
    <row r="183" spans="1:17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</row>
    <row r="184" spans="1:17" ht="26.25" x14ac:dyDescent="0.25">
      <c r="A184" s="170" t="s">
        <v>1521</v>
      </c>
      <c r="B184" s="170"/>
      <c r="C184" s="170"/>
      <c r="D184" s="171" t="s">
        <v>1555</v>
      </c>
      <c r="E184" s="172" t="s">
        <v>1549</v>
      </c>
      <c r="F184" s="172"/>
      <c r="G184" s="172"/>
      <c r="H184" s="172"/>
      <c r="I184" s="172"/>
      <c r="J184" s="170" t="s">
        <v>1525</v>
      </c>
      <c r="K184" s="170"/>
      <c r="L184" s="170"/>
      <c r="M184" s="170"/>
      <c r="N184" s="170" t="s">
        <v>1550</v>
      </c>
    </row>
    <row r="185" spans="1:17" ht="15" customHeight="1" x14ac:dyDescent="0.25">
      <c r="A185" s="83">
        <v>9825</v>
      </c>
      <c r="B185" s="83"/>
      <c r="C185" s="83"/>
      <c r="D185" s="83">
        <v>7860</v>
      </c>
      <c r="E185" s="83">
        <f t="shared" ref="E185:E209" si="2">A185-D185</f>
        <v>1965</v>
      </c>
      <c r="F185" s="83"/>
      <c r="G185" s="83"/>
      <c r="H185" s="83"/>
      <c r="I185" s="83"/>
      <c r="J185" s="167">
        <v>41621</v>
      </c>
      <c r="K185" s="167"/>
      <c r="L185" s="167"/>
      <c r="M185" s="167"/>
      <c r="N185" s="10" t="s">
        <v>1551</v>
      </c>
    </row>
    <row r="186" spans="1:17" x14ac:dyDescent="0.25">
      <c r="A186" s="83">
        <v>124440</v>
      </c>
      <c r="B186" s="83"/>
      <c r="C186" s="83"/>
      <c r="D186" s="83">
        <v>117200</v>
      </c>
      <c r="E186" s="83">
        <f t="shared" si="2"/>
        <v>7240</v>
      </c>
      <c r="F186" s="83"/>
      <c r="G186" s="83"/>
      <c r="H186" s="83"/>
      <c r="I186" s="83"/>
      <c r="J186" s="12">
        <v>41894</v>
      </c>
      <c r="K186" s="12"/>
      <c r="L186" s="12"/>
      <c r="M186" s="12"/>
      <c r="N186" s="10" t="s">
        <v>1552</v>
      </c>
    </row>
    <row r="187" spans="1:17" x14ac:dyDescent="0.25">
      <c r="A187" s="83">
        <v>48276</v>
      </c>
      <c r="B187" s="83"/>
      <c r="C187" s="83"/>
      <c r="D187" s="83">
        <v>46100</v>
      </c>
      <c r="E187" s="83">
        <f t="shared" si="2"/>
        <v>2176</v>
      </c>
      <c r="F187" s="83"/>
      <c r="G187" s="83"/>
      <c r="H187" s="83"/>
      <c r="I187" s="83"/>
      <c r="J187" s="71">
        <v>41789</v>
      </c>
      <c r="K187" s="71"/>
      <c r="L187" s="71"/>
      <c r="M187" s="71"/>
      <c r="N187" s="10" t="s">
        <v>1551</v>
      </c>
    </row>
    <row r="188" spans="1:17" x14ac:dyDescent="0.25">
      <c r="A188" s="83">
        <v>61360</v>
      </c>
      <c r="B188" s="83"/>
      <c r="C188" s="83"/>
      <c r="D188" s="83">
        <v>52300</v>
      </c>
      <c r="E188" s="83">
        <f t="shared" si="2"/>
        <v>9060</v>
      </c>
      <c r="F188" s="83"/>
      <c r="G188" s="83"/>
      <c r="H188" s="83"/>
      <c r="I188" s="83"/>
      <c r="J188" s="26">
        <v>41729</v>
      </c>
      <c r="K188" s="26"/>
      <c r="L188" s="26"/>
      <c r="M188" s="26"/>
      <c r="N188" s="10" t="s">
        <v>1551</v>
      </c>
    </row>
    <row r="189" spans="1:17" x14ac:dyDescent="0.25">
      <c r="A189" s="83">
        <v>61360</v>
      </c>
      <c r="B189" s="83"/>
      <c r="C189" s="83"/>
      <c r="D189" s="83">
        <v>45100</v>
      </c>
      <c r="E189" s="83">
        <f t="shared" si="2"/>
        <v>16260</v>
      </c>
      <c r="F189" s="83"/>
      <c r="G189" s="83"/>
      <c r="H189" s="83"/>
      <c r="I189" s="83"/>
      <c r="J189" s="12">
        <v>41759</v>
      </c>
      <c r="K189" s="12"/>
      <c r="L189" s="12"/>
      <c r="M189" s="12"/>
      <c r="N189" s="10" t="s">
        <v>1552</v>
      </c>
    </row>
    <row r="190" spans="1:17" x14ac:dyDescent="0.25">
      <c r="A190" s="83">
        <v>21960</v>
      </c>
      <c r="B190" s="83"/>
      <c r="C190" s="83"/>
      <c r="D190" s="83">
        <v>18056</v>
      </c>
      <c r="E190" s="83">
        <f t="shared" si="2"/>
        <v>3904</v>
      </c>
      <c r="F190" s="83"/>
      <c r="G190" s="83"/>
      <c r="H190" s="83"/>
      <c r="I190" s="83"/>
      <c r="J190" s="26">
        <v>41670</v>
      </c>
      <c r="K190" s="26"/>
      <c r="L190" s="26"/>
      <c r="M190" s="26"/>
      <c r="N190" s="10" t="s">
        <v>1551</v>
      </c>
    </row>
    <row r="191" spans="1:17" x14ac:dyDescent="0.25">
      <c r="A191" s="83">
        <v>30615</v>
      </c>
      <c r="B191" s="83"/>
      <c r="C191" s="83"/>
      <c r="D191" s="83">
        <v>26376</v>
      </c>
      <c r="E191" s="83">
        <f t="shared" si="2"/>
        <v>4239</v>
      </c>
      <c r="F191" s="83"/>
      <c r="G191" s="83"/>
      <c r="H191" s="83"/>
      <c r="I191" s="83"/>
      <c r="J191" s="167">
        <v>41649</v>
      </c>
      <c r="K191" s="167"/>
      <c r="L191" s="167"/>
      <c r="M191" s="167"/>
      <c r="N191" s="10" t="s">
        <v>1551</v>
      </c>
    </row>
    <row r="192" spans="1:17" x14ac:dyDescent="0.25">
      <c r="A192" s="83">
        <v>32970</v>
      </c>
      <c r="B192" s="83"/>
      <c r="C192" s="83"/>
      <c r="D192" s="83">
        <v>28260</v>
      </c>
      <c r="E192" s="83">
        <f t="shared" si="2"/>
        <v>4710</v>
      </c>
      <c r="F192" s="83"/>
      <c r="G192" s="83"/>
      <c r="H192" s="83"/>
      <c r="I192" s="83"/>
      <c r="J192" s="71">
        <v>41614</v>
      </c>
      <c r="K192" s="71"/>
      <c r="L192" s="71"/>
      <c r="M192" s="71"/>
      <c r="N192" s="10" t="s">
        <v>1551</v>
      </c>
    </row>
    <row r="193" spans="1:14" x14ac:dyDescent="0.25">
      <c r="A193" s="83">
        <v>30615</v>
      </c>
      <c r="B193" s="83"/>
      <c r="C193" s="83"/>
      <c r="D193" s="83">
        <v>21195</v>
      </c>
      <c r="E193" s="83">
        <f t="shared" si="2"/>
        <v>9420</v>
      </c>
      <c r="F193" s="83"/>
      <c r="G193" s="83"/>
      <c r="H193" s="83"/>
      <c r="I193" s="83"/>
      <c r="J193" s="26">
        <v>41705</v>
      </c>
      <c r="K193" s="26"/>
      <c r="L193" s="26"/>
      <c r="M193" s="26"/>
      <c r="N193" s="10" t="s">
        <v>1551</v>
      </c>
    </row>
    <row r="194" spans="1:14" x14ac:dyDescent="0.25">
      <c r="A194" s="83">
        <v>14352</v>
      </c>
      <c r="B194" s="83"/>
      <c r="C194" s="83"/>
      <c r="D194" s="83">
        <v>12792</v>
      </c>
      <c r="E194" s="83">
        <f t="shared" si="2"/>
        <v>1560</v>
      </c>
      <c r="F194" s="83"/>
      <c r="G194" s="83"/>
      <c r="H194" s="83"/>
      <c r="I194" s="83"/>
      <c r="J194" s="12">
        <v>41608</v>
      </c>
      <c r="K194" s="12"/>
      <c r="L194" s="12"/>
      <c r="M194" s="12"/>
      <c r="N194" s="10" t="s">
        <v>1551</v>
      </c>
    </row>
    <row r="195" spans="1:14" x14ac:dyDescent="0.25">
      <c r="A195" s="83">
        <v>20930</v>
      </c>
      <c r="B195" s="83"/>
      <c r="C195" s="83"/>
      <c r="D195" s="83">
        <v>18198</v>
      </c>
      <c r="E195" s="83">
        <f t="shared" si="2"/>
        <v>2732</v>
      </c>
      <c r="F195" s="83"/>
      <c r="G195" s="83"/>
      <c r="H195" s="83"/>
      <c r="I195" s="83"/>
      <c r="J195" s="12">
        <v>41698</v>
      </c>
      <c r="K195" s="12"/>
      <c r="L195" s="12"/>
      <c r="M195" s="12"/>
      <c r="N195" s="10" t="s">
        <v>1551</v>
      </c>
    </row>
    <row r="196" spans="1:14" x14ac:dyDescent="0.25">
      <c r="A196" s="83">
        <v>10780</v>
      </c>
      <c r="B196" s="83"/>
      <c r="C196" s="83"/>
      <c r="D196" s="83">
        <v>9702</v>
      </c>
      <c r="E196" s="83">
        <f t="shared" si="2"/>
        <v>1078</v>
      </c>
      <c r="F196" s="83"/>
      <c r="G196" s="83"/>
      <c r="H196" s="83"/>
      <c r="I196" s="83"/>
      <c r="J196" s="12">
        <v>41712</v>
      </c>
      <c r="K196" s="12"/>
      <c r="L196" s="12"/>
      <c r="M196" s="12"/>
      <c r="N196" s="10" t="s">
        <v>1551</v>
      </c>
    </row>
    <row r="197" spans="1:14" x14ac:dyDescent="0.25">
      <c r="A197" s="83">
        <v>40000</v>
      </c>
      <c r="B197" s="83"/>
      <c r="C197" s="83"/>
      <c r="D197" s="83">
        <v>35760</v>
      </c>
      <c r="E197" s="83">
        <f t="shared" si="2"/>
        <v>4240</v>
      </c>
      <c r="F197" s="83"/>
      <c r="G197" s="83"/>
      <c r="H197" s="83"/>
      <c r="I197" s="83"/>
      <c r="J197" s="167">
        <v>41663</v>
      </c>
      <c r="K197" s="167"/>
      <c r="L197" s="167"/>
      <c r="M197" s="167"/>
      <c r="N197" s="10" t="s">
        <v>1551</v>
      </c>
    </row>
    <row r="198" spans="1:14" x14ac:dyDescent="0.25">
      <c r="A198" s="83">
        <v>31720</v>
      </c>
      <c r="B198" s="83"/>
      <c r="C198" s="83"/>
      <c r="D198" s="83">
        <v>29768</v>
      </c>
      <c r="E198" s="83">
        <f t="shared" si="2"/>
        <v>1952</v>
      </c>
      <c r="F198" s="83"/>
      <c r="G198" s="83"/>
      <c r="H198" s="83"/>
      <c r="I198" s="83"/>
      <c r="J198" s="12">
        <v>41639</v>
      </c>
      <c r="K198" s="12"/>
      <c r="L198" s="12"/>
      <c r="M198" s="12"/>
      <c r="N198" s="10" t="s">
        <v>1551</v>
      </c>
    </row>
    <row r="199" spans="1:14" x14ac:dyDescent="0.25">
      <c r="A199" s="83">
        <v>30744</v>
      </c>
      <c r="B199" s="83"/>
      <c r="C199" s="83"/>
      <c r="D199" s="83">
        <v>25376</v>
      </c>
      <c r="E199" s="83">
        <f t="shared" si="2"/>
        <v>5368</v>
      </c>
      <c r="F199" s="83"/>
      <c r="G199" s="83"/>
      <c r="H199" s="83"/>
      <c r="I199" s="83"/>
      <c r="J199" s="12">
        <v>41726</v>
      </c>
      <c r="K199" s="12"/>
      <c r="L199" s="12"/>
      <c r="M199" s="12"/>
      <c r="N199" s="10" t="s">
        <v>1551</v>
      </c>
    </row>
    <row r="200" spans="1:14" x14ac:dyDescent="0.25">
      <c r="A200" s="83">
        <v>62580</v>
      </c>
      <c r="B200" s="83"/>
      <c r="C200" s="83"/>
      <c r="D200" s="83">
        <v>60800</v>
      </c>
      <c r="E200" s="83">
        <f t="shared" si="2"/>
        <v>1780</v>
      </c>
      <c r="F200" s="83"/>
      <c r="G200" s="83"/>
      <c r="H200" s="83"/>
      <c r="I200" s="83"/>
      <c r="J200" s="12">
        <v>41882</v>
      </c>
      <c r="K200" s="12"/>
      <c r="L200" s="12"/>
      <c r="M200" s="12"/>
      <c r="N200" s="10" t="s">
        <v>1552</v>
      </c>
    </row>
    <row r="201" spans="1:14" x14ac:dyDescent="0.25">
      <c r="A201" s="83">
        <v>62270</v>
      </c>
      <c r="B201" s="83"/>
      <c r="C201" s="83"/>
      <c r="D201" s="83">
        <v>59396</v>
      </c>
      <c r="E201" s="83">
        <f t="shared" si="2"/>
        <v>2874</v>
      </c>
      <c r="F201" s="83"/>
      <c r="G201" s="83"/>
      <c r="H201" s="83"/>
      <c r="I201" s="83"/>
      <c r="J201" s="12">
        <v>41705</v>
      </c>
      <c r="K201" s="12"/>
      <c r="L201" s="12"/>
      <c r="M201" s="12"/>
      <c r="N201" s="10" t="s">
        <v>1551</v>
      </c>
    </row>
    <row r="202" spans="1:14" x14ac:dyDescent="0.25">
      <c r="A202" s="10">
        <v>59875</v>
      </c>
      <c r="B202" s="10"/>
      <c r="C202" s="10"/>
      <c r="D202" s="10">
        <v>57100</v>
      </c>
      <c r="E202" s="10">
        <f t="shared" si="2"/>
        <v>2775</v>
      </c>
      <c r="F202" s="10"/>
      <c r="G202" s="10"/>
      <c r="H202" s="10"/>
      <c r="I202" s="10"/>
      <c r="J202" s="12">
        <v>41882</v>
      </c>
      <c r="K202" s="12"/>
      <c r="L202" s="12"/>
      <c r="M202" s="12"/>
      <c r="N202" s="10" t="s">
        <v>1552</v>
      </c>
    </row>
    <row r="203" spans="1:14" x14ac:dyDescent="0.25">
      <c r="A203" s="14">
        <v>55560</v>
      </c>
      <c r="B203" s="14"/>
      <c r="C203" s="14"/>
      <c r="D203" s="14">
        <v>53800</v>
      </c>
      <c r="E203" s="14">
        <f t="shared" si="2"/>
        <v>1760</v>
      </c>
      <c r="F203" s="14"/>
      <c r="G203" s="14"/>
      <c r="H203" s="14"/>
      <c r="I203" s="14"/>
      <c r="J203" s="12">
        <v>41882</v>
      </c>
      <c r="K203" s="12"/>
      <c r="L203" s="12"/>
      <c r="M203" s="12"/>
      <c r="N203" s="10" t="s">
        <v>1552</v>
      </c>
    </row>
    <row r="204" spans="1:14" x14ac:dyDescent="0.25">
      <c r="A204" s="14">
        <v>26840</v>
      </c>
      <c r="B204" s="14"/>
      <c r="C204" s="14"/>
      <c r="D204" s="14">
        <v>24400</v>
      </c>
      <c r="E204" s="14">
        <f t="shared" si="2"/>
        <v>2440</v>
      </c>
      <c r="F204" s="14"/>
      <c r="G204" s="14"/>
      <c r="H204" s="14"/>
      <c r="I204" s="14"/>
      <c r="J204" s="91">
        <v>41670</v>
      </c>
      <c r="K204" s="91"/>
      <c r="L204" s="91"/>
      <c r="M204" s="91"/>
      <c r="N204" s="10" t="s">
        <v>1551</v>
      </c>
    </row>
    <row r="205" spans="1:14" x14ac:dyDescent="0.25">
      <c r="A205" s="14">
        <v>30744</v>
      </c>
      <c r="B205" s="14"/>
      <c r="C205" s="14"/>
      <c r="D205" s="14">
        <v>27400</v>
      </c>
      <c r="E205" s="14">
        <f t="shared" si="2"/>
        <v>3344</v>
      </c>
      <c r="F205" s="14"/>
      <c r="G205" s="14"/>
      <c r="H205" s="14"/>
      <c r="I205" s="14"/>
      <c r="J205" s="91">
        <v>41759</v>
      </c>
      <c r="K205" s="91"/>
      <c r="L205" s="91"/>
      <c r="M205" s="91"/>
      <c r="N205" s="10" t="s">
        <v>1552</v>
      </c>
    </row>
    <row r="206" spans="1:14" x14ac:dyDescent="0.25">
      <c r="A206" s="14">
        <v>30920</v>
      </c>
      <c r="B206" s="14"/>
      <c r="C206" s="14"/>
      <c r="D206" s="14">
        <v>28007</v>
      </c>
      <c r="E206" s="14">
        <f t="shared" si="2"/>
        <v>2913</v>
      </c>
      <c r="F206" s="14"/>
      <c r="G206" s="14"/>
      <c r="H206" s="14"/>
      <c r="I206" s="14"/>
      <c r="J206" s="91">
        <v>41649</v>
      </c>
      <c r="K206" s="91"/>
      <c r="L206" s="91"/>
      <c r="M206" s="91"/>
      <c r="N206" s="10" t="s">
        <v>1551</v>
      </c>
    </row>
    <row r="207" spans="1:14" x14ac:dyDescent="0.25">
      <c r="A207" s="14">
        <v>28063</v>
      </c>
      <c r="B207" s="14"/>
      <c r="C207" s="14"/>
      <c r="D207" s="14">
        <v>25354.2</v>
      </c>
      <c r="E207" s="14">
        <f t="shared" si="2"/>
        <v>2708.7999999999993</v>
      </c>
      <c r="F207" s="14"/>
      <c r="G207" s="14"/>
      <c r="H207" s="14"/>
      <c r="I207" s="14"/>
      <c r="J207" s="91">
        <v>41691</v>
      </c>
      <c r="K207" s="91"/>
      <c r="L207" s="91"/>
      <c r="M207" s="91"/>
      <c r="N207" s="10" t="s">
        <v>1551</v>
      </c>
    </row>
    <row r="208" spans="1:14" x14ac:dyDescent="0.25">
      <c r="A208" s="14">
        <v>53680</v>
      </c>
      <c r="B208" s="14"/>
      <c r="C208" s="14"/>
      <c r="D208" s="14">
        <v>51800</v>
      </c>
      <c r="E208" s="14">
        <f t="shared" si="2"/>
        <v>1880</v>
      </c>
      <c r="F208" s="14"/>
      <c r="G208" s="14"/>
      <c r="H208" s="14"/>
      <c r="I208" s="14"/>
      <c r="J208" s="91">
        <v>41851</v>
      </c>
      <c r="K208" s="91"/>
      <c r="L208" s="91"/>
      <c r="M208" s="91"/>
      <c r="N208" s="10" t="s">
        <v>1552</v>
      </c>
    </row>
    <row r="209" spans="1:16" x14ac:dyDescent="0.25">
      <c r="A209" s="14">
        <v>229180</v>
      </c>
      <c r="B209" s="14"/>
      <c r="C209" s="14"/>
      <c r="D209" s="14">
        <v>215582</v>
      </c>
      <c r="E209" s="14">
        <f t="shared" si="2"/>
        <v>13598</v>
      </c>
      <c r="F209" s="14"/>
      <c r="G209" s="14"/>
      <c r="H209" s="14"/>
      <c r="I209" s="14"/>
      <c r="J209" s="12">
        <v>41754</v>
      </c>
      <c r="K209" s="12"/>
      <c r="L209" s="12"/>
      <c r="M209" s="12"/>
      <c r="N209" s="10" t="s">
        <v>1551</v>
      </c>
    </row>
    <row r="210" spans="1:16" x14ac:dyDescent="0.25">
      <c r="A210" s="165"/>
      <c r="B210" s="165"/>
      <c r="C210" s="165"/>
      <c r="D210" s="165" t="s">
        <v>1526</v>
      </c>
      <c r="E210" s="166">
        <f>SUM(E185:E209)</f>
        <v>111976.8</v>
      </c>
      <c r="F210" s="166"/>
      <c r="G210" s="166"/>
      <c r="H210" s="166"/>
      <c r="I210" s="166"/>
    </row>
    <row r="214" spans="1:16" ht="26.25" x14ac:dyDescent="0.25">
      <c r="A214" s="170" t="s">
        <v>1521</v>
      </c>
      <c r="B214" s="170"/>
      <c r="C214" s="170"/>
      <c r="D214" s="171" t="s">
        <v>1555</v>
      </c>
      <c r="E214" s="172" t="s">
        <v>1549</v>
      </c>
      <c r="F214" s="172"/>
      <c r="G214" s="172"/>
      <c r="H214" s="172"/>
      <c r="I214" s="172"/>
      <c r="J214" s="170" t="s">
        <v>1525</v>
      </c>
      <c r="K214" s="170"/>
      <c r="L214" s="170"/>
      <c r="M214" s="170"/>
      <c r="N214" s="170" t="s">
        <v>1550</v>
      </c>
      <c r="O214" s="170" t="s">
        <v>18</v>
      </c>
      <c r="P214" s="199"/>
    </row>
    <row r="215" spans="1:16" ht="26.25" x14ac:dyDescent="0.25">
      <c r="A215" s="83">
        <v>153810</v>
      </c>
      <c r="B215" s="83"/>
      <c r="C215" s="83"/>
      <c r="D215" s="83">
        <v>107180</v>
      </c>
      <c r="E215" s="83">
        <f>A215-D215</f>
        <v>46630</v>
      </c>
      <c r="F215" s="83"/>
      <c r="G215" s="83"/>
      <c r="H215" s="83"/>
      <c r="I215" s="83"/>
      <c r="J215" s="12">
        <v>41831</v>
      </c>
      <c r="K215" s="12"/>
      <c r="L215" s="12"/>
      <c r="M215" s="12"/>
      <c r="N215" s="10" t="s">
        <v>1552</v>
      </c>
      <c r="O215" s="76" t="s">
        <v>1622</v>
      </c>
      <c r="P215" s="200"/>
    </row>
    <row r="216" spans="1:16" x14ac:dyDescent="0.25">
      <c r="A216" s="165"/>
      <c r="B216" s="165"/>
      <c r="C216" s="165"/>
      <c r="D216" s="165" t="s">
        <v>1526</v>
      </c>
      <c r="E216" s="166">
        <f>SUM(E215:E215)</f>
        <v>46630</v>
      </c>
      <c r="F216" s="166"/>
      <c r="G216" s="166"/>
      <c r="H216" s="166"/>
      <c r="I216" s="166"/>
    </row>
    <row r="220" spans="1:16" ht="26.25" x14ac:dyDescent="0.25">
      <c r="A220" s="170" t="s">
        <v>1521</v>
      </c>
      <c r="B220" s="170"/>
      <c r="C220" s="170"/>
      <c r="D220" s="171" t="s">
        <v>1555</v>
      </c>
      <c r="E220" s="172" t="s">
        <v>1549</v>
      </c>
      <c r="F220" s="172"/>
      <c r="G220" s="172"/>
      <c r="H220" s="172"/>
      <c r="I220" s="172"/>
      <c r="J220" s="170" t="s">
        <v>1525</v>
      </c>
      <c r="K220" s="170"/>
      <c r="L220" s="170"/>
      <c r="M220" s="170"/>
      <c r="N220" s="170" t="s">
        <v>1550</v>
      </c>
      <c r="O220" s="170" t="s">
        <v>18</v>
      </c>
      <c r="P220" s="199"/>
    </row>
    <row r="221" spans="1:16" ht="15" customHeight="1" x14ac:dyDescent="0.25">
      <c r="A221" s="83">
        <v>276292.59999999998</v>
      </c>
      <c r="B221" s="83"/>
      <c r="C221" s="83"/>
      <c r="D221" s="83">
        <v>261400</v>
      </c>
      <c r="E221" s="83">
        <f>A221-D221</f>
        <v>14892.599999999977</v>
      </c>
      <c r="F221" s="83"/>
      <c r="G221" s="83"/>
      <c r="H221" s="83"/>
      <c r="I221" s="83"/>
      <c r="J221" s="12">
        <v>41912</v>
      </c>
      <c r="K221" s="12"/>
      <c r="L221" s="12"/>
      <c r="M221" s="12"/>
      <c r="N221" s="10" t="s">
        <v>1552</v>
      </c>
      <c r="O221" s="76"/>
      <c r="P221" s="200"/>
    </row>
    <row r="222" spans="1:16" ht="26.25" x14ac:dyDescent="0.25">
      <c r="A222" s="83">
        <v>501831</v>
      </c>
      <c r="B222" s="83"/>
      <c r="C222" s="83"/>
      <c r="D222" s="83">
        <v>380000</v>
      </c>
      <c r="E222" s="83">
        <f>A222-D222</f>
        <v>121831</v>
      </c>
      <c r="F222" s="83"/>
      <c r="G222" s="83"/>
      <c r="H222" s="83"/>
      <c r="I222" s="83"/>
      <c r="J222" s="12">
        <v>41851</v>
      </c>
      <c r="K222" s="12"/>
      <c r="L222" s="12"/>
      <c r="M222" s="12"/>
      <c r="N222" s="10" t="s">
        <v>1552</v>
      </c>
      <c r="O222" s="76" t="s">
        <v>1623</v>
      </c>
      <c r="P222" s="200"/>
    </row>
    <row r="223" spans="1:16" x14ac:dyDescent="0.25">
      <c r="A223" s="83">
        <v>38985</v>
      </c>
      <c r="B223" s="83"/>
      <c r="C223" s="83"/>
      <c r="D223" s="83">
        <v>34700</v>
      </c>
      <c r="E223" s="83">
        <f>A223-D223</f>
        <v>4285</v>
      </c>
      <c r="F223" s="83"/>
      <c r="G223" s="83"/>
      <c r="H223" s="83"/>
      <c r="I223" s="83"/>
      <c r="J223" s="12">
        <v>41851</v>
      </c>
      <c r="K223" s="12"/>
      <c r="L223" s="12"/>
      <c r="M223" s="12"/>
      <c r="N223" s="10" t="s">
        <v>1552</v>
      </c>
      <c r="O223" s="76"/>
      <c r="P223" s="200"/>
    </row>
    <row r="224" spans="1:16" x14ac:dyDescent="0.25">
      <c r="A224" s="165"/>
      <c r="B224" s="165"/>
      <c r="C224" s="165"/>
      <c r="D224" s="165" t="s">
        <v>1526</v>
      </c>
      <c r="E224" s="166">
        <f>SUM(E221:E223)</f>
        <v>141008.59999999998</v>
      </c>
      <c r="F224" s="166"/>
      <c r="G224" s="166"/>
      <c r="H224" s="166"/>
      <c r="I224" s="166"/>
    </row>
    <row r="229" spans="1:16" ht="26.25" x14ac:dyDescent="0.25">
      <c r="A229" s="170" t="s">
        <v>1521</v>
      </c>
      <c r="B229" s="170"/>
      <c r="C229" s="170"/>
      <c r="D229" s="171" t="s">
        <v>1555</v>
      </c>
      <c r="E229" s="172" t="s">
        <v>1549</v>
      </c>
      <c r="F229" s="172"/>
      <c r="G229" s="172"/>
      <c r="H229" s="172"/>
      <c r="I229" s="172"/>
      <c r="J229" s="170" t="s">
        <v>1525</v>
      </c>
      <c r="K229" s="170"/>
      <c r="L229" s="170"/>
      <c r="M229" s="170"/>
      <c r="N229" s="170" t="s">
        <v>1550</v>
      </c>
      <c r="O229" s="170" t="s">
        <v>18</v>
      </c>
      <c r="P229" s="199"/>
    </row>
    <row r="230" spans="1:16" ht="26.25" x14ac:dyDescent="0.25">
      <c r="A230" s="83">
        <v>113960</v>
      </c>
      <c r="B230" s="83"/>
      <c r="C230" s="83"/>
      <c r="D230" s="83">
        <v>70140</v>
      </c>
      <c r="E230" s="83">
        <f>A230-D230</f>
        <v>43820</v>
      </c>
      <c r="F230" s="83"/>
      <c r="G230" s="83"/>
      <c r="H230" s="83"/>
      <c r="I230" s="83"/>
      <c r="J230" s="12">
        <v>41820</v>
      </c>
      <c r="K230" s="12"/>
      <c r="L230" s="12"/>
      <c r="M230" s="12"/>
      <c r="N230" s="10" t="s">
        <v>1551</v>
      </c>
      <c r="O230" s="76" t="s">
        <v>1624</v>
      </c>
      <c r="P230" s="200"/>
    </row>
    <row r="231" spans="1:16" x14ac:dyDescent="0.25">
      <c r="A231" s="83">
        <v>249645</v>
      </c>
      <c r="B231" s="83"/>
      <c r="C231" s="83"/>
      <c r="D231" s="83">
        <v>240900</v>
      </c>
      <c r="E231" s="83">
        <f>A231-D231</f>
        <v>8745</v>
      </c>
      <c r="F231" s="83"/>
      <c r="G231" s="83"/>
      <c r="H231" s="83"/>
      <c r="I231" s="83"/>
      <c r="J231" s="12">
        <v>41894</v>
      </c>
      <c r="K231" s="12"/>
      <c r="L231" s="12"/>
      <c r="M231" s="12"/>
      <c r="N231" s="10" t="s">
        <v>1552</v>
      </c>
      <c r="O231" s="76"/>
      <c r="P231" s="200"/>
    </row>
    <row r="232" spans="1:16" x14ac:dyDescent="0.25">
      <c r="A232" s="165"/>
      <c r="B232" s="165"/>
      <c r="C232" s="165"/>
      <c r="D232" s="165" t="s">
        <v>1526</v>
      </c>
      <c r="E232" s="166">
        <f>SUM(E230:E231)</f>
        <v>52565</v>
      </c>
      <c r="F232" s="166"/>
      <c r="G232" s="166"/>
      <c r="H232" s="166"/>
      <c r="I232" s="166"/>
    </row>
    <row r="236" spans="1:16" ht="26.25" x14ac:dyDescent="0.25">
      <c r="A236" s="170" t="s">
        <v>1521</v>
      </c>
      <c r="B236" s="170"/>
      <c r="C236" s="170"/>
      <c r="D236" s="171" t="s">
        <v>1555</v>
      </c>
      <c r="E236" s="172" t="s">
        <v>1549</v>
      </c>
      <c r="F236" s="172"/>
      <c r="G236" s="172"/>
      <c r="H236" s="172"/>
      <c r="I236" s="172"/>
      <c r="J236" s="170" t="s">
        <v>1525</v>
      </c>
      <c r="K236" s="170"/>
      <c r="L236" s="170"/>
      <c r="M236" s="170"/>
      <c r="N236" s="170" t="s">
        <v>1550</v>
      </c>
      <c r="O236" s="170" t="s">
        <v>18</v>
      </c>
      <c r="P236" s="199"/>
    </row>
    <row r="237" spans="1:16" ht="15" customHeight="1" x14ac:dyDescent="0.25">
      <c r="A237" s="83">
        <v>238630</v>
      </c>
      <c r="B237" s="83"/>
      <c r="C237" s="83"/>
      <c r="D237" s="83">
        <v>234600</v>
      </c>
      <c r="E237" s="83">
        <f t="shared" ref="E237:E242" si="3">A237-D237</f>
        <v>4030</v>
      </c>
      <c r="F237" s="83"/>
      <c r="G237" s="83"/>
      <c r="H237" s="83"/>
      <c r="I237" s="83"/>
      <c r="J237" s="12">
        <v>41882</v>
      </c>
      <c r="K237" s="12"/>
      <c r="L237" s="12"/>
      <c r="M237" s="12"/>
      <c r="N237" s="10" t="s">
        <v>1552</v>
      </c>
      <c r="O237" s="76"/>
      <c r="P237" s="200"/>
    </row>
    <row r="238" spans="1:16" x14ac:dyDescent="0.25">
      <c r="A238" s="83">
        <v>91490</v>
      </c>
      <c r="B238" s="83"/>
      <c r="C238" s="83"/>
      <c r="D238" s="83">
        <v>90000</v>
      </c>
      <c r="E238" s="83">
        <f t="shared" si="3"/>
        <v>1490</v>
      </c>
      <c r="F238" s="83"/>
      <c r="G238" s="83"/>
      <c r="H238" s="83"/>
      <c r="I238" s="83"/>
      <c r="J238" s="12">
        <v>41882</v>
      </c>
      <c r="K238" s="12"/>
      <c r="L238" s="12"/>
      <c r="M238" s="12"/>
      <c r="N238" s="10" t="s">
        <v>1552</v>
      </c>
      <c r="O238" s="76"/>
      <c r="P238" s="200"/>
    </row>
    <row r="239" spans="1:16" x14ac:dyDescent="0.25">
      <c r="A239" s="83">
        <v>49980</v>
      </c>
      <c r="B239" s="83"/>
      <c r="C239" s="83"/>
      <c r="D239" s="83">
        <v>48600</v>
      </c>
      <c r="E239" s="83">
        <f t="shared" si="3"/>
        <v>1380</v>
      </c>
      <c r="F239" s="83"/>
      <c r="G239" s="83"/>
      <c r="H239" s="83"/>
      <c r="I239" s="83"/>
      <c r="J239" s="12">
        <v>41882</v>
      </c>
      <c r="K239" s="12"/>
      <c r="L239" s="12"/>
      <c r="M239" s="12"/>
      <c r="N239" s="10" t="s">
        <v>1552</v>
      </c>
      <c r="O239" s="76"/>
      <c r="P239" s="200"/>
    </row>
    <row r="240" spans="1:16" x14ac:dyDescent="0.25">
      <c r="A240" s="83">
        <v>191367</v>
      </c>
      <c r="B240" s="83"/>
      <c r="C240" s="83"/>
      <c r="D240" s="83">
        <v>188000</v>
      </c>
      <c r="E240" s="83">
        <f t="shared" si="3"/>
        <v>3367</v>
      </c>
      <c r="F240" s="83"/>
      <c r="G240" s="83"/>
      <c r="H240" s="83"/>
      <c r="I240" s="83"/>
      <c r="J240" s="12">
        <v>41775</v>
      </c>
      <c r="K240" s="12"/>
      <c r="L240" s="12"/>
      <c r="M240" s="12"/>
      <c r="N240" s="10" t="s">
        <v>1552</v>
      </c>
      <c r="O240" s="76"/>
      <c r="P240" s="200"/>
    </row>
    <row r="241" spans="1:17" x14ac:dyDescent="0.25">
      <c r="A241" s="83">
        <v>53892</v>
      </c>
      <c r="B241" s="83"/>
      <c r="C241" s="83"/>
      <c r="D241" s="83">
        <v>52800</v>
      </c>
      <c r="E241" s="83">
        <f t="shared" si="3"/>
        <v>1092</v>
      </c>
      <c r="F241" s="83"/>
      <c r="G241" s="83"/>
      <c r="H241" s="83"/>
      <c r="I241" s="83"/>
      <c r="J241" s="12">
        <v>41789</v>
      </c>
      <c r="K241" s="12"/>
      <c r="L241" s="12"/>
      <c r="M241" s="12"/>
      <c r="N241" s="10" t="s">
        <v>1552</v>
      </c>
      <c r="O241" s="76"/>
      <c r="P241" s="200"/>
    </row>
    <row r="242" spans="1:17" x14ac:dyDescent="0.25">
      <c r="A242" s="83">
        <v>61362</v>
      </c>
      <c r="B242" s="83"/>
      <c r="C242" s="83"/>
      <c r="D242" s="83">
        <v>60000</v>
      </c>
      <c r="E242" s="83">
        <f t="shared" si="3"/>
        <v>1362</v>
      </c>
      <c r="F242" s="83"/>
      <c r="G242" s="83"/>
      <c r="H242" s="83"/>
      <c r="I242" s="83"/>
      <c r="J242" s="12">
        <v>41789</v>
      </c>
      <c r="K242" s="12"/>
      <c r="L242" s="12"/>
      <c r="M242" s="12"/>
      <c r="N242" s="10" t="s">
        <v>1552</v>
      </c>
      <c r="O242" s="76"/>
      <c r="P242" s="200"/>
    </row>
    <row r="243" spans="1:17" x14ac:dyDescent="0.25">
      <c r="A243" s="165"/>
      <c r="B243" s="165"/>
      <c r="C243" s="165"/>
      <c r="D243" s="165" t="s">
        <v>1526</v>
      </c>
      <c r="E243" s="166">
        <f>SUM(E237:E242)</f>
        <v>12721</v>
      </c>
      <c r="F243" s="166"/>
      <c r="G243" s="166"/>
      <c r="H243" s="166"/>
      <c r="I243" s="166"/>
    </row>
    <row r="256" spans="1:17" ht="51" x14ac:dyDescent="0.25">
      <c r="A256" s="1" t="s">
        <v>40</v>
      </c>
      <c r="B256" s="1" t="s">
        <v>15</v>
      </c>
      <c r="C256" s="1" t="s">
        <v>41</v>
      </c>
      <c r="D256" s="1" t="s">
        <v>1</v>
      </c>
      <c r="E256" s="1" t="s">
        <v>265</v>
      </c>
      <c r="F256" s="1"/>
      <c r="G256" s="1"/>
      <c r="H256" s="1"/>
      <c r="I256" s="1" t="s">
        <v>1804</v>
      </c>
      <c r="J256" s="1" t="s">
        <v>230</v>
      </c>
      <c r="K256" s="1"/>
      <c r="L256" s="1"/>
      <c r="M256" s="1"/>
      <c r="N256" s="1" t="s">
        <v>42</v>
      </c>
      <c r="O256" s="1" t="s">
        <v>43</v>
      </c>
      <c r="P256" s="1"/>
      <c r="Q256" s="1" t="s">
        <v>1803</v>
      </c>
    </row>
    <row r="257" spans="1:17" x14ac:dyDescent="0.25">
      <c r="A257" s="24" t="s">
        <v>149</v>
      </c>
      <c r="B257" s="23">
        <v>1000083056</v>
      </c>
      <c r="C257" s="23" t="s">
        <v>152</v>
      </c>
      <c r="D257" s="23" t="s">
        <v>154</v>
      </c>
      <c r="E257" s="39">
        <v>23898</v>
      </c>
      <c r="F257" s="39"/>
      <c r="G257" s="39"/>
      <c r="H257" s="39"/>
      <c r="I257" s="39">
        <f t="shared" ref="I257:I269" si="4">E257/1.2</f>
        <v>19915</v>
      </c>
      <c r="J257" s="23">
        <v>60110560</v>
      </c>
      <c r="K257" s="23"/>
      <c r="L257" s="23"/>
      <c r="M257" s="23"/>
      <c r="N257" s="23"/>
      <c r="O257" s="23" t="s">
        <v>146</v>
      </c>
      <c r="P257" s="23"/>
      <c r="Q257" s="10"/>
    </row>
    <row r="258" spans="1:17" s="198" customFormat="1" x14ac:dyDescent="0.25">
      <c r="A258" s="24" t="s">
        <v>159</v>
      </c>
      <c r="B258" s="23">
        <v>1000083056</v>
      </c>
      <c r="C258" s="23" t="s">
        <v>458</v>
      </c>
      <c r="D258" s="23" t="s">
        <v>163</v>
      </c>
      <c r="E258" s="39">
        <v>101460</v>
      </c>
      <c r="F258" s="39"/>
      <c r="G258" s="39"/>
      <c r="H258" s="39"/>
      <c r="I258" s="39">
        <f t="shared" si="4"/>
        <v>84550</v>
      </c>
      <c r="J258" s="23">
        <v>60110560</v>
      </c>
      <c r="K258" s="23"/>
      <c r="L258" s="23"/>
      <c r="M258" s="23"/>
      <c r="N258" s="23"/>
      <c r="O258" s="23" t="s">
        <v>161</v>
      </c>
      <c r="P258" s="23"/>
      <c r="Q258" s="24"/>
    </row>
    <row r="259" spans="1:17" s="198" customFormat="1" x14ac:dyDescent="0.25">
      <c r="A259" s="24" t="s">
        <v>165</v>
      </c>
      <c r="B259" s="23">
        <v>1000083056</v>
      </c>
      <c r="C259" s="23" t="s">
        <v>467</v>
      </c>
      <c r="D259" s="23" t="s">
        <v>172</v>
      </c>
      <c r="E259" s="39">
        <v>126825.60000000001</v>
      </c>
      <c r="F259" s="39"/>
      <c r="G259" s="39"/>
      <c r="H259" s="39"/>
      <c r="I259" s="39">
        <f t="shared" si="4"/>
        <v>105688.00000000001</v>
      </c>
      <c r="J259" s="23">
        <v>60110560</v>
      </c>
      <c r="K259" s="23"/>
      <c r="L259" s="23"/>
      <c r="M259" s="23"/>
      <c r="N259" s="23"/>
      <c r="O259" s="23" t="s">
        <v>161</v>
      </c>
      <c r="P259" s="23"/>
      <c r="Q259" s="24"/>
    </row>
    <row r="260" spans="1:17" s="198" customFormat="1" ht="51.75" x14ac:dyDescent="0.25">
      <c r="A260" s="24" t="s">
        <v>181</v>
      </c>
      <c r="B260" s="23">
        <v>1000083056</v>
      </c>
      <c r="C260" s="23" t="s">
        <v>140</v>
      </c>
      <c r="D260" s="15" t="s">
        <v>186</v>
      </c>
      <c r="E260" s="39">
        <v>101460</v>
      </c>
      <c r="F260" s="39"/>
      <c r="G260" s="39"/>
      <c r="H260" s="39"/>
      <c r="I260" s="39">
        <f t="shared" si="4"/>
        <v>84550</v>
      </c>
      <c r="J260" s="23">
        <v>60110560</v>
      </c>
      <c r="K260" s="23"/>
      <c r="L260" s="23"/>
      <c r="M260" s="23"/>
      <c r="N260" s="23" t="s">
        <v>280</v>
      </c>
      <c r="O260" s="23" t="s">
        <v>161</v>
      </c>
      <c r="P260" s="23"/>
      <c r="Q260" s="24"/>
    </row>
    <row r="261" spans="1:17" ht="51.75" x14ac:dyDescent="0.25">
      <c r="A261" s="24" t="s">
        <v>327</v>
      </c>
      <c r="B261" s="23">
        <v>1000083056</v>
      </c>
      <c r="C261" s="23" t="s">
        <v>264</v>
      </c>
      <c r="D261" s="36" t="s">
        <v>306</v>
      </c>
      <c r="E261" s="39">
        <v>101460</v>
      </c>
      <c r="F261" s="39"/>
      <c r="G261" s="39"/>
      <c r="H261" s="39"/>
      <c r="I261" s="39">
        <f t="shared" si="4"/>
        <v>84550</v>
      </c>
      <c r="J261" s="23">
        <v>60110560</v>
      </c>
      <c r="K261" s="23"/>
      <c r="L261" s="23"/>
      <c r="M261" s="23"/>
      <c r="N261" s="23" t="s">
        <v>280</v>
      </c>
      <c r="O261" s="23" t="s">
        <v>161</v>
      </c>
      <c r="P261" s="23"/>
      <c r="Q261" s="10"/>
    </row>
    <row r="262" spans="1:17" ht="51.75" x14ac:dyDescent="0.25">
      <c r="A262" s="104" t="s">
        <v>506</v>
      </c>
      <c r="B262" s="23">
        <v>1000083056</v>
      </c>
      <c r="C262" s="23" t="s">
        <v>492</v>
      </c>
      <c r="D262" s="15" t="s">
        <v>520</v>
      </c>
      <c r="E262" s="39">
        <v>101460</v>
      </c>
      <c r="F262" s="39"/>
      <c r="G262" s="39"/>
      <c r="H262" s="39"/>
      <c r="I262" s="39">
        <f t="shared" si="4"/>
        <v>84550</v>
      </c>
      <c r="J262" s="23">
        <v>60110560</v>
      </c>
      <c r="K262" s="23"/>
      <c r="L262" s="23"/>
      <c r="M262" s="23"/>
      <c r="N262" s="23" t="s">
        <v>280</v>
      </c>
      <c r="O262" s="23" t="s">
        <v>161</v>
      </c>
      <c r="P262" s="23"/>
      <c r="Q262" s="10"/>
    </row>
    <row r="263" spans="1:17" s="198" customFormat="1" ht="51.75" x14ac:dyDescent="0.25">
      <c r="A263" s="104" t="s">
        <v>593</v>
      </c>
      <c r="B263" s="23">
        <v>1000083056</v>
      </c>
      <c r="C263" s="23" t="s">
        <v>470</v>
      </c>
      <c r="D263" s="15" t="s">
        <v>726</v>
      </c>
      <c r="E263" s="39">
        <v>126825</v>
      </c>
      <c r="F263" s="39"/>
      <c r="G263" s="39"/>
      <c r="H263" s="39"/>
      <c r="I263" s="39">
        <f t="shared" si="4"/>
        <v>105687.5</v>
      </c>
      <c r="J263" s="23">
        <v>60110560</v>
      </c>
      <c r="K263" s="23"/>
      <c r="L263" s="23"/>
      <c r="M263" s="23"/>
      <c r="N263" s="23" t="s">
        <v>280</v>
      </c>
      <c r="O263" s="23" t="s">
        <v>161</v>
      </c>
      <c r="P263" s="23"/>
      <c r="Q263" s="24"/>
    </row>
    <row r="264" spans="1:17" s="198" customFormat="1" ht="51.75" x14ac:dyDescent="0.25">
      <c r="A264" s="24" t="s">
        <v>708</v>
      </c>
      <c r="B264" s="23">
        <v>1000083056</v>
      </c>
      <c r="C264" s="23" t="s">
        <v>701</v>
      </c>
      <c r="D264" s="36" t="s">
        <v>725</v>
      </c>
      <c r="E264" s="86">
        <v>101460</v>
      </c>
      <c r="F264" s="86"/>
      <c r="G264" s="86"/>
      <c r="H264" s="86"/>
      <c r="I264" s="39">
        <f t="shared" si="4"/>
        <v>84550</v>
      </c>
      <c r="J264" s="23">
        <v>60110560</v>
      </c>
      <c r="K264" s="23"/>
      <c r="L264" s="23"/>
      <c r="M264" s="23"/>
      <c r="N264" s="23" t="s">
        <v>280</v>
      </c>
      <c r="O264" s="23" t="s">
        <v>161</v>
      </c>
      <c r="P264" s="23"/>
      <c r="Q264" s="24"/>
    </row>
    <row r="265" spans="1:17" s="198" customFormat="1" ht="51.75" x14ac:dyDescent="0.25">
      <c r="A265" s="24" t="s">
        <v>801</v>
      </c>
      <c r="B265" s="23">
        <v>1000083056</v>
      </c>
      <c r="C265" s="23" t="s">
        <v>472</v>
      </c>
      <c r="D265" s="15" t="s">
        <v>809</v>
      </c>
      <c r="E265" s="39">
        <v>101460</v>
      </c>
      <c r="F265" s="39"/>
      <c r="G265" s="39"/>
      <c r="H265" s="39"/>
      <c r="I265" s="39">
        <f t="shared" si="4"/>
        <v>84550</v>
      </c>
      <c r="J265" s="23">
        <v>60110560</v>
      </c>
      <c r="K265" s="23"/>
      <c r="L265" s="23"/>
      <c r="M265" s="23"/>
      <c r="N265" s="23" t="s">
        <v>280</v>
      </c>
      <c r="O265" s="23" t="s">
        <v>161</v>
      </c>
      <c r="P265" s="23"/>
      <c r="Q265" s="24"/>
    </row>
    <row r="266" spans="1:17" s="198" customFormat="1" ht="51.75" x14ac:dyDescent="0.25">
      <c r="A266" s="24" t="s">
        <v>884</v>
      </c>
      <c r="B266" s="23">
        <v>1000083056</v>
      </c>
      <c r="C266" s="23" t="s">
        <v>473</v>
      </c>
      <c r="D266" s="15" t="s">
        <v>1161</v>
      </c>
      <c r="E266" s="39">
        <v>126825</v>
      </c>
      <c r="F266" s="39"/>
      <c r="G266" s="39"/>
      <c r="H266" s="39"/>
      <c r="I266" s="39">
        <f t="shared" si="4"/>
        <v>105687.5</v>
      </c>
      <c r="J266" s="23">
        <v>60110560</v>
      </c>
      <c r="K266" s="23"/>
      <c r="L266" s="23"/>
      <c r="M266" s="23"/>
      <c r="N266" s="23" t="s">
        <v>280</v>
      </c>
      <c r="O266" s="23" t="s">
        <v>161</v>
      </c>
      <c r="P266" s="23"/>
      <c r="Q266" s="24"/>
    </row>
    <row r="267" spans="1:17" ht="51.75" x14ac:dyDescent="0.25">
      <c r="A267" s="23" t="s">
        <v>1087</v>
      </c>
      <c r="B267" s="125">
        <v>1000083056</v>
      </c>
      <c r="C267" s="29" t="s">
        <v>474</v>
      </c>
      <c r="D267" s="15" t="s">
        <v>1170</v>
      </c>
      <c r="E267" s="86">
        <v>101460</v>
      </c>
      <c r="F267" s="86"/>
      <c r="G267" s="86"/>
      <c r="H267" s="86"/>
      <c r="I267" s="39">
        <f t="shared" si="4"/>
        <v>84550</v>
      </c>
      <c r="J267" s="23">
        <v>60110560</v>
      </c>
      <c r="K267" s="125"/>
      <c r="L267" s="125"/>
      <c r="M267" s="125"/>
      <c r="N267" s="125" t="s">
        <v>280</v>
      </c>
      <c r="O267" s="23" t="s">
        <v>161</v>
      </c>
      <c r="P267" s="23"/>
      <c r="Q267" s="10"/>
    </row>
    <row r="268" spans="1:17" s="198" customFormat="1" ht="51.75" x14ac:dyDescent="0.25">
      <c r="A268" s="24" t="s">
        <v>1168</v>
      </c>
      <c r="B268" s="23">
        <v>1000083056</v>
      </c>
      <c r="C268" s="23" t="s">
        <v>475</v>
      </c>
      <c r="D268" s="15" t="s">
        <v>1169</v>
      </c>
      <c r="E268" s="39">
        <v>99699.6</v>
      </c>
      <c r="F268" s="39"/>
      <c r="G268" s="39"/>
      <c r="H268" s="39"/>
      <c r="I268" s="39">
        <f t="shared" si="4"/>
        <v>83083.000000000015</v>
      </c>
      <c r="J268" s="23">
        <v>60110560</v>
      </c>
      <c r="K268" s="23"/>
      <c r="L268" s="23"/>
      <c r="M268" s="23"/>
      <c r="N268" s="23" t="s">
        <v>280</v>
      </c>
      <c r="O268" s="23" t="s">
        <v>161</v>
      </c>
      <c r="P268" s="23"/>
      <c r="Q268" s="24"/>
    </row>
    <row r="269" spans="1:17" s="198" customFormat="1" ht="51.75" x14ac:dyDescent="0.25">
      <c r="A269" s="24" t="s">
        <v>1281</v>
      </c>
      <c r="B269" s="23">
        <v>1000083056</v>
      </c>
      <c r="C269" s="23" t="s">
        <v>476</v>
      </c>
      <c r="D269" s="15" t="s">
        <v>1282</v>
      </c>
      <c r="E269" s="39">
        <v>76095</v>
      </c>
      <c r="F269" s="39"/>
      <c r="G269" s="39"/>
      <c r="H269" s="39"/>
      <c r="I269" s="39">
        <f t="shared" si="4"/>
        <v>63412.5</v>
      </c>
      <c r="J269" s="23">
        <v>60110560</v>
      </c>
      <c r="K269" s="23"/>
      <c r="L269" s="23"/>
      <c r="M269" s="23"/>
      <c r="N269" s="23" t="s">
        <v>280</v>
      </c>
      <c r="O269" s="23" t="s">
        <v>161</v>
      </c>
      <c r="P269" s="23"/>
      <c r="Q269" s="24"/>
    </row>
    <row r="270" spans="1:17" x14ac:dyDescent="0.25">
      <c r="C270" s="197" t="s">
        <v>1805</v>
      </c>
      <c r="D270" s="109">
        <v>1075323.5</v>
      </c>
      <c r="E270" t="s">
        <v>1805</v>
      </c>
      <c r="I270" s="109"/>
    </row>
    <row r="271" spans="1:17" x14ac:dyDescent="0.25">
      <c r="C271" s="145" t="s">
        <v>1484</v>
      </c>
      <c r="D271">
        <v>1096855.5</v>
      </c>
    </row>
    <row r="272" spans="1:17" x14ac:dyDescent="0.25">
      <c r="C272" s="145" t="s">
        <v>1806</v>
      </c>
      <c r="D272" s="109">
        <f>D271-D270</f>
        <v>21532</v>
      </c>
      <c r="E272" s="109"/>
      <c r="F272" s="109"/>
      <c r="G272" s="109"/>
      <c r="H272" s="109"/>
    </row>
    <row r="283" spans="1:24" x14ac:dyDescent="0.25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</row>
    <row r="284" spans="1:24" x14ac:dyDescent="0.25">
      <c r="A284" s="14" t="s">
        <v>1643</v>
      </c>
    </row>
    <row r="285" spans="1:24" x14ac:dyDescent="0.25">
      <c r="A285" s="14" t="s">
        <v>1644</v>
      </c>
    </row>
    <row r="288" spans="1:24" ht="15.75" x14ac:dyDescent="0.25">
      <c r="J288" s="907" t="s">
        <v>1638</v>
      </c>
      <c r="K288" s="907"/>
      <c r="L288" s="907"/>
      <c r="M288" s="907"/>
      <c r="N288" s="907"/>
      <c r="O288" s="907"/>
      <c r="P288" s="907"/>
      <c r="Q288" s="907"/>
      <c r="R288" s="907"/>
      <c r="S288" s="907"/>
      <c r="T288" s="907"/>
      <c r="U288" s="907"/>
    </row>
    <row r="289" spans="1:24" s="277" customFormat="1" ht="15" customHeight="1" x14ac:dyDescent="0.25">
      <c r="A289" s="908" t="s">
        <v>1630</v>
      </c>
      <c r="B289" s="908" t="s">
        <v>1632</v>
      </c>
      <c r="C289" s="908" t="s">
        <v>1510</v>
      </c>
      <c r="D289" s="908" t="s">
        <v>1637</v>
      </c>
      <c r="E289" s="908"/>
      <c r="F289" s="374"/>
      <c r="G289" s="639"/>
      <c r="H289" s="639"/>
      <c r="I289" s="276"/>
      <c r="J289" s="908" t="s">
        <v>1488</v>
      </c>
      <c r="K289" s="459"/>
      <c r="L289" s="531"/>
      <c r="M289" s="459"/>
      <c r="N289" s="908" t="s">
        <v>1489</v>
      </c>
      <c r="O289" s="908" t="s">
        <v>1490</v>
      </c>
      <c r="P289" s="276"/>
      <c r="Q289" s="908" t="s">
        <v>1491</v>
      </c>
      <c r="R289" s="908" t="s">
        <v>1639</v>
      </c>
      <c r="S289" s="276"/>
      <c r="T289" s="908" t="s">
        <v>1493</v>
      </c>
      <c r="U289" s="908" t="s">
        <v>1494</v>
      </c>
      <c r="V289" s="908" t="s">
        <v>1495</v>
      </c>
      <c r="W289" s="918" t="s">
        <v>1641</v>
      </c>
      <c r="X289" s="918" t="s">
        <v>1640</v>
      </c>
    </row>
    <row r="290" spans="1:24" s="277" customFormat="1" x14ac:dyDescent="0.25">
      <c r="A290" s="908"/>
      <c r="B290" s="908"/>
      <c r="C290" s="908"/>
      <c r="D290" s="908"/>
      <c r="E290" s="908"/>
      <c r="F290" s="374"/>
      <c r="G290" s="639"/>
      <c r="H290" s="639"/>
      <c r="I290" s="276"/>
      <c r="J290" s="908"/>
      <c r="K290" s="459"/>
      <c r="L290" s="531"/>
      <c r="M290" s="459"/>
      <c r="N290" s="908"/>
      <c r="O290" s="908"/>
      <c r="P290" s="276"/>
      <c r="Q290" s="908"/>
      <c r="R290" s="908"/>
      <c r="S290" s="276"/>
      <c r="T290" s="908"/>
      <c r="U290" s="908"/>
      <c r="V290" s="908" t="s">
        <v>1495</v>
      </c>
      <c r="W290" s="908"/>
      <c r="X290" s="908"/>
    </row>
    <row r="291" spans="1:24" s="277" customFormat="1" x14ac:dyDescent="0.25">
      <c r="A291" s="278" t="s">
        <v>700</v>
      </c>
      <c r="B291" s="279">
        <v>249645</v>
      </c>
      <c r="C291" s="280">
        <v>41894</v>
      </c>
      <c r="D291" s="279">
        <v>4895</v>
      </c>
      <c r="E291" s="279"/>
      <c r="F291" s="279"/>
      <c r="G291" s="279"/>
      <c r="H291" s="279"/>
      <c r="I291" s="279"/>
      <c r="J291" s="279">
        <v>23496</v>
      </c>
      <c r="K291" s="279"/>
      <c r="L291" s="279"/>
      <c r="M291" s="279"/>
      <c r="N291" s="279">
        <v>19580</v>
      </c>
      <c r="O291" s="279">
        <v>19580</v>
      </c>
      <c r="P291" s="279"/>
      <c r="Q291" s="279">
        <v>21538</v>
      </c>
      <c r="R291" s="279">
        <v>9790</v>
      </c>
      <c r="S291" s="279"/>
      <c r="T291" s="279" t="s">
        <v>92</v>
      </c>
      <c r="U291" s="279" t="s">
        <v>92</v>
      </c>
      <c r="V291" s="279" t="s">
        <v>92</v>
      </c>
      <c r="W291" s="279" t="e">
        <f>B291-(1*#REF!)-(3*#REF!)</f>
        <v>#REF!</v>
      </c>
      <c r="X291" s="279" t="e">
        <f t="shared" ref="X291:X301" si="5">B291-W291</f>
        <v>#REF!</v>
      </c>
    </row>
    <row r="292" spans="1:24" s="277" customFormat="1" x14ac:dyDescent="0.25">
      <c r="A292" s="281" t="s">
        <v>1001</v>
      </c>
      <c r="B292" s="279">
        <v>238630</v>
      </c>
      <c r="C292" s="280">
        <v>41882</v>
      </c>
      <c r="D292" s="279">
        <v>6818</v>
      </c>
      <c r="E292" s="279"/>
      <c r="F292" s="279"/>
      <c r="G292" s="279"/>
      <c r="H292" s="279"/>
      <c r="I292" s="279"/>
      <c r="J292" s="279">
        <v>32726</v>
      </c>
      <c r="K292" s="279"/>
      <c r="L292" s="279"/>
      <c r="M292" s="279"/>
      <c r="N292" s="279">
        <v>27272</v>
      </c>
      <c r="O292" s="279">
        <v>27272</v>
      </c>
      <c r="P292" s="279"/>
      <c r="Q292" s="279">
        <v>29998</v>
      </c>
      <c r="R292" s="279" t="s">
        <v>92</v>
      </c>
      <c r="S292" s="279"/>
      <c r="T292" s="279" t="s">
        <v>92</v>
      </c>
      <c r="U292" s="279" t="s">
        <v>92</v>
      </c>
      <c r="V292" s="279" t="s">
        <v>92</v>
      </c>
      <c r="W292" s="279" t="e">
        <f>B292-(1*#REF!)-(3*#REF!)</f>
        <v>#REF!</v>
      </c>
      <c r="X292" s="279" t="e">
        <f t="shared" si="5"/>
        <v>#REF!</v>
      </c>
    </row>
    <row r="293" spans="1:24" s="277" customFormat="1" x14ac:dyDescent="0.25">
      <c r="A293" s="281" t="s">
        <v>1002</v>
      </c>
      <c r="B293" s="279">
        <v>91490</v>
      </c>
      <c r="C293" s="280">
        <v>41882</v>
      </c>
      <c r="D293" s="279">
        <v>2614</v>
      </c>
      <c r="E293" s="279"/>
      <c r="F293" s="279"/>
      <c r="G293" s="279"/>
      <c r="H293" s="279"/>
      <c r="I293" s="279"/>
      <c r="J293" s="279">
        <v>12547</v>
      </c>
      <c r="K293" s="279"/>
      <c r="L293" s="279"/>
      <c r="M293" s="279"/>
      <c r="N293" s="279">
        <v>10456</v>
      </c>
      <c r="O293" s="279">
        <v>10456</v>
      </c>
      <c r="P293" s="279"/>
      <c r="Q293" s="279">
        <v>11502</v>
      </c>
      <c r="R293" s="279" t="s">
        <v>92</v>
      </c>
      <c r="S293" s="279"/>
      <c r="T293" s="279" t="s">
        <v>92</v>
      </c>
      <c r="U293" s="279" t="s">
        <v>92</v>
      </c>
      <c r="V293" s="279" t="s">
        <v>92</v>
      </c>
      <c r="W293" s="279" t="e">
        <f>B293-(1*#REF!)-(3*#REF!)</f>
        <v>#REF!</v>
      </c>
      <c r="X293" s="279" t="e">
        <f t="shared" si="5"/>
        <v>#REF!</v>
      </c>
    </row>
    <row r="294" spans="1:24" s="277" customFormat="1" x14ac:dyDescent="0.25">
      <c r="A294" s="282" t="s">
        <v>1373</v>
      </c>
      <c r="B294" s="279">
        <v>49980</v>
      </c>
      <c r="C294" s="280">
        <v>41882</v>
      </c>
      <c r="D294" s="279">
        <v>2380</v>
      </c>
      <c r="E294" s="279"/>
      <c r="F294" s="279"/>
      <c r="G294" s="279"/>
      <c r="H294" s="279"/>
      <c r="I294" s="279"/>
      <c r="J294" s="279">
        <v>11424</v>
      </c>
      <c r="K294" s="279"/>
      <c r="L294" s="279"/>
      <c r="M294" s="279"/>
      <c r="N294" s="279">
        <v>9520</v>
      </c>
      <c r="O294" s="279">
        <v>9520</v>
      </c>
      <c r="P294" s="279"/>
      <c r="Q294" s="279">
        <v>10472</v>
      </c>
      <c r="R294" s="279" t="s">
        <v>92</v>
      </c>
      <c r="S294" s="279"/>
      <c r="T294" s="279" t="s">
        <v>92</v>
      </c>
      <c r="U294" s="279" t="s">
        <v>92</v>
      </c>
      <c r="V294" s="279" t="s">
        <v>92</v>
      </c>
      <c r="W294" s="279" t="e">
        <f>B294-(1*#REF!)-(3*#REF!)</f>
        <v>#REF!</v>
      </c>
      <c r="X294" s="279" t="e">
        <f t="shared" si="5"/>
        <v>#REF!</v>
      </c>
    </row>
    <row r="295" spans="1:24" s="277" customFormat="1" x14ac:dyDescent="0.25">
      <c r="A295" s="281" t="s">
        <v>917</v>
      </c>
      <c r="B295" s="279">
        <v>328741</v>
      </c>
      <c r="C295" s="280">
        <v>41999</v>
      </c>
      <c r="D295" s="279">
        <v>6709</v>
      </c>
      <c r="E295" s="279"/>
      <c r="F295" s="279"/>
      <c r="G295" s="279"/>
      <c r="H295" s="279"/>
      <c r="I295" s="279"/>
      <c r="J295" s="279">
        <v>32203</v>
      </c>
      <c r="K295" s="279"/>
      <c r="L295" s="279"/>
      <c r="M295" s="279"/>
      <c r="N295" s="279">
        <v>26836</v>
      </c>
      <c r="O295" s="279">
        <v>26836</v>
      </c>
      <c r="P295" s="279"/>
      <c r="Q295" s="279">
        <v>29520</v>
      </c>
      <c r="R295" s="279">
        <v>26836</v>
      </c>
      <c r="S295" s="279"/>
      <c r="T295" s="279">
        <v>22811</v>
      </c>
      <c r="U295" s="279">
        <v>33545</v>
      </c>
      <c r="V295" s="279">
        <v>25494</v>
      </c>
      <c r="W295" s="279" t="e">
        <f>B295-(1*#REF!)-(3*#REF!)-(3*#REF!)-(1*#REF!)</f>
        <v>#REF!</v>
      </c>
      <c r="X295" s="279" t="e">
        <f t="shared" si="5"/>
        <v>#REF!</v>
      </c>
    </row>
    <row r="296" spans="1:24" s="277" customFormat="1" x14ac:dyDescent="0.25">
      <c r="A296" s="281" t="s">
        <v>1255</v>
      </c>
      <c r="B296" s="279">
        <v>191367</v>
      </c>
      <c r="C296" s="280">
        <v>41775</v>
      </c>
      <c r="D296" s="279">
        <v>18818</v>
      </c>
      <c r="E296" s="279"/>
      <c r="F296" s="279"/>
      <c r="G296" s="279"/>
      <c r="H296" s="279"/>
      <c r="I296" s="279"/>
      <c r="J296" s="279">
        <v>59536</v>
      </c>
      <c r="K296" s="279"/>
      <c r="L296" s="279"/>
      <c r="M296" s="279"/>
      <c r="N296" s="279" t="s">
        <v>92</v>
      </c>
      <c r="O296" s="279" t="s">
        <v>92</v>
      </c>
      <c r="P296" s="279"/>
      <c r="Q296" s="279" t="s">
        <v>92</v>
      </c>
      <c r="R296" s="279" t="s">
        <v>92</v>
      </c>
      <c r="S296" s="279"/>
      <c r="T296" s="279" t="s">
        <v>92</v>
      </c>
      <c r="U296" s="279" t="s">
        <v>92</v>
      </c>
      <c r="V296" s="279" t="s">
        <v>92</v>
      </c>
      <c r="W296" s="279" t="e">
        <f>B296-(1*#REF!)-489</f>
        <v>#REF!</v>
      </c>
      <c r="X296" s="279" t="e">
        <f t="shared" si="5"/>
        <v>#REF!</v>
      </c>
    </row>
    <row r="297" spans="1:24" s="277" customFormat="1" x14ac:dyDescent="0.25">
      <c r="A297" s="282" t="s">
        <v>1627</v>
      </c>
      <c r="B297" s="279">
        <v>188180</v>
      </c>
      <c r="C297" s="280">
        <v>41851</v>
      </c>
      <c r="D297" s="279">
        <v>18818</v>
      </c>
      <c r="E297" s="279"/>
      <c r="F297" s="279"/>
      <c r="G297" s="279"/>
      <c r="H297" s="279"/>
      <c r="I297" s="279"/>
      <c r="J297" s="279">
        <v>33872.400000000001</v>
      </c>
      <c r="K297" s="279"/>
      <c r="L297" s="279"/>
      <c r="M297" s="279"/>
      <c r="N297" s="279">
        <v>75272</v>
      </c>
      <c r="O297" s="279">
        <v>75272</v>
      </c>
      <c r="P297" s="279"/>
      <c r="Q297" s="279" t="s">
        <v>92</v>
      </c>
      <c r="R297" s="279" t="s">
        <v>92</v>
      </c>
      <c r="S297" s="279"/>
      <c r="T297" s="279" t="s">
        <v>92</v>
      </c>
      <c r="U297" s="279" t="s">
        <v>92</v>
      </c>
      <c r="V297" s="279" t="s">
        <v>92</v>
      </c>
      <c r="W297" s="279" t="e">
        <f>B297-(1*#REF!)</f>
        <v>#REF!</v>
      </c>
      <c r="X297" s="279" t="e">
        <f t="shared" si="5"/>
        <v>#REF!</v>
      </c>
    </row>
    <row r="298" spans="1:24" s="277" customFormat="1" x14ac:dyDescent="0.25">
      <c r="A298" s="281" t="s">
        <v>995</v>
      </c>
      <c r="B298" s="279">
        <v>53114</v>
      </c>
      <c r="C298" s="280">
        <v>41882</v>
      </c>
      <c r="D298" s="279">
        <v>5889</v>
      </c>
      <c r="E298" s="279"/>
      <c r="F298" s="279"/>
      <c r="G298" s="279"/>
      <c r="H298" s="279"/>
      <c r="I298" s="279"/>
      <c r="J298" s="279">
        <v>4824</v>
      </c>
      <c r="K298" s="279"/>
      <c r="L298" s="279"/>
      <c r="M298" s="279"/>
      <c r="N298" s="279" t="s">
        <v>92</v>
      </c>
      <c r="O298" s="279" t="s">
        <v>92</v>
      </c>
      <c r="P298" s="279"/>
      <c r="Q298" s="279" t="s">
        <v>92</v>
      </c>
      <c r="R298" s="279" t="s">
        <v>92</v>
      </c>
      <c r="S298" s="279"/>
      <c r="T298" s="279" t="s">
        <v>92</v>
      </c>
      <c r="U298" s="279" t="s">
        <v>92</v>
      </c>
      <c r="V298" s="279" t="s">
        <v>92</v>
      </c>
      <c r="W298" s="279" t="e">
        <f>B298-(#REF!)</f>
        <v>#REF!</v>
      </c>
      <c r="X298" s="279" t="e">
        <f t="shared" si="5"/>
        <v>#REF!</v>
      </c>
    </row>
    <row r="299" spans="1:24" s="277" customFormat="1" x14ac:dyDescent="0.25">
      <c r="A299" s="281" t="s">
        <v>1269</v>
      </c>
      <c r="B299" s="279">
        <v>53892</v>
      </c>
      <c r="C299" s="280">
        <v>41789</v>
      </c>
      <c r="D299" s="279">
        <v>5988</v>
      </c>
      <c r="E299" s="279"/>
      <c r="F299" s="279"/>
      <c r="G299" s="279"/>
      <c r="H299" s="279"/>
      <c r="I299" s="279"/>
      <c r="J299" s="279">
        <v>28742</v>
      </c>
      <c r="K299" s="279"/>
      <c r="L299" s="279"/>
      <c r="M299" s="279"/>
      <c r="N299" s="279" t="s">
        <v>92</v>
      </c>
      <c r="O299" s="279" t="s">
        <v>92</v>
      </c>
      <c r="P299" s="279"/>
      <c r="Q299" s="279" t="s">
        <v>92</v>
      </c>
      <c r="R299" s="279" t="s">
        <v>92</v>
      </c>
      <c r="S299" s="279"/>
      <c r="T299" s="279" t="s">
        <v>92</v>
      </c>
      <c r="U299" s="279" t="s">
        <v>92</v>
      </c>
      <c r="V299" s="279" t="s">
        <v>92</v>
      </c>
      <c r="W299" s="279" t="e">
        <f>B299-(#REF!)</f>
        <v>#REF!</v>
      </c>
      <c r="X299" s="279" t="e">
        <f t="shared" si="5"/>
        <v>#REF!</v>
      </c>
    </row>
    <row r="300" spans="1:24" s="277" customFormat="1" x14ac:dyDescent="0.25">
      <c r="A300" s="281" t="s">
        <v>1268</v>
      </c>
      <c r="B300" s="279">
        <v>61362</v>
      </c>
      <c r="C300" s="280">
        <v>41789</v>
      </c>
      <c r="D300" s="279">
        <v>6818</v>
      </c>
      <c r="E300" s="279"/>
      <c r="F300" s="279"/>
      <c r="G300" s="279"/>
      <c r="H300" s="279"/>
      <c r="I300" s="279"/>
      <c r="J300" s="279">
        <v>32726</v>
      </c>
      <c r="K300" s="279"/>
      <c r="L300" s="279"/>
      <c r="M300" s="279"/>
      <c r="N300" s="279" t="s">
        <v>92</v>
      </c>
      <c r="O300" s="279" t="s">
        <v>92</v>
      </c>
      <c r="P300" s="279"/>
      <c r="Q300" s="279" t="s">
        <v>92</v>
      </c>
      <c r="R300" s="279" t="s">
        <v>92</v>
      </c>
      <c r="S300" s="279"/>
      <c r="T300" s="279" t="s">
        <v>92</v>
      </c>
      <c r="U300" s="279" t="s">
        <v>92</v>
      </c>
      <c r="V300" s="279" t="s">
        <v>92</v>
      </c>
      <c r="W300" s="279" t="e">
        <f>B300-(1*#REF!)</f>
        <v>#REF!</v>
      </c>
      <c r="X300" s="279" t="e">
        <f t="shared" si="5"/>
        <v>#REF!</v>
      </c>
    </row>
    <row r="301" spans="1:24" s="277" customFormat="1" x14ac:dyDescent="0.25">
      <c r="A301" s="281" t="s">
        <v>1633</v>
      </c>
      <c r="B301" s="279">
        <v>150918</v>
      </c>
      <c r="C301" s="280">
        <v>41943</v>
      </c>
      <c r="D301" s="279">
        <v>6719</v>
      </c>
      <c r="E301" s="279"/>
      <c r="F301" s="279"/>
      <c r="G301" s="279"/>
      <c r="H301" s="279"/>
      <c r="I301" s="279"/>
      <c r="J301" s="283" t="s">
        <v>92</v>
      </c>
      <c r="K301" s="283"/>
      <c r="L301" s="283"/>
      <c r="M301" s="283"/>
      <c r="N301" s="283">
        <v>26876</v>
      </c>
      <c r="O301" s="283">
        <v>26876</v>
      </c>
      <c r="P301" s="283"/>
      <c r="Q301" s="283">
        <v>29536.6</v>
      </c>
      <c r="R301" s="283">
        <v>26876</v>
      </c>
      <c r="S301" s="283"/>
      <c r="T301" s="283">
        <v>22844.6</v>
      </c>
      <c r="U301" s="283">
        <v>6719</v>
      </c>
      <c r="V301" s="279" t="s">
        <v>92</v>
      </c>
      <c r="W301" s="279" t="e">
        <f>B301-(3*#REF!)-(3*#REF!)</f>
        <v>#REF!</v>
      </c>
      <c r="X301" s="279" t="e">
        <f t="shared" si="5"/>
        <v>#REF!</v>
      </c>
    </row>
    <row r="302" spans="1:24" s="266" customFormat="1" x14ac:dyDescent="0.25">
      <c r="A302" s="77" t="s">
        <v>1634</v>
      </c>
      <c r="B302" s="284">
        <v>200390</v>
      </c>
      <c r="C302" s="270">
        <v>41943</v>
      </c>
      <c r="D302" s="284">
        <v>6719</v>
      </c>
      <c r="E302" s="284"/>
      <c r="F302" s="284"/>
      <c r="G302" s="284"/>
      <c r="H302" s="284"/>
      <c r="I302" s="284"/>
      <c r="J302" s="285" t="s">
        <v>92</v>
      </c>
      <c r="K302" s="285"/>
      <c r="L302" s="285"/>
      <c r="M302" s="285"/>
      <c r="N302" s="285" t="s">
        <v>92</v>
      </c>
      <c r="O302" s="285" t="s">
        <v>92</v>
      </c>
      <c r="P302" s="285"/>
      <c r="Q302" s="285">
        <f>D302*Q307</f>
        <v>24188.400000000001</v>
      </c>
      <c r="R302" s="285">
        <f>D302*R307</f>
        <v>26876</v>
      </c>
      <c r="S302" s="285"/>
      <c r="T302" s="285">
        <f>D302*T307</f>
        <v>22844.6</v>
      </c>
      <c r="U302" s="285">
        <f>D302*U307</f>
        <v>6719</v>
      </c>
      <c r="V302" s="284"/>
      <c r="W302" s="284"/>
      <c r="X302" s="284"/>
    </row>
    <row r="303" spans="1:24" s="277" customFormat="1" hidden="1" x14ac:dyDescent="0.25">
      <c r="A303" s="281" t="s">
        <v>1267</v>
      </c>
      <c r="B303" s="279">
        <v>78778</v>
      </c>
      <c r="C303" s="280">
        <v>41789</v>
      </c>
      <c r="D303" s="279">
        <v>6818</v>
      </c>
      <c r="E303" s="279"/>
      <c r="F303" s="279"/>
      <c r="G303" s="279"/>
      <c r="H303" s="279"/>
      <c r="I303" s="279"/>
      <c r="J303" s="279">
        <v>32726</v>
      </c>
      <c r="K303" s="279"/>
      <c r="L303" s="279"/>
      <c r="M303" s="279"/>
      <c r="N303" s="279" t="s">
        <v>92</v>
      </c>
      <c r="O303" s="279" t="s">
        <v>92</v>
      </c>
      <c r="P303" s="279"/>
      <c r="Q303" s="279" t="s">
        <v>92</v>
      </c>
      <c r="R303" s="279" t="s">
        <v>92</v>
      </c>
      <c r="S303" s="279"/>
      <c r="T303" s="279" t="s">
        <v>92</v>
      </c>
      <c r="U303" s="279" t="s">
        <v>92</v>
      </c>
      <c r="V303" s="279" t="s">
        <v>92</v>
      </c>
      <c r="W303" s="279" t="e">
        <f>B303-(1*#REF!)</f>
        <v>#REF!</v>
      </c>
      <c r="X303" s="279" t="e">
        <f>B303-W303</f>
        <v>#REF!</v>
      </c>
    </row>
    <row r="304" spans="1:24" s="266" customFormat="1" x14ac:dyDescent="0.25">
      <c r="A304" s="77" t="s">
        <v>1855</v>
      </c>
      <c r="B304" s="284">
        <v>33316</v>
      </c>
      <c r="C304" s="270">
        <v>41859</v>
      </c>
      <c r="D304" s="284">
        <v>8329</v>
      </c>
      <c r="E304" s="284"/>
      <c r="F304" s="284"/>
      <c r="G304" s="284"/>
      <c r="H304" s="284"/>
      <c r="I304" s="284"/>
      <c r="J304" s="284"/>
      <c r="K304" s="284"/>
      <c r="L304" s="284"/>
      <c r="M304" s="284"/>
      <c r="N304" s="284"/>
      <c r="O304" s="284"/>
      <c r="P304" s="284"/>
      <c r="Q304" s="284">
        <v>14992</v>
      </c>
      <c r="R304" s="284"/>
      <c r="S304" s="284"/>
      <c r="T304" s="284"/>
      <c r="U304" s="284"/>
      <c r="V304" s="284"/>
      <c r="W304" s="284"/>
      <c r="X304" s="284"/>
    </row>
    <row r="305" spans="1:24" x14ac:dyDescent="0.25">
      <c r="A305" s="919" t="s">
        <v>2032</v>
      </c>
      <c r="B305" s="919"/>
      <c r="C305" s="919"/>
      <c r="D305" s="919"/>
      <c r="E305" s="286"/>
      <c r="F305" s="286"/>
      <c r="G305" s="286"/>
      <c r="H305" s="286"/>
      <c r="I305" s="286"/>
      <c r="J305" s="286">
        <v>1</v>
      </c>
      <c r="K305" s="286"/>
      <c r="L305" s="286"/>
      <c r="M305" s="286"/>
      <c r="N305" s="286">
        <v>0</v>
      </c>
      <c r="O305" s="286">
        <v>0</v>
      </c>
      <c r="P305" s="286"/>
      <c r="Q305" s="286">
        <v>2</v>
      </c>
      <c r="R305" s="286">
        <v>0</v>
      </c>
      <c r="S305" s="286"/>
      <c r="T305" s="286">
        <v>3</v>
      </c>
      <c r="U305" s="286">
        <v>0</v>
      </c>
      <c r="V305" s="286">
        <v>1</v>
      </c>
      <c r="W305" s="286"/>
      <c r="X305" s="286"/>
    </row>
    <row r="306" spans="1:24" x14ac:dyDescent="0.25">
      <c r="A306" s="919" t="s">
        <v>2033</v>
      </c>
      <c r="B306" s="919"/>
      <c r="C306" s="919"/>
      <c r="D306" s="919"/>
      <c r="E306" s="286"/>
      <c r="F306" s="286"/>
      <c r="G306" s="286"/>
      <c r="H306" s="286"/>
      <c r="I306" s="286"/>
      <c r="J306" s="286"/>
      <c r="K306" s="286"/>
      <c r="L306" s="286"/>
      <c r="M306" s="286"/>
      <c r="N306" s="286"/>
      <c r="O306" s="286"/>
      <c r="P306" s="286"/>
      <c r="Q306" s="286">
        <v>4</v>
      </c>
      <c r="R306" s="286">
        <v>4</v>
      </c>
      <c r="S306" s="286"/>
      <c r="T306" s="286">
        <v>4</v>
      </c>
      <c r="U306" s="286">
        <v>1</v>
      </c>
      <c r="V306" s="286"/>
      <c r="W306" s="286"/>
      <c r="X306" s="286"/>
    </row>
    <row r="307" spans="1:24" x14ac:dyDescent="0.25">
      <c r="A307" s="893" t="s">
        <v>2034</v>
      </c>
      <c r="B307" s="893"/>
      <c r="C307" s="893"/>
      <c r="D307" s="893"/>
      <c r="N307" s="165"/>
      <c r="Q307">
        <f>3.6</f>
        <v>3.6</v>
      </c>
      <c r="R307">
        <v>4</v>
      </c>
      <c r="T307">
        <v>3.4</v>
      </c>
      <c r="U307">
        <v>1</v>
      </c>
    </row>
    <row r="308" spans="1:24" x14ac:dyDescent="0.25">
      <c r="A308" s="5"/>
      <c r="D308" s="165"/>
      <c r="J308" s="174"/>
      <c r="K308" s="174"/>
      <c r="L308" s="174"/>
      <c r="M308" s="174"/>
      <c r="N308" s="174"/>
      <c r="O308" s="106"/>
      <c r="P308" s="106"/>
      <c r="Q308" s="106"/>
      <c r="W308" s="165"/>
    </row>
    <row r="309" spans="1:24" ht="15.75" x14ac:dyDescent="0.25">
      <c r="A309" s="5"/>
      <c r="J309" s="106"/>
      <c r="K309" s="106"/>
      <c r="L309" s="106"/>
      <c r="M309" s="106"/>
      <c r="N309" s="173"/>
      <c r="O309" s="173"/>
      <c r="P309" s="173"/>
      <c r="Q309" s="174"/>
    </row>
    <row r="310" spans="1:24" ht="15.75" x14ac:dyDescent="0.25">
      <c r="A310" s="5"/>
      <c r="J310" s="106"/>
      <c r="K310" s="106"/>
      <c r="L310" s="106"/>
      <c r="M310" s="106"/>
      <c r="N310" s="173"/>
      <c r="O310" s="173"/>
      <c r="P310" s="173"/>
      <c r="Q310" s="148"/>
    </row>
    <row r="311" spans="1:24" ht="15.75" x14ac:dyDescent="0.25">
      <c r="J311" s="106"/>
      <c r="K311" s="106"/>
      <c r="L311" s="106"/>
      <c r="M311" s="106"/>
      <c r="N311" s="173"/>
      <c r="O311" s="173"/>
      <c r="P311" s="173"/>
      <c r="Q311" s="106"/>
    </row>
    <row r="312" spans="1:24" ht="15.75" x14ac:dyDescent="0.25">
      <c r="J312" s="106"/>
      <c r="K312" s="106"/>
      <c r="L312" s="106"/>
      <c r="M312" s="106"/>
      <c r="N312" s="173"/>
      <c r="O312" s="173"/>
      <c r="P312" s="173"/>
      <c r="Q312" s="106"/>
    </row>
    <row r="313" spans="1:24" ht="15.75" x14ac:dyDescent="0.25">
      <c r="J313" s="106"/>
      <c r="K313" s="106"/>
      <c r="L313" s="106"/>
      <c r="M313" s="106"/>
      <c r="N313" s="173"/>
      <c r="O313" s="173"/>
      <c r="P313" s="173"/>
      <c r="Q313" s="106"/>
    </row>
    <row r="314" spans="1:24" ht="15.75" x14ac:dyDescent="0.25">
      <c r="A314" s="106"/>
      <c r="B314" s="106"/>
      <c r="C314" s="106"/>
      <c r="D314" s="106"/>
      <c r="J314" s="106"/>
      <c r="K314" s="106"/>
      <c r="L314" s="106"/>
      <c r="M314" s="106"/>
      <c r="N314" s="173"/>
      <c r="O314" s="173"/>
      <c r="P314" s="173"/>
      <c r="Q314" s="106"/>
    </row>
    <row r="315" spans="1:24" x14ac:dyDescent="0.25">
      <c r="A315" s="106"/>
      <c r="B315" s="106"/>
      <c r="C315" s="106"/>
      <c r="D315" s="106"/>
      <c r="J315" s="106"/>
      <c r="K315" s="106"/>
      <c r="L315" s="106"/>
      <c r="M315" s="106"/>
      <c r="N315" s="106"/>
      <c r="O315" s="106"/>
      <c r="P315" s="106"/>
      <c r="Q315" s="106"/>
    </row>
    <row r="316" spans="1:24" x14ac:dyDescent="0.25">
      <c r="A316" s="106"/>
      <c r="B316" s="288"/>
      <c r="C316" s="288"/>
      <c r="D316" s="174"/>
    </row>
    <row r="317" spans="1:24" x14ac:dyDescent="0.25">
      <c r="A317" s="106"/>
      <c r="B317" s="288"/>
      <c r="C317" s="288"/>
      <c r="D317" s="174"/>
    </row>
    <row r="318" spans="1:24" x14ac:dyDescent="0.25">
      <c r="A318" s="106"/>
      <c r="B318" s="288"/>
      <c r="C318" s="288"/>
      <c r="D318" s="174"/>
    </row>
    <row r="319" spans="1:24" x14ac:dyDescent="0.25">
      <c r="A319" s="106"/>
      <c r="B319" s="288"/>
      <c r="C319" s="288"/>
      <c r="D319" s="174"/>
      <c r="R319" s="56" t="s">
        <v>1679</v>
      </c>
      <c r="S319" s="56"/>
    </row>
    <row r="320" spans="1:24" x14ac:dyDescent="0.25">
      <c r="A320" s="106"/>
      <c r="B320" s="288"/>
      <c r="C320" s="288"/>
      <c r="D320" s="174"/>
      <c r="T320" s="110" t="s">
        <v>1677</v>
      </c>
      <c r="U320" s="13">
        <v>5544</v>
      </c>
      <c r="V320" s="13">
        <f>U320/1.2</f>
        <v>4620</v>
      </c>
    </row>
    <row r="321" spans="1:22" x14ac:dyDescent="0.25">
      <c r="A321" s="106"/>
      <c r="B321" s="288"/>
      <c r="C321" s="288"/>
      <c r="D321" s="174"/>
      <c r="T321" s="110" t="s">
        <v>1673</v>
      </c>
      <c r="U321" s="13">
        <v>23676</v>
      </c>
      <c r="V321" s="13">
        <f>U321/1.2</f>
        <v>19730</v>
      </c>
    </row>
    <row r="322" spans="1:22" x14ac:dyDescent="0.25">
      <c r="A322" s="106"/>
      <c r="B322" s="174"/>
      <c r="C322" s="174"/>
      <c r="D322" s="106"/>
      <c r="T322" s="110" t="s">
        <v>1674</v>
      </c>
      <c r="U322" s="13">
        <v>43932</v>
      </c>
      <c r="V322" s="13">
        <f>U322/1.2</f>
        <v>36610</v>
      </c>
    </row>
    <row r="323" spans="1:22" x14ac:dyDescent="0.25">
      <c r="C323" s="165"/>
      <c r="D323" s="287"/>
      <c r="T323" s="110" t="s">
        <v>1675</v>
      </c>
      <c r="U323" s="13">
        <v>41524.800000000003</v>
      </c>
      <c r="V323" s="13">
        <f>U323/1.2</f>
        <v>34604.000000000007</v>
      </c>
    </row>
    <row r="324" spans="1:22" x14ac:dyDescent="0.25">
      <c r="T324" s="110" t="s">
        <v>1676</v>
      </c>
      <c r="U324" s="39">
        <v>33171.599999999999</v>
      </c>
      <c r="V324" s="13">
        <f>U324/1.2</f>
        <v>27643</v>
      </c>
    </row>
    <row r="325" spans="1:22" x14ac:dyDescent="0.25">
      <c r="T325" s="110"/>
      <c r="U325" s="147" t="s">
        <v>1680</v>
      </c>
      <c r="V325" s="180">
        <f>SUM(V320:V324)</f>
        <v>123207</v>
      </c>
    </row>
    <row r="326" spans="1:22" x14ac:dyDescent="0.25">
      <c r="T326" s="110"/>
      <c r="U326" s="147" t="s">
        <v>1678</v>
      </c>
      <c r="V326" s="180">
        <f>J329-V325</f>
        <v>143</v>
      </c>
    </row>
    <row r="328" spans="1:22" x14ac:dyDescent="0.25">
      <c r="A328" s="147" t="s">
        <v>1630</v>
      </c>
      <c r="B328" s="147" t="s">
        <v>1672</v>
      </c>
      <c r="C328" s="147" t="s">
        <v>230</v>
      </c>
      <c r="D328" s="147" t="s">
        <v>1631</v>
      </c>
      <c r="E328" s="147" t="s">
        <v>1510</v>
      </c>
      <c r="F328" s="147"/>
      <c r="G328" s="147"/>
      <c r="H328" s="147"/>
      <c r="I328" s="147"/>
      <c r="J328" s="147" t="s">
        <v>1632</v>
      </c>
      <c r="K328" s="147"/>
      <c r="L328" s="147"/>
      <c r="M328" s="147"/>
      <c r="N328" s="110"/>
      <c r="O328" s="110"/>
      <c r="P328" s="110"/>
      <c r="Q328" s="110"/>
    </row>
    <row r="329" spans="1:22" x14ac:dyDescent="0.25">
      <c r="A329" s="10" t="s">
        <v>939</v>
      </c>
      <c r="B329" s="10" t="s">
        <v>2</v>
      </c>
      <c r="C329" s="129">
        <v>60128805</v>
      </c>
      <c r="D329" s="178">
        <v>41624</v>
      </c>
      <c r="E329" s="178">
        <v>41754</v>
      </c>
      <c r="F329" s="178"/>
      <c r="G329" s="178"/>
      <c r="H329" s="178"/>
      <c r="I329" s="178"/>
      <c r="J329" s="14">
        <v>123350</v>
      </c>
      <c r="K329" s="14"/>
      <c r="L329" s="14"/>
      <c r="M329" s="14"/>
      <c r="N329" s="14"/>
      <c r="O329" s="14"/>
      <c r="P329" s="14"/>
      <c r="Q329" s="10"/>
    </row>
    <row r="330" spans="1:22" x14ac:dyDescent="0.25">
      <c r="A330" s="17" t="s">
        <v>1382</v>
      </c>
      <c r="B330" s="10"/>
      <c r="C330" s="129"/>
      <c r="D330" s="179">
        <v>41753</v>
      </c>
      <c r="E330" s="179">
        <v>41887</v>
      </c>
      <c r="F330" s="179"/>
      <c r="G330" s="179"/>
      <c r="H330" s="179"/>
      <c r="I330" s="179"/>
      <c r="J330" s="182">
        <v>105319</v>
      </c>
      <c r="K330" s="182"/>
      <c r="L330" s="182"/>
      <c r="M330" s="182"/>
      <c r="N330" s="14"/>
      <c r="O330" s="14"/>
      <c r="P330" s="14"/>
      <c r="Q330" s="10"/>
    </row>
    <row r="333" spans="1:22" x14ac:dyDescent="0.25">
      <c r="A333" s="56" t="s">
        <v>1681</v>
      </c>
    </row>
    <row r="334" spans="1:22" x14ac:dyDescent="0.25">
      <c r="A334" s="32" t="s">
        <v>281</v>
      </c>
      <c r="B334" s="32" t="s">
        <v>0</v>
      </c>
      <c r="C334" s="32" t="s">
        <v>1691</v>
      </c>
      <c r="D334" s="32" t="s">
        <v>10</v>
      </c>
      <c r="E334" s="32" t="s">
        <v>11</v>
      </c>
      <c r="F334" s="131"/>
      <c r="G334" s="131"/>
      <c r="H334" s="131"/>
      <c r="I334" s="131"/>
      <c r="Q334" s="10" t="s">
        <v>279</v>
      </c>
      <c r="R334" s="10" t="s">
        <v>1682</v>
      </c>
      <c r="S334" s="11"/>
    </row>
    <row r="335" spans="1:22" x14ac:dyDescent="0.25">
      <c r="A335" s="10" t="s">
        <v>1692</v>
      </c>
      <c r="B335" s="10" t="s">
        <v>1693</v>
      </c>
      <c r="C335" s="10" t="s">
        <v>1635</v>
      </c>
      <c r="D335" s="10" t="s">
        <v>1710</v>
      </c>
      <c r="E335" s="10" t="s">
        <v>1694</v>
      </c>
      <c r="F335" s="11"/>
      <c r="G335" s="11"/>
      <c r="H335" s="11"/>
      <c r="I335" s="11"/>
      <c r="Q335" s="10" t="s">
        <v>1683</v>
      </c>
      <c r="R335" s="10" t="s">
        <v>1684</v>
      </c>
      <c r="S335" s="11"/>
    </row>
    <row r="336" spans="1:22" x14ac:dyDescent="0.25">
      <c r="A336" s="10" t="s">
        <v>1695</v>
      </c>
      <c r="B336" s="10" t="s">
        <v>1696</v>
      </c>
      <c r="C336" s="10" t="s">
        <v>1635</v>
      </c>
      <c r="D336" s="10" t="s">
        <v>1710</v>
      </c>
      <c r="E336" s="181">
        <v>41768</v>
      </c>
      <c r="F336" s="196"/>
      <c r="G336" s="196"/>
      <c r="H336" s="196"/>
      <c r="I336" s="196"/>
      <c r="Q336" s="10" t="s">
        <v>1685</v>
      </c>
      <c r="R336" s="10" t="s">
        <v>1686</v>
      </c>
      <c r="S336" s="11"/>
    </row>
    <row r="337" spans="1:19" x14ac:dyDescent="0.25">
      <c r="A337" s="10" t="s">
        <v>1695</v>
      </c>
      <c r="B337" s="10" t="s">
        <v>1697</v>
      </c>
      <c r="C337" s="10" t="s">
        <v>1636</v>
      </c>
      <c r="D337" s="10" t="s">
        <v>1698</v>
      </c>
      <c r="E337" s="10" t="s">
        <v>1699</v>
      </c>
      <c r="F337" s="11"/>
      <c r="G337" s="11"/>
      <c r="H337" s="11"/>
      <c r="I337" s="11"/>
      <c r="Q337" s="10" t="s">
        <v>1687</v>
      </c>
      <c r="R337" s="10" t="s">
        <v>1684</v>
      </c>
      <c r="S337" s="11"/>
    </row>
    <row r="338" spans="1:19" x14ac:dyDescent="0.25">
      <c r="A338" s="10" t="s">
        <v>1700</v>
      </c>
      <c r="B338" s="10" t="s">
        <v>1701</v>
      </c>
      <c r="C338" s="10" t="s">
        <v>1635</v>
      </c>
      <c r="D338" s="10" t="s">
        <v>1710</v>
      </c>
      <c r="E338" s="10" t="s">
        <v>1694</v>
      </c>
      <c r="F338" s="11"/>
      <c r="G338" s="11"/>
      <c r="H338" s="11"/>
      <c r="I338" s="11"/>
      <c r="Q338" s="10" t="s">
        <v>344</v>
      </c>
      <c r="R338" s="10" t="s">
        <v>1688</v>
      </c>
      <c r="S338" s="11"/>
    </row>
    <row r="339" spans="1:19" x14ac:dyDescent="0.25">
      <c r="A339" s="10" t="s">
        <v>344</v>
      </c>
      <c r="B339" s="10" t="s">
        <v>1496</v>
      </c>
      <c r="C339" s="10" t="s">
        <v>1636</v>
      </c>
      <c r="D339" s="10" t="s">
        <v>1702</v>
      </c>
      <c r="E339" s="10" t="s">
        <v>1703</v>
      </c>
      <c r="F339" s="11"/>
      <c r="G339" s="11"/>
      <c r="H339" s="11"/>
      <c r="I339" s="11"/>
      <c r="Q339" s="10" t="s">
        <v>1689</v>
      </c>
      <c r="R339" s="10" t="s">
        <v>1690</v>
      </c>
      <c r="S339" s="11"/>
    </row>
    <row r="340" spans="1:19" x14ac:dyDescent="0.25">
      <c r="A340" s="10" t="s">
        <v>1704</v>
      </c>
      <c r="B340" s="10" t="s">
        <v>1705</v>
      </c>
      <c r="C340" s="10" t="s">
        <v>1635</v>
      </c>
      <c r="D340" s="10" t="s">
        <v>1710</v>
      </c>
      <c r="E340" s="181">
        <v>41768</v>
      </c>
      <c r="F340" s="196"/>
      <c r="G340" s="196"/>
      <c r="H340" s="196"/>
      <c r="I340" s="196"/>
      <c r="Q340" s="10"/>
      <c r="R340" s="10" t="s">
        <v>1682</v>
      </c>
      <c r="S340" s="11"/>
    </row>
    <row r="341" spans="1:19" x14ac:dyDescent="0.25">
      <c r="A341" s="10" t="s">
        <v>1706</v>
      </c>
      <c r="B341" s="10" t="s">
        <v>1707</v>
      </c>
      <c r="C341" s="10" t="s">
        <v>1635</v>
      </c>
      <c r="D341" s="10" t="s">
        <v>1710</v>
      </c>
      <c r="E341" s="181">
        <v>41798</v>
      </c>
      <c r="F341" s="196"/>
      <c r="G341" s="196"/>
      <c r="H341" s="196"/>
      <c r="I341" s="196"/>
    </row>
    <row r="342" spans="1:19" x14ac:dyDescent="0.25">
      <c r="A342" s="10" t="s">
        <v>1708</v>
      </c>
      <c r="B342" s="10" t="s">
        <v>1709</v>
      </c>
      <c r="C342" s="10" t="s">
        <v>1636</v>
      </c>
      <c r="D342" s="10" t="s">
        <v>1710</v>
      </c>
      <c r="E342" s="10" t="s">
        <v>1711</v>
      </c>
      <c r="F342" s="11"/>
      <c r="G342" s="11"/>
      <c r="H342" s="11"/>
      <c r="I342" s="11"/>
    </row>
    <row r="343" spans="1:19" x14ac:dyDescent="0.25">
      <c r="A343" s="10" t="s">
        <v>1708</v>
      </c>
      <c r="B343" s="10" t="s">
        <v>1709</v>
      </c>
      <c r="C343" s="10" t="s">
        <v>1635</v>
      </c>
      <c r="D343" s="10" t="s">
        <v>1712</v>
      </c>
      <c r="E343" s="10" t="s">
        <v>1694</v>
      </c>
      <c r="F343" s="11"/>
      <c r="G343" s="11"/>
      <c r="H343" s="11"/>
      <c r="I343" s="11"/>
    </row>
    <row r="347" spans="1:19" x14ac:dyDescent="0.25">
      <c r="A347" s="183">
        <v>41730</v>
      </c>
      <c r="D347" s="5" t="s">
        <v>1715</v>
      </c>
    </row>
    <row r="348" spans="1:19" x14ac:dyDescent="0.25">
      <c r="A348" s="32" t="s">
        <v>281</v>
      </c>
      <c r="B348" s="32" t="s">
        <v>0</v>
      </c>
      <c r="C348" s="32" t="s">
        <v>1691</v>
      </c>
      <c r="D348" s="184" t="s">
        <v>1714</v>
      </c>
      <c r="E348" s="184" t="s">
        <v>132</v>
      </c>
      <c r="F348" s="184"/>
      <c r="G348" s="184"/>
      <c r="H348" s="184"/>
      <c r="I348" s="184"/>
      <c r="J348" s="184" t="s">
        <v>1713</v>
      </c>
      <c r="K348" s="185"/>
      <c r="L348" s="185"/>
      <c r="M348" s="185"/>
    </row>
    <row r="349" spans="1:19" x14ac:dyDescent="0.25">
      <c r="A349" s="10" t="s">
        <v>1692</v>
      </c>
      <c r="B349" s="10" t="s">
        <v>1693</v>
      </c>
      <c r="C349" s="10" t="s">
        <v>1635</v>
      </c>
      <c r="D349" s="10">
        <v>2</v>
      </c>
      <c r="E349" s="10">
        <v>179</v>
      </c>
      <c r="F349" s="10"/>
      <c r="G349" s="10"/>
      <c r="H349" s="10"/>
      <c r="I349" s="10"/>
      <c r="J349" s="10">
        <f t="shared" ref="J349:J354" si="6">D349*E349</f>
        <v>358</v>
      </c>
      <c r="K349" s="11"/>
      <c r="L349" s="11"/>
      <c r="M349" s="11"/>
    </row>
    <row r="350" spans="1:19" x14ac:dyDescent="0.25">
      <c r="A350" s="10" t="s">
        <v>1695</v>
      </c>
      <c r="B350" s="10" t="s">
        <v>1696</v>
      </c>
      <c r="C350" s="10" t="s">
        <v>1635</v>
      </c>
      <c r="D350" s="10">
        <v>2</v>
      </c>
      <c r="E350" s="10">
        <v>168</v>
      </c>
      <c r="F350" s="10"/>
      <c r="G350" s="10"/>
      <c r="H350" s="10"/>
      <c r="I350" s="10"/>
      <c r="J350" s="10">
        <f t="shared" si="6"/>
        <v>336</v>
      </c>
      <c r="K350" s="11"/>
      <c r="L350" s="11"/>
      <c r="M350" s="11"/>
    </row>
    <row r="351" spans="1:19" x14ac:dyDescent="0.25">
      <c r="A351" s="10" t="s">
        <v>1700</v>
      </c>
      <c r="B351" s="10" t="s">
        <v>1701</v>
      </c>
      <c r="C351" s="10" t="s">
        <v>1635</v>
      </c>
      <c r="D351" s="10">
        <v>2</v>
      </c>
      <c r="E351" s="10">
        <v>168</v>
      </c>
      <c r="F351" s="10"/>
      <c r="G351" s="10"/>
      <c r="H351" s="10"/>
      <c r="I351" s="10"/>
      <c r="J351" s="10">
        <f t="shared" si="6"/>
        <v>336</v>
      </c>
      <c r="K351" s="11"/>
      <c r="L351" s="11"/>
      <c r="M351" s="11"/>
    </row>
    <row r="352" spans="1:19" x14ac:dyDescent="0.25">
      <c r="A352" s="10" t="s">
        <v>1704</v>
      </c>
      <c r="B352" s="10" t="s">
        <v>1705</v>
      </c>
      <c r="C352" s="10" t="s">
        <v>1635</v>
      </c>
      <c r="D352" s="10">
        <v>2</v>
      </c>
      <c r="E352" s="10">
        <v>156</v>
      </c>
      <c r="F352" s="10"/>
      <c r="G352" s="10"/>
      <c r="H352" s="10"/>
      <c r="I352" s="10"/>
      <c r="J352" s="10">
        <f t="shared" si="6"/>
        <v>312</v>
      </c>
      <c r="K352" s="11"/>
      <c r="L352" s="11"/>
      <c r="M352" s="11"/>
    </row>
    <row r="353" spans="1:17" x14ac:dyDescent="0.25">
      <c r="A353" s="10" t="s">
        <v>1706</v>
      </c>
      <c r="B353" s="10" t="s">
        <v>1496</v>
      </c>
      <c r="C353" s="10" t="s">
        <v>1635</v>
      </c>
      <c r="D353" s="10">
        <v>2</v>
      </c>
      <c r="E353" s="10">
        <v>156</v>
      </c>
      <c r="F353" s="10"/>
      <c r="G353" s="10"/>
      <c r="H353" s="10"/>
      <c r="I353" s="10"/>
      <c r="J353" s="10">
        <f t="shared" si="6"/>
        <v>312</v>
      </c>
      <c r="K353" s="11"/>
      <c r="L353" s="11"/>
      <c r="M353" s="11"/>
    </row>
    <row r="354" spans="1:17" x14ac:dyDescent="0.25">
      <c r="A354" s="10" t="s">
        <v>1708</v>
      </c>
      <c r="B354" s="10" t="s">
        <v>1709</v>
      </c>
      <c r="C354" s="10" t="s">
        <v>1636</v>
      </c>
      <c r="D354" s="10">
        <v>2</v>
      </c>
      <c r="E354" s="10">
        <v>488</v>
      </c>
      <c r="F354" s="10"/>
      <c r="G354" s="10"/>
      <c r="H354" s="10"/>
      <c r="I354" s="10"/>
      <c r="J354" s="10">
        <f t="shared" si="6"/>
        <v>976</v>
      </c>
      <c r="K354" s="11"/>
      <c r="L354" s="11"/>
      <c r="M354" s="11"/>
    </row>
    <row r="355" spans="1:17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185">
        <f>SUM(J349:J354)</f>
        <v>2630</v>
      </c>
      <c r="K355" s="185"/>
      <c r="L355" s="185"/>
      <c r="M355" s="185"/>
    </row>
    <row r="358" spans="1:17" x14ac:dyDescent="0.25">
      <c r="A358" s="183">
        <v>41760</v>
      </c>
      <c r="D358" s="5" t="s">
        <v>1716</v>
      </c>
    </row>
    <row r="359" spans="1:17" x14ac:dyDescent="0.25">
      <c r="A359" s="32" t="s">
        <v>281</v>
      </c>
      <c r="B359" s="32" t="s">
        <v>0</v>
      </c>
      <c r="C359" s="32" t="s">
        <v>1691</v>
      </c>
      <c r="D359" s="184" t="s">
        <v>1714</v>
      </c>
      <c r="E359" s="184" t="s">
        <v>132</v>
      </c>
      <c r="F359" s="184"/>
      <c r="G359" s="184"/>
      <c r="H359" s="184"/>
      <c r="I359" s="184"/>
      <c r="J359" s="184" t="s">
        <v>1713</v>
      </c>
      <c r="K359" s="185"/>
      <c r="L359" s="185"/>
      <c r="M359" s="185"/>
    </row>
    <row r="360" spans="1:17" x14ac:dyDescent="0.25">
      <c r="A360" s="10" t="s">
        <v>1692</v>
      </c>
      <c r="B360" s="24" t="s">
        <v>1693</v>
      </c>
      <c r="C360" s="10" t="s">
        <v>1635</v>
      </c>
      <c r="D360" s="10">
        <v>24</v>
      </c>
      <c r="E360" s="10">
        <v>179</v>
      </c>
      <c r="F360" s="10"/>
      <c r="G360" s="10"/>
      <c r="H360" s="10"/>
      <c r="I360" s="10"/>
      <c r="J360" s="10">
        <f t="shared" ref="J360:J365" si="7">D360*E360</f>
        <v>4296</v>
      </c>
      <c r="K360" s="11"/>
      <c r="L360" s="11"/>
      <c r="M360" s="11"/>
      <c r="O360" s="5" t="s">
        <v>1731</v>
      </c>
      <c r="P360" s="5"/>
      <c r="Q360" s="5" t="s">
        <v>1732</v>
      </c>
    </row>
    <row r="361" spans="1:17" x14ac:dyDescent="0.25">
      <c r="A361" s="10" t="s">
        <v>1695</v>
      </c>
      <c r="B361" s="24" t="s">
        <v>1696</v>
      </c>
      <c r="C361" s="10" t="s">
        <v>1635</v>
      </c>
      <c r="D361" s="10">
        <v>24</v>
      </c>
      <c r="E361" s="10">
        <v>168</v>
      </c>
      <c r="F361" s="10"/>
      <c r="G361" s="10"/>
      <c r="H361" s="10"/>
      <c r="I361" s="10"/>
      <c r="J361" s="10">
        <f t="shared" si="7"/>
        <v>4032</v>
      </c>
      <c r="K361" s="11"/>
      <c r="L361" s="11"/>
      <c r="M361" s="11"/>
      <c r="O361" s="5" t="s">
        <v>1733</v>
      </c>
      <c r="P361" s="5"/>
      <c r="Q361" s="5" t="s">
        <v>1734</v>
      </c>
    </row>
    <row r="362" spans="1:17" x14ac:dyDescent="0.25">
      <c r="A362" s="10" t="s">
        <v>1700</v>
      </c>
      <c r="B362" s="24" t="s">
        <v>1701</v>
      </c>
      <c r="C362" s="10" t="s">
        <v>1635</v>
      </c>
      <c r="D362" s="10">
        <v>24</v>
      </c>
      <c r="E362" s="10">
        <v>168</v>
      </c>
      <c r="F362" s="10"/>
      <c r="G362" s="10"/>
      <c r="H362" s="10"/>
      <c r="I362" s="10"/>
      <c r="J362" s="10">
        <f t="shared" si="7"/>
        <v>4032</v>
      </c>
      <c r="K362" s="11"/>
      <c r="L362" s="11"/>
      <c r="M362" s="11"/>
      <c r="O362" s="5" t="s">
        <v>1724</v>
      </c>
      <c r="P362" s="5"/>
    </row>
    <row r="363" spans="1:17" x14ac:dyDescent="0.25">
      <c r="A363" s="10" t="s">
        <v>1704</v>
      </c>
      <c r="B363" s="24" t="s">
        <v>1705</v>
      </c>
      <c r="C363" s="10" t="s">
        <v>1635</v>
      </c>
      <c r="D363" s="10">
        <v>24</v>
      </c>
      <c r="E363" s="10">
        <v>156</v>
      </c>
      <c r="F363" s="10"/>
      <c r="G363" s="10"/>
      <c r="H363" s="10"/>
      <c r="I363" s="10"/>
      <c r="J363" s="10">
        <f t="shared" si="7"/>
        <v>3744</v>
      </c>
      <c r="K363" s="11"/>
      <c r="L363" s="11"/>
      <c r="M363" s="11"/>
    </row>
    <row r="364" spans="1:17" x14ac:dyDescent="0.25">
      <c r="A364" s="10" t="s">
        <v>1706</v>
      </c>
      <c r="B364" s="24" t="s">
        <v>1496</v>
      </c>
      <c r="C364" s="10" t="s">
        <v>1635</v>
      </c>
      <c r="D364" s="10">
        <v>24</v>
      </c>
      <c r="E364" s="10">
        <v>156</v>
      </c>
      <c r="F364" s="10"/>
      <c r="G364" s="10"/>
      <c r="H364" s="10"/>
      <c r="I364" s="10"/>
      <c r="J364" s="10">
        <f t="shared" si="7"/>
        <v>3744</v>
      </c>
      <c r="K364" s="11"/>
      <c r="L364" s="11"/>
      <c r="M364" s="11"/>
    </row>
    <row r="365" spans="1:17" x14ac:dyDescent="0.25">
      <c r="A365" s="10" t="s">
        <v>1708</v>
      </c>
      <c r="B365" s="24" t="s">
        <v>1709</v>
      </c>
      <c r="C365" s="10" t="s">
        <v>1636</v>
      </c>
      <c r="D365" s="10">
        <v>21</v>
      </c>
      <c r="E365" s="10">
        <v>488</v>
      </c>
      <c r="F365" s="10"/>
      <c r="G365" s="10"/>
      <c r="H365" s="10"/>
      <c r="I365" s="10"/>
      <c r="J365" s="10">
        <f t="shared" si="7"/>
        <v>10248</v>
      </c>
      <c r="K365" s="11"/>
      <c r="L365" s="11"/>
      <c r="M365" s="11"/>
    </row>
    <row r="366" spans="1:17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185">
        <f>SUM(J360:J365)</f>
        <v>30096</v>
      </c>
      <c r="K366" s="185"/>
      <c r="L366" s="185"/>
      <c r="M366" s="185"/>
    </row>
    <row r="369" spans="1:13" x14ac:dyDescent="0.25">
      <c r="A369" s="183">
        <v>41791</v>
      </c>
      <c r="D369" s="5" t="s">
        <v>1717</v>
      </c>
    </row>
    <row r="370" spans="1:13" x14ac:dyDescent="0.25">
      <c r="A370" s="32" t="s">
        <v>281</v>
      </c>
      <c r="B370" s="32" t="s">
        <v>0</v>
      </c>
      <c r="C370" s="32" t="s">
        <v>1691</v>
      </c>
      <c r="D370" s="184" t="s">
        <v>1714</v>
      </c>
      <c r="E370" s="184" t="s">
        <v>132</v>
      </c>
      <c r="F370" s="184"/>
      <c r="G370" s="184"/>
      <c r="H370" s="184"/>
      <c r="I370" s="184"/>
      <c r="J370" s="184" t="s">
        <v>1713</v>
      </c>
      <c r="K370" s="185"/>
      <c r="L370" s="185"/>
      <c r="M370" s="185"/>
    </row>
    <row r="371" spans="1:13" x14ac:dyDescent="0.25">
      <c r="A371" s="10" t="s">
        <v>1692</v>
      </c>
      <c r="B371" s="24" t="s">
        <v>1693</v>
      </c>
      <c r="C371" s="10" t="s">
        <v>1635</v>
      </c>
      <c r="D371" s="10">
        <v>20</v>
      </c>
      <c r="E371" s="10">
        <v>179</v>
      </c>
      <c r="F371" s="10"/>
      <c r="G371" s="10"/>
      <c r="H371" s="10"/>
      <c r="I371" s="10"/>
      <c r="J371" s="10">
        <f t="shared" ref="J371:J377" si="8">D371*E371</f>
        <v>3580</v>
      </c>
      <c r="K371" s="11"/>
      <c r="L371" s="11"/>
      <c r="M371" s="11"/>
    </row>
    <row r="372" spans="1:13" x14ac:dyDescent="0.25">
      <c r="A372" s="10" t="s">
        <v>1695</v>
      </c>
      <c r="B372" s="24" t="s">
        <v>1696</v>
      </c>
      <c r="C372" s="10" t="s">
        <v>1635</v>
      </c>
      <c r="D372" s="10">
        <v>20</v>
      </c>
      <c r="E372" s="10">
        <v>168</v>
      </c>
      <c r="F372" s="10"/>
      <c r="G372" s="10"/>
      <c r="H372" s="10"/>
      <c r="I372" s="10"/>
      <c r="J372" s="10">
        <f t="shared" si="8"/>
        <v>3360</v>
      </c>
      <c r="K372" s="11"/>
      <c r="L372" s="11"/>
      <c r="M372" s="11"/>
    </row>
    <row r="373" spans="1:13" x14ac:dyDescent="0.25">
      <c r="A373" s="10" t="s">
        <v>1700</v>
      </c>
      <c r="B373" s="24" t="s">
        <v>1701</v>
      </c>
      <c r="C373" s="10" t="s">
        <v>1635</v>
      </c>
      <c r="D373" s="10">
        <v>20</v>
      </c>
      <c r="E373" s="10">
        <v>168</v>
      </c>
      <c r="F373" s="10"/>
      <c r="G373" s="10"/>
      <c r="H373" s="10"/>
      <c r="I373" s="10"/>
      <c r="J373" s="10">
        <f t="shared" si="8"/>
        <v>3360</v>
      </c>
      <c r="K373" s="11"/>
      <c r="L373" s="11"/>
      <c r="M373" s="11"/>
    </row>
    <row r="374" spans="1:13" x14ac:dyDescent="0.25">
      <c r="A374" s="10" t="s">
        <v>1704</v>
      </c>
      <c r="B374" s="24" t="s">
        <v>1705</v>
      </c>
      <c r="C374" s="10" t="s">
        <v>1635</v>
      </c>
      <c r="D374" s="10">
        <v>20</v>
      </c>
      <c r="E374" s="10">
        <v>156</v>
      </c>
      <c r="F374" s="10"/>
      <c r="G374" s="10"/>
      <c r="H374" s="10"/>
      <c r="I374" s="10"/>
      <c r="J374" s="10">
        <f t="shared" si="8"/>
        <v>3120</v>
      </c>
      <c r="K374" s="11"/>
      <c r="L374" s="11"/>
      <c r="M374" s="11"/>
    </row>
    <row r="375" spans="1:13" x14ac:dyDescent="0.25">
      <c r="A375" s="10" t="s">
        <v>1706</v>
      </c>
      <c r="B375" s="24" t="s">
        <v>1496</v>
      </c>
      <c r="C375" s="10" t="s">
        <v>1635</v>
      </c>
      <c r="D375" s="10">
        <v>20</v>
      </c>
      <c r="E375" s="10">
        <v>156</v>
      </c>
      <c r="F375" s="10"/>
      <c r="G375" s="10"/>
      <c r="H375" s="10"/>
      <c r="I375" s="10"/>
      <c r="J375" s="10">
        <f t="shared" si="8"/>
        <v>3120</v>
      </c>
      <c r="K375" s="11"/>
      <c r="L375" s="11"/>
      <c r="M375" s="11"/>
    </row>
    <row r="376" spans="1:13" x14ac:dyDescent="0.25">
      <c r="A376" s="10" t="s">
        <v>1708</v>
      </c>
      <c r="B376" s="24" t="s">
        <v>1709</v>
      </c>
      <c r="C376" s="10" t="s">
        <v>1636</v>
      </c>
      <c r="D376" s="10">
        <v>10</v>
      </c>
      <c r="E376" s="10">
        <v>488</v>
      </c>
      <c r="F376" s="10"/>
      <c r="G376" s="10"/>
      <c r="H376" s="10"/>
      <c r="I376" s="10"/>
      <c r="J376" s="10">
        <f t="shared" si="8"/>
        <v>4880</v>
      </c>
      <c r="K376" s="11"/>
      <c r="L376" s="11"/>
      <c r="M376" s="11"/>
    </row>
    <row r="377" spans="1:13" x14ac:dyDescent="0.25">
      <c r="A377" s="10" t="s">
        <v>1708</v>
      </c>
      <c r="B377" s="24" t="s">
        <v>1709</v>
      </c>
      <c r="C377" s="10" t="s">
        <v>1635</v>
      </c>
      <c r="D377" s="10">
        <v>10</v>
      </c>
      <c r="E377" s="10">
        <v>179</v>
      </c>
      <c r="F377" s="10"/>
      <c r="G377" s="10"/>
      <c r="H377" s="10"/>
      <c r="I377" s="10"/>
      <c r="J377" s="10">
        <f t="shared" si="8"/>
        <v>1790</v>
      </c>
      <c r="K377" s="11"/>
      <c r="L377" s="11"/>
      <c r="M377" s="11"/>
    </row>
    <row r="378" spans="1:1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185">
        <f>SUM(J371:J377)</f>
        <v>23210</v>
      </c>
      <c r="K378" s="185"/>
      <c r="L378" s="185"/>
      <c r="M378" s="185"/>
    </row>
    <row r="382" spans="1:13" x14ac:dyDescent="0.25">
      <c r="A382" s="183">
        <v>41821</v>
      </c>
      <c r="D382" s="5" t="s">
        <v>1718</v>
      </c>
    </row>
    <row r="383" spans="1:13" x14ac:dyDescent="0.25">
      <c r="A383" s="32" t="s">
        <v>281</v>
      </c>
      <c r="B383" s="32" t="s">
        <v>0</v>
      </c>
      <c r="C383" s="32" t="s">
        <v>1691</v>
      </c>
      <c r="D383" s="184" t="s">
        <v>1714</v>
      </c>
      <c r="E383" s="184" t="s">
        <v>132</v>
      </c>
      <c r="F383" s="184"/>
      <c r="G383" s="184"/>
      <c r="H383" s="184"/>
      <c r="I383" s="184"/>
      <c r="J383" s="184" t="s">
        <v>1713</v>
      </c>
      <c r="K383" s="185"/>
      <c r="L383" s="185"/>
      <c r="M383" s="185"/>
    </row>
    <row r="384" spans="1:13" x14ac:dyDescent="0.25">
      <c r="A384" s="10" t="s">
        <v>1692</v>
      </c>
      <c r="B384" s="24" t="s">
        <v>1693</v>
      </c>
      <c r="C384" s="10" t="s">
        <v>1635</v>
      </c>
      <c r="D384" s="10">
        <v>20</v>
      </c>
      <c r="E384" s="10">
        <v>179</v>
      </c>
      <c r="F384" s="10"/>
      <c r="G384" s="10"/>
      <c r="H384" s="10"/>
      <c r="I384" s="10"/>
      <c r="J384" s="10">
        <f t="shared" ref="J384:J390" si="9">D384*E384</f>
        <v>3580</v>
      </c>
      <c r="K384" s="11"/>
      <c r="L384" s="11"/>
      <c r="M384" s="11"/>
    </row>
    <row r="385" spans="1:17" x14ac:dyDescent="0.25">
      <c r="A385" s="10" t="s">
        <v>1695</v>
      </c>
      <c r="B385" s="24" t="s">
        <v>1696</v>
      </c>
      <c r="C385" s="10" t="s">
        <v>1635</v>
      </c>
      <c r="D385" s="10">
        <v>20</v>
      </c>
      <c r="E385" s="10">
        <v>168</v>
      </c>
      <c r="F385" s="10"/>
      <c r="G385" s="10"/>
      <c r="H385" s="10"/>
      <c r="I385" s="10"/>
      <c r="J385" s="10">
        <f t="shared" si="9"/>
        <v>3360</v>
      </c>
      <c r="K385" s="11"/>
      <c r="L385" s="11"/>
      <c r="M385" s="11"/>
    </row>
    <row r="386" spans="1:17" x14ac:dyDescent="0.25">
      <c r="A386" s="10" t="s">
        <v>1700</v>
      </c>
      <c r="B386" s="24" t="s">
        <v>1701</v>
      </c>
      <c r="C386" s="10" t="s">
        <v>1635</v>
      </c>
      <c r="D386" s="10">
        <v>20</v>
      </c>
      <c r="E386" s="10">
        <v>168</v>
      </c>
      <c r="F386" s="10"/>
      <c r="G386" s="10"/>
      <c r="H386" s="10"/>
      <c r="I386" s="10"/>
      <c r="J386" s="10">
        <f t="shared" si="9"/>
        <v>3360</v>
      </c>
      <c r="K386" s="11"/>
      <c r="L386" s="11"/>
      <c r="M386" s="11"/>
    </row>
    <row r="387" spans="1:17" x14ac:dyDescent="0.25">
      <c r="A387" s="10" t="s">
        <v>1704</v>
      </c>
      <c r="B387" s="24" t="s">
        <v>1705</v>
      </c>
      <c r="C387" s="10" t="s">
        <v>1635</v>
      </c>
      <c r="D387" s="10">
        <v>20</v>
      </c>
      <c r="E387" s="10">
        <v>156</v>
      </c>
      <c r="F387" s="10"/>
      <c r="G387" s="10"/>
      <c r="H387" s="10"/>
      <c r="I387" s="10"/>
      <c r="J387" s="10">
        <f t="shared" si="9"/>
        <v>3120</v>
      </c>
      <c r="K387" s="11"/>
      <c r="L387" s="11"/>
      <c r="M387" s="11"/>
    </row>
    <row r="388" spans="1:17" x14ac:dyDescent="0.25">
      <c r="A388" s="10" t="s">
        <v>1706</v>
      </c>
      <c r="B388" s="24" t="s">
        <v>1496</v>
      </c>
      <c r="C388" s="10" t="s">
        <v>1635</v>
      </c>
      <c r="D388" s="10">
        <v>13</v>
      </c>
      <c r="E388" s="10">
        <v>156</v>
      </c>
      <c r="F388" s="10"/>
      <c r="G388" s="10"/>
      <c r="H388" s="10"/>
      <c r="I388" s="10"/>
      <c r="J388" s="10">
        <f t="shared" si="9"/>
        <v>2028</v>
      </c>
      <c r="K388" s="11"/>
      <c r="L388" s="11"/>
      <c r="M388" s="11"/>
    </row>
    <row r="389" spans="1:17" x14ac:dyDescent="0.25">
      <c r="A389" s="10" t="s">
        <v>1706</v>
      </c>
      <c r="B389" s="24" t="s">
        <v>1496</v>
      </c>
      <c r="C389" s="10" t="s">
        <v>1636</v>
      </c>
      <c r="D389" s="10">
        <v>7</v>
      </c>
      <c r="E389" s="10">
        <v>471</v>
      </c>
      <c r="F389" s="10"/>
      <c r="G389" s="10"/>
      <c r="H389" s="10"/>
      <c r="I389" s="10"/>
      <c r="J389" s="10">
        <f t="shared" si="9"/>
        <v>3297</v>
      </c>
      <c r="K389" s="11"/>
      <c r="L389" s="11"/>
      <c r="M389" s="11"/>
    </row>
    <row r="390" spans="1:17" x14ac:dyDescent="0.25">
      <c r="A390" s="10" t="s">
        <v>1708</v>
      </c>
      <c r="B390" s="24" t="s">
        <v>1709</v>
      </c>
      <c r="C390" s="10" t="s">
        <v>1635</v>
      </c>
      <c r="D390" s="10">
        <v>20</v>
      </c>
      <c r="E390" s="10">
        <v>179</v>
      </c>
      <c r="F390" s="10"/>
      <c r="G390" s="10"/>
      <c r="H390" s="10"/>
      <c r="I390" s="10"/>
      <c r="J390" s="10">
        <f t="shared" si="9"/>
        <v>3580</v>
      </c>
      <c r="K390" s="11"/>
      <c r="L390" s="11"/>
      <c r="M390" s="11"/>
    </row>
    <row r="391" spans="1:17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185">
        <f>SUM(J384:J390)</f>
        <v>22325</v>
      </c>
      <c r="K391" s="185"/>
      <c r="L391" s="185"/>
      <c r="M391" s="185"/>
    </row>
    <row r="394" spans="1:17" x14ac:dyDescent="0.25">
      <c r="A394" s="183">
        <v>41852</v>
      </c>
      <c r="D394" s="5" t="s">
        <v>1719</v>
      </c>
    </row>
    <row r="395" spans="1:17" x14ac:dyDescent="0.25">
      <c r="A395" s="32" t="s">
        <v>281</v>
      </c>
      <c r="B395" s="32" t="s">
        <v>0</v>
      </c>
      <c r="C395" s="32" t="s">
        <v>1691</v>
      </c>
      <c r="D395" s="184" t="s">
        <v>1714</v>
      </c>
      <c r="E395" s="184" t="s">
        <v>132</v>
      </c>
      <c r="F395" s="184"/>
      <c r="G395" s="184"/>
      <c r="H395" s="184"/>
      <c r="I395" s="184"/>
      <c r="J395" s="184" t="s">
        <v>1713</v>
      </c>
      <c r="K395" s="185"/>
      <c r="L395" s="185"/>
      <c r="M395" s="185"/>
      <c r="O395" s="145" t="s">
        <v>1729</v>
      </c>
      <c r="P395" s="145"/>
      <c r="Q395" s="145" t="s">
        <v>1725</v>
      </c>
    </row>
    <row r="396" spans="1:17" x14ac:dyDescent="0.25">
      <c r="A396" s="10" t="s">
        <v>1692</v>
      </c>
      <c r="B396" s="24" t="s">
        <v>1693</v>
      </c>
      <c r="C396" s="10" t="s">
        <v>1635</v>
      </c>
      <c r="D396" s="10">
        <v>20</v>
      </c>
      <c r="E396" s="10">
        <v>179</v>
      </c>
      <c r="F396" s="10"/>
      <c r="G396" s="10"/>
      <c r="H396" s="10"/>
      <c r="I396" s="10"/>
      <c r="J396" s="10">
        <f t="shared" ref="J396:J401" si="10">D396*E396</f>
        <v>3580</v>
      </c>
      <c r="K396" s="11"/>
      <c r="L396" s="11"/>
      <c r="M396" s="11"/>
      <c r="O396" s="145"/>
      <c r="P396" s="145"/>
      <c r="Q396" s="145" t="s">
        <v>1726</v>
      </c>
    </row>
    <row r="397" spans="1:17" x14ac:dyDescent="0.25">
      <c r="A397" s="10" t="s">
        <v>1695</v>
      </c>
      <c r="B397" s="24" t="s">
        <v>1696</v>
      </c>
      <c r="C397" s="10" t="s">
        <v>1635</v>
      </c>
      <c r="D397" s="10">
        <v>13</v>
      </c>
      <c r="E397" s="10">
        <v>168</v>
      </c>
      <c r="F397" s="10"/>
      <c r="G397" s="10"/>
      <c r="H397" s="10"/>
      <c r="I397" s="10"/>
      <c r="J397" s="10">
        <f t="shared" si="10"/>
        <v>2184</v>
      </c>
      <c r="K397" s="11"/>
      <c r="L397" s="11"/>
      <c r="M397" s="11"/>
      <c r="O397" s="145"/>
      <c r="P397" s="145"/>
      <c r="Q397" s="145" t="s">
        <v>1727</v>
      </c>
    </row>
    <row r="398" spans="1:17" x14ac:dyDescent="0.25">
      <c r="A398" s="10" t="s">
        <v>1695</v>
      </c>
      <c r="B398" s="24" t="s">
        <v>1696</v>
      </c>
      <c r="C398" s="10" t="s">
        <v>1636</v>
      </c>
      <c r="D398" s="10">
        <v>12</v>
      </c>
      <c r="E398" s="10">
        <v>471</v>
      </c>
      <c r="F398" s="10"/>
      <c r="G398" s="10"/>
      <c r="H398" s="10"/>
      <c r="I398" s="10"/>
      <c r="J398" s="10">
        <f t="shared" si="10"/>
        <v>5652</v>
      </c>
      <c r="K398" s="11"/>
      <c r="L398" s="11"/>
      <c r="M398" s="11"/>
      <c r="O398" s="145" t="s">
        <v>1730</v>
      </c>
      <c r="P398" s="145"/>
      <c r="Q398" s="145" t="s">
        <v>1728</v>
      </c>
    </row>
    <row r="399" spans="1:17" x14ac:dyDescent="0.25">
      <c r="A399" s="10" t="s">
        <v>1704</v>
      </c>
      <c r="B399" s="24" t="s">
        <v>1496</v>
      </c>
      <c r="C399" s="10" t="s">
        <v>1635</v>
      </c>
      <c r="D399" s="10">
        <v>5</v>
      </c>
      <c r="E399" s="10">
        <v>156</v>
      </c>
      <c r="F399" s="10"/>
      <c r="G399" s="10"/>
      <c r="H399" s="10"/>
      <c r="I399" s="10"/>
      <c r="J399" s="10">
        <f t="shared" si="10"/>
        <v>780</v>
      </c>
      <c r="K399" s="11"/>
      <c r="L399" s="11"/>
      <c r="M399" s="11"/>
    </row>
    <row r="400" spans="1:17" x14ac:dyDescent="0.25">
      <c r="A400" s="10" t="s">
        <v>1706</v>
      </c>
      <c r="B400" s="24" t="s">
        <v>1496</v>
      </c>
      <c r="C400" s="10" t="s">
        <v>1636</v>
      </c>
      <c r="D400" s="10">
        <v>20</v>
      </c>
      <c r="E400" s="10">
        <v>471</v>
      </c>
      <c r="F400" s="10"/>
      <c r="G400" s="10"/>
      <c r="H400" s="10"/>
      <c r="I400" s="10"/>
      <c r="J400" s="10">
        <f t="shared" si="10"/>
        <v>9420</v>
      </c>
      <c r="K400" s="11"/>
      <c r="L400" s="11"/>
      <c r="M400" s="11"/>
    </row>
    <row r="401" spans="1:21" x14ac:dyDescent="0.25">
      <c r="A401" s="10" t="s">
        <v>1708</v>
      </c>
      <c r="B401" s="24" t="s">
        <v>1709</v>
      </c>
      <c r="C401" s="10" t="s">
        <v>1635</v>
      </c>
      <c r="D401" s="10">
        <v>20</v>
      </c>
      <c r="E401" s="10">
        <v>179</v>
      </c>
      <c r="F401" s="10"/>
      <c r="G401" s="10"/>
      <c r="H401" s="10"/>
      <c r="I401" s="10"/>
      <c r="J401" s="10">
        <f t="shared" si="10"/>
        <v>3580</v>
      </c>
      <c r="K401" s="11"/>
      <c r="L401" s="11"/>
      <c r="M401" s="11"/>
    </row>
    <row r="402" spans="1:2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185">
        <f>SUM(J396:J401)</f>
        <v>25196</v>
      </c>
      <c r="K402" s="185"/>
      <c r="L402" s="185"/>
      <c r="M402" s="185"/>
      <c r="Q402" t="s">
        <v>1721</v>
      </c>
      <c r="R402">
        <v>105319</v>
      </c>
      <c r="U402" t="s">
        <v>1722</v>
      </c>
    </row>
    <row r="403" spans="1:21" x14ac:dyDescent="0.25">
      <c r="Q403" t="s">
        <v>1720</v>
      </c>
      <c r="R403">
        <f>SUM(J355+J366+J378+J391+J402+J410)</f>
        <v>105077</v>
      </c>
      <c r="U403">
        <f>R402-R403</f>
        <v>242</v>
      </c>
    </row>
    <row r="406" spans="1:21" x14ac:dyDescent="0.25">
      <c r="A406" s="183">
        <v>41883</v>
      </c>
      <c r="D406" s="5" t="s">
        <v>1723</v>
      </c>
    </row>
    <row r="407" spans="1:21" x14ac:dyDescent="0.25">
      <c r="A407" s="32" t="s">
        <v>281</v>
      </c>
      <c r="B407" s="32" t="s">
        <v>0</v>
      </c>
      <c r="C407" s="32" t="s">
        <v>1691</v>
      </c>
      <c r="D407" s="184" t="s">
        <v>1714</v>
      </c>
      <c r="E407" s="184" t="s">
        <v>132</v>
      </c>
      <c r="F407" s="184"/>
      <c r="G407" s="184"/>
      <c r="H407" s="184"/>
      <c r="I407" s="184"/>
      <c r="J407" s="184" t="s">
        <v>1713</v>
      </c>
      <c r="K407" s="185"/>
      <c r="L407" s="185"/>
      <c r="M407" s="185"/>
    </row>
    <row r="408" spans="1:21" x14ac:dyDescent="0.25">
      <c r="A408" s="10" t="s">
        <v>1695</v>
      </c>
      <c r="B408" s="23" t="s">
        <v>1696</v>
      </c>
      <c r="C408" s="10" t="s">
        <v>1635</v>
      </c>
      <c r="D408" s="10">
        <v>5</v>
      </c>
      <c r="E408" s="10">
        <v>168</v>
      </c>
      <c r="F408" s="10"/>
      <c r="G408" s="10"/>
      <c r="H408" s="10"/>
      <c r="I408" s="10"/>
      <c r="J408" s="10">
        <f>D408*E408</f>
        <v>840</v>
      </c>
      <c r="K408" s="11"/>
      <c r="L408" s="11"/>
      <c r="M408" s="11"/>
    </row>
    <row r="409" spans="1:21" x14ac:dyDescent="0.25">
      <c r="A409" s="10" t="s">
        <v>1704</v>
      </c>
      <c r="B409" s="23" t="s">
        <v>1496</v>
      </c>
      <c r="C409" s="10" t="s">
        <v>1635</v>
      </c>
      <c r="D409" s="10">
        <v>5</v>
      </c>
      <c r="E409" s="10">
        <v>156</v>
      </c>
      <c r="F409" s="10"/>
      <c r="G409" s="10"/>
      <c r="H409" s="10"/>
      <c r="I409" s="10"/>
      <c r="J409" s="10">
        <f>D409*E409</f>
        <v>780</v>
      </c>
      <c r="K409" s="11"/>
      <c r="L409" s="11"/>
      <c r="M409" s="11"/>
    </row>
    <row r="410" spans="1:2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185">
        <f>SUM(J408:J409)</f>
        <v>1620</v>
      </c>
      <c r="K410" s="185"/>
      <c r="L410" s="185"/>
      <c r="M410" s="185"/>
    </row>
    <row r="432" spans="5:9" x14ac:dyDescent="0.25">
      <c r="E432" s="189">
        <v>1135641</v>
      </c>
      <c r="F432" s="189"/>
      <c r="G432" s="189"/>
      <c r="H432" s="189"/>
      <c r="I432" s="189"/>
    </row>
    <row r="433" spans="1:16" x14ac:dyDescent="0.25">
      <c r="E433" s="190">
        <f>E432/1.68399</f>
        <v>674375.14474551508</v>
      </c>
      <c r="F433" s="190"/>
      <c r="G433" s="190"/>
      <c r="H433" s="190"/>
      <c r="I433" s="190"/>
    </row>
    <row r="435" spans="1:16" ht="30" x14ac:dyDescent="0.25">
      <c r="A435" t="s">
        <v>41</v>
      </c>
      <c r="B435" s="187" t="s">
        <v>1795</v>
      </c>
      <c r="C435" s="187" t="s">
        <v>1796</v>
      </c>
      <c r="D435" s="187"/>
    </row>
    <row r="436" spans="1:16" x14ac:dyDescent="0.25">
      <c r="A436" t="s">
        <v>1369</v>
      </c>
      <c r="B436" s="188">
        <v>878939.2</v>
      </c>
      <c r="C436">
        <f>B436*0.025</f>
        <v>21973.48</v>
      </c>
    </row>
    <row r="437" spans="1:16" x14ac:dyDescent="0.25">
      <c r="A437" t="s">
        <v>1485</v>
      </c>
      <c r="B437">
        <v>961349.95</v>
      </c>
      <c r="C437" s="188">
        <f>B437*0.025</f>
        <v>24033.748749999999</v>
      </c>
    </row>
    <row r="438" spans="1:16" x14ac:dyDescent="0.25">
      <c r="A438" t="s">
        <v>1486</v>
      </c>
      <c r="B438">
        <v>674375.14</v>
      </c>
      <c r="C438" s="188">
        <f>B438*0.025</f>
        <v>16859.378500000003</v>
      </c>
    </row>
    <row r="445" spans="1:16" x14ac:dyDescent="0.25">
      <c r="A445" t="s">
        <v>1797</v>
      </c>
    </row>
    <row r="448" spans="1:16" ht="64.5" x14ac:dyDescent="0.25">
      <c r="A448" s="18" t="s">
        <v>881</v>
      </c>
      <c r="B448" s="186" t="s">
        <v>1163</v>
      </c>
      <c r="C448" s="20" t="s">
        <v>2</v>
      </c>
      <c r="D448" s="129">
        <v>60131865</v>
      </c>
      <c r="E448" s="91">
        <v>41694</v>
      </c>
      <c r="F448" s="91"/>
      <c r="G448" s="91"/>
      <c r="H448" s="91"/>
      <c r="I448" s="91"/>
      <c r="J448" s="91">
        <v>41882</v>
      </c>
      <c r="K448" s="91"/>
      <c r="L448" s="91"/>
      <c r="M448" s="91"/>
      <c r="N448" s="76" t="s">
        <v>1162</v>
      </c>
      <c r="O448" s="10">
        <v>61941</v>
      </c>
      <c r="P448" s="11"/>
    </row>
    <row r="454" spans="1:17" ht="25.5" x14ac:dyDescent="0.25">
      <c r="A454" s="1" t="s">
        <v>40</v>
      </c>
      <c r="B454" s="1" t="s">
        <v>15</v>
      </c>
      <c r="C454" s="1" t="s">
        <v>41</v>
      </c>
      <c r="D454" s="1" t="s">
        <v>1</v>
      </c>
      <c r="E454" s="1" t="s">
        <v>265</v>
      </c>
      <c r="F454" s="1"/>
      <c r="G454" s="1"/>
      <c r="H454" s="1"/>
      <c r="I454" s="1"/>
      <c r="J454" s="1" t="s">
        <v>230</v>
      </c>
      <c r="K454" s="1"/>
      <c r="L454" s="1"/>
      <c r="M454" s="1"/>
      <c r="N454" s="1" t="s">
        <v>42</v>
      </c>
      <c r="O454" s="1" t="s">
        <v>43</v>
      </c>
      <c r="P454" s="1"/>
      <c r="Q454" s="1" t="s">
        <v>18</v>
      </c>
    </row>
    <row r="455" spans="1:17" x14ac:dyDescent="0.25">
      <c r="A455" s="23" t="s">
        <v>1315</v>
      </c>
      <c r="B455" s="10">
        <v>1000079359</v>
      </c>
      <c r="C455" s="10" t="s">
        <v>476</v>
      </c>
      <c r="D455" s="10" t="s">
        <v>1314</v>
      </c>
      <c r="E455" s="13">
        <v>2316.2399999999998</v>
      </c>
      <c r="F455" s="13"/>
      <c r="G455" s="13"/>
      <c r="H455" s="13"/>
      <c r="I455" s="13"/>
      <c r="J455" s="23">
        <v>60131865</v>
      </c>
      <c r="K455" s="23"/>
      <c r="L455" s="23"/>
      <c r="M455" s="23"/>
      <c r="N455" s="10" t="s">
        <v>280</v>
      </c>
      <c r="O455" s="10" t="s">
        <v>952</v>
      </c>
      <c r="P455" s="10"/>
      <c r="Q455" s="10" t="s">
        <v>1564</v>
      </c>
    </row>
    <row r="456" spans="1:17" x14ac:dyDescent="0.25">
      <c r="A456" s="10" t="s">
        <v>1388</v>
      </c>
      <c r="B456" s="10">
        <v>1000079359</v>
      </c>
      <c r="C456" s="10" t="s">
        <v>477</v>
      </c>
      <c r="D456" s="10" t="s">
        <v>1412</v>
      </c>
      <c r="E456" s="13">
        <v>9042</v>
      </c>
      <c r="F456" s="13"/>
      <c r="G456" s="13"/>
      <c r="H456" s="13"/>
      <c r="I456" s="13"/>
      <c r="J456" s="10">
        <v>60131865</v>
      </c>
      <c r="K456" s="10"/>
      <c r="L456" s="10"/>
      <c r="M456" s="10"/>
      <c r="N456" s="10" t="s">
        <v>280</v>
      </c>
      <c r="O456" s="140" t="s">
        <v>952</v>
      </c>
      <c r="P456" s="140"/>
      <c r="Q456" s="10" t="s">
        <v>1564</v>
      </c>
    </row>
    <row r="457" spans="1:17" x14ac:dyDescent="0.25">
      <c r="A457" s="23" t="s">
        <v>1591</v>
      </c>
      <c r="B457" s="23">
        <v>1000079359</v>
      </c>
      <c r="C457" s="23" t="s">
        <v>1478</v>
      </c>
      <c r="D457" s="23" t="s">
        <v>1590</v>
      </c>
      <c r="E457" s="39">
        <v>6095.76</v>
      </c>
      <c r="F457" s="39"/>
      <c r="G457" s="39"/>
      <c r="H457" s="39"/>
      <c r="I457" s="39"/>
      <c r="J457" s="23">
        <v>60131865</v>
      </c>
      <c r="K457" s="23"/>
      <c r="L457" s="23"/>
      <c r="M457" s="23"/>
      <c r="N457" s="23" t="s">
        <v>280</v>
      </c>
      <c r="O457" s="141" t="s">
        <v>952</v>
      </c>
      <c r="P457" s="141"/>
      <c r="Q457" s="191">
        <v>4</v>
      </c>
    </row>
    <row r="458" spans="1:17" x14ac:dyDescent="0.25">
      <c r="A458" s="154" t="s">
        <v>1781</v>
      </c>
      <c r="B458" s="10">
        <v>1000079359</v>
      </c>
      <c r="C458" s="23" t="s">
        <v>1488</v>
      </c>
      <c r="D458" s="10" t="s">
        <v>1782</v>
      </c>
      <c r="E458" s="13">
        <v>7937.28</v>
      </c>
      <c r="F458" s="13"/>
      <c r="G458" s="13"/>
      <c r="H458" s="13"/>
      <c r="I458" s="13"/>
      <c r="J458" s="23">
        <v>60131865</v>
      </c>
      <c r="K458" s="23"/>
      <c r="L458" s="23"/>
      <c r="M458" s="23"/>
      <c r="N458" s="23"/>
      <c r="O458" s="141" t="s">
        <v>952</v>
      </c>
      <c r="P458" s="141"/>
      <c r="Q458" s="10"/>
    </row>
    <row r="460" spans="1:17" x14ac:dyDescent="0.25">
      <c r="C460" s="10" t="s">
        <v>476</v>
      </c>
      <c r="D460" s="13">
        <v>2316.2399999999998</v>
      </c>
      <c r="E460" s="13">
        <f>D460/1.2</f>
        <v>1930.1999999999998</v>
      </c>
      <c r="F460" s="164"/>
      <c r="G460" s="164"/>
      <c r="H460" s="164"/>
      <c r="I460" s="164"/>
      <c r="J460">
        <v>2043</v>
      </c>
    </row>
    <row r="461" spans="1:17" x14ac:dyDescent="0.25">
      <c r="C461" s="10" t="s">
        <v>477</v>
      </c>
      <c r="D461" s="13">
        <v>9042</v>
      </c>
      <c r="E461" s="13">
        <f>D461/1.2</f>
        <v>7535</v>
      </c>
      <c r="F461" s="164"/>
      <c r="G461" s="164"/>
      <c r="H461" s="164"/>
      <c r="I461" s="164"/>
      <c r="J461">
        <v>7892</v>
      </c>
    </row>
    <row r="462" spans="1:17" x14ac:dyDescent="0.25">
      <c r="C462" s="23" t="s">
        <v>1478</v>
      </c>
      <c r="D462" s="39">
        <v>6095.76</v>
      </c>
      <c r="E462" s="13">
        <f>D462/1.2</f>
        <v>5079.8</v>
      </c>
      <c r="F462" s="164"/>
      <c r="G462" s="164"/>
      <c r="H462" s="164"/>
      <c r="I462" s="164"/>
      <c r="J462">
        <v>7892</v>
      </c>
    </row>
    <row r="463" spans="1:17" x14ac:dyDescent="0.25">
      <c r="C463" s="23" t="s">
        <v>1488</v>
      </c>
      <c r="D463" s="13">
        <v>7937.28</v>
      </c>
      <c r="E463" s="13">
        <f>D463/1.2</f>
        <v>6614.4</v>
      </c>
      <c r="F463" s="164"/>
      <c r="G463" s="164"/>
      <c r="H463" s="164"/>
      <c r="I463" s="164"/>
      <c r="J463">
        <v>9865</v>
      </c>
    </row>
    <row r="464" spans="1:17" x14ac:dyDescent="0.25">
      <c r="E464" s="109">
        <f>SUM(E460:E463)</f>
        <v>21159.4</v>
      </c>
      <c r="F464" s="109"/>
      <c r="G464" s="109"/>
      <c r="H464" s="109"/>
      <c r="I464" s="109"/>
      <c r="J464" s="109">
        <f>SUM(J460:J463)</f>
        <v>27692</v>
      </c>
      <c r="K464" s="109"/>
      <c r="L464" s="109"/>
      <c r="M464" s="109"/>
    </row>
    <row r="470" spans="1:4" x14ac:dyDescent="0.25">
      <c r="A470" t="s">
        <v>41</v>
      </c>
      <c r="B470" t="s">
        <v>1798</v>
      </c>
      <c r="C470" t="s">
        <v>132</v>
      </c>
    </row>
    <row r="471" spans="1:4" x14ac:dyDescent="0.25">
      <c r="A471" t="s">
        <v>1368</v>
      </c>
      <c r="B471">
        <v>1</v>
      </c>
      <c r="C471">
        <v>119</v>
      </c>
      <c r="D471">
        <f>B471*C471</f>
        <v>119</v>
      </c>
    </row>
    <row r="472" spans="1:4" x14ac:dyDescent="0.25">
      <c r="A472" t="s">
        <v>1369</v>
      </c>
      <c r="B472">
        <v>20</v>
      </c>
      <c r="C472">
        <v>119</v>
      </c>
      <c r="D472">
        <f>B472*C472</f>
        <v>2380</v>
      </c>
    </row>
    <row r="473" spans="1:4" x14ac:dyDescent="0.25">
      <c r="A473" t="s">
        <v>1485</v>
      </c>
      <c r="B473">
        <v>25</v>
      </c>
      <c r="C473">
        <v>119</v>
      </c>
      <c r="D473">
        <f>B473*C473</f>
        <v>2975</v>
      </c>
    </row>
    <row r="474" spans="1:4" x14ac:dyDescent="0.25">
      <c r="D474">
        <f>SUM(D471:D473)</f>
        <v>5474</v>
      </c>
    </row>
    <row r="510" spans="1:4" x14ac:dyDescent="0.25">
      <c r="A510" s="147"/>
      <c r="B510" s="147"/>
      <c r="C510" s="147"/>
      <c r="D510" s="147"/>
    </row>
    <row r="511" spans="1:4" x14ac:dyDescent="0.25">
      <c r="A511" s="290"/>
      <c r="B511" s="290"/>
      <c r="C511" s="290"/>
      <c r="D511" s="290"/>
    </row>
    <row r="512" spans="1:4" x14ac:dyDescent="0.25">
      <c r="A512" s="290"/>
      <c r="B512" s="290"/>
      <c r="C512" s="894"/>
      <c r="D512" s="894"/>
    </row>
    <row r="513" spans="1:4" x14ac:dyDescent="0.25">
      <c r="A513" s="290"/>
      <c r="B513" s="290"/>
      <c r="C513" s="894"/>
      <c r="D513" s="894"/>
    </row>
    <row r="514" spans="1:4" x14ac:dyDescent="0.25">
      <c r="A514" s="290"/>
      <c r="B514" s="290"/>
      <c r="C514" s="290"/>
      <c r="D514" s="290"/>
    </row>
    <row r="515" spans="1:4" x14ac:dyDescent="0.25">
      <c r="A515" s="290"/>
      <c r="B515" s="290"/>
      <c r="C515" s="290"/>
      <c r="D515" s="290"/>
    </row>
    <row r="516" spans="1:4" x14ac:dyDescent="0.25">
      <c r="A516" s="899"/>
      <c r="B516" s="110"/>
      <c r="C516" s="110"/>
      <c r="D516" s="899"/>
    </row>
    <row r="517" spans="1:4" x14ac:dyDescent="0.25">
      <c r="A517" s="899"/>
      <c r="B517" s="110"/>
      <c r="C517" s="110"/>
      <c r="D517" s="899"/>
    </row>
    <row r="518" spans="1:4" x14ac:dyDescent="0.25">
      <c r="A518" s="899"/>
      <c r="B518" s="110"/>
      <c r="C518" s="110"/>
      <c r="D518" s="899"/>
    </row>
    <row r="519" spans="1:4" x14ac:dyDescent="0.25">
      <c r="A519" s="110"/>
      <c r="B519" s="110"/>
      <c r="C519" s="110"/>
      <c r="D519" s="110"/>
    </row>
    <row r="520" spans="1:4" x14ac:dyDescent="0.25">
      <c r="A520" s="110"/>
      <c r="B520" s="110"/>
      <c r="C520" s="110"/>
      <c r="D520" s="110"/>
    </row>
    <row r="521" spans="1:4" x14ac:dyDescent="0.25">
      <c r="A521" s="110"/>
      <c r="B521" s="293"/>
      <c r="C521" s="293"/>
      <c r="D521" s="110"/>
    </row>
    <row r="522" spans="1:4" x14ac:dyDescent="0.25">
      <c r="A522" s="110"/>
      <c r="B522" s="293"/>
      <c r="C522" s="293"/>
      <c r="D522" s="110"/>
    </row>
    <row r="523" spans="1:4" x14ac:dyDescent="0.25">
      <c r="A523" s="110"/>
      <c r="B523" s="293"/>
      <c r="C523" s="110"/>
      <c r="D523" s="110"/>
    </row>
    <row r="536" spans="1:20" s="56" customFormat="1" x14ac:dyDescent="0.25">
      <c r="A536" s="56" t="s">
        <v>1821</v>
      </c>
      <c r="C536" s="56" t="s">
        <v>1630</v>
      </c>
      <c r="P536" s="56" t="s">
        <v>1811</v>
      </c>
      <c r="Q536" s="56" t="s">
        <v>1809</v>
      </c>
      <c r="R536" s="56" t="s">
        <v>1810</v>
      </c>
      <c r="S536" s="56" t="s">
        <v>1812</v>
      </c>
      <c r="T536" s="56" t="s">
        <v>1678</v>
      </c>
    </row>
    <row r="537" spans="1:20" s="266" customFormat="1" x14ac:dyDescent="0.25">
      <c r="A537" s="266" t="s">
        <v>1807</v>
      </c>
      <c r="B537" s="267" t="s">
        <v>1628</v>
      </c>
      <c r="C537" s="268" t="s">
        <v>1385</v>
      </c>
      <c r="D537" s="269" t="s">
        <v>2</v>
      </c>
      <c r="E537" s="268">
        <v>60136709</v>
      </c>
      <c r="F537" s="268"/>
      <c r="G537" s="268"/>
      <c r="H537" s="268"/>
      <c r="I537" s="270">
        <v>41729</v>
      </c>
      <c r="J537" s="271">
        <v>41789</v>
      </c>
      <c r="K537" s="271"/>
      <c r="L537" s="271"/>
      <c r="M537" s="271"/>
      <c r="N537" s="272">
        <v>488</v>
      </c>
      <c r="O537" s="273">
        <v>10980</v>
      </c>
      <c r="P537" s="274">
        <v>0</v>
      </c>
      <c r="Q537" s="266">
        <v>4148</v>
      </c>
      <c r="R537" s="266">
        <v>2196</v>
      </c>
      <c r="S537" s="275">
        <f>P537+Q537+R537</f>
        <v>6344</v>
      </c>
      <c r="T537" s="275">
        <f>O537-S537</f>
        <v>4636</v>
      </c>
    </row>
    <row r="538" spans="1:20" s="266" customFormat="1" x14ac:dyDescent="0.25">
      <c r="A538" s="266" t="s">
        <v>1808</v>
      </c>
      <c r="B538" s="267" t="s">
        <v>1629</v>
      </c>
      <c r="C538" s="268" t="s">
        <v>1375</v>
      </c>
      <c r="D538" s="269" t="s">
        <v>2</v>
      </c>
      <c r="E538" s="268">
        <v>60133915</v>
      </c>
      <c r="F538" s="268"/>
      <c r="G538" s="268"/>
      <c r="H538" s="268"/>
      <c r="I538" s="270">
        <v>41701</v>
      </c>
      <c r="J538" s="271">
        <v>41789</v>
      </c>
      <c r="K538" s="271"/>
      <c r="L538" s="271"/>
      <c r="M538" s="271"/>
      <c r="N538" s="272">
        <v>488</v>
      </c>
      <c r="O538" s="273">
        <v>15860</v>
      </c>
      <c r="P538" s="274">
        <v>4880</v>
      </c>
      <c r="Q538" s="266">
        <v>4148</v>
      </c>
      <c r="R538" s="266">
        <v>5612</v>
      </c>
      <c r="S538" s="275">
        <f>P538+Q538+R538</f>
        <v>14640</v>
      </c>
      <c r="T538" s="275">
        <f>O538-S538</f>
        <v>1220</v>
      </c>
    </row>
    <row r="541" spans="1:20" x14ac:dyDescent="0.25">
      <c r="B541" t="s">
        <v>2029</v>
      </c>
      <c r="C541">
        <v>4636</v>
      </c>
    </row>
    <row r="542" spans="1:20" x14ac:dyDescent="0.25">
      <c r="B542" t="s">
        <v>2030</v>
      </c>
      <c r="C542">
        <v>1000</v>
      </c>
    </row>
    <row r="543" spans="1:20" x14ac:dyDescent="0.25">
      <c r="B543" t="s">
        <v>2031</v>
      </c>
      <c r="C543">
        <f>C541-C542</f>
        <v>3636</v>
      </c>
    </row>
    <row r="544" spans="1:20" x14ac:dyDescent="0.25">
      <c r="C544">
        <f>C543/150</f>
        <v>24.24</v>
      </c>
    </row>
    <row r="554" spans="3:15" ht="120" x14ac:dyDescent="0.25">
      <c r="C554" s="906" t="s">
        <v>41</v>
      </c>
      <c r="D554" s="257" t="s">
        <v>1962</v>
      </c>
      <c r="E554" s="257" t="s">
        <v>1964</v>
      </c>
      <c r="F554" s="375"/>
      <c r="G554" s="638"/>
      <c r="H554" s="638"/>
      <c r="I554" s="257" t="s">
        <v>1965</v>
      </c>
      <c r="J554" s="257" t="s">
        <v>1964</v>
      </c>
      <c r="K554" s="454"/>
      <c r="L554" s="534"/>
      <c r="M554" s="454"/>
      <c r="N554" s="257" t="s">
        <v>1965</v>
      </c>
      <c r="O554" s="906" t="s">
        <v>1967</v>
      </c>
    </row>
    <row r="555" spans="3:15" ht="45" x14ac:dyDescent="0.25">
      <c r="C555" s="906"/>
      <c r="D555" s="257" t="s">
        <v>1963</v>
      </c>
      <c r="E555" s="257" t="s">
        <v>1963</v>
      </c>
      <c r="F555" s="375"/>
      <c r="G555" s="638"/>
      <c r="H555" s="638"/>
      <c r="I555" s="257" t="s">
        <v>1963</v>
      </c>
      <c r="J555" s="257" t="s">
        <v>1966</v>
      </c>
      <c r="K555" s="454"/>
      <c r="L555" s="534"/>
      <c r="M555" s="454"/>
      <c r="N555" s="257" t="s">
        <v>1966</v>
      </c>
      <c r="O555" s="906"/>
    </row>
    <row r="556" spans="3:15" x14ac:dyDescent="0.25">
      <c r="C556" s="258">
        <v>41684</v>
      </c>
      <c r="D556" s="307">
        <v>877840</v>
      </c>
      <c r="E556" s="259" t="s">
        <v>92</v>
      </c>
      <c r="F556" s="259"/>
      <c r="G556" s="259"/>
      <c r="H556" s="259"/>
      <c r="I556" s="259" t="s">
        <v>92</v>
      </c>
      <c r="J556" s="259"/>
      <c r="K556" s="259"/>
      <c r="L556" s="259"/>
      <c r="M556" s="259"/>
      <c r="N556" s="259"/>
      <c r="O556" s="259"/>
    </row>
    <row r="557" spans="3:15" x14ac:dyDescent="0.25">
      <c r="C557" s="258">
        <v>41712</v>
      </c>
      <c r="D557" s="307">
        <v>946894</v>
      </c>
      <c r="E557" s="259" t="s">
        <v>92</v>
      </c>
      <c r="F557" s="259"/>
      <c r="G557" s="259"/>
      <c r="H557" s="259"/>
      <c r="I557" s="259" t="s">
        <v>92</v>
      </c>
      <c r="J557" s="259"/>
      <c r="K557" s="259"/>
      <c r="L557" s="259"/>
      <c r="M557" s="259"/>
      <c r="N557" s="259"/>
      <c r="O557" s="259"/>
    </row>
    <row r="558" spans="3:15" x14ac:dyDescent="0.25">
      <c r="C558" s="258">
        <v>41743</v>
      </c>
      <c r="D558" s="307">
        <v>878939</v>
      </c>
      <c r="E558" s="260" t="s">
        <v>1933</v>
      </c>
      <c r="F558" s="260"/>
      <c r="G558" s="260"/>
      <c r="H558" s="260"/>
      <c r="I558" s="261">
        <v>0</v>
      </c>
      <c r="J558" s="261">
        <v>37001</v>
      </c>
      <c r="K558" s="261"/>
      <c r="L558" s="261"/>
      <c r="M558" s="261"/>
      <c r="N558" s="261">
        <v>0</v>
      </c>
      <c r="O558" s="261">
        <v>37001</v>
      </c>
    </row>
    <row r="559" spans="3:15" x14ac:dyDescent="0.25">
      <c r="C559" s="258">
        <v>41773</v>
      </c>
      <c r="D559" s="307">
        <v>961350</v>
      </c>
      <c r="E559" s="260" t="s">
        <v>1934</v>
      </c>
      <c r="F559" s="260"/>
      <c r="G559" s="260"/>
      <c r="H559" s="260"/>
      <c r="I559" s="261">
        <v>0</v>
      </c>
      <c r="J559" s="261">
        <v>40470</v>
      </c>
      <c r="K559" s="261"/>
      <c r="L559" s="261"/>
      <c r="M559" s="261"/>
      <c r="N559" s="261">
        <v>0</v>
      </c>
      <c r="O559" s="261">
        <v>40470</v>
      </c>
    </row>
    <row r="560" spans="3:15" x14ac:dyDescent="0.25">
      <c r="C560" s="258">
        <v>41804</v>
      </c>
      <c r="D560" s="307">
        <v>689389</v>
      </c>
      <c r="E560" s="260" t="s">
        <v>1935</v>
      </c>
      <c r="F560" s="260"/>
      <c r="G560" s="260"/>
      <c r="H560" s="260"/>
      <c r="I560" s="261" t="s">
        <v>1936</v>
      </c>
      <c r="J560" s="261">
        <v>29022</v>
      </c>
      <c r="K560" s="261"/>
      <c r="L560" s="261"/>
      <c r="M560" s="261"/>
      <c r="N560" s="261" t="s">
        <v>1937</v>
      </c>
      <c r="O560" s="261">
        <v>46860</v>
      </c>
    </row>
    <row r="561" spans="1:15" x14ac:dyDescent="0.25">
      <c r="C561" s="262">
        <v>41834</v>
      </c>
      <c r="D561" s="307">
        <v>609405</v>
      </c>
      <c r="E561" s="263" t="s">
        <v>1938</v>
      </c>
      <c r="F561" s="263"/>
      <c r="G561" s="263"/>
      <c r="H561" s="263"/>
      <c r="I561" s="264" t="s">
        <v>1939</v>
      </c>
      <c r="J561" s="264">
        <v>25654</v>
      </c>
      <c r="K561" s="264"/>
      <c r="L561" s="264"/>
      <c r="M561" s="264"/>
      <c r="N561" s="264" t="s">
        <v>1940</v>
      </c>
      <c r="O561" s="264" t="s">
        <v>1941</v>
      </c>
    </row>
    <row r="562" spans="1:15" x14ac:dyDescent="0.25">
      <c r="C562" s="262">
        <v>41865</v>
      </c>
      <c r="D562" s="307">
        <v>520048</v>
      </c>
      <c r="E562" s="263" t="s">
        <v>1942</v>
      </c>
      <c r="F562" s="263"/>
      <c r="G562" s="263"/>
      <c r="H562" s="263"/>
      <c r="I562" s="264" t="s">
        <v>1943</v>
      </c>
      <c r="J562" s="264">
        <v>21893</v>
      </c>
      <c r="K562" s="264"/>
      <c r="L562" s="264"/>
      <c r="M562" s="264"/>
      <c r="N562" s="264" t="s">
        <v>1944</v>
      </c>
      <c r="O562" s="264" t="s">
        <v>1945</v>
      </c>
    </row>
    <row r="563" spans="1:15" x14ac:dyDescent="0.25">
      <c r="C563" s="262">
        <v>41896</v>
      </c>
      <c r="D563" s="307">
        <v>366848</v>
      </c>
      <c r="E563" s="263" t="s">
        <v>1946</v>
      </c>
      <c r="F563" s="263"/>
      <c r="G563" s="263"/>
      <c r="H563" s="263"/>
      <c r="I563" s="264" t="s">
        <v>1947</v>
      </c>
      <c r="J563" s="264">
        <v>15443</v>
      </c>
      <c r="K563" s="264"/>
      <c r="L563" s="264"/>
      <c r="M563" s="264"/>
      <c r="N563" s="264" t="s">
        <v>1948</v>
      </c>
      <c r="O563" s="264" t="s">
        <v>1949</v>
      </c>
    </row>
    <row r="564" spans="1:15" x14ac:dyDescent="0.25">
      <c r="C564" s="262">
        <v>41926</v>
      </c>
      <c r="D564" s="307">
        <v>260519</v>
      </c>
      <c r="E564" s="263" t="s">
        <v>1950</v>
      </c>
      <c r="F564" s="263"/>
      <c r="G564" s="263"/>
      <c r="H564" s="263"/>
      <c r="I564" s="264" t="s">
        <v>1951</v>
      </c>
      <c r="J564" s="264">
        <v>10967</v>
      </c>
      <c r="K564" s="264"/>
      <c r="L564" s="264"/>
      <c r="M564" s="264"/>
      <c r="N564" s="264" t="s">
        <v>1952</v>
      </c>
      <c r="O564" s="264" t="s">
        <v>1953</v>
      </c>
    </row>
    <row r="565" spans="1:15" x14ac:dyDescent="0.25">
      <c r="C565" s="262">
        <v>41957</v>
      </c>
      <c r="D565" s="307">
        <v>196790</v>
      </c>
      <c r="E565" s="263" t="s">
        <v>1954</v>
      </c>
      <c r="F565" s="263"/>
      <c r="G565" s="263"/>
      <c r="H565" s="263"/>
      <c r="I565" s="264" t="s">
        <v>1955</v>
      </c>
      <c r="J565" s="264">
        <v>8284</v>
      </c>
      <c r="K565" s="264"/>
      <c r="L565" s="264"/>
      <c r="M565" s="264"/>
      <c r="N565" s="264" t="s">
        <v>1956</v>
      </c>
      <c r="O565" s="264" t="s">
        <v>1957</v>
      </c>
    </row>
    <row r="566" spans="1:15" x14ac:dyDescent="0.25">
      <c r="C566" s="262">
        <v>41987</v>
      </c>
      <c r="D566" s="307">
        <v>194278</v>
      </c>
      <c r="E566" s="263" t="s">
        <v>1958</v>
      </c>
      <c r="F566" s="263"/>
      <c r="G566" s="263"/>
      <c r="H566" s="263"/>
      <c r="I566" s="264" t="s">
        <v>1959</v>
      </c>
      <c r="J566" s="264">
        <v>8179</v>
      </c>
      <c r="K566" s="264"/>
      <c r="L566" s="264"/>
      <c r="M566" s="264"/>
      <c r="N566" s="264" t="s">
        <v>1960</v>
      </c>
      <c r="O566" s="264" t="s">
        <v>1961</v>
      </c>
    </row>
    <row r="567" spans="1:15" ht="15.75" thickBot="1" x14ac:dyDescent="0.3">
      <c r="D567" s="305" t="s">
        <v>2233</v>
      </c>
      <c r="E567" s="305" t="s">
        <v>2234</v>
      </c>
      <c r="F567" s="305"/>
      <c r="G567" s="305"/>
      <c r="H567" s="305"/>
      <c r="I567" s="305" t="s">
        <v>2235</v>
      </c>
      <c r="J567" s="306">
        <v>196914</v>
      </c>
      <c r="K567" s="306"/>
      <c r="L567" s="306"/>
      <c r="M567" s="306"/>
      <c r="N567" s="306">
        <v>104299</v>
      </c>
      <c r="O567" s="306">
        <v>301213</v>
      </c>
    </row>
    <row r="574" spans="1:15" ht="89.25" x14ac:dyDescent="0.25">
      <c r="A574" s="1" t="s">
        <v>40</v>
      </c>
      <c r="B574" s="1" t="s">
        <v>15</v>
      </c>
      <c r="C574" s="1" t="s">
        <v>41</v>
      </c>
      <c r="D574" s="1" t="s">
        <v>1</v>
      </c>
      <c r="E574" s="1" t="s">
        <v>265</v>
      </c>
      <c r="F574" s="1"/>
      <c r="G574" s="1"/>
      <c r="H574" s="1"/>
      <c r="I574" s="1" t="s">
        <v>230</v>
      </c>
      <c r="J574" s="1" t="s">
        <v>42</v>
      </c>
      <c r="K574" s="1"/>
      <c r="L574" s="1"/>
      <c r="M574" s="1"/>
      <c r="N574" s="1" t="s">
        <v>43</v>
      </c>
    </row>
    <row r="575" spans="1:15" ht="39.950000000000003" customHeight="1" x14ac:dyDescent="0.25">
      <c r="A575" s="23" t="s">
        <v>149</v>
      </c>
      <c r="B575" s="10">
        <v>1000083056</v>
      </c>
      <c r="C575" s="10" t="s">
        <v>152</v>
      </c>
      <c r="D575" s="10" t="s">
        <v>154</v>
      </c>
      <c r="E575" s="13">
        <v>23898</v>
      </c>
      <c r="F575" s="13"/>
      <c r="G575" s="13"/>
      <c r="H575" s="13"/>
      <c r="I575" s="10">
        <v>60110560</v>
      </c>
      <c r="J575" s="10" t="s">
        <v>280</v>
      </c>
      <c r="K575" s="10"/>
      <c r="L575" s="10"/>
      <c r="M575" s="10"/>
      <c r="N575" s="10" t="s">
        <v>146</v>
      </c>
    </row>
    <row r="576" spans="1:15" ht="39.950000000000003" customHeight="1" x14ac:dyDescent="0.25">
      <c r="A576" s="23" t="s">
        <v>159</v>
      </c>
      <c r="B576" s="10">
        <v>1000083056</v>
      </c>
      <c r="C576" s="10" t="s">
        <v>458</v>
      </c>
      <c r="D576" s="10" t="s">
        <v>163</v>
      </c>
      <c r="E576" s="13">
        <v>101460</v>
      </c>
      <c r="F576" s="13"/>
      <c r="G576" s="13"/>
      <c r="H576" s="13"/>
      <c r="I576" s="10">
        <v>60110560</v>
      </c>
      <c r="J576" s="10" t="s">
        <v>280</v>
      </c>
      <c r="K576" s="10"/>
      <c r="L576" s="10"/>
      <c r="M576" s="10"/>
      <c r="N576" s="10" t="s">
        <v>161</v>
      </c>
    </row>
    <row r="577" spans="1:14" ht="39.950000000000003" customHeight="1" x14ac:dyDescent="0.25">
      <c r="A577" s="23" t="s">
        <v>165</v>
      </c>
      <c r="B577" s="10">
        <v>1000083056</v>
      </c>
      <c r="C577" s="10" t="s">
        <v>467</v>
      </c>
      <c r="D577" s="10" t="s">
        <v>172</v>
      </c>
      <c r="E577" s="13">
        <v>126825.60000000001</v>
      </c>
      <c r="F577" s="13"/>
      <c r="G577" s="13"/>
      <c r="H577" s="13"/>
      <c r="I577" s="10">
        <v>60110560</v>
      </c>
      <c r="J577" s="10" t="s">
        <v>280</v>
      </c>
      <c r="K577" s="10"/>
      <c r="L577" s="10"/>
      <c r="M577" s="10"/>
      <c r="N577" s="10" t="s">
        <v>161</v>
      </c>
    </row>
    <row r="578" spans="1:14" ht="39.950000000000003" customHeight="1" x14ac:dyDescent="0.25">
      <c r="A578" s="23" t="s">
        <v>181</v>
      </c>
      <c r="B578" s="10">
        <v>1000083056</v>
      </c>
      <c r="C578" s="10" t="s">
        <v>140</v>
      </c>
      <c r="D578" s="15" t="s">
        <v>186</v>
      </c>
      <c r="E578" s="13">
        <v>101460</v>
      </c>
      <c r="F578" s="13"/>
      <c r="G578" s="13"/>
      <c r="H578" s="13"/>
      <c r="I578" s="10">
        <v>60110560</v>
      </c>
      <c r="J578" s="10" t="s">
        <v>280</v>
      </c>
      <c r="K578" s="10"/>
      <c r="L578" s="10"/>
      <c r="M578" s="10"/>
      <c r="N578" s="10" t="s">
        <v>161</v>
      </c>
    </row>
    <row r="579" spans="1:14" ht="39.950000000000003" customHeight="1" x14ac:dyDescent="0.25">
      <c r="A579" s="23" t="s">
        <v>327</v>
      </c>
      <c r="B579" s="10">
        <v>1000083056</v>
      </c>
      <c r="C579" s="10" t="s">
        <v>264</v>
      </c>
      <c r="D579" s="28" t="s">
        <v>306</v>
      </c>
      <c r="E579" s="13">
        <v>101460</v>
      </c>
      <c r="F579" s="13"/>
      <c r="G579" s="13"/>
      <c r="H579" s="13"/>
      <c r="I579" s="10">
        <v>60110560</v>
      </c>
      <c r="J579" s="23" t="s">
        <v>280</v>
      </c>
      <c r="K579" s="23"/>
      <c r="L579" s="23"/>
      <c r="M579" s="23"/>
      <c r="N579" s="10" t="s">
        <v>161</v>
      </c>
    </row>
    <row r="580" spans="1:14" ht="39.950000000000003" customHeight="1" x14ac:dyDescent="0.25">
      <c r="A580" s="29" t="s">
        <v>506</v>
      </c>
      <c r="B580" s="10">
        <v>1000083056</v>
      </c>
      <c r="C580" s="10" t="s">
        <v>492</v>
      </c>
      <c r="D580" s="76" t="s">
        <v>520</v>
      </c>
      <c r="E580" s="13">
        <v>101460</v>
      </c>
      <c r="F580" s="13"/>
      <c r="G580" s="13"/>
      <c r="H580" s="13"/>
      <c r="I580" s="10">
        <v>60110560</v>
      </c>
      <c r="J580" s="10" t="s">
        <v>280</v>
      </c>
      <c r="K580" s="10"/>
      <c r="L580" s="10"/>
      <c r="M580" s="10"/>
      <c r="N580" s="10" t="s">
        <v>161</v>
      </c>
    </row>
    <row r="581" spans="1:14" ht="39.950000000000003" customHeight="1" x14ac:dyDescent="0.25">
      <c r="A581" s="29" t="s">
        <v>593</v>
      </c>
      <c r="B581" s="10">
        <v>1000083056</v>
      </c>
      <c r="C581" s="10" t="s">
        <v>470</v>
      </c>
      <c r="D581" s="76" t="s">
        <v>726</v>
      </c>
      <c r="E581" s="13">
        <v>126825</v>
      </c>
      <c r="F581" s="13"/>
      <c r="G581" s="13"/>
      <c r="H581" s="13"/>
      <c r="I581" s="10">
        <v>60110560</v>
      </c>
      <c r="J581" s="10" t="s">
        <v>280</v>
      </c>
      <c r="K581" s="10"/>
      <c r="L581" s="10"/>
      <c r="M581" s="10"/>
      <c r="N581" s="10" t="s">
        <v>161</v>
      </c>
    </row>
    <row r="582" spans="1:14" ht="39.950000000000003" customHeight="1" x14ac:dyDescent="0.25">
      <c r="A582" s="23" t="s">
        <v>708</v>
      </c>
      <c r="B582" s="10">
        <v>1000083056</v>
      </c>
      <c r="C582" s="10" t="s">
        <v>701</v>
      </c>
      <c r="D582" s="36" t="s">
        <v>725</v>
      </c>
      <c r="E582" s="85">
        <v>101460</v>
      </c>
      <c r="F582" s="13"/>
      <c r="G582" s="13"/>
      <c r="H582" s="13"/>
      <c r="I582" s="23">
        <v>60110560</v>
      </c>
      <c r="J582" s="10" t="s">
        <v>280</v>
      </c>
      <c r="K582" s="10"/>
      <c r="L582" s="10"/>
      <c r="M582" s="10"/>
      <c r="N582" s="23" t="s">
        <v>161</v>
      </c>
    </row>
    <row r="583" spans="1:14" ht="39.950000000000003" customHeight="1" x14ac:dyDescent="0.25">
      <c r="A583" s="23" t="s">
        <v>801</v>
      </c>
      <c r="B583" s="10">
        <v>1000083056</v>
      </c>
      <c r="C583" s="10" t="s">
        <v>472</v>
      </c>
      <c r="D583" s="76" t="s">
        <v>809</v>
      </c>
      <c r="E583" s="13">
        <v>101460</v>
      </c>
      <c r="F583" s="13"/>
      <c r="G583" s="13"/>
      <c r="H583" s="13"/>
      <c r="I583" s="23">
        <v>60110560</v>
      </c>
      <c r="J583" s="23" t="s">
        <v>280</v>
      </c>
      <c r="K583" s="23"/>
      <c r="L583" s="23"/>
      <c r="M583" s="23"/>
      <c r="N583" s="23" t="s">
        <v>161</v>
      </c>
    </row>
    <row r="584" spans="1:14" ht="39.950000000000003" customHeight="1" x14ac:dyDescent="0.25">
      <c r="A584" s="23" t="s">
        <v>884</v>
      </c>
      <c r="B584" s="10">
        <v>1000083056</v>
      </c>
      <c r="C584" s="10" t="s">
        <v>473</v>
      </c>
      <c r="D584" s="76" t="s">
        <v>1161</v>
      </c>
      <c r="E584" s="13">
        <v>126825</v>
      </c>
      <c r="F584" s="13"/>
      <c r="G584" s="13"/>
      <c r="H584" s="13"/>
      <c r="I584" s="23">
        <v>60110560</v>
      </c>
      <c r="J584" s="23" t="s">
        <v>280</v>
      </c>
      <c r="K584" s="23"/>
      <c r="L584" s="23"/>
      <c r="M584" s="23"/>
      <c r="N584" s="23" t="s">
        <v>161</v>
      </c>
    </row>
    <row r="585" spans="1:14" ht="39.950000000000003" customHeight="1" x14ac:dyDescent="0.25">
      <c r="A585" s="23" t="s">
        <v>1168</v>
      </c>
      <c r="B585" s="10">
        <v>1000083056</v>
      </c>
      <c r="C585" s="10" t="s">
        <v>475</v>
      </c>
      <c r="D585" s="15" t="s">
        <v>1169</v>
      </c>
      <c r="E585" s="39">
        <v>99699.6</v>
      </c>
      <c r="F585" s="13"/>
      <c r="G585" s="13"/>
      <c r="H585" s="13"/>
      <c r="I585" s="23">
        <v>60110560</v>
      </c>
      <c r="J585" s="23" t="s">
        <v>280</v>
      </c>
      <c r="K585" s="23"/>
      <c r="L585" s="23"/>
      <c r="M585" s="23"/>
      <c r="N585" s="23" t="s">
        <v>161</v>
      </c>
    </row>
    <row r="586" spans="1:14" ht="39.950000000000003" customHeight="1" x14ac:dyDescent="0.25">
      <c r="A586" s="23" t="s">
        <v>1281</v>
      </c>
      <c r="B586" s="23">
        <v>1000083056</v>
      </c>
      <c r="C586" s="10" t="s">
        <v>476</v>
      </c>
      <c r="D586" s="15" t="s">
        <v>1282</v>
      </c>
      <c r="E586" s="39">
        <v>76095</v>
      </c>
      <c r="F586" s="13"/>
      <c r="G586" s="13"/>
      <c r="H586" s="13"/>
      <c r="I586" s="23">
        <v>60110560</v>
      </c>
      <c r="J586" s="23" t="s">
        <v>280</v>
      </c>
      <c r="K586" s="23"/>
      <c r="L586" s="23"/>
      <c r="M586" s="23"/>
      <c r="N586" s="23" t="s">
        <v>161</v>
      </c>
    </row>
    <row r="587" spans="1:14" x14ac:dyDescent="0.25">
      <c r="D587" s="203" t="s">
        <v>1813</v>
      </c>
      <c r="F587" s="109"/>
      <c r="G587" s="109"/>
      <c r="H587" s="109"/>
    </row>
    <row r="588" spans="1:14" x14ac:dyDescent="0.25">
      <c r="D588" s="202" t="s">
        <v>1521</v>
      </c>
      <c r="F588" s="109"/>
      <c r="G588" s="109"/>
      <c r="H588" s="109"/>
      <c r="I588" s="109"/>
    </row>
    <row r="589" spans="1:14" x14ac:dyDescent="0.25">
      <c r="D589" s="204" t="s">
        <v>1814</v>
      </c>
      <c r="E589" s="56"/>
      <c r="F589" s="163"/>
      <c r="G589" s="163"/>
      <c r="H589" s="163"/>
    </row>
    <row r="630" spans="1:9" x14ac:dyDescent="0.25">
      <c r="A630" t="s">
        <v>230</v>
      </c>
      <c r="C630" t="s">
        <v>1484</v>
      </c>
      <c r="D630" t="s">
        <v>1817</v>
      </c>
      <c r="I630" t="s">
        <v>1818</v>
      </c>
    </row>
    <row r="631" spans="1:9" x14ac:dyDescent="0.25">
      <c r="A631">
        <v>60125610</v>
      </c>
      <c r="C631">
        <v>26840</v>
      </c>
      <c r="D631">
        <v>24400</v>
      </c>
      <c r="I631" t="e">
        <f>#REF!/488</f>
        <v>#REF!</v>
      </c>
    </row>
    <row r="632" spans="1:9" x14ac:dyDescent="0.25">
      <c r="A632">
        <v>60129478</v>
      </c>
      <c r="C632">
        <v>30744</v>
      </c>
      <c r="D632">
        <v>28792</v>
      </c>
      <c r="I632" t="e">
        <f>#REF!/488</f>
        <v>#REF!</v>
      </c>
    </row>
    <row r="633" spans="1:9" x14ac:dyDescent="0.25">
      <c r="A633">
        <v>60134307</v>
      </c>
      <c r="C633">
        <v>9272</v>
      </c>
      <c r="D633">
        <v>8296</v>
      </c>
      <c r="I633" t="e">
        <f>#REF!/488</f>
        <v>#REF!</v>
      </c>
    </row>
    <row r="634" spans="1:9" x14ac:dyDescent="0.25">
      <c r="I634" t="e">
        <f>#REF!/488</f>
        <v>#REF!</v>
      </c>
    </row>
    <row r="660" spans="1:23" x14ac:dyDescent="0.25">
      <c r="A660">
        <v>156</v>
      </c>
    </row>
    <row r="661" spans="1:23" x14ac:dyDescent="0.25">
      <c r="A661">
        <v>471</v>
      </c>
      <c r="Q661" t="s">
        <v>2043</v>
      </c>
      <c r="R661">
        <v>5</v>
      </c>
      <c r="V661" t="s">
        <v>2044</v>
      </c>
    </row>
    <row r="662" spans="1:23" x14ac:dyDescent="0.25">
      <c r="C662" t="s">
        <v>41</v>
      </c>
      <c r="D662" t="s">
        <v>2049</v>
      </c>
      <c r="Q662" t="s">
        <v>132</v>
      </c>
      <c r="R662" t="s">
        <v>1713</v>
      </c>
      <c r="T662" t="s">
        <v>2048</v>
      </c>
    </row>
    <row r="663" spans="1:23" x14ac:dyDescent="0.25">
      <c r="C663" t="s">
        <v>1851</v>
      </c>
      <c r="D663">
        <v>1</v>
      </c>
      <c r="Q663">
        <v>471</v>
      </c>
      <c r="R663">
        <f>D663*Q663*$R$661</f>
        <v>2355</v>
      </c>
      <c r="T663">
        <f>R663*0.93</f>
        <v>2190.15</v>
      </c>
      <c r="U663">
        <f>R663*0.07</f>
        <v>164.85000000000002</v>
      </c>
      <c r="V663">
        <f>42*150</f>
        <v>6300</v>
      </c>
      <c r="W663" t="s">
        <v>2045</v>
      </c>
    </row>
    <row r="664" spans="1:23" x14ac:dyDescent="0.25">
      <c r="A664">
        <f>A660*15</f>
        <v>2340</v>
      </c>
      <c r="B664" t="s">
        <v>2052</v>
      </c>
      <c r="C664" t="s">
        <v>2039</v>
      </c>
      <c r="D664">
        <v>5</v>
      </c>
      <c r="Q664">
        <v>471</v>
      </c>
      <c r="R664">
        <f>D664*Q664*$R$661</f>
        <v>11775</v>
      </c>
      <c r="T664">
        <f>R664*0.93</f>
        <v>10950.75</v>
      </c>
      <c r="U664">
        <f>R664*0.07</f>
        <v>824.25000000000011</v>
      </c>
      <c r="V664">
        <v>1000</v>
      </c>
      <c r="W664" t="s">
        <v>2046</v>
      </c>
    </row>
    <row r="665" spans="1:23" x14ac:dyDescent="0.25">
      <c r="A665">
        <f>A661*5</f>
        <v>2355</v>
      </c>
      <c r="B665" t="s">
        <v>2053</v>
      </c>
      <c r="C665" t="s">
        <v>2040</v>
      </c>
      <c r="D665">
        <v>4</v>
      </c>
      <c r="Q665">
        <v>156</v>
      </c>
      <c r="R665">
        <f>D665*Q665*$R$661</f>
        <v>3120</v>
      </c>
      <c r="T665">
        <f>R665*0.93</f>
        <v>2901.6000000000004</v>
      </c>
      <c r="U665">
        <f>R665*0.07</f>
        <v>218.40000000000003</v>
      </c>
      <c r="V665">
        <f>V663+V664</f>
        <v>7300</v>
      </c>
    </row>
    <row r="666" spans="1:23" x14ac:dyDescent="0.25">
      <c r="A666">
        <f>A661*20</f>
        <v>9420</v>
      </c>
      <c r="B666" t="s">
        <v>2054</v>
      </c>
      <c r="C666" t="s">
        <v>2041</v>
      </c>
      <c r="D666">
        <v>4</v>
      </c>
      <c r="Q666">
        <v>156</v>
      </c>
      <c r="R666">
        <f>D666*Q666*$R$661</f>
        <v>3120</v>
      </c>
      <c r="T666">
        <f>R666*0.93</f>
        <v>2901.6000000000004</v>
      </c>
      <c r="U666">
        <f>R666*0.07</f>
        <v>218.40000000000003</v>
      </c>
    </row>
    <row r="667" spans="1:23" x14ac:dyDescent="0.25">
      <c r="A667">
        <f>A661*20</f>
        <v>9420</v>
      </c>
      <c r="B667" t="s">
        <v>2055</v>
      </c>
      <c r="C667" t="s">
        <v>2042</v>
      </c>
      <c r="D667">
        <v>5</v>
      </c>
      <c r="Q667">
        <v>156</v>
      </c>
      <c r="R667">
        <f>D667*Q667*$R$661</f>
        <v>3900</v>
      </c>
      <c r="T667">
        <f>R667*0.93</f>
        <v>3627</v>
      </c>
      <c r="U667">
        <f>R667*0.07</f>
        <v>273</v>
      </c>
    </row>
    <row r="668" spans="1:23" x14ac:dyDescent="0.25">
      <c r="A668">
        <f>A661*25</f>
        <v>11775</v>
      </c>
      <c r="B668" t="s">
        <v>2056</v>
      </c>
      <c r="R668">
        <f>SUM(R663:R667)</f>
        <v>24270</v>
      </c>
      <c r="T668">
        <f>SUM(T663:T667)</f>
        <v>22571.1</v>
      </c>
      <c r="U668">
        <f>SUM(U663:U667)</f>
        <v>1698.9000000000003</v>
      </c>
    </row>
    <row r="669" spans="1:23" x14ac:dyDescent="0.25">
      <c r="A669">
        <f>A661*20</f>
        <v>9420</v>
      </c>
      <c r="B669" t="s">
        <v>2057</v>
      </c>
    </row>
    <row r="670" spans="1:23" x14ac:dyDescent="0.25">
      <c r="A670">
        <f>A661*20</f>
        <v>9420</v>
      </c>
      <c r="B670" t="s">
        <v>2058</v>
      </c>
      <c r="R670" t="s">
        <v>2047</v>
      </c>
      <c r="T670">
        <f>R668-T668</f>
        <v>1698.9000000000015</v>
      </c>
    </row>
    <row r="671" spans="1:23" x14ac:dyDescent="0.25">
      <c r="A671">
        <f>A661*10</f>
        <v>4710</v>
      </c>
      <c r="B671" t="s">
        <v>2059</v>
      </c>
    </row>
    <row r="674" spans="2:21" ht="16.5" thickBot="1" x14ac:dyDescent="0.3">
      <c r="D674" s="291">
        <v>165</v>
      </c>
      <c r="R674" s="292">
        <v>2190</v>
      </c>
    </row>
    <row r="675" spans="2:21" ht="16.5" thickBot="1" x14ac:dyDescent="0.3">
      <c r="D675" s="291">
        <v>824</v>
      </c>
      <c r="R675" s="292">
        <v>10950</v>
      </c>
      <c r="U675">
        <v>24270</v>
      </c>
    </row>
    <row r="676" spans="2:21" ht="16.5" thickBot="1" x14ac:dyDescent="0.3">
      <c r="D676" s="291">
        <v>218</v>
      </c>
      <c r="R676" s="292">
        <v>2901</v>
      </c>
      <c r="U676">
        <v>1698</v>
      </c>
    </row>
    <row r="677" spans="2:21" ht="16.5" thickBot="1" x14ac:dyDescent="0.3">
      <c r="D677" s="291">
        <v>218</v>
      </c>
      <c r="R677" s="292">
        <v>2901</v>
      </c>
      <c r="U677">
        <f>U675-U676</f>
        <v>22572</v>
      </c>
    </row>
    <row r="678" spans="2:21" ht="16.5" thickBot="1" x14ac:dyDescent="0.3">
      <c r="D678" s="291">
        <v>273</v>
      </c>
      <c r="R678" s="292">
        <v>3627</v>
      </c>
    </row>
    <row r="686" spans="2:21" x14ac:dyDescent="0.25">
      <c r="B686" s="900" t="s">
        <v>2021</v>
      </c>
      <c r="C686" s="147" t="s">
        <v>0</v>
      </c>
      <c r="D686" s="147" t="s">
        <v>1968</v>
      </c>
      <c r="E686" s="147" t="s">
        <v>1969</v>
      </c>
      <c r="F686" s="242"/>
      <c r="G686" s="242"/>
      <c r="H686" s="242"/>
    </row>
    <row r="687" spans="2:21" x14ac:dyDescent="0.25">
      <c r="B687" s="901"/>
      <c r="C687" s="10" t="s">
        <v>1970</v>
      </c>
      <c r="D687" s="10" t="s">
        <v>1971</v>
      </c>
      <c r="E687" s="10" t="s">
        <v>1972</v>
      </c>
      <c r="F687" s="11"/>
      <c r="G687" s="11"/>
      <c r="H687" s="11"/>
    </row>
    <row r="688" spans="2:21" x14ac:dyDescent="0.25">
      <c r="B688" s="901"/>
      <c r="C688" s="10" t="s">
        <v>1973</v>
      </c>
      <c r="D688" s="10" t="s">
        <v>1976</v>
      </c>
      <c r="E688" s="10" t="s">
        <v>1975</v>
      </c>
      <c r="F688" s="11"/>
      <c r="G688" s="11"/>
      <c r="H688" s="11"/>
    </row>
    <row r="689" spans="2:8" x14ac:dyDescent="0.25">
      <c r="B689" s="901"/>
      <c r="C689" s="10" t="s">
        <v>1974</v>
      </c>
      <c r="D689" s="10" t="s">
        <v>1976</v>
      </c>
      <c r="E689" s="10" t="s">
        <v>1975</v>
      </c>
      <c r="F689" s="11"/>
      <c r="G689" s="11"/>
      <c r="H689" s="11"/>
    </row>
    <row r="690" spans="2:8" x14ac:dyDescent="0.25">
      <c r="B690" s="901"/>
      <c r="C690" s="10" t="s">
        <v>1977</v>
      </c>
      <c r="D690" s="10" t="s">
        <v>1978</v>
      </c>
      <c r="E690" s="10" t="s">
        <v>1979</v>
      </c>
      <c r="F690" s="11"/>
      <c r="G690" s="11"/>
      <c r="H690" s="11"/>
    </row>
    <row r="691" spans="2:8" x14ac:dyDescent="0.25">
      <c r="B691" s="901"/>
      <c r="C691" s="10" t="s">
        <v>1980</v>
      </c>
      <c r="D691" s="10" t="s">
        <v>1976</v>
      </c>
      <c r="E691" s="10" t="s">
        <v>1975</v>
      </c>
      <c r="F691" s="11"/>
      <c r="G691" s="11"/>
      <c r="H691" s="11"/>
    </row>
    <row r="692" spans="2:8" x14ac:dyDescent="0.25">
      <c r="B692" s="901"/>
      <c r="C692" s="10" t="s">
        <v>1981</v>
      </c>
      <c r="D692" s="10" t="s">
        <v>1982</v>
      </c>
      <c r="E692" s="10" t="s">
        <v>1983</v>
      </c>
      <c r="F692" s="11"/>
      <c r="G692" s="11"/>
      <c r="H692" s="11"/>
    </row>
    <row r="693" spans="2:8" x14ac:dyDescent="0.25">
      <c r="B693" s="901"/>
      <c r="C693" s="10" t="s">
        <v>1984</v>
      </c>
      <c r="D693" s="10" t="s">
        <v>1985</v>
      </c>
      <c r="E693" s="10" t="s">
        <v>1986</v>
      </c>
      <c r="F693" s="11"/>
      <c r="G693" s="11"/>
      <c r="H693" s="11"/>
    </row>
    <row r="694" spans="2:8" x14ac:dyDescent="0.25">
      <c r="B694" s="901"/>
      <c r="C694" s="10" t="s">
        <v>1987</v>
      </c>
      <c r="D694" s="10" t="s">
        <v>1990</v>
      </c>
      <c r="E694" s="10" t="s">
        <v>1979</v>
      </c>
      <c r="F694" s="11"/>
      <c r="G694" s="11"/>
      <c r="H694" s="11"/>
    </row>
    <row r="695" spans="2:8" x14ac:dyDescent="0.25">
      <c r="B695" s="901"/>
      <c r="C695" s="10" t="s">
        <v>1989</v>
      </c>
      <c r="D695" s="10" t="s">
        <v>1978</v>
      </c>
      <c r="E695" s="10" t="s">
        <v>1979</v>
      </c>
      <c r="F695" s="11"/>
      <c r="G695" s="11"/>
      <c r="H695" s="11"/>
    </row>
    <row r="696" spans="2:8" x14ac:dyDescent="0.25">
      <c r="B696" s="901"/>
      <c r="C696" s="10" t="s">
        <v>1992</v>
      </c>
      <c r="D696" s="10" t="s">
        <v>1991</v>
      </c>
      <c r="E696" s="10" t="s">
        <v>1979</v>
      </c>
      <c r="F696" s="11"/>
      <c r="G696" s="11"/>
      <c r="H696" s="11"/>
    </row>
    <row r="697" spans="2:8" x14ac:dyDescent="0.25">
      <c r="B697" s="901"/>
      <c r="C697" s="10" t="s">
        <v>1993</v>
      </c>
      <c r="D697" s="10" t="s">
        <v>1995</v>
      </c>
      <c r="E697" s="10" t="s">
        <v>1994</v>
      </c>
      <c r="F697" s="11"/>
      <c r="G697" s="11"/>
      <c r="H697" s="11"/>
    </row>
    <row r="698" spans="2:8" x14ac:dyDescent="0.25">
      <c r="B698" s="56"/>
    </row>
    <row r="699" spans="2:8" x14ac:dyDescent="0.25">
      <c r="B699" s="900" t="s">
        <v>2022</v>
      </c>
      <c r="C699" s="147" t="s">
        <v>0</v>
      </c>
      <c r="D699" s="147" t="s">
        <v>1997</v>
      </c>
      <c r="E699" s="147" t="s">
        <v>1969</v>
      </c>
      <c r="F699" s="242"/>
      <c r="G699" s="242"/>
      <c r="H699" s="242"/>
    </row>
    <row r="700" spans="2:8" x14ac:dyDescent="0.25">
      <c r="B700" s="901"/>
      <c r="C700" s="10" t="s">
        <v>1996</v>
      </c>
      <c r="D700" s="10" t="s">
        <v>1998</v>
      </c>
      <c r="E700" s="10" t="s">
        <v>1500</v>
      </c>
      <c r="F700" s="11"/>
      <c r="G700" s="11"/>
      <c r="H700" s="11"/>
    </row>
    <row r="701" spans="2:8" x14ac:dyDescent="0.25">
      <c r="B701" s="901"/>
      <c r="C701" s="10" t="s">
        <v>1999</v>
      </c>
      <c r="D701" s="10" t="s">
        <v>2000</v>
      </c>
      <c r="E701" s="10" t="s">
        <v>1986</v>
      </c>
      <c r="F701" s="11"/>
      <c r="G701" s="11"/>
      <c r="H701" s="11"/>
    </row>
    <row r="702" spans="2:8" x14ac:dyDescent="0.25">
      <c r="B702" s="901"/>
      <c r="C702" s="10" t="s">
        <v>2001</v>
      </c>
      <c r="D702" s="10" t="s">
        <v>2002</v>
      </c>
      <c r="E702" s="10" t="s">
        <v>2003</v>
      </c>
      <c r="F702" s="11"/>
      <c r="G702" s="11"/>
      <c r="H702" s="11"/>
    </row>
    <row r="703" spans="2:8" x14ac:dyDescent="0.25">
      <c r="B703" s="901"/>
      <c r="C703" s="10" t="s">
        <v>2004</v>
      </c>
      <c r="D703" s="10" t="s">
        <v>2000</v>
      </c>
      <c r="E703" s="10" t="s">
        <v>2003</v>
      </c>
      <c r="F703" s="11"/>
      <c r="G703" s="11"/>
      <c r="H703" s="11"/>
    </row>
    <row r="704" spans="2:8" x14ac:dyDescent="0.25">
      <c r="B704" s="901"/>
      <c r="C704" s="10" t="s">
        <v>2005</v>
      </c>
      <c r="D704" s="10" t="s">
        <v>1988</v>
      </c>
      <c r="E704" s="10" t="s">
        <v>2003</v>
      </c>
      <c r="F704" s="11"/>
      <c r="G704" s="11"/>
      <c r="H704" s="11"/>
    </row>
    <row r="705" spans="2:8" x14ac:dyDescent="0.25">
      <c r="B705" s="901"/>
      <c r="C705" s="10" t="s">
        <v>2006</v>
      </c>
      <c r="D705" s="10" t="s">
        <v>2002</v>
      </c>
      <c r="E705" s="10" t="s">
        <v>2007</v>
      </c>
      <c r="F705" s="11"/>
      <c r="G705" s="11"/>
      <c r="H705" s="11"/>
    </row>
    <row r="706" spans="2:8" x14ac:dyDescent="0.25">
      <c r="B706" s="901"/>
      <c r="C706" s="10" t="s">
        <v>2008</v>
      </c>
      <c r="D706" s="10" t="s">
        <v>2009</v>
      </c>
      <c r="E706" s="10" t="s">
        <v>2010</v>
      </c>
      <c r="F706" s="11"/>
      <c r="G706" s="11"/>
      <c r="H706" s="11"/>
    </row>
    <row r="707" spans="2:8" x14ac:dyDescent="0.25">
      <c r="B707" s="901"/>
      <c r="C707" s="10" t="s">
        <v>2011</v>
      </c>
      <c r="D707" s="10" t="s">
        <v>2012</v>
      </c>
      <c r="E707" s="10" t="s">
        <v>2003</v>
      </c>
      <c r="F707" s="11"/>
      <c r="G707" s="11"/>
      <c r="H707" s="11"/>
    </row>
    <row r="708" spans="2:8" x14ac:dyDescent="0.25">
      <c r="B708" s="901"/>
      <c r="C708" s="10" t="s">
        <v>2013</v>
      </c>
      <c r="D708" s="10" t="s">
        <v>2014</v>
      </c>
      <c r="E708" s="10" t="s">
        <v>1986</v>
      </c>
      <c r="F708" s="11"/>
      <c r="G708" s="11"/>
      <c r="H708" s="11"/>
    </row>
    <row r="709" spans="2:8" x14ac:dyDescent="0.25">
      <c r="B709" s="901"/>
      <c r="C709" s="10" t="s">
        <v>2015</v>
      </c>
      <c r="D709" s="10" t="s">
        <v>2016</v>
      </c>
      <c r="E709" s="10" t="s">
        <v>2007</v>
      </c>
      <c r="F709" s="11"/>
      <c r="G709" s="11"/>
      <c r="H709" s="11"/>
    </row>
    <row r="710" spans="2:8" x14ac:dyDescent="0.25">
      <c r="B710" s="901"/>
      <c r="C710" s="10" t="s">
        <v>1039</v>
      </c>
      <c r="D710" s="10" t="s">
        <v>1998</v>
      </c>
      <c r="E710" s="10" t="s">
        <v>854</v>
      </c>
      <c r="F710" s="11"/>
      <c r="G710" s="11"/>
      <c r="H710" s="11"/>
    </row>
    <row r="711" spans="2:8" x14ac:dyDescent="0.25">
      <c r="B711" s="901"/>
      <c r="C711" s="10" t="s">
        <v>1042</v>
      </c>
      <c r="D711" s="10" t="s">
        <v>2017</v>
      </c>
      <c r="E711" s="10" t="s">
        <v>854</v>
      </c>
      <c r="F711" s="11"/>
      <c r="G711" s="11"/>
      <c r="H711" s="11"/>
    </row>
    <row r="712" spans="2:8" x14ac:dyDescent="0.25">
      <c r="B712" s="901"/>
      <c r="C712" s="10" t="s">
        <v>2018</v>
      </c>
      <c r="D712" s="10" t="s">
        <v>2019</v>
      </c>
      <c r="E712" s="10" t="s">
        <v>854</v>
      </c>
      <c r="F712" s="11"/>
      <c r="G712" s="11"/>
      <c r="H712" s="11"/>
    </row>
    <row r="713" spans="2:8" x14ac:dyDescent="0.25">
      <c r="B713" s="901"/>
      <c r="C713" s="10" t="s">
        <v>2020</v>
      </c>
      <c r="D713" s="10" t="s">
        <v>2016</v>
      </c>
      <c r="E713" s="110"/>
      <c r="F713" s="11"/>
      <c r="G713" s="11"/>
      <c r="H713" s="11"/>
    </row>
    <row r="727" spans="1:18" x14ac:dyDescent="0.25">
      <c r="A727">
        <v>471</v>
      </c>
      <c r="B727">
        <v>5</v>
      </c>
      <c r="C727" t="s">
        <v>2061</v>
      </c>
      <c r="D727" t="s">
        <v>2047</v>
      </c>
      <c r="Q727" t="s">
        <v>2062</v>
      </c>
      <c r="R727" t="s">
        <v>2063</v>
      </c>
    </row>
    <row r="728" spans="1:18" x14ac:dyDescent="0.25">
      <c r="A728" t="s">
        <v>1851</v>
      </c>
      <c r="B728">
        <v>1</v>
      </c>
      <c r="C728">
        <f>$A$727*B728*$B$727</f>
        <v>2355</v>
      </c>
      <c r="D728">
        <f t="shared" ref="D728:D733" si="11">C728*0.07</f>
        <v>164.85000000000002</v>
      </c>
      <c r="Q728">
        <v>165</v>
      </c>
      <c r="R728">
        <f>C728-Q728</f>
        <v>2190</v>
      </c>
    </row>
    <row r="729" spans="1:18" x14ac:dyDescent="0.25">
      <c r="A729" t="s">
        <v>2039</v>
      </c>
      <c r="B729">
        <v>5</v>
      </c>
      <c r="C729">
        <f>$A$727*B729*$B$727</f>
        <v>11775</v>
      </c>
      <c r="D729">
        <f t="shared" si="11"/>
        <v>824.25000000000011</v>
      </c>
      <c r="Q729">
        <v>824</v>
      </c>
      <c r="R729">
        <f>C729-Q729</f>
        <v>10951</v>
      </c>
    </row>
    <row r="730" spans="1:18" x14ac:dyDescent="0.25">
      <c r="A730" t="s">
        <v>2060</v>
      </c>
      <c r="B730">
        <v>4</v>
      </c>
      <c r="C730">
        <f>$A$727*B730*$B$727</f>
        <v>9420</v>
      </c>
      <c r="D730">
        <f t="shared" si="11"/>
        <v>659.40000000000009</v>
      </c>
      <c r="Q730">
        <v>659</v>
      </c>
      <c r="R730">
        <f>C730-Q730</f>
        <v>8761</v>
      </c>
    </row>
    <row r="731" spans="1:18" x14ac:dyDescent="0.25">
      <c r="A731" t="s">
        <v>2041</v>
      </c>
      <c r="B731">
        <v>4</v>
      </c>
      <c r="C731">
        <f>$A$727*B731*$B$727</f>
        <v>9420</v>
      </c>
      <c r="D731">
        <f t="shared" si="11"/>
        <v>659.40000000000009</v>
      </c>
      <c r="Q731">
        <v>659</v>
      </c>
      <c r="R731">
        <f>C731-Q731</f>
        <v>8761</v>
      </c>
    </row>
    <row r="732" spans="1:18" x14ac:dyDescent="0.25">
      <c r="A732" t="s">
        <v>2042</v>
      </c>
      <c r="B732">
        <v>5</v>
      </c>
      <c r="C732">
        <f>$A$727*B732*$B$727</f>
        <v>11775</v>
      </c>
      <c r="D732">
        <f t="shared" si="11"/>
        <v>824.25000000000011</v>
      </c>
      <c r="Q732">
        <v>824</v>
      </c>
      <c r="R732">
        <f>C732-Q732</f>
        <v>10951</v>
      </c>
    </row>
    <row r="733" spans="1:18" x14ac:dyDescent="0.25">
      <c r="C733">
        <f>SUM(C728:C732)</f>
        <v>44745</v>
      </c>
      <c r="D733">
        <f t="shared" si="11"/>
        <v>3132.15</v>
      </c>
      <c r="Q733">
        <f>SUM(Q728:Q732)</f>
        <v>3131</v>
      </c>
      <c r="R733">
        <f>SUM(R728:R732)</f>
        <v>41614</v>
      </c>
    </row>
    <row r="737" spans="1:20" ht="15.75" thickBot="1" x14ac:dyDescent="0.3">
      <c r="C737">
        <v>5</v>
      </c>
    </row>
    <row r="738" spans="1:20" ht="32.25" thickBot="1" x14ac:dyDescent="0.3">
      <c r="A738" s="295" t="s">
        <v>2064</v>
      </c>
      <c r="B738" s="198">
        <v>1</v>
      </c>
      <c r="C738" s="198">
        <v>179</v>
      </c>
      <c r="D738" s="198">
        <f t="shared" ref="D738:D744" si="12">B738*C738*$C$737</f>
        <v>895</v>
      </c>
      <c r="Q738" s="198">
        <v>895</v>
      </c>
      <c r="T738">
        <v>1660</v>
      </c>
    </row>
    <row r="739" spans="1:20" ht="16.5" thickBot="1" x14ac:dyDescent="0.3">
      <c r="A739" s="294" t="s">
        <v>2065</v>
      </c>
      <c r="B739">
        <v>1</v>
      </c>
      <c r="C739">
        <v>166</v>
      </c>
      <c r="D739" s="198">
        <f t="shared" si="12"/>
        <v>830</v>
      </c>
      <c r="Q739" s="198">
        <v>0</v>
      </c>
    </row>
    <row r="740" spans="1:20" ht="16.5" thickBot="1" x14ac:dyDescent="0.3">
      <c r="A740" s="296" t="s">
        <v>279</v>
      </c>
      <c r="B740" s="198">
        <v>1</v>
      </c>
      <c r="C740" s="198">
        <v>179</v>
      </c>
      <c r="D740" s="198">
        <f t="shared" si="12"/>
        <v>895</v>
      </c>
      <c r="Q740" s="198">
        <v>895</v>
      </c>
    </row>
    <row r="741" spans="1:20" ht="16.5" thickBot="1" x14ac:dyDescent="0.3">
      <c r="A741" s="296" t="s">
        <v>2066</v>
      </c>
      <c r="B741" s="198">
        <v>3</v>
      </c>
      <c r="C741" s="198">
        <v>168</v>
      </c>
      <c r="D741" s="198">
        <f t="shared" si="12"/>
        <v>2520</v>
      </c>
      <c r="Q741" s="198">
        <v>2520</v>
      </c>
    </row>
    <row r="742" spans="1:20" ht="16.5" thickBot="1" x14ac:dyDescent="0.3">
      <c r="A742" s="296" t="s">
        <v>344</v>
      </c>
      <c r="B742" s="198">
        <v>1</v>
      </c>
      <c r="C742" s="198">
        <v>140</v>
      </c>
      <c r="D742" s="198">
        <f t="shared" si="12"/>
        <v>700</v>
      </c>
      <c r="Q742" s="198">
        <v>700</v>
      </c>
    </row>
    <row r="743" spans="1:20" ht="16.5" thickBot="1" x14ac:dyDescent="0.3">
      <c r="A743" s="296" t="s">
        <v>2067</v>
      </c>
      <c r="B743" s="198">
        <v>1</v>
      </c>
      <c r="C743" s="198">
        <v>156</v>
      </c>
      <c r="D743" s="198">
        <f t="shared" si="12"/>
        <v>780</v>
      </c>
      <c r="Q743" s="198">
        <v>780</v>
      </c>
    </row>
    <row r="744" spans="1:20" ht="32.25" thickBot="1" x14ac:dyDescent="0.3">
      <c r="A744" s="296" t="s">
        <v>2068</v>
      </c>
      <c r="B744" s="198">
        <v>0.1</v>
      </c>
      <c r="C744" s="198">
        <v>198</v>
      </c>
      <c r="D744" s="198">
        <f t="shared" si="12"/>
        <v>99</v>
      </c>
      <c r="Q744" s="198">
        <v>99</v>
      </c>
    </row>
    <row r="745" spans="1:20" x14ac:dyDescent="0.25">
      <c r="Q745">
        <f>SUM(Q738:Q744)</f>
        <v>5889</v>
      </c>
    </row>
    <row r="746" spans="1:20" ht="15.75" x14ac:dyDescent="0.25">
      <c r="A746" s="297" t="s">
        <v>2039</v>
      </c>
      <c r="B746" s="298">
        <v>3</v>
      </c>
      <c r="C746">
        <f>B746*Q745</f>
        <v>17667</v>
      </c>
      <c r="D746" s="198">
        <f>C746+T738</f>
        <v>19327</v>
      </c>
    </row>
    <row r="747" spans="1:20" ht="15.75" x14ac:dyDescent="0.25">
      <c r="A747" s="297" t="s">
        <v>2060</v>
      </c>
      <c r="B747" s="298">
        <v>4</v>
      </c>
      <c r="C747">
        <f>B747*Q745</f>
        <v>23556</v>
      </c>
      <c r="D747">
        <v>23556</v>
      </c>
    </row>
    <row r="748" spans="1:20" ht="15.75" x14ac:dyDescent="0.25">
      <c r="A748" s="297" t="s">
        <v>2041</v>
      </c>
      <c r="B748" s="298">
        <v>4</v>
      </c>
      <c r="C748">
        <f>B748*Q745</f>
        <v>23556</v>
      </c>
      <c r="D748">
        <v>23556</v>
      </c>
    </row>
    <row r="749" spans="1:20" ht="15.75" x14ac:dyDescent="0.25">
      <c r="A749" s="297"/>
    </row>
    <row r="787" spans="1:9" s="5" customFormat="1" ht="38.25" x14ac:dyDescent="0.2">
      <c r="A787" s="299" t="s">
        <v>2123</v>
      </c>
      <c r="B787" s="299" t="s">
        <v>2124</v>
      </c>
      <c r="C787" s="299" t="s">
        <v>2125</v>
      </c>
      <c r="D787" s="299" t="s">
        <v>2126</v>
      </c>
      <c r="E787" s="300" t="s">
        <v>18</v>
      </c>
      <c r="F787" s="300"/>
      <c r="G787" s="300"/>
      <c r="H787" s="300"/>
      <c r="I787" s="300" t="s">
        <v>2127</v>
      </c>
    </row>
    <row r="788" spans="1:9" s="5" customFormat="1" ht="12.75" x14ac:dyDescent="0.2">
      <c r="A788" s="301" t="s">
        <v>2128</v>
      </c>
      <c r="B788" s="304" t="s">
        <v>2129</v>
      </c>
      <c r="C788" s="302" t="s">
        <v>2130</v>
      </c>
      <c r="D788" s="301" t="s">
        <v>2131</v>
      </c>
      <c r="E788" s="303" t="s">
        <v>270</v>
      </c>
      <c r="F788" s="376"/>
      <c r="G788" s="640"/>
      <c r="H788" s="640"/>
      <c r="I788" s="303"/>
    </row>
    <row r="789" spans="1:9" s="5" customFormat="1" ht="12.75" x14ac:dyDescent="0.2">
      <c r="A789" s="301" t="s">
        <v>2132</v>
      </c>
      <c r="B789" s="304" t="s">
        <v>2133</v>
      </c>
      <c r="C789" s="302" t="s">
        <v>2134</v>
      </c>
      <c r="D789" s="301" t="s">
        <v>2131</v>
      </c>
      <c r="E789" s="303" t="s">
        <v>270</v>
      </c>
      <c r="F789" s="376"/>
      <c r="G789" s="640"/>
      <c r="H789" s="640"/>
      <c r="I789" s="303"/>
    </row>
    <row r="790" spans="1:9" s="5" customFormat="1" ht="12.75" x14ac:dyDescent="0.2">
      <c r="A790" s="301" t="s">
        <v>2135</v>
      </c>
      <c r="B790" s="304" t="s">
        <v>2136</v>
      </c>
      <c r="C790" s="302" t="s">
        <v>2137</v>
      </c>
      <c r="D790" s="301" t="s">
        <v>2138</v>
      </c>
      <c r="E790" s="303" t="s">
        <v>2139</v>
      </c>
      <c r="F790" s="376"/>
      <c r="G790" s="640"/>
      <c r="H790" s="640"/>
      <c r="I790" s="303"/>
    </row>
    <row r="791" spans="1:9" s="5" customFormat="1" ht="25.5" x14ac:dyDescent="0.2">
      <c r="A791" s="301" t="s">
        <v>2140</v>
      </c>
      <c r="B791" s="304" t="s">
        <v>2141</v>
      </c>
      <c r="C791" s="302" t="s">
        <v>2142</v>
      </c>
      <c r="D791" s="301" t="s">
        <v>2143</v>
      </c>
      <c r="E791" s="303" t="s">
        <v>2144</v>
      </c>
      <c r="F791" s="376"/>
      <c r="G791" s="640"/>
      <c r="H791" s="640"/>
      <c r="I791" s="303" t="s">
        <v>2202</v>
      </c>
    </row>
    <row r="792" spans="1:9" s="5" customFormat="1" ht="12.75" x14ac:dyDescent="0.2">
      <c r="A792" s="301" t="s">
        <v>2145</v>
      </c>
      <c r="B792" s="304" t="s">
        <v>2136</v>
      </c>
      <c r="C792" s="302" t="s">
        <v>2146</v>
      </c>
      <c r="D792" s="301" t="s">
        <v>2147</v>
      </c>
      <c r="E792" s="303" t="s">
        <v>2148</v>
      </c>
      <c r="F792" s="376"/>
      <c r="G792" s="640"/>
      <c r="H792" s="640"/>
      <c r="I792" s="303"/>
    </row>
    <row r="793" spans="1:9" s="5" customFormat="1" ht="25.5" x14ac:dyDescent="0.2">
      <c r="A793" s="301" t="s">
        <v>2149</v>
      </c>
      <c r="B793" s="304" t="s">
        <v>2150</v>
      </c>
      <c r="C793" s="302" t="s">
        <v>2137</v>
      </c>
      <c r="D793" s="301" t="s">
        <v>2147</v>
      </c>
      <c r="E793" s="303" t="s">
        <v>2151</v>
      </c>
      <c r="F793" s="376"/>
      <c r="G793" s="640"/>
      <c r="H793" s="640"/>
      <c r="I793" s="303" t="s">
        <v>2202</v>
      </c>
    </row>
    <row r="794" spans="1:9" s="5" customFormat="1" ht="191.25" x14ac:dyDescent="0.2">
      <c r="A794" s="301" t="s">
        <v>2152</v>
      </c>
      <c r="B794" s="304" t="s">
        <v>2153</v>
      </c>
      <c r="C794" s="302" t="s">
        <v>2146</v>
      </c>
      <c r="D794" s="301" t="s">
        <v>2147</v>
      </c>
      <c r="E794" s="303" t="s">
        <v>2148</v>
      </c>
      <c r="F794" s="376"/>
      <c r="G794" s="640"/>
      <c r="H794" s="640"/>
      <c r="I794" s="303" t="s">
        <v>2201</v>
      </c>
    </row>
    <row r="795" spans="1:9" s="5" customFormat="1" ht="12.75" x14ac:dyDescent="0.2">
      <c r="A795" s="301" t="s">
        <v>2154</v>
      </c>
      <c r="B795" s="304" t="s">
        <v>2129</v>
      </c>
      <c r="C795" s="302" t="s">
        <v>2134</v>
      </c>
      <c r="D795" s="301" t="s">
        <v>2131</v>
      </c>
      <c r="E795" s="303" t="s">
        <v>270</v>
      </c>
      <c r="F795" s="376"/>
      <c r="G795" s="640"/>
      <c r="H795" s="640"/>
      <c r="I795" s="303"/>
    </row>
    <row r="796" spans="1:9" s="5" customFormat="1" ht="12.75" x14ac:dyDescent="0.2">
      <c r="A796" s="301" t="s">
        <v>2155</v>
      </c>
      <c r="B796" s="304" t="s">
        <v>2136</v>
      </c>
      <c r="C796" s="302" t="s">
        <v>2146</v>
      </c>
      <c r="D796" s="301" t="s">
        <v>2147</v>
      </c>
      <c r="E796" s="303" t="s">
        <v>2148</v>
      </c>
      <c r="F796" s="376"/>
      <c r="G796" s="640"/>
      <c r="H796" s="640"/>
      <c r="I796" s="303"/>
    </row>
    <row r="797" spans="1:9" s="5" customFormat="1" ht="25.5" x14ac:dyDescent="0.2">
      <c r="A797" s="301" t="s">
        <v>2156</v>
      </c>
      <c r="B797" s="304" t="s">
        <v>2136</v>
      </c>
      <c r="C797" s="302" t="s">
        <v>2146</v>
      </c>
      <c r="D797" s="301" t="s">
        <v>2147</v>
      </c>
      <c r="E797" s="303" t="s">
        <v>2157</v>
      </c>
      <c r="F797" s="376"/>
      <c r="G797" s="640"/>
      <c r="H797" s="640"/>
      <c r="I797" s="303" t="s">
        <v>2202</v>
      </c>
    </row>
    <row r="798" spans="1:9" s="5" customFormat="1" ht="12.75" x14ac:dyDescent="0.2">
      <c r="A798" s="301" t="s">
        <v>2158</v>
      </c>
      <c r="B798" s="304" t="s">
        <v>2136</v>
      </c>
      <c r="C798" s="302" t="s">
        <v>2137</v>
      </c>
      <c r="D798" s="301" t="s">
        <v>2138</v>
      </c>
      <c r="E798" s="303" t="s">
        <v>2139</v>
      </c>
      <c r="F798" s="376"/>
      <c r="G798" s="640"/>
      <c r="H798" s="640"/>
      <c r="I798" s="303"/>
    </row>
    <row r="799" spans="1:9" s="5" customFormat="1" ht="153" x14ac:dyDescent="0.2">
      <c r="A799" s="301" t="s">
        <v>2159</v>
      </c>
      <c r="B799" s="304" t="s">
        <v>2160</v>
      </c>
      <c r="C799" s="302" t="s">
        <v>2146</v>
      </c>
      <c r="D799" s="301" t="s">
        <v>2147</v>
      </c>
      <c r="E799" s="303" t="s">
        <v>2148</v>
      </c>
      <c r="F799" s="376"/>
      <c r="G799" s="640"/>
      <c r="H799" s="640"/>
      <c r="I799" s="303" t="s">
        <v>2204</v>
      </c>
    </row>
    <row r="800" spans="1:9" s="5" customFormat="1" ht="25.5" x14ac:dyDescent="0.2">
      <c r="A800" s="301" t="s">
        <v>2161</v>
      </c>
      <c r="B800" s="304" t="s">
        <v>2136</v>
      </c>
      <c r="C800" s="302" t="s">
        <v>2146</v>
      </c>
      <c r="D800" s="301" t="s">
        <v>2147</v>
      </c>
      <c r="E800" s="303" t="s">
        <v>2148</v>
      </c>
      <c r="F800" s="376"/>
      <c r="G800" s="640"/>
      <c r="H800" s="640"/>
      <c r="I800" s="303" t="s">
        <v>2202</v>
      </c>
    </row>
    <row r="801" spans="1:9" s="5" customFormat="1" ht="409.5" x14ac:dyDescent="0.2">
      <c r="A801" s="301" t="s">
        <v>2162</v>
      </c>
      <c r="B801" s="304" t="s">
        <v>2163</v>
      </c>
      <c r="C801" s="302" t="s">
        <v>2164</v>
      </c>
      <c r="D801" s="301" t="s">
        <v>2147</v>
      </c>
      <c r="E801" s="303" t="s">
        <v>2165</v>
      </c>
      <c r="F801" s="376"/>
      <c r="G801" s="640"/>
      <c r="H801" s="640"/>
      <c r="I801" s="303" t="s">
        <v>2205</v>
      </c>
    </row>
    <row r="802" spans="1:9" s="5" customFormat="1" ht="25.5" x14ac:dyDescent="0.2">
      <c r="A802" s="301" t="s">
        <v>2166</v>
      </c>
      <c r="B802" s="304" t="s">
        <v>2167</v>
      </c>
      <c r="C802" s="302" t="s">
        <v>2146</v>
      </c>
      <c r="D802" s="301" t="s">
        <v>2138</v>
      </c>
      <c r="E802" s="303" t="s">
        <v>2168</v>
      </c>
      <c r="F802" s="376"/>
      <c r="G802" s="640"/>
      <c r="H802" s="640"/>
      <c r="I802" s="303"/>
    </row>
    <row r="803" spans="1:9" s="5" customFormat="1" ht="25.5" x14ac:dyDescent="0.2">
      <c r="A803" s="301" t="s">
        <v>2169</v>
      </c>
      <c r="B803" s="304" t="s">
        <v>2136</v>
      </c>
      <c r="C803" s="302" t="s">
        <v>2146</v>
      </c>
      <c r="D803" s="301" t="s">
        <v>2147</v>
      </c>
      <c r="E803" s="303" t="s">
        <v>2148</v>
      </c>
      <c r="F803" s="376"/>
      <c r="G803" s="640"/>
      <c r="H803" s="640"/>
      <c r="I803" s="303" t="s">
        <v>2202</v>
      </c>
    </row>
    <row r="804" spans="1:9" s="5" customFormat="1" ht="12.75" x14ac:dyDescent="0.2">
      <c r="A804" s="301" t="s">
        <v>2170</v>
      </c>
      <c r="B804" s="304" t="s">
        <v>2136</v>
      </c>
      <c r="C804" s="302" t="s">
        <v>2171</v>
      </c>
      <c r="D804" s="301" t="s">
        <v>2131</v>
      </c>
      <c r="E804" s="303" t="s">
        <v>270</v>
      </c>
      <c r="F804" s="376"/>
      <c r="G804" s="640"/>
      <c r="H804" s="640"/>
      <c r="I804" s="303"/>
    </row>
    <row r="805" spans="1:9" s="5" customFormat="1" ht="12.75" x14ac:dyDescent="0.2">
      <c r="A805" s="301" t="s">
        <v>2172</v>
      </c>
      <c r="B805" s="304" t="s">
        <v>2173</v>
      </c>
      <c r="C805" s="302" t="s">
        <v>2174</v>
      </c>
      <c r="D805" s="301" t="s">
        <v>2147</v>
      </c>
      <c r="E805" s="303" t="s">
        <v>2148</v>
      </c>
      <c r="F805" s="376"/>
      <c r="G805" s="640"/>
      <c r="H805" s="640"/>
      <c r="I805" s="303"/>
    </row>
    <row r="806" spans="1:9" s="5" customFormat="1" ht="38.25" x14ac:dyDescent="0.2">
      <c r="A806" s="301" t="s">
        <v>2175</v>
      </c>
      <c r="B806" s="304" t="s">
        <v>2136</v>
      </c>
      <c r="C806" s="302" t="s">
        <v>2146</v>
      </c>
      <c r="D806" s="301" t="s">
        <v>2147</v>
      </c>
      <c r="E806" s="303" t="s">
        <v>2148</v>
      </c>
      <c r="F806" s="376"/>
      <c r="G806" s="640"/>
      <c r="H806" s="640"/>
      <c r="I806" s="303" t="s">
        <v>2203</v>
      </c>
    </row>
    <row r="807" spans="1:9" s="5" customFormat="1" ht="140.25" x14ac:dyDescent="0.2">
      <c r="A807" s="301" t="s">
        <v>2176</v>
      </c>
      <c r="B807" s="304" t="s">
        <v>2177</v>
      </c>
      <c r="C807" s="302" t="s">
        <v>2178</v>
      </c>
      <c r="D807" s="301" t="s">
        <v>2179</v>
      </c>
      <c r="E807" s="303" t="s">
        <v>2180</v>
      </c>
      <c r="F807" s="376"/>
      <c r="G807" s="640"/>
      <c r="H807" s="640"/>
      <c r="I807" s="303" t="s">
        <v>2206</v>
      </c>
    </row>
    <row r="808" spans="1:9" s="5" customFormat="1" ht="12.75" x14ac:dyDescent="0.2">
      <c r="A808" s="301" t="s">
        <v>2182</v>
      </c>
      <c r="B808" s="304" t="s">
        <v>2136</v>
      </c>
      <c r="C808" s="302" t="s">
        <v>2146</v>
      </c>
      <c r="D808" s="301" t="s">
        <v>2147</v>
      </c>
      <c r="E808" s="303" t="s">
        <v>2148</v>
      </c>
      <c r="F808" s="376"/>
      <c r="G808" s="640"/>
      <c r="H808" s="640"/>
      <c r="I808" s="303"/>
    </row>
    <row r="809" spans="1:9" s="5" customFormat="1" ht="12.75" x14ac:dyDescent="0.2">
      <c r="A809" s="903" t="s">
        <v>2183</v>
      </c>
      <c r="B809" s="904" t="s">
        <v>2129</v>
      </c>
      <c r="C809" s="905" t="s">
        <v>2184</v>
      </c>
      <c r="D809" s="903" t="s">
        <v>2185</v>
      </c>
      <c r="E809" s="303" t="s">
        <v>2186</v>
      </c>
      <c r="F809" s="376"/>
      <c r="G809" s="640"/>
      <c r="H809" s="640"/>
      <c r="I809" s="911"/>
    </row>
    <row r="810" spans="1:9" s="5" customFormat="1" ht="76.5" customHeight="1" x14ac:dyDescent="0.2">
      <c r="A810" s="903"/>
      <c r="B810" s="904"/>
      <c r="C810" s="905"/>
      <c r="D810" s="903"/>
      <c r="E810" s="303" t="s">
        <v>2187</v>
      </c>
      <c r="F810" s="376"/>
      <c r="G810" s="640"/>
      <c r="H810" s="640"/>
      <c r="I810" s="911"/>
    </row>
    <row r="811" spans="1:9" s="5" customFormat="1" ht="140.25" x14ac:dyDescent="0.2">
      <c r="A811" s="301" t="s">
        <v>2188</v>
      </c>
      <c r="B811" s="304" t="s">
        <v>2189</v>
      </c>
      <c r="C811" s="302" t="s">
        <v>2190</v>
      </c>
      <c r="D811" s="301" t="s">
        <v>2191</v>
      </c>
      <c r="E811" s="303" t="s">
        <v>2192</v>
      </c>
      <c r="F811" s="376"/>
      <c r="G811" s="640"/>
      <c r="H811" s="640"/>
      <c r="I811" s="303" t="s">
        <v>2206</v>
      </c>
    </row>
    <row r="812" spans="1:9" s="5" customFormat="1" ht="12.75" x14ac:dyDescent="0.2">
      <c r="A812" s="301" t="s">
        <v>2193</v>
      </c>
      <c r="B812" s="304" t="s">
        <v>2194</v>
      </c>
      <c r="C812" s="302" t="s">
        <v>2195</v>
      </c>
      <c r="D812" s="301" t="s">
        <v>2196</v>
      </c>
      <c r="E812" s="303" t="s">
        <v>2197</v>
      </c>
      <c r="F812" s="376"/>
      <c r="G812" s="640"/>
      <c r="H812" s="640"/>
      <c r="I812" s="303"/>
    </row>
    <row r="813" spans="1:9" s="5" customFormat="1" ht="12.75" x14ac:dyDescent="0.2">
      <c r="A813" s="301" t="s">
        <v>2198</v>
      </c>
      <c r="B813" s="304" t="s">
        <v>2199</v>
      </c>
      <c r="C813" s="302" t="s">
        <v>2200</v>
      </c>
      <c r="D813" s="301" t="s">
        <v>2131</v>
      </c>
      <c r="E813" s="303" t="s">
        <v>270</v>
      </c>
      <c r="F813" s="376"/>
      <c r="G813" s="640"/>
      <c r="H813" s="640"/>
      <c r="I813" s="303"/>
    </row>
    <row r="814" spans="1:9" s="5" customFormat="1" ht="12.75" x14ac:dyDescent="0.2"/>
    <row r="815" spans="1:9" s="5" customFormat="1" ht="12.75" x14ac:dyDescent="0.2"/>
    <row r="816" spans="1:9" s="5" customFormat="1" ht="12.75" x14ac:dyDescent="0.2"/>
    <row r="846" spans="1:15" x14ac:dyDescent="0.25">
      <c r="A846" s="311" t="s">
        <v>2240</v>
      </c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  <c r="N846" s="106"/>
      <c r="O846" s="106"/>
    </row>
    <row r="847" spans="1:15" x14ac:dyDescent="0.25">
      <c r="A847" s="314" t="s">
        <v>2241</v>
      </c>
      <c r="B847" t="s">
        <v>2263</v>
      </c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  <c r="N847" s="106"/>
      <c r="O847" s="106"/>
    </row>
    <row r="848" spans="1:15" x14ac:dyDescent="0.25">
      <c r="A848" s="242"/>
      <c r="B848" s="147" t="s">
        <v>1681</v>
      </c>
      <c r="C848" s="147" t="s">
        <v>2244</v>
      </c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  <c r="N848" s="106"/>
      <c r="O848" s="106"/>
    </row>
    <row r="849" spans="1:15" x14ac:dyDescent="0.25">
      <c r="A849" s="242"/>
      <c r="B849" s="316" t="s">
        <v>852</v>
      </c>
      <c r="C849" s="110" t="s">
        <v>2264</v>
      </c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  <c r="N849" s="106"/>
      <c r="O849" s="106"/>
    </row>
    <row r="850" spans="1:15" x14ac:dyDescent="0.25">
      <c r="A850" s="242"/>
      <c r="B850" s="316" t="s">
        <v>854</v>
      </c>
      <c r="C850" s="110" t="s">
        <v>2256</v>
      </c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  <c r="N850" s="106"/>
      <c r="O850" s="106"/>
    </row>
    <row r="851" spans="1:15" x14ac:dyDescent="0.25">
      <c r="A851" s="242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  <c r="N851" s="106"/>
      <c r="O851" s="106"/>
    </row>
    <row r="852" spans="1:15" x14ac:dyDescent="0.25">
      <c r="A852" s="242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  <c r="N852" s="106"/>
      <c r="O852" s="106"/>
    </row>
    <row r="853" spans="1:15" x14ac:dyDescent="0.25">
      <c r="A853" s="242" t="s">
        <v>2242</v>
      </c>
      <c r="B853" s="243" t="s">
        <v>2258</v>
      </c>
      <c r="C853" s="242"/>
      <c r="D853" s="242"/>
      <c r="E853" s="242"/>
      <c r="F853" s="242"/>
      <c r="G853" s="242"/>
      <c r="H853" s="242"/>
      <c r="I853" s="242"/>
      <c r="J853" s="242"/>
      <c r="K853" s="242"/>
      <c r="L853" s="242"/>
      <c r="M853" s="242"/>
      <c r="N853" s="310"/>
      <c r="O853" s="310"/>
    </row>
    <row r="854" spans="1:15" x14ac:dyDescent="0.25">
      <c r="A854" s="242"/>
      <c r="B854" s="147" t="s">
        <v>1681</v>
      </c>
      <c r="C854" s="147" t="s">
        <v>2244</v>
      </c>
      <c r="D854" s="147" t="s">
        <v>2259</v>
      </c>
      <c r="E854" s="242"/>
      <c r="F854" s="242"/>
      <c r="G854" s="242"/>
      <c r="H854" s="242"/>
      <c r="I854" s="242"/>
      <c r="J854" s="242"/>
      <c r="K854" s="242"/>
      <c r="L854" s="242"/>
      <c r="M854" s="242"/>
      <c r="N854" s="310"/>
      <c r="O854" s="310"/>
    </row>
    <row r="855" spans="1:15" x14ac:dyDescent="0.25">
      <c r="A855" s="242"/>
      <c r="B855" s="316" t="s">
        <v>2260</v>
      </c>
      <c r="C855" s="168" t="s">
        <v>2268</v>
      </c>
      <c r="D855" s="168"/>
      <c r="E855" s="242"/>
      <c r="F855" s="242"/>
      <c r="G855" s="242"/>
      <c r="H855" s="242"/>
      <c r="I855" s="242"/>
      <c r="J855" s="242"/>
      <c r="K855" s="242"/>
      <c r="L855" s="242"/>
      <c r="M855" s="242"/>
      <c r="N855" s="310"/>
      <c r="O855" s="310"/>
    </row>
    <row r="856" spans="1:15" x14ac:dyDescent="0.25">
      <c r="A856" s="242"/>
      <c r="B856" s="315" t="s">
        <v>1490</v>
      </c>
      <c r="C856" s="168"/>
      <c r="D856" s="168">
        <v>-26836</v>
      </c>
      <c r="E856" s="242"/>
      <c r="F856" s="242"/>
      <c r="G856" s="242"/>
      <c r="H856" s="242"/>
      <c r="I856" s="242"/>
      <c r="J856" s="242"/>
      <c r="K856" s="242"/>
      <c r="L856" s="242"/>
      <c r="M856" s="242"/>
      <c r="N856" s="310"/>
      <c r="O856" s="310"/>
    </row>
    <row r="857" spans="1:15" x14ac:dyDescent="0.25">
      <c r="A857" s="242"/>
      <c r="B857" s="315" t="s">
        <v>1491</v>
      </c>
      <c r="C857" s="168"/>
      <c r="D857" s="168">
        <v>-29520</v>
      </c>
      <c r="E857" s="242"/>
      <c r="F857" s="242"/>
      <c r="G857" s="242"/>
      <c r="H857" s="242"/>
      <c r="I857" s="242"/>
      <c r="J857" s="242"/>
      <c r="K857" s="242"/>
      <c r="L857" s="242"/>
      <c r="M857" s="242"/>
      <c r="N857" s="310"/>
      <c r="O857" s="310"/>
    </row>
    <row r="858" spans="1:15" x14ac:dyDescent="0.25">
      <c r="A858" s="242"/>
      <c r="B858" s="315" t="s">
        <v>1492</v>
      </c>
      <c r="C858" s="168"/>
      <c r="D858" s="168">
        <v>-26836</v>
      </c>
      <c r="E858" s="242"/>
      <c r="F858" s="242"/>
      <c r="G858" s="242"/>
      <c r="H858" s="242"/>
      <c r="I858" s="242"/>
      <c r="J858" s="242"/>
      <c r="K858" s="242"/>
      <c r="L858" s="242"/>
      <c r="M858" s="242"/>
      <c r="N858" s="310"/>
      <c r="O858" s="310"/>
    </row>
    <row r="859" spans="1:15" x14ac:dyDescent="0.25">
      <c r="A859" s="242"/>
      <c r="B859" s="315" t="s">
        <v>1493</v>
      </c>
      <c r="C859" s="168"/>
      <c r="D859" s="168">
        <v>-22811</v>
      </c>
      <c r="E859" s="242"/>
      <c r="F859" s="242"/>
      <c r="G859" s="242"/>
      <c r="H859" s="242"/>
      <c r="I859" s="242"/>
      <c r="J859" s="242"/>
      <c r="K859" s="242"/>
      <c r="L859" s="242"/>
      <c r="M859" s="242"/>
      <c r="N859" s="310"/>
      <c r="O859" s="310"/>
    </row>
    <row r="860" spans="1:15" x14ac:dyDescent="0.25">
      <c r="A860" s="242"/>
      <c r="B860" s="315" t="s">
        <v>1494</v>
      </c>
      <c r="C860" s="168"/>
      <c r="D860" s="168">
        <v>-33545</v>
      </c>
      <c r="E860" s="242"/>
      <c r="F860" s="242"/>
      <c r="G860" s="242"/>
      <c r="H860" s="242"/>
      <c r="I860" s="242"/>
      <c r="J860" s="242"/>
      <c r="K860" s="242"/>
      <c r="L860" s="242"/>
      <c r="M860" s="242"/>
      <c r="N860" s="310"/>
      <c r="O860" s="310"/>
    </row>
    <row r="861" spans="1:15" x14ac:dyDescent="0.25">
      <c r="A861" s="242"/>
      <c r="B861" s="315" t="s">
        <v>1495</v>
      </c>
      <c r="C861" s="168"/>
      <c r="D861" s="168">
        <v>-25494</v>
      </c>
      <c r="E861" s="242"/>
      <c r="F861" s="242"/>
      <c r="G861" s="242"/>
      <c r="H861" s="242"/>
      <c r="I861" s="242"/>
      <c r="J861" s="242"/>
      <c r="K861" s="242"/>
      <c r="L861" s="242"/>
      <c r="M861" s="242"/>
      <c r="N861" s="310"/>
      <c r="O861" s="310"/>
    </row>
    <row r="862" spans="1:15" x14ac:dyDescent="0.25">
      <c r="A862" s="242"/>
      <c r="B862" s="315"/>
      <c r="C862" s="110" t="s">
        <v>2277</v>
      </c>
      <c r="D862" s="147">
        <f>SUM(D856:D861)</f>
        <v>-165042</v>
      </c>
      <c r="E862" s="242"/>
      <c r="F862" s="242">
        <f>D862</f>
        <v>-165042</v>
      </c>
      <c r="G862" s="242"/>
      <c r="H862" s="242"/>
      <c r="I862" s="242"/>
      <c r="J862" s="242"/>
      <c r="K862" s="242"/>
      <c r="L862" s="242"/>
      <c r="M862" s="242"/>
      <c r="N862" s="310"/>
      <c r="O862" s="310"/>
    </row>
    <row r="863" spans="1:15" x14ac:dyDescent="0.25">
      <c r="A863" s="242"/>
      <c r="B863" s="315"/>
      <c r="C863" s="168"/>
      <c r="D863" s="168"/>
      <c r="E863" s="242"/>
      <c r="F863" s="242">
        <f>D870</f>
        <v>-106914</v>
      </c>
      <c r="G863" s="242"/>
      <c r="H863" s="242"/>
      <c r="I863" s="242"/>
      <c r="J863" s="242"/>
      <c r="K863" s="242"/>
      <c r="L863" s="242"/>
      <c r="M863" s="242"/>
      <c r="N863" s="310"/>
      <c r="O863" s="310"/>
    </row>
    <row r="864" spans="1:15" x14ac:dyDescent="0.25">
      <c r="A864" s="242"/>
      <c r="B864" s="895" t="s">
        <v>2265</v>
      </c>
      <c r="C864" s="168" t="s">
        <v>2266</v>
      </c>
      <c r="D864" s="216">
        <v>-20910</v>
      </c>
      <c r="E864" s="174"/>
      <c r="F864" s="174">
        <f>D880</f>
        <v>79628</v>
      </c>
      <c r="G864" s="174"/>
      <c r="H864" s="174"/>
      <c r="I864" s="174"/>
      <c r="J864" s="174"/>
      <c r="K864" s="174"/>
      <c r="L864" s="174"/>
      <c r="M864" s="174"/>
      <c r="N864" s="174"/>
      <c r="O864" s="174"/>
    </row>
    <row r="865" spans="1:15" ht="30" x14ac:dyDescent="0.25">
      <c r="A865" s="242"/>
      <c r="B865" s="896"/>
      <c r="C865" s="313" t="s">
        <v>2269</v>
      </c>
      <c r="D865" s="110"/>
      <c r="E865" s="174"/>
      <c r="F865" s="147">
        <v>142452</v>
      </c>
      <c r="G865" s="242"/>
      <c r="H865" s="242"/>
      <c r="I865" s="174"/>
      <c r="J865" s="174"/>
      <c r="K865" s="174"/>
      <c r="L865" s="174"/>
      <c r="M865" s="174"/>
      <c r="N865" s="174"/>
      <c r="O865" s="174"/>
    </row>
    <row r="866" spans="1:15" x14ac:dyDescent="0.25">
      <c r="A866" s="242"/>
      <c r="B866" s="896"/>
      <c r="C866" s="315" t="s">
        <v>1491</v>
      </c>
      <c r="D866" s="110">
        <v>-29564</v>
      </c>
      <c r="E866" s="174"/>
      <c r="F866" s="147">
        <v>170566.2</v>
      </c>
      <c r="G866" s="242"/>
      <c r="H866" s="242"/>
      <c r="I866" s="174"/>
      <c r="J866" s="174"/>
      <c r="K866" s="174"/>
      <c r="L866" s="174"/>
      <c r="M866" s="174"/>
      <c r="N866" s="174"/>
      <c r="O866" s="174"/>
    </row>
    <row r="867" spans="1:15" x14ac:dyDescent="0.25">
      <c r="A867" s="242"/>
      <c r="B867" s="896"/>
      <c r="C867" s="315" t="s">
        <v>1492</v>
      </c>
      <c r="D867" s="110">
        <v>-26876</v>
      </c>
      <c r="E867" s="174"/>
      <c r="F867" s="174"/>
      <c r="G867" s="174"/>
      <c r="H867" s="174"/>
      <c r="I867" s="174"/>
      <c r="J867" s="174"/>
      <c r="K867" s="174"/>
      <c r="L867" s="174"/>
      <c r="M867" s="174"/>
      <c r="N867" s="174"/>
      <c r="O867" s="174"/>
    </row>
    <row r="868" spans="1:15" x14ac:dyDescent="0.25">
      <c r="A868" s="242"/>
      <c r="B868" s="896"/>
      <c r="C868" s="315" t="s">
        <v>1493</v>
      </c>
      <c r="D868" s="110">
        <v>-22845</v>
      </c>
      <c r="E868" s="174"/>
      <c r="F868" s="174"/>
      <c r="G868" s="174"/>
      <c r="H868" s="174"/>
      <c r="I868" s="174"/>
      <c r="J868" s="174"/>
      <c r="K868" s="174"/>
      <c r="L868" s="174"/>
      <c r="M868" s="174"/>
      <c r="N868" s="174"/>
      <c r="O868" s="174"/>
    </row>
    <row r="869" spans="1:15" x14ac:dyDescent="0.25">
      <c r="A869" s="242"/>
      <c r="B869" s="896"/>
      <c r="C869" s="315" t="s">
        <v>1494</v>
      </c>
      <c r="D869" s="110">
        <v>-6719</v>
      </c>
      <c r="E869" s="174"/>
      <c r="F869" s="174"/>
      <c r="G869" s="174"/>
      <c r="H869" s="174"/>
      <c r="I869" s="174"/>
      <c r="J869" s="174"/>
      <c r="K869" s="174"/>
      <c r="L869" s="174"/>
      <c r="M869" s="174"/>
      <c r="N869" s="174"/>
      <c r="O869" s="174"/>
    </row>
    <row r="870" spans="1:15" x14ac:dyDescent="0.25">
      <c r="A870" s="242"/>
      <c r="B870" s="897"/>
      <c r="C870" s="147" t="s">
        <v>2277</v>
      </c>
      <c r="D870" s="110">
        <f>SUM(D864:D869)</f>
        <v>-106914</v>
      </c>
      <c r="E870" s="174"/>
      <c r="F870" s="174"/>
      <c r="G870" s="174"/>
      <c r="H870" s="174"/>
      <c r="I870" s="174"/>
      <c r="J870" s="174"/>
      <c r="K870" s="174"/>
      <c r="L870" s="174"/>
      <c r="M870" s="174"/>
      <c r="N870" s="174"/>
      <c r="O870" s="174"/>
    </row>
    <row r="871" spans="1:15" x14ac:dyDescent="0.25">
      <c r="A871" s="242"/>
      <c r="B871" s="308"/>
      <c r="C871" s="168"/>
      <c r="D871" s="110"/>
      <c r="E871" s="174"/>
      <c r="F871" s="174"/>
      <c r="G871" s="174"/>
      <c r="H871" s="174"/>
      <c r="I871" s="174"/>
      <c r="J871" s="174"/>
      <c r="K871" s="174"/>
      <c r="L871" s="174"/>
      <c r="M871" s="174"/>
      <c r="N871" s="174"/>
      <c r="O871" s="174"/>
    </row>
    <row r="872" spans="1:15" x14ac:dyDescent="0.25">
      <c r="A872" s="242"/>
      <c r="B872" s="110" t="s">
        <v>2270</v>
      </c>
      <c r="C872" s="110" t="s">
        <v>2267</v>
      </c>
      <c r="D872" s="110"/>
      <c r="E872" s="174"/>
      <c r="F872" s="174"/>
      <c r="G872" s="174"/>
      <c r="H872" s="174"/>
      <c r="I872" s="174"/>
      <c r="J872" s="174"/>
      <c r="K872" s="174"/>
      <c r="L872" s="174"/>
      <c r="M872" s="174"/>
      <c r="N872" s="174"/>
      <c r="O872" s="174"/>
    </row>
    <row r="873" spans="1:15" x14ac:dyDescent="0.25">
      <c r="A873" s="242"/>
      <c r="B873" s="312" t="s">
        <v>2261</v>
      </c>
      <c r="C873" s="209" t="s">
        <v>2271</v>
      </c>
      <c r="D873" s="110"/>
      <c r="E873" s="174"/>
      <c r="F873" s="174"/>
      <c r="G873" s="174"/>
      <c r="H873" s="174"/>
      <c r="I873" s="174"/>
      <c r="J873" s="174"/>
      <c r="K873" s="174"/>
      <c r="L873" s="174"/>
      <c r="M873" s="174"/>
      <c r="N873" s="174"/>
      <c r="O873" s="174"/>
    </row>
    <row r="874" spans="1:15" x14ac:dyDescent="0.25">
      <c r="A874" s="242"/>
      <c r="B874" s="147" t="s">
        <v>41</v>
      </c>
      <c r="C874" s="147" t="s">
        <v>2247</v>
      </c>
      <c r="D874" s="147" t="s">
        <v>2248</v>
      </c>
      <c r="E874" s="309" t="s">
        <v>18</v>
      </c>
      <c r="F874" s="174"/>
      <c r="G874" s="174"/>
      <c r="H874" s="174"/>
      <c r="I874" s="174"/>
      <c r="J874" s="174"/>
      <c r="K874" s="174"/>
      <c r="L874" s="174"/>
      <c r="M874" s="174"/>
      <c r="N874" s="174"/>
      <c r="O874" s="174"/>
    </row>
    <row r="875" spans="1:15" x14ac:dyDescent="0.25">
      <c r="A875" s="242"/>
      <c r="B875" s="110" t="s">
        <v>2272</v>
      </c>
      <c r="C875" s="110">
        <v>31105</v>
      </c>
      <c r="D875" s="110">
        <v>27372</v>
      </c>
      <c r="E875" s="110" t="s">
        <v>2254</v>
      </c>
      <c r="F875" s="174"/>
      <c r="G875" s="174"/>
      <c r="H875" s="174"/>
      <c r="I875" s="174"/>
      <c r="J875" s="174"/>
      <c r="K875" s="174"/>
      <c r="L875" s="174"/>
      <c r="M875" s="174"/>
      <c r="N875" s="174"/>
      <c r="O875" s="174"/>
    </row>
    <row r="876" spans="1:15" x14ac:dyDescent="0.25">
      <c r="A876" s="242"/>
      <c r="B876" s="110" t="s">
        <v>2250</v>
      </c>
      <c r="C876" s="110">
        <v>24884</v>
      </c>
      <c r="D876" s="110">
        <v>24884</v>
      </c>
      <c r="E876" s="110" t="s">
        <v>2252</v>
      </c>
      <c r="F876" s="174"/>
      <c r="G876" s="174"/>
      <c r="H876" s="174"/>
      <c r="I876" s="174"/>
      <c r="J876" s="174"/>
      <c r="K876" s="174"/>
      <c r="L876" s="174"/>
      <c r="M876" s="174"/>
      <c r="N876" s="174"/>
      <c r="O876" s="174"/>
    </row>
    <row r="877" spans="1:15" x14ac:dyDescent="0.25">
      <c r="A877" s="242"/>
      <c r="B877" s="110" t="s">
        <v>2251</v>
      </c>
      <c r="C877" s="110">
        <v>24884</v>
      </c>
      <c r="D877" s="110">
        <v>21151</v>
      </c>
      <c r="E877" s="110" t="s">
        <v>2254</v>
      </c>
      <c r="F877" s="174"/>
      <c r="G877" s="174"/>
      <c r="H877" s="174"/>
      <c r="I877" s="174"/>
      <c r="J877" s="174"/>
      <c r="K877" s="174"/>
      <c r="L877" s="174"/>
      <c r="M877" s="174"/>
      <c r="N877" s="174"/>
      <c r="O877" s="174"/>
    </row>
    <row r="878" spans="1:15" x14ac:dyDescent="0.25">
      <c r="A878" s="242"/>
      <c r="B878" s="110" t="s">
        <v>2273</v>
      </c>
      <c r="C878" s="110">
        <v>6221</v>
      </c>
      <c r="D878" s="110">
        <v>6221</v>
      </c>
      <c r="E878" s="110" t="s">
        <v>2252</v>
      </c>
      <c r="F878" s="174"/>
      <c r="G878" s="174"/>
      <c r="H878" s="174"/>
      <c r="I878" s="174"/>
      <c r="J878" s="174"/>
      <c r="K878" s="174"/>
      <c r="L878" s="174"/>
      <c r="M878" s="174"/>
      <c r="N878" s="174"/>
      <c r="O878" s="174"/>
    </row>
    <row r="879" spans="1:15" x14ac:dyDescent="0.25">
      <c r="A879" s="242"/>
      <c r="B879" s="147" t="s">
        <v>2255</v>
      </c>
      <c r="C879" s="147">
        <f>SUM(C875:C878)</f>
        <v>87094</v>
      </c>
      <c r="D879" s="147">
        <f>SUM(D875:D878)</f>
        <v>79628</v>
      </c>
      <c r="E879" s="110"/>
      <c r="F879" s="174"/>
      <c r="G879" s="174"/>
      <c r="H879" s="174"/>
      <c r="I879" s="174"/>
      <c r="J879" s="174"/>
      <c r="K879" s="174"/>
      <c r="L879" s="174"/>
      <c r="M879" s="174"/>
      <c r="N879" s="174"/>
      <c r="O879" s="174"/>
    </row>
    <row r="880" spans="1:15" x14ac:dyDescent="0.25">
      <c r="A880" s="242"/>
      <c r="B880" s="110"/>
      <c r="C880" s="110" t="s">
        <v>2257</v>
      </c>
      <c r="D880" s="147">
        <v>79628</v>
      </c>
      <c r="E880" s="110"/>
      <c r="F880" s="174"/>
      <c r="G880" s="174"/>
      <c r="H880" s="174"/>
      <c r="I880" s="174"/>
      <c r="J880" s="174"/>
      <c r="K880" s="174"/>
      <c r="L880" s="174"/>
      <c r="M880" s="174"/>
      <c r="N880" s="174"/>
      <c r="O880" s="174"/>
    </row>
    <row r="881" spans="1:15" x14ac:dyDescent="0.25">
      <c r="A881" s="242"/>
      <c r="B881" s="312" t="s">
        <v>2262</v>
      </c>
      <c r="C881" s="209" t="s">
        <v>2274</v>
      </c>
      <c r="D881" s="110"/>
      <c r="E881" s="174"/>
      <c r="F881" s="174"/>
      <c r="G881" s="174"/>
      <c r="H881" s="174"/>
      <c r="I881" s="174"/>
      <c r="J881" s="174"/>
      <c r="K881" s="174"/>
      <c r="L881" s="174"/>
      <c r="M881" s="174"/>
      <c r="N881" s="174"/>
      <c r="O881" s="174"/>
    </row>
    <row r="882" spans="1:15" x14ac:dyDescent="0.25">
      <c r="A882" s="242"/>
      <c r="B882" s="147" t="s">
        <v>41</v>
      </c>
      <c r="C882" s="147" t="s">
        <v>2247</v>
      </c>
      <c r="D882" s="147" t="s">
        <v>2248</v>
      </c>
      <c r="E882" s="309" t="s">
        <v>18</v>
      </c>
      <c r="F882" s="174"/>
      <c r="G882" s="174"/>
      <c r="H882" s="174"/>
      <c r="I882" s="174"/>
      <c r="J882" s="174"/>
      <c r="K882" s="174"/>
      <c r="L882" s="174"/>
      <c r="M882" s="174"/>
      <c r="N882" s="174"/>
      <c r="O882" s="174"/>
    </row>
    <row r="883" spans="1:15" x14ac:dyDescent="0.25">
      <c r="A883" s="242"/>
      <c r="B883" s="110" t="s">
        <v>2272</v>
      </c>
      <c r="C883" s="110">
        <v>31105</v>
      </c>
      <c r="D883" s="110">
        <v>27372</v>
      </c>
      <c r="E883" s="110" t="s">
        <v>2254</v>
      </c>
      <c r="F883" s="174"/>
      <c r="G883" s="174"/>
      <c r="H883" s="174"/>
      <c r="I883" s="174"/>
      <c r="J883" s="174"/>
      <c r="K883" s="174"/>
      <c r="L883" s="174"/>
      <c r="M883" s="174"/>
      <c r="N883" s="174"/>
      <c r="O883" s="174"/>
    </row>
    <row r="884" spans="1:15" x14ac:dyDescent="0.25">
      <c r="A884" s="242"/>
      <c r="B884" s="110" t="s">
        <v>2250</v>
      </c>
      <c r="C884" s="110">
        <v>24884</v>
      </c>
      <c r="D884" s="110">
        <v>24884</v>
      </c>
      <c r="E884" s="110" t="s">
        <v>2252</v>
      </c>
      <c r="F884" s="174"/>
      <c r="G884" s="174"/>
      <c r="H884" s="174"/>
      <c r="I884" s="174"/>
      <c r="J884" s="174"/>
      <c r="K884" s="174"/>
      <c r="L884" s="174"/>
      <c r="M884" s="174"/>
      <c r="N884" s="174"/>
      <c r="O884" s="174"/>
    </row>
    <row r="885" spans="1:15" x14ac:dyDescent="0.25">
      <c r="A885" s="242"/>
      <c r="B885" s="110" t="s">
        <v>2251</v>
      </c>
      <c r="C885" s="110">
        <v>24884</v>
      </c>
      <c r="D885" s="110">
        <v>21151</v>
      </c>
      <c r="E885" s="110" t="s">
        <v>2254</v>
      </c>
      <c r="F885" s="174"/>
      <c r="G885" s="174"/>
      <c r="H885" s="174"/>
      <c r="I885" s="174"/>
      <c r="J885" s="174"/>
      <c r="K885" s="174"/>
      <c r="L885" s="174"/>
      <c r="M885" s="174"/>
      <c r="N885" s="174"/>
      <c r="O885" s="174"/>
    </row>
    <row r="886" spans="1:15" x14ac:dyDescent="0.25">
      <c r="A886" s="242"/>
      <c r="B886" s="110" t="s">
        <v>2276</v>
      </c>
      <c r="C886" s="110">
        <v>36137</v>
      </c>
      <c r="D886" s="110">
        <v>36137</v>
      </c>
      <c r="E886" s="110" t="s">
        <v>2252</v>
      </c>
      <c r="F886" s="174"/>
      <c r="G886" s="174"/>
      <c r="H886" s="174"/>
      <c r="I886" s="174"/>
      <c r="J886" s="174"/>
      <c r="K886" s="174"/>
      <c r="L886" s="174"/>
      <c r="M886" s="174"/>
      <c r="N886" s="174"/>
      <c r="O886" s="174"/>
    </row>
    <row r="887" spans="1:15" x14ac:dyDescent="0.25">
      <c r="A887" s="242"/>
      <c r="B887" s="110" t="s">
        <v>2275</v>
      </c>
      <c r="C887" s="110">
        <v>34403</v>
      </c>
      <c r="D887" s="110">
        <v>32908</v>
      </c>
      <c r="E887" s="110" t="s">
        <v>2278</v>
      </c>
      <c r="F887" s="174"/>
      <c r="G887" s="174"/>
      <c r="H887" s="174"/>
      <c r="I887" s="174"/>
      <c r="J887" s="174"/>
      <c r="K887" s="174"/>
      <c r="L887" s="174"/>
      <c r="M887" s="174"/>
      <c r="N887" s="174"/>
      <c r="O887" s="174"/>
    </row>
    <row r="888" spans="1:15" x14ac:dyDescent="0.25">
      <c r="A888" s="242"/>
      <c r="B888" s="147" t="s">
        <v>2255</v>
      </c>
      <c r="C888" s="147">
        <f>SUM(C883:C887)</f>
        <v>151413</v>
      </c>
      <c r="D888" s="147">
        <f>SUM(D883:D887)</f>
        <v>142452</v>
      </c>
      <c r="E888" s="110"/>
      <c r="F888" s="174"/>
      <c r="G888" s="174"/>
      <c r="H888" s="174"/>
      <c r="I888" s="174"/>
      <c r="J888" s="174"/>
      <c r="K888" s="174"/>
      <c r="L888" s="174"/>
      <c r="M888" s="174"/>
      <c r="N888" s="174"/>
      <c r="O888" s="174"/>
    </row>
    <row r="889" spans="1:15" x14ac:dyDescent="0.25">
      <c r="A889" s="242"/>
      <c r="B889" s="110"/>
      <c r="C889" s="110" t="s">
        <v>2257</v>
      </c>
      <c r="D889" s="147">
        <v>142452</v>
      </c>
      <c r="E889" s="110"/>
      <c r="F889" s="174"/>
      <c r="G889" s="174"/>
      <c r="H889" s="174"/>
      <c r="I889" s="174"/>
      <c r="J889" s="174"/>
      <c r="K889" s="174"/>
      <c r="L889" s="174"/>
      <c r="M889" s="174"/>
      <c r="N889" s="174"/>
      <c r="O889" s="174"/>
    </row>
    <row r="890" spans="1:15" x14ac:dyDescent="0.25">
      <c r="A890" s="242"/>
      <c r="B890" s="318" t="s">
        <v>2279</v>
      </c>
      <c r="C890" s="209" t="s">
        <v>2280</v>
      </c>
      <c r="D890" s="242"/>
      <c r="E890" s="106"/>
      <c r="F890" s="174"/>
      <c r="G890" s="174"/>
      <c r="H890" s="174"/>
      <c r="I890" s="174"/>
      <c r="J890" s="317">
        <v>6768.5</v>
      </c>
      <c r="K890" s="317"/>
      <c r="L890" s="317"/>
      <c r="M890" s="317"/>
      <c r="N890" s="174"/>
      <c r="O890" s="174"/>
    </row>
    <row r="891" spans="1:15" x14ac:dyDescent="0.25">
      <c r="A891" s="242"/>
      <c r="B891" s="147" t="s">
        <v>41</v>
      </c>
      <c r="C891" s="147" t="s">
        <v>2247</v>
      </c>
      <c r="D891" s="147" t="s">
        <v>2248</v>
      </c>
      <c r="E891" s="309" t="s">
        <v>18</v>
      </c>
      <c r="F891" s="174"/>
      <c r="G891" s="174"/>
      <c r="H891" s="174"/>
      <c r="I891" s="174"/>
      <c r="J891" s="317">
        <f>J890/5</f>
        <v>1353.7</v>
      </c>
      <c r="K891" s="317"/>
      <c r="L891" s="317"/>
      <c r="M891" s="317"/>
      <c r="N891" s="174"/>
      <c r="O891" s="174"/>
    </row>
    <row r="892" spans="1:15" x14ac:dyDescent="0.25">
      <c r="A892" s="242"/>
      <c r="B892" s="110" t="s">
        <v>2250</v>
      </c>
      <c r="C892" s="110">
        <v>27074</v>
      </c>
      <c r="D892" s="110">
        <v>27074</v>
      </c>
      <c r="E892" s="110" t="s">
        <v>2252</v>
      </c>
      <c r="F892" s="174"/>
      <c r="G892" s="174"/>
      <c r="H892" s="174"/>
      <c r="I892" s="174"/>
      <c r="J892" s="317">
        <f>J891*19</f>
        <v>25720.3</v>
      </c>
      <c r="K892" s="317"/>
      <c r="L892" s="317"/>
      <c r="M892" s="317"/>
      <c r="N892" s="174"/>
      <c r="O892" s="174"/>
    </row>
    <row r="893" spans="1:15" x14ac:dyDescent="0.25">
      <c r="A893" s="242"/>
      <c r="B893" s="110" t="s">
        <v>2251</v>
      </c>
      <c r="C893" s="110">
        <v>27074</v>
      </c>
      <c r="D893" s="110">
        <v>23012.9</v>
      </c>
      <c r="E893" s="110" t="s">
        <v>2254</v>
      </c>
      <c r="F893" s="174"/>
      <c r="G893" s="174"/>
      <c r="H893" s="174"/>
      <c r="I893" s="174"/>
      <c r="J893" s="174"/>
      <c r="K893" s="174"/>
      <c r="L893" s="174"/>
      <c r="M893" s="174"/>
      <c r="N893" s="174"/>
      <c r="O893" s="174"/>
    </row>
    <row r="894" spans="1:15" x14ac:dyDescent="0.25">
      <c r="A894" s="242"/>
      <c r="B894" s="110" t="s">
        <v>2276</v>
      </c>
      <c r="C894" s="110">
        <v>33842.5</v>
      </c>
      <c r="D894" s="110">
        <v>33842.5</v>
      </c>
      <c r="E894" s="110" t="s">
        <v>2252</v>
      </c>
      <c r="F894" s="174"/>
      <c r="G894" s="174"/>
      <c r="H894" s="174"/>
      <c r="I894" s="174"/>
      <c r="J894" s="174"/>
      <c r="K894" s="174"/>
      <c r="L894" s="174"/>
      <c r="M894" s="174"/>
      <c r="N894" s="174"/>
      <c r="O894" s="174"/>
    </row>
    <row r="895" spans="1:15" x14ac:dyDescent="0.25">
      <c r="A895" s="242"/>
      <c r="B895" s="110" t="s">
        <v>2281</v>
      </c>
      <c r="C895" s="110">
        <v>27074</v>
      </c>
      <c r="D895" s="110">
        <v>25720.3</v>
      </c>
      <c r="E895" s="110" t="s">
        <v>2278</v>
      </c>
      <c r="F895" s="174"/>
      <c r="G895" s="174"/>
      <c r="H895" s="174"/>
      <c r="I895" s="174"/>
      <c r="J895" s="174"/>
      <c r="K895" s="174"/>
      <c r="L895" s="174"/>
      <c r="M895" s="174"/>
      <c r="N895" s="174"/>
      <c r="O895" s="174"/>
    </row>
    <row r="896" spans="1:15" x14ac:dyDescent="0.25">
      <c r="A896" s="242"/>
      <c r="B896" s="110" t="s">
        <v>2284</v>
      </c>
      <c r="C896" s="110">
        <v>27074</v>
      </c>
      <c r="D896" s="110">
        <v>27074</v>
      </c>
      <c r="E896" s="110" t="s">
        <v>2252</v>
      </c>
      <c r="F896" s="174"/>
      <c r="G896" s="174"/>
      <c r="H896" s="174"/>
      <c r="I896" s="174"/>
      <c r="J896" s="174"/>
      <c r="K896" s="174"/>
      <c r="L896" s="174"/>
      <c r="M896" s="174"/>
      <c r="N896" s="174"/>
      <c r="O896" s="174"/>
    </row>
    <row r="897" spans="1:15" x14ac:dyDescent="0.25">
      <c r="A897" s="242"/>
      <c r="B897" s="110" t="s">
        <v>2283</v>
      </c>
      <c r="C897" s="110">
        <v>33842.5</v>
      </c>
      <c r="D897" s="110">
        <v>33842.5</v>
      </c>
      <c r="E897" s="110" t="s">
        <v>2252</v>
      </c>
      <c r="F897" s="174"/>
      <c r="G897" s="174"/>
      <c r="H897" s="174"/>
      <c r="I897" s="174"/>
      <c r="J897" s="174"/>
      <c r="K897" s="174"/>
      <c r="L897" s="174"/>
      <c r="M897" s="174"/>
      <c r="N897" s="174"/>
      <c r="O897" s="174"/>
    </row>
    <row r="898" spans="1:15" x14ac:dyDescent="0.25">
      <c r="A898" s="242"/>
      <c r="B898" s="147" t="s">
        <v>2255</v>
      </c>
      <c r="C898" s="147">
        <f>SUM(C892:C897)</f>
        <v>175981</v>
      </c>
      <c r="D898" s="147">
        <f>SUM(D892:D897)</f>
        <v>170566.2</v>
      </c>
      <c r="E898" s="110"/>
      <c r="F898" s="174"/>
      <c r="G898" s="174"/>
      <c r="H898" s="174"/>
      <c r="I898" s="174"/>
      <c r="J898" s="174"/>
      <c r="K898" s="174"/>
      <c r="L898" s="174"/>
      <c r="M898" s="174"/>
      <c r="N898" s="174"/>
      <c r="O898" s="174"/>
    </row>
    <row r="899" spans="1:15" x14ac:dyDescent="0.25">
      <c r="A899" s="242"/>
      <c r="B899" s="110"/>
      <c r="C899" s="110" t="s">
        <v>2257</v>
      </c>
      <c r="D899" s="147">
        <v>170566.2</v>
      </c>
      <c r="E899" s="110"/>
      <c r="F899" s="174"/>
      <c r="G899" s="174"/>
      <c r="H899" s="174"/>
      <c r="I899" s="174"/>
      <c r="J899" s="174"/>
      <c r="K899" s="174"/>
      <c r="L899" s="174"/>
      <c r="M899" s="174"/>
      <c r="N899" s="174"/>
      <c r="O899" s="174"/>
    </row>
    <row r="900" spans="1:15" x14ac:dyDescent="0.25">
      <c r="A900" s="242"/>
      <c r="B900" s="318" t="s">
        <v>2285</v>
      </c>
      <c r="C900" s="110" t="s">
        <v>2286</v>
      </c>
      <c r="D900" s="242"/>
      <c r="E900" s="106"/>
      <c r="F900" s="174"/>
      <c r="G900" s="174"/>
      <c r="H900" s="174"/>
      <c r="I900" s="174"/>
      <c r="J900" s="174"/>
      <c r="K900" s="174"/>
      <c r="L900" s="174"/>
      <c r="M900" s="174"/>
      <c r="N900" s="174"/>
      <c r="O900" s="174"/>
    </row>
    <row r="901" spans="1:15" x14ac:dyDescent="0.25">
      <c r="A901" s="242"/>
      <c r="B901" s="106"/>
      <c r="C901" s="106"/>
      <c r="D901" s="242"/>
      <c r="E901" s="106"/>
      <c r="F901" s="174"/>
      <c r="G901" s="174"/>
      <c r="H901" s="174"/>
      <c r="I901" s="174"/>
      <c r="J901" s="174"/>
      <c r="K901" s="174"/>
      <c r="L901" s="174"/>
      <c r="M901" s="174"/>
      <c r="N901" s="174"/>
      <c r="O901" s="174"/>
    </row>
    <row r="902" spans="1:15" x14ac:dyDescent="0.25">
      <c r="A902" s="242"/>
      <c r="B902" s="106"/>
      <c r="C902" s="106"/>
      <c r="D902" s="242"/>
      <c r="E902" s="106"/>
      <c r="F902" s="174"/>
      <c r="G902" s="174"/>
      <c r="H902" s="174"/>
      <c r="I902" s="174"/>
      <c r="J902" s="174"/>
      <c r="K902" s="174"/>
      <c r="L902" s="174"/>
      <c r="M902" s="174"/>
      <c r="N902" s="174"/>
      <c r="O902" s="174"/>
    </row>
    <row r="903" spans="1:15" x14ac:dyDescent="0.25">
      <c r="A903" s="242"/>
      <c r="B903" s="106"/>
      <c r="C903" s="106"/>
      <c r="D903" s="242"/>
      <c r="E903" s="106"/>
      <c r="F903" s="174"/>
      <c r="G903" s="174"/>
      <c r="H903" s="174"/>
      <c r="I903" s="174"/>
      <c r="J903" s="174"/>
      <c r="K903" s="174"/>
      <c r="L903" s="174"/>
      <c r="M903" s="174"/>
      <c r="N903" s="174"/>
      <c r="O903" s="174"/>
    </row>
    <row r="904" spans="1:15" x14ac:dyDescent="0.25">
      <c r="A904" s="242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  <c r="N904" s="106"/>
      <c r="O904" s="106"/>
    </row>
    <row r="905" spans="1:15" hidden="1" x14ac:dyDescent="0.25">
      <c r="A905" s="314" t="s">
        <v>2243</v>
      </c>
      <c r="B905" t="s">
        <v>2246</v>
      </c>
      <c r="F905" s="106"/>
      <c r="G905" s="106"/>
      <c r="H905" s="106"/>
      <c r="I905" s="106"/>
      <c r="J905" s="106"/>
      <c r="K905" s="106"/>
      <c r="L905" s="106"/>
      <c r="M905" s="106"/>
      <c r="N905" s="106"/>
      <c r="O905" s="106"/>
    </row>
    <row r="906" spans="1:15" hidden="1" x14ac:dyDescent="0.25">
      <c r="A906" s="898"/>
      <c r="B906" s="147" t="s">
        <v>41</v>
      </c>
      <c r="C906" s="147" t="s">
        <v>2247</v>
      </c>
      <c r="D906" s="147" t="s">
        <v>2248</v>
      </c>
      <c r="E906" s="309" t="s">
        <v>18</v>
      </c>
      <c r="F906" s="106"/>
      <c r="G906" s="106"/>
      <c r="H906" s="106"/>
      <c r="I906" s="106"/>
      <c r="J906" s="106"/>
      <c r="K906" s="106"/>
      <c r="L906" s="106"/>
      <c r="M906" s="106"/>
      <c r="N906" s="106"/>
      <c r="O906" s="106"/>
    </row>
    <row r="907" spans="1:15" hidden="1" x14ac:dyDescent="0.25">
      <c r="A907" s="898"/>
      <c r="B907" s="110" t="s">
        <v>2249</v>
      </c>
      <c r="C907" s="110">
        <v>19327</v>
      </c>
      <c r="D907" s="110">
        <v>16971.400000000001</v>
      </c>
      <c r="E907" s="110" t="s">
        <v>2253</v>
      </c>
      <c r="F907" s="106"/>
      <c r="G907" s="106"/>
      <c r="H907" s="106"/>
      <c r="I907" s="106"/>
      <c r="J907" s="106"/>
      <c r="K907" s="106"/>
      <c r="L907" s="106"/>
      <c r="M907" s="106"/>
      <c r="N907" s="106"/>
      <c r="O907" s="106"/>
    </row>
    <row r="908" spans="1:15" hidden="1" x14ac:dyDescent="0.25">
      <c r="A908" s="898"/>
      <c r="B908" s="110" t="s">
        <v>2250</v>
      </c>
      <c r="C908" s="110">
        <v>23556</v>
      </c>
      <c r="D908" s="110">
        <v>23556</v>
      </c>
      <c r="E908" s="110" t="s">
        <v>2252</v>
      </c>
      <c r="F908" s="106"/>
      <c r="G908" s="106"/>
      <c r="H908" s="106"/>
      <c r="I908" s="106"/>
      <c r="J908" s="106"/>
      <c r="K908" s="106"/>
      <c r="L908" s="106"/>
      <c r="M908" s="106"/>
      <c r="N908" s="106"/>
      <c r="O908" s="106"/>
    </row>
    <row r="909" spans="1:15" hidden="1" x14ac:dyDescent="0.25">
      <c r="A909" s="106"/>
      <c r="B909" s="110" t="s">
        <v>2251</v>
      </c>
      <c r="C909" s="110">
        <v>23556</v>
      </c>
      <c r="D909" s="110">
        <v>20022.599999999999</v>
      </c>
      <c r="E909" s="110" t="s">
        <v>2254</v>
      </c>
      <c r="F909" s="106"/>
      <c r="G909" s="106"/>
      <c r="H909" s="106"/>
      <c r="I909" s="106"/>
      <c r="J909" s="106"/>
      <c r="K909" s="106"/>
      <c r="L909" s="106"/>
      <c r="M909" s="106"/>
      <c r="N909" s="106"/>
      <c r="O909" s="106"/>
    </row>
    <row r="910" spans="1:15" hidden="1" x14ac:dyDescent="0.25">
      <c r="B910" s="147" t="s">
        <v>2255</v>
      </c>
      <c r="C910" s="147">
        <f>SUM(C907:C909)</f>
        <v>66439</v>
      </c>
      <c r="D910" s="147">
        <f>SUM(D907:D909)</f>
        <v>60550</v>
      </c>
      <c r="E910" s="110"/>
    </row>
    <row r="911" spans="1:15" hidden="1" x14ac:dyDescent="0.25">
      <c r="B911" s="110"/>
      <c r="C911" s="110" t="s">
        <v>2257</v>
      </c>
      <c r="D911" s="147">
        <v>60550</v>
      </c>
      <c r="E911" s="110"/>
    </row>
    <row r="914" spans="1:21" ht="18.75" x14ac:dyDescent="0.3">
      <c r="A914" s="325" t="s">
        <v>2299</v>
      </c>
    </row>
    <row r="916" spans="1:21" s="56" customFormat="1" ht="30" x14ac:dyDescent="0.25">
      <c r="A916" s="333" t="s">
        <v>129</v>
      </c>
      <c r="B916" s="333" t="s">
        <v>2287</v>
      </c>
      <c r="C916" s="333" t="s">
        <v>2288</v>
      </c>
      <c r="D916" s="333" t="s">
        <v>1630</v>
      </c>
      <c r="E916" s="333" t="s">
        <v>18</v>
      </c>
      <c r="F916" s="910"/>
      <c r="G916" s="910"/>
      <c r="H916" s="910"/>
      <c r="I916" s="910"/>
      <c r="J916" s="910"/>
      <c r="K916" s="910"/>
      <c r="L916" s="910"/>
      <c r="M916" s="910"/>
      <c r="N916" s="910"/>
      <c r="O916" s="910"/>
      <c r="P916" s="910"/>
      <c r="Q916" s="910"/>
      <c r="R916" s="910"/>
      <c r="S916" s="910"/>
      <c r="T916" s="910"/>
      <c r="U916" s="334" t="s">
        <v>2298</v>
      </c>
    </row>
    <row r="917" spans="1:21" x14ac:dyDescent="0.25">
      <c r="A917" s="110"/>
      <c r="B917" s="110"/>
      <c r="C917" s="110"/>
      <c r="D917" s="110"/>
      <c r="E917" s="110"/>
      <c r="F917" s="335"/>
      <c r="G917" s="335"/>
      <c r="H917" s="335"/>
      <c r="I917" s="335"/>
      <c r="J917" s="335" t="s">
        <v>1491</v>
      </c>
      <c r="K917" s="335"/>
      <c r="L917" s="335"/>
      <c r="M917" s="335"/>
      <c r="N917" s="335" t="s">
        <v>1639</v>
      </c>
      <c r="O917" s="335" t="s">
        <v>1493</v>
      </c>
      <c r="P917" s="335" t="s">
        <v>1494</v>
      </c>
      <c r="Q917" s="335" t="s">
        <v>1495</v>
      </c>
      <c r="R917" s="335" t="s">
        <v>2282</v>
      </c>
      <c r="S917" s="335"/>
      <c r="T917" s="335" t="s">
        <v>2290</v>
      </c>
      <c r="U917" s="110"/>
    </row>
    <row r="918" spans="1:21" x14ac:dyDescent="0.25">
      <c r="A918" s="902">
        <v>1000083056</v>
      </c>
      <c r="B918" s="902" t="s">
        <v>25</v>
      </c>
      <c r="C918" s="316" t="s">
        <v>852</v>
      </c>
      <c r="D918" s="222" t="s">
        <v>700</v>
      </c>
      <c r="E918" s="222" t="s">
        <v>2289</v>
      </c>
      <c r="F918" s="223"/>
      <c r="G918" s="223"/>
      <c r="H918" s="223"/>
      <c r="I918" s="223"/>
      <c r="J918" s="327">
        <v>21538</v>
      </c>
      <c r="K918" s="327"/>
      <c r="L918" s="327"/>
      <c r="M918" s="327"/>
      <c r="N918" s="328">
        <v>9790</v>
      </c>
      <c r="O918" s="223" t="s">
        <v>92</v>
      </c>
      <c r="P918" s="223" t="s">
        <v>92</v>
      </c>
      <c r="Q918" s="223" t="s">
        <v>92</v>
      </c>
      <c r="R918" s="223" t="s">
        <v>92</v>
      </c>
      <c r="S918" s="223"/>
      <c r="T918" s="223" t="s">
        <v>92</v>
      </c>
      <c r="U918" s="110">
        <v>0</v>
      </c>
    </row>
    <row r="919" spans="1:21" x14ac:dyDescent="0.25">
      <c r="A919" s="902"/>
      <c r="B919" s="902"/>
      <c r="C919" s="329" t="s">
        <v>854</v>
      </c>
      <c r="D919" s="110" t="s">
        <v>2291</v>
      </c>
      <c r="E919" s="110" t="s">
        <v>2302</v>
      </c>
      <c r="F919" s="320"/>
      <c r="G919" s="320"/>
      <c r="H919" s="320"/>
      <c r="I919" s="320"/>
      <c r="J919" s="319">
        <v>23856</v>
      </c>
      <c r="K919" s="319"/>
      <c r="L919" s="319"/>
      <c r="M919" s="319"/>
      <c r="N919" s="320" t="s">
        <v>92</v>
      </c>
      <c r="O919" s="320" t="s">
        <v>92</v>
      </c>
      <c r="P919" s="320" t="s">
        <v>92</v>
      </c>
      <c r="Q919" s="320" t="s">
        <v>92</v>
      </c>
      <c r="R919" s="320" t="s">
        <v>92</v>
      </c>
      <c r="S919" s="320" t="s">
        <v>92</v>
      </c>
      <c r="T919" s="320" t="s">
        <v>92</v>
      </c>
      <c r="U919" s="110">
        <v>0</v>
      </c>
    </row>
    <row r="920" spans="1:21" ht="8.25" customHeight="1" x14ac:dyDescent="0.25">
      <c r="A920" s="336"/>
      <c r="B920" s="336"/>
      <c r="C920" s="321"/>
      <c r="D920" s="321"/>
      <c r="E920" s="321"/>
      <c r="F920" s="322"/>
      <c r="G920" s="322"/>
      <c r="H920" s="322"/>
      <c r="I920" s="322"/>
      <c r="J920" s="323"/>
      <c r="K920" s="323"/>
      <c r="L920" s="323"/>
      <c r="M920" s="323"/>
      <c r="N920" s="322"/>
      <c r="O920" s="322"/>
      <c r="P920" s="322"/>
      <c r="Q920" s="322"/>
      <c r="R920" s="322"/>
      <c r="S920" s="322"/>
      <c r="T920" s="322"/>
      <c r="U920" s="321"/>
    </row>
    <row r="921" spans="1:21" ht="30" x14ac:dyDescent="0.25">
      <c r="A921" s="326">
        <v>1000109733</v>
      </c>
      <c r="B921" s="332" t="s">
        <v>2305</v>
      </c>
      <c r="C921" s="330" t="s">
        <v>2292</v>
      </c>
      <c r="D921" s="110" t="s">
        <v>2051</v>
      </c>
      <c r="E921" s="110" t="s">
        <v>2245</v>
      </c>
      <c r="F921" s="320"/>
      <c r="G921" s="320"/>
      <c r="H921" s="320"/>
      <c r="I921" s="320"/>
      <c r="J921" s="320">
        <v>16971.400000000001</v>
      </c>
      <c r="K921" s="320"/>
      <c r="L921" s="320"/>
      <c r="M921" s="320"/>
      <c r="N921" s="320">
        <v>23556</v>
      </c>
      <c r="O921" s="320">
        <v>20022.599999999999</v>
      </c>
      <c r="P921" s="320" t="s">
        <v>92</v>
      </c>
      <c r="Q921" s="320" t="s">
        <v>92</v>
      </c>
      <c r="R921" s="320" t="s">
        <v>92</v>
      </c>
      <c r="S921" s="320"/>
      <c r="T921" s="320" t="s">
        <v>92</v>
      </c>
      <c r="U921" s="110">
        <v>60550</v>
      </c>
    </row>
    <row r="922" spans="1:21" ht="7.5" customHeight="1" x14ac:dyDescent="0.25">
      <c r="A922" s="336"/>
      <c r="B922" s="324"/>
      <c r="C922" s="321"/>
      <c r="D922" s="321"/>
      <c r="E922" s="321"/>
      <c r="F922" s="322"/>
      <c r="G922" s="322"/>
      <c r="H922" s="322"/>
      <c r="I922" s="322"/>
      <c r="J922" s="322"/>
      <c r="K922" s="322"/>
      <c r="L922" s="322"/>
      <c r="M922" s="322"/>
      <c r="N922" s="322"/>
      <c r="O922" s="322"/>
      <c r="P922" s="322"/>
      <c r="Q922" s="322"/>
      <c r="R922" s="322"/>
      <c r="S922" s="322"/>
      <c r="T922" s="322"/>
      <c r="U922" s="321"/>
    </row>
    <row r="923" spans="1:21" x14ac:dyDescent="0.25">
      <c r="A923" s="902">
        <v>1000105043</v>
      </c>
      <c r="B923" s="902" t="s">
        <v>2293</v>
      </c>
      <c r="C923" s="330" t="s">
        <v>1501</v>
      </c>
      <c r="D923" s="110" t="s">
        <v>917</v>
      </c>
      <c r="E923" s="110" t="s">
        <v>2294</v>
      </c>
      <c r="F923" s="110"/>
      <c r="G923" s="110"/>
      <c r="H923" s="110"/>
      <c r="I923" s="110"/>
      <c r="J923" s="110">
        <v>-29520</v>
      </c>
      <c r="K923" s="110"/>
      <c r="L923" s="110"/>
      <c r="M923" s="110"/>
      <c r="N923" s="110">
        <v>-26836</v>
      </c>
      <c r="O923" s="110">
        <v>-22811</v>
      </c>
      <c r="P923" s="110">
        <v>-33545</v>
      </c>
      <c r="Q923" s="110">
        <v>-25494</v>
      </c>
      <c r="R923" s="320" t="s">
        <v>92</v>
      </c>
      <c r="S923" s="320"/>
      <c r="T923" s="320" t="s">
        <v>92</v>
      </c>
      <c r="U923" s="110">
        <v>-165042</v>
      </c>
    </row>
    <row r="924" spans="1:21" ht="60" x14ac:dyDescent="0.25">
      <c r="A924" s="902"/>
      <c r="B924" s="902"/>
      <c r="C924" s="330" t="s">
        <v>45</v>
      </c>
      <c r="D924" s="110" t="s">
        <v>1633</v>
      </c>
      <c r="E924" s="337" t="s">
        <v>2304</v>
      </c>
      <c r="F924" s="110"/>
      <c r="G924" s="110"/>
      <c r="H924" s="110"/>
      <c r="I924" s="110"/>
      <c r="J924" s="110">
        <v>-29564</v>
      </c>
      <c r="K924" s="110"/>
      <c r="L924" s="110"/>
      <c r="M924" s="110"/>
      <c r="N924" s="110">
        <v>-26876</v>
      </c>
      <c r="O924" s="110">
        <v>-22845</v>
      </c>
      <c r="P924" s="110">
        <v>-6719</v>
      </c>
      <c r="Q924" s="320" t="s">
        <v>92</v>
      </c>
      <c r="R924" s="320" t="s">
        <v>92</v>
      </c>
      <c r="S924" s="320"/>
      <c r="T924" s="320" t="s">
        <v>92</v>
      </c>
      <c r="U924" s="110">
        <v>-105486.25</v>
      </c>
    </row>
    <row r="925" spans="1:21" x14ac:dyDescent="0.25">
      <c r="A925" s="902"/>
      <c r="B925" s="902"/>
      <c r="C925" s="330" t="s">
        <v>2295</v>
      </c>
      <c r="D925" s="110" t="s">
        <v>2035</v>
      </c>
      <c r="E925" s="110" t="s">
        <v>2245</v>
      </c>
      <c r="F925" s="320"/>
      <c r="G925" s="320"/>
      <c r="H925" s="320"/>
      <c r="I925" s="110"/>
      <c r="J925" s="110">
        <v>27372.400000000001</v>
      </c>
      <c r="K925" s="110"/>
      <c r="L925" s="110"/>
      <c r="M925" s="110"/>
      <c r="N925" s="110">
        <v>24884</v>
      </c>
      <c r="O925" s="110">
        <v>21151.4</v>
      </c>
      <c r="P925" s="110">
        <v>31105</v>
      </c>
      <c r="Q925" s="320">
        <v>23639.8</v>
      </c>
      <c r="R925" s="320">
        <v>24884</v>
      </c>
      <c r="S925" s="320"/>
      <c r="T925" s="320">
        <v>6221</v>
      </c>
      <c r="U925" s="110">
        <v>159257.60000000001</v>
      </c>
    </row>
    <row r="926" spans="1:21" x14ac:dyDescent="0.25">
      <c r="A926" s="902"/>
      <c r="B926" s="902"/>
      <c r="C926" s="330" t="s">
        <v>2296</v>
      </c>
      <c r="D926" s="110" t="s">
        <v>2036</v>
      </c>
      <c r="E926" s="110" t="s">
        <v>2245</v>
      </c>
      <c r="F926" s="320"/>
      <c r="G926" s="320"/>
      <c r="H926" s="320"/>
      <c r="I926" s="110"/>
      <c r="J926" s="110">
        <v>27372.400000000001</v>
      </c>
      <c r="K926" s="110"/>
      <c r="L926" s="110"/>
      <c r="M926" s="110"/>
      <c r="N926" s="110">
        <v>24884</v>
      </c>
      <c r="O926" s="110">
        <v>21151.4</v>
      </c>
      <c r="P926" s="110">
        <v>36137</v>
      </c>
      <c r="Q926" s="110">
        <v>32907.599999999999</v>
      </c>
      <c r="R926" s="320" t="s">
        <v>92</v>
      </c>
      <c r="S926" s="320"/>
      <c r="T926" s="320" t="s">
        <v>92</v>
      </c>
      <c r="U926" s="110">
        <v>142452.4</v>
      </c>
    </row>
    <row r="927" spans="1:21" x14ac:dyDescent="0.25">
      <c r="A927" s="902"/>
      <c r="B927" s="902"/>
      <c r="C927" s="330" t="s">
        <v>1500</v>
      </c>
      <c r="D927" s="110" t="s">
        <v>2069</v>
      </c>
      <c r="E927" s="110" t="s">
        <v>2245</v>
      </c>
      <c r="F927" s="320"/>
      <c r="G927" s="320"/>
      <c r="H927" s="320"/>
      <c r="I927" s="110"/>
      <c r="J927" s="320" t="s">
        <v>92</v>
      </c>
      <c r="K927" s="320"/>
      <c r="L927" s="320"/>
      <c r="M927" s="320"/>
      <c r="N927" s="110">
        <v>27074</v>
      </c>
      <c r="O927" s="110">
        <v>23012.9</v>
      </c>
      <c r="P927" s="110">
        <v>33842.5</v>
      </c>
      <c r="Q927" s="110">
        <v>25720.3</v>
      </c>
      <c r="R927" s="110">
        <v>27074</v>
      </c>
      <c r="S927" s="110"/>
      <c r="T927" s="110">
        <v>33842.5</v>
      </c>
      <c r="U927" s="293">
        <v>170566.2</v>
      </c>
    </row>
    <row r="928" spans="1:21" x14ac:dyDescent="0.25">
      <c r="A928" s="902"/>
      <c r="B928" s="902"/>
      <c r="C928" s="329" t="s">
        <v>2297</v>
      </c>
      <c r="D928" s="110" t="s">
        <v>2207</v>
      </c>
      <c r="E928" s="110" t="s">
        <v>2303</v>
      </c>
      <c r="F928" s="320"/>
      <c r="G928" s="320"/>
      <c r="H928" s="320"/>
      <c r="I928" s="110"/>
      <c r="J928" s="110">
        <f>11535+24188</f>
        <v>35723</v>
      </c>
      <c r="K928" s="110"/>
      <c r="L928" s="110"/>
      <c r="M928" s="110"/>
      <c r="N928" s="338">
        <v>26876</v>
      </c>
      <c r="O928" s="338">
        <v>22845</v>
      </c>
      <c r="P928" s="338">
        <v>6719</v>
      </c>
      <c r="Q928" s="320" t="s">
        <v>92</v>
      </c>
      <c r="R928" s="320" t="s">
        <v>92</v>
      </c>
      <c r="S928" s="320"/>
      <c r="T928" s="320" t="s">
        <v>92</v>
      </c>
      <c r="U928" s="293">
        <v>0</v>
      </c>
    </row>
    <row r="931" spans="1:16" x14ac:dyDescent="0.25">
      <c r="F931" s="331"/>
      <c r="G931" s="331"/>
      <c r="H931" s="331"/>
    </row>
    <row r="933" spans="1:16" x14ac:dyDescent="0.25">
      <c r="P933" s="188"/>
    </row>
    <row r="934" spans="1:16" x14ac:dyDescent="0.25">
      <c r="P934" s="188"/>
    </row>
    <row r="935" spans="1:16" ht="15.75" x14ac:dyDescent="0.25">
      <c r="A935" s="339" t="s">
        <v>1491</v>
      </c>
      <c r="B935" s="340"/>
      <c r="P935" s="188"/>
    </row>
    <row r="936" spans="1:16" x14ac:dyDescent="0.25">
      <c r="A936" s="32" t="s">
        <v>2322</v>
      </c>
      <c r="B936" s="32" t="s">
        <v>2328</v>
      </c>
      <c r="P936" s="188"/>
    </row>
    <row r="937" spans="1:16" x14ac:dyDescent="0.25">
      <c r="A937" s="36" t="s">
        <v>2323</v>
      </c>
      <c r="B937" s="51">
        <v>20</v>
      </c>
      <c r="P937" s="188"/>
    </row>
    <row r="938" spans="1:16" x14ac:dyDescent="0.25">
      <c r="A938" s="36" t="s">
        <v>2324</v>
      </c>
      <c r="B938" s="51">
        <v>10</v>
      </c>
      <c r="P938" s="188"/>
    </row>
    <row r="939" spans="1:16" x14ac:dyDescent="0.25">
      <c r="A939" s="36" t="s">
        <v>2325</v>
      </c>
      <c r="B939" s="51">
        <v>15</v>
      </c>
      <c r="P939" s="188"/>
    </row>
    <row r="940" spans="1:16" x14ac:dyDescent="0.25">
      <c r="A940" s="36" t="s">
        <v>2326</v>
      </c>
      <c r="B940" s="51">
        <v>15</v>
      </c>
    </row>
    <row r="941" spans="1:16" x14ac:dyDescent="0.25">
      <c r="A941" s="29" t="s">
        <v>2327</v>
      </c>
      <c r="B941" s="51">
        <v>10</v>
      </c>
    </row>
    <row r="942" spans="1:16" x14ac:dyDescent="0.25">
      <c r="A942" s="342" t="s">
        <v>2321</v>
      </c>
      <c r="B942" s="341">
        <f>SUM(B937:B941)</f>
        <v>70</v>
      </c>
    </row>
    <row r="958" spans="2:16" x14ac:dyDescent="0.25">
      <c r="B958" s="147" t="s">
        <v>2318</v>
      </c>
      <c r="C958" s="147" t="s">
        <v>2319</v>
      </c>
      <c r="D958" s="147" t="s">
        <v>2060</v>
      </c>
      <c r="E958" s="147" t="s">
        <v>2041</v>
      </c>
      <c r="F958" s="147"/>
      <c r="G958" s="147"/>
      <c r="H958" s="147"/>
      <c r="I958" s="147"/>
      <c r="J958" s="147" t="s">
        <v>1677</v>
      </c>
      <c r="K958" s="147"/>
      <c r="L958" s="147"/>
      <c r="M958" s="147"/>
      <c r="N958" s="147" t="s">
        <v>2317</v>
      </c>
      <c r="O958" s="147" t="s">
        <v>1674</v>
      </c>
      <c r="P958" s="147" t="s">
        <v>2320</v>
      </c>
    </row>
    <row r="959" spans="2:16" x14ac:dyDescent="0.25">
      <c r="B959" s="110" t="s">
        <v>113</v>
      </c>
      <c r="C959" s="110">
        <v>166</v>
      </c>
      <c r="D959" s="110">
        <f>15*C959</f>
        <v>2490</v>
      </c>
      <c r="E959" s="110">
        <v>0</v>
      </c>
      <c r="F959" s="110"/>
      <c r="G959" s="110"/>
      <c r="H959" s="110"/>
      <c r="I959" s="110"/>
      <c r="J959" s="110">
        <v>0</v>
      </c>
      <c r="K959" s="110"/>
      <c r="L959" s="110"/>
      <c r="M959" s="110"/>
      <c r="N959" s="110">
        <v>0</v>
      </c>
      <c r="O959" s="110">
        <v>0</v>
      </c>
      <c r="P959" s="110">
        <v>0</v>
      </c>
    </row>
    <row r="960" spans="2:16" x14ac:dyDescent="0.25">
      <c r="B960" s="110" t="s">
        <v>113</v>
      </c>
      <c r="C960" s="110">
        <v>471</v>
      </c>
      <c r="D960" s="110">
        <f>C960*5</f>
        <v>2355</v>
      </c>
      <c r="E960" s="110">
        <f>C960*20</f>
        <v>9420</v>
      </c>
      <c r="F960" s="110"/>
      <c r="G960" s="110"/>
      <c r="H960" s="110"/>
      <c r="I960" s="110"/>
      <c r="J960" s="110">
        <f>C960*20</f>
        <v>9420</v>
      </c>
      <c r="K960" s="110"/>
      <c r="L960" s="110"/>
      <c r="M960" s="110"/>
      <c r="N960" s="110">
        <f>C960*20</f>
        <v>9420</v>
      </c>
      <c r="O960" s="110">
        <f>C960*25</f>
        <v>11775</v>
      </c>
      <c r="P960" s="110">
        <f>C960*22</f>
        <v>10362</v>
      </c>
    </row>
    <row r="961" spans="1:16" x14ac:dyDescent="0.25">
      <c r="B961" s="110" t="s">
        <v>114</v>
      </c>
      <c r="C961" s="110">
        <v>156</v>
      </c>
      <c r="D961" s="110">
        <v>0</v>
      </c>
      <c r="E961" s="110">
        <f>C961*17</f>
        <v>2652</v>
      </c>
      <c r="F961" s="110"/>
      <c r="G961" s="110"/>
      <c r="H961" s="110"/>
      <c r="I961" s="110"/>
      <c r="J961" s="110">
        <f>C961*20</f>
        <v>3120</v>
      </c>
      <c r="K961" s="110"/>
      <c r="L961" s="110"/>
      <c r="M961" s="110"/>
      <c r="N961" s="110">
        <f>C961*20</f>
        <v>3120</v>
      </c>
      <c r="O961" s="110">
        <f>C961*25</f>
        <v>3900</v>
      </c>
      <c r="P961" s="110">
        <f>C961*22</f>
        <v>3432</v>
      </c>
    </row>
    <row r="962" spans="1:16" x14ac:dyDescent="0.25">
      <c r="B962" s="147" t="s">
        <v>2321</v>
      </c>
      <c r="C962" s="147"/>
      <c r="D962" s="147">
        <f>SUM(D959:D961)</f>
        <v>4845</v>
      </c>
      <c r="E962" s="147">
        <f t="shared" ref="E962:P962" si="13">SUM(E959:E961)</f>
        <v>12072</v>
      </c>
      <c r="F962" s="147"/>
      <c r="G962" s="147"/>
      <c r="H962" s="147"/>
      <c r="I962" s="147">
        <f t="shared" si="13"/>
        <v>0</v>
      </c>
      <c r="J962" s="147">
        <f t="shared" si="13"/>
        <v>12540</v>
      </c>
      <c r="K962" s="147"/>
      <c r="L962" s="147"/>
      <c r="M962" s="147"/>
      <c r="N962" s="147">
        <f t="shared" si="13"/>
        <v>12540</v>
      </c>
      <c r="O962" s="147">
        <f t="shared" si="13"/>
        <v>15675</v>
      </c>
      <c r="P962" s="147">
        <f t="shared" si="13"/>
        <v>13794</v>
      </c>
    </row>
    <row r="963" spans="1:16" x14ac:dyDescent="0.25"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  <c r="M963" s="110"/>
      <c r="N963" s="110"/>
      <c r="O963" s="110"/>
      <c r="P963" s="147">
        <f>SUM(D962:P962)</f>
        <v>71466</v>
      </c>
    </row>
    <row r="974" spans="1:16" ht="15.75" x14ac:dyDescent="0.25">
      <c r="A974" s="344" t="s">
        <v>2337</v>
      </c>
    </row>
    <row r="975" spans="1:16" x14ac:dyDescent="0.25">
      <c r="A975" s="56" t="s">
        <v>25</v>
      </c>
      <c r="B975" s="56" t="s">
        <v>2335</v>
      </c>
    </row>
    <row r="976" spans="1:16" x14ac:dyDescent="0.25">
      <c r="C976" s="110" t="s">
        <v>1509</v>
      </c>
      <c r="D976" s="110" t="s">
        <v>2040</v>
      </c>
      <c r="E976" s="110" t="s">
        <v>2041</v>
      </c>
      <c r="F976" s="106"/>
      <c r="G976" s="106"/>
      <c r="H976" s="106"/>
    </row>
    <row r="977" spans="1:14" x14ac:dyDescent="0.25">
      <c r="C977" s="343">
        <v>37816</v>
      </c>
      <c r="D977" s="343">
        <v>45400</v>
      </c>
      <c r="E977" s="343">
        <v>3132</v>
      </c>
      <c r="F977" s="387"/>
      <c r="G977" s="387"/>
      <c r="H977" s="387"/>
    </row>
    <row r="979" spans="1:14" x14ac:dyDescent="0.25">
      <c r="B979" s="56" t="s">
        <v>2336</v>
      </c>
    </row>
    <row r="980" spans="1:14" x14ac:dyDescent="0.25">
      <c r="C980" s="110" t="s">
        <v>1509</v>
      </c>
      <c r="D980" s="343">
        <v>23856</v>
      </c>
    </row>
    <row r="981" spans="1:14" x14ac:dyDescent="0.25">
      <c r="C981" s="110" t="s">
        <v>1509</v>
      </c>
      <c r="D981" s="343">
        <v>37816</v>
      </c>
    </row>
    <row r="982" spans="1:14" x14ac:dyDescent="0.25">
      <c r="C982" s="110" t="s">
        <v>1846</v>
      </c>
      <c r="D982" s="343">
        <v>45400</v>
      </c>
    </row>
    <row r="983" spans="1:14" x14ac:dyDescent="0.25">
      <c r="C983" s="110" t="s">
        <v>1847</v>
      </c>
      <c r="D983" s="343">
        <v>3132</v>
      </c>
    </row>
    <row r="984" spans="1:14" x14ac:dyDescent="0.25">
      <c r="D984" s="343">
        <f>SUM(D980:D983)</f>
        <v>110204</v>
      </c>
    </row>
    <row r="988" spans="1:14" x14ac:dyDescent="0.25">
      <c r="A988" s="56" t="s">
        <v>2293</v>
      </c>
      <c r="B988" s="56" t="s">
        <v>1164</v>
      </c>
      <c r="C988" s="346" t="s">
        <v>1509</v>
      </c>
      <c r="D988" s="346" t="s">
        <v>1509</v>
      </c>
      <c r="E988" s="346" t="s">
        <v>2040</v>
      </c>
      <c r="F988" s="346"/>
      <c r="G988" s="346"/>
      <c r="H988" s="346"/>
      <c r="I988" s="346" t="s">
        <v>2334</v>
      </c>
      <c r="J988" s="347" t="s">
        <v>2042</v>
      </c>
      <c r="K988" s="148"/>
      <c r="L988" s="148"/>
      <c r="M988" s="148"/>
    </row>
    <row r="989" spans="1:14" x14ac:dyDescent="0.25">
      <c r="B989" s="110" t="s">
        <v>2338</v>
      </c>
      <c r="C989" s="345">
        <v>11535</v>
      </c>
      <c r="D989" s="345">
        <v>24188</v>
      </c>
      <c r="E989" s="345">
        <v>26876</v>
      </c>
      <c r="F989" s="345"/>
      <c r="G989" s="345"/>
      <c r="H989" s="345"/>
      <c r="I989" s="345"/>
      <c r="J989" s="345">
        <v>6719</v>
      </c>
      <c r="K989" s="345"/>
      <c r="L989" s="345"/>
      <c r="M989" s="345"/>
      <c r="N989" s="348">
        <f>SUM(C989:J989)</f>
        <v>69318</v>
      </c>
    </row>
    <row r="990" spans="1:14" x14ac:dyDescent="0.25">
      <c r="B990" s="110" t="s">
        <v>2339</v>
      </c>
      <c r="C990" s="343">
        <v>0</v>
      </c>
      <c r="D990" s="110">
        <v>44554</v>
      </c>
      <c r="E990" s="345">
        <v>33654</v>
      </c>
      <c r="F990" s="345"/>
      <c r="G990" s="345"/>
      <c r="H990" s="345"/>
      <c r="I990" s="110"/>
      <c r="J990" s="345">
        <v>4000</v>
      </c>
      <c r="K990" s="345"/>
      <c r="L990" s="345"/>
      <c r="M990" s="345"/>
      <c r="N990" s="338">
        <f>SUM(C990:J990)</f>
        <v>82208</v>
      </c>
    </row>
    <row r="991" spans="1:14" x14ac:dyDescent="0.25">
      <c r="B991" s="110"/>
      <c r="C991" s="110">
        <v>-11535</v>
      </c>
      <c r="D991" s="338">
        <f>D990-D989</f>
        <v>20366</v>
      </c>
      <c r="E991" s="338">
        <f>E990-E989</f>
        <v>6778</v>
      </c>
      <c r="F991" s="338"/>
      <c r="G991" s="338"/>
      <c r="H991" s="338"/>
      <c r="I991" s="110"/>
      <c r="J991" s="338">
        <f>J990-J989</f>
        <v>-2719</v>
      </c>
      <c r="K991" s="338"/>
      <c r="L991" s="338"/>
      <c r="M991" s="338"/>
      <c r="N991" s="349">
        <f>N990-N989</f>
        <v>12890</v>
      </c>
    </row>
    <row r="992" spans="1:14" x14ac:dyDescent="0.25">
      <c r="B992" s="106"/>
      <c r="C992" s="106"/>
      <c r="D992" s="174"/>
      <c r="E992" s="174"/>
      <c r="F992" s="174"/>
      <c r="G992" s="174"/>
      <c r="H992" s="174"/>
      <c r="I992" s="106"/>
      <c r="J992" s="174"/>
      <c r="K992" s="174"/>
      <c r="L992" s="174"/>
      <c r="M992" s="174"/>
      <c r="N992" s="174"/>
    </row>
    <row r="993" spans="1:10" x14ac:dyDescent="0.25">
      <c r="B993" t="s">
        <v>18</v>
      </c>
      <c r="C993" t="s">
        <v>2342</v>
      </c>
      <c r="D993" t="s">
        <v>2340</v>
      </c>
      <c r="E993" t="s">
        <v>2340</v>
      </c>
      <c r="J993" t="s">
        <v>2341</v>
      </c>
    </row>
    <row r="1001" spans="1:10" x14ac:dyDescent="0.25">
      <c r="A1001" s="9" t="s">
        <v>1502</v>
      </c>
      <c r="B1001" s="5"/>
      <c r="C1001" s="5"/>
    </row>
    <row r="1002" spans="1:10" x14ac:dyDescent="0.25">
      <c r="A1002" s="9" t="s">
        <v>2344</v>
      </c>
      <c r="B1002" s="350"/>
      <c r="C1002" s="5"/>
    </row>
    <row r="1003" spans="1:10" x14ac:dyDescent="0.25">
      <c r="A1003" s="32" t="s">
        <v>41</v>
      </c>
      <c r="B1003" s="10" t="s">
        <v>2347</v>
      </c>
      <c r="C1003" s="10" t="s">
        <v>2346</v>
      </c>
    </row>
    <row r="1004" spans="1:10" x14ac:dyDescent="0.25">
      <c r="A1004" s="23" t="s">
        <v>1478</v>
      </c>
      <c r="B1004" s="39">
        <v>3156</v>
      </c>
      <c r="C1004" s="10">
        <f>B1004/1.2</f>
        <v>2630</v>
      </c>
    </row>
    <row r="1005" spans="1:10" x14ac:dyDescent="0.25">
      <c r="A1005" s="23" t="s">
        <v>1488</v>
      </c>
      <c r="B1005" s="13">
        <v>36115.199999999997</v>
      </c>
      <c r="C1005" s="10">
        <f>B1005/1.2</f>
        <v>30096</v>
      </c>
    </row>
    <row r="1006" spans="1:10" x14ac:dyDescent="0.25">
      <c r="A1006" s="10" t="s">
        <v>1489</v>
      </c>
      <c r="B1006" s="13">
        <v>28320</v>
      </c>
      <c r="C1006" s="10">
        <f>B1006/1.2</f>
        <v>23600</v>
      </c>
    </row>
    <row r="1007" spans="1:10" x14ac:dyDescent="0.25">
      <c r="A1007" s="17" t="s">
        <v>1490</v>
      </c>
      <c r="B1007" s="85">
        <v>23929.200000000001</v>
      </c>
      <c r="C1007" s="10">
        <f>B1007/1.2</f>
        <v>19941</v>
      </c>
    </row>
    <row r="1008" spans="1:10" x14ac:dyDescent="0.25">
      <c r="A1008" s="23" t="s">
        <v>1491</v>
      </c>
      <c r="B1008" s="39">
        <f>C1008*1.2</f>
        <v>34308</v>
      </c>
      <c r="C1008" s="10">
        <v>28590</v>
      </c>
    </row>
    <row r="1009" spans="1:15" x14ac:dyDescent="0.25">
      <c r="A1009" s="10"/>
      <c r="B1009" s="10" t="s">
        <v>2343</v>
      </c>
      <c r="C1009" s="10">
        <f>SUM(C1004:C1008)</f>
        <v>104857</v>
      </c>
    </row>
    <row r="1010" spans="1:15" x14ac:dyDescent="0.25">
      <c r="A1010" s="10"/>
      <c r="B1010" s="10" t="s">
        <v>1484</v>
      </c>
      <c r="C1010" s="10">
        <v>105319</v>
      </c>
    </row>
    <row r="1011" spans="1:15" x14ac:dyDescent="0.25">
      <c r="A1011" s="10"/>
      <c r="B1011" s="32" t="s">
        <v>2348</v>
      </c>
      <c r="C1011" s="32">
        <f>C1010-C1009</f>
        <v>462</v>
      </c>
    </row>
    <row r="1012" spans="1:15" x14ac:dyDescent="0.25">
      <c r="A1012" s="21" t="s">
        <v>2345</v>
      </c>
      <c r="C1012" s="5"/>
    </row>
    <row r="1014" spans="1:15" x14ac:dyDescent="0.25">
      <c r="A1014" s="56" t="s">
        <v>2442</v>
      </c>
      <c r="B1014" t="s">
        <v>2443</v>
      </c>
    </row>
    <row r="1015" spans="1:15" x14ac:dyDescent="0.25">
      <c r="A1015" t="s">
        <v>2444</v>
      </c>
    </row>
    <row r="1016" spans="1:15" x14ac:dyDescent="0.25">
      <c r="A1016" t="s">
        <v>2445</v>
      </c>
    </row>
    <row r="1017" spans="1:15" x14ac:dyDescent="0.25">
      <c r="A1017" t="s">
        <v>1252</v>
      </c>
    </row>
    <row r="1023" spans="1:15" s="31" customFormat="1" x14ac:dyDescent="0.25">
      <c r="A1023" s="231"/>
      <c r="B1023" s="214" t="s">
        <v>1370</v>
      </c>
      <c r="C1023" s="214">
        <v>70000</v>
      </c>
      <c r="D1023" s="214" t="s">
        <v>1650</v>
      </c>
      <c r="E1023" s="232">
        <v>367820</v>
      </c>
      <c r="F1023" s="388"/>
      <c r="G1023" s="388"/>
      <c r="H1023" s="388"/>
      <c r="I1023" s="31">
        <v>60123549</v>
      </c>
      <c r="J1023" s="230"/>
      <c r="K1023" s="230"/>
      <c r="L1023" s="230"/>
      <c r="M1023" s="230"/>
      <c r="N1023" s="31" t="s">
        <v>1649</v>
      </c>
      <c r="O1023" s="31">
        <v>60123549</v>
      </c>
    </row>
    <row r="1024" spans="1:15" s="31" customFormat="1" x14ac:dyDescent="0.25">
      <c r="A1024" s="228"/>
      <c r="B1024" s="233" t="s">
        <v>1366</v>
      </c>
      <c r="C1024" s="234">
        <v>163824</v>
      </c>
      <c r="D1024" s="214"/>
      <c r="E1024" s="230">
        <f>E1023-C1024</f>
        <v>203996</v>
      </c>
      <c r="F1024" s="388"/>
      <c r="G1024" s="388"/>
      <c r="H1024" s="388"/>
      <c r="I1024" s="31">
        <v>60123549</v>
      </c>
      <c r="N1024" s="31" t="s">
        <v>1649</v>
      </c>
    </row>
    <row r="1025" spans="1:15" s="31" customFormat="1" x14ac:dyDescent="0.25">
      <c r="A1025" s="228"/>
      <c r="B1025" s="233" t="s">
        <v>1367</v>
      </c>
      <c r="C1025" s="234">
        <v>82449</v>
      </c>
      <c r="D1025" s="214"/>
      <c r="E1025" s="235">
        <f>E1024-C1025</f>
        <v>121547</v>
      </c>
      <c r="F1025" s="388"/>
      <c r="G1025" s="388"/>
      <c r="H1025" s="388"/>
      <c r="I1025" s="31">
        <v>60123549</v>
      </c>
      <c r="N1025" s="31" t="s">
        <v>1649</v>
      </c>
    </row>
    <row r="1026" spans="1:15" s="31" customFormat="1" x14ac:dyDescent="0.25">
      <c r="A1026" s="228"/>
      <c r="B1026" s="233" t="s">
        <v>1368</v>
      </c>
      <c r="C1026" s="234">
        <v>84705</v>
      </c>
      <c r="D1026" s="214"/>
      <c r="E1026" s="235">
        <f>E1025-C1026</f>
        <v>36842</v>
      </c>
      <c r="F1026" s="388"/>
      <c r="G1026" s="388"/>
      <c r="H1026" s="388"/>
      <c r="I1026" s="31">
        <v>60123549</v>
      </c>
      <c r="N1026" s="31" t="s">
        <v>1649</v>
      </c>
    </row>
    <row r="1027" spans="1:15" s="31" customFormat="1" ht="60" x14ac:dyDescent="0.25">
      <c r="A1027" s="228"/>
      <c r="B1027" s="233" t="s">
        <v>1369</v>
      </c>
      <c r="C1027" s="234">
        <v>91445</v>
      </c>
      <c r="D1027" s="235"/>
      <c r="E1027" s="236">
        <f>E1026-C1027</f>
        <v>-54603</v>
      </c>
      <c r="F1027" s="388"/>
      <c r="G1027" s="388"/>
      <c r="H1027" s="388"/>
      <c r="I1027" s="237" t="s">
        <v>1654</v>
      </c>
      <c r="N1027" s="31" t="s">
        <v>1648</v>
      </c>
      <c r="O1027" s="31" t="s">
        <v>1655</v>
      </c>
    </row>
    <row r="1028" spans="1:15" s="31" customFormat="1" x14ac:dyDescent="0.25">
      <c r="A1028" s="228"/>
      <c r="B1028" s="214"/>
      <c r="C1028" s="214"/>
      <c r="D1028" s="214"/>
      <c r="E1028" s="235"/>
      <c r="F1028" s="388"/>
      <c r="G1028" s="388"/>
      <c r="H1028" s="388"/>
    </row>
    <row r="1029" spans="1:15" s="31" customFormat="1" x14ac:dyDescent="0.25">
      <c r="A1029" s="228"/>
      <c r="B1029" s="214"/>
      <c r="C1029" s="235">
        <f>SUM(C1024:C1027)</f>
        <v>422423</v>
      </c>
      <c r="D1029" s="214"/>
      <c r="E1029" s="235"/>
      <c r="F1029" s="388"/>
      <c r="G1029" s="388"/>
      <c r="H1029" s="388"/>
    </row>
    <row r="1030" spans="1:15" s="31" customFormat="1" x14ac:dyDescent="0.25">
      <c r="B1030" s="228"/>
      <c r="C1030" s="228"/>
    </row>
    <row r="1031" spans="1:15" s="31" customFormat="1" x14ac:dyDescent="0.25">
      <c r="A1031" s="238" t="s">
        <v>1371</v>
      </c>
      <c r="B1031" s="239" t="s">
        <v>1485</v>
      </c>
      <c r="C1031" s="229">
        <v>58400</v>
      </c>
      <c r="D1031" s="229"/>
      <c r="E1031" s="229" t="s">
        <v>1656</v>
      </c>
      <c r="F1031" s="229"/>
      <c r="G1031" s="229"/>
      <c r="H1031" s="229"/>
      <c r="I1031" s="229"/>
      <c r="J1031" s="229"/>
      <c r="K1031" s="229"/>
      <c r="L1031" s="229"/>
      <c r="M1031" s="229"/>
      <c r="N1031" s="229" t="s">
        <v>1487</v>
      </c>
    </row>
    <row r="1032" spans="1:15" s="31" customFormat="1" x14ac:dyDescent="0.25">
      <c r="B1032" s="239" t="s">
        <v>1486</v>
      </c>
      <c r="C1032" s="229">
        <v>29250</v>
      </c>
      <c r="D1032" s="229"/>
      <c r="E1032" s="229" t="s">
        <v>1657</v>
      </c>
      <c r="F1032" s="229"/>
      <c r="G1032" s="229"/>
      <c r="H1032" s="229"/>
      <c r="I1032" s="229"/>
      <c r="J1032" s="229"/>
      <c r="K1032" s="229"/>
      <c r="L1032" s="229"/>
      <c r="M1032" s="229"/>
      <c r="N1032" s="229" t="s">
        <v>1487</v>
      </c>
    </row>
    <row r="1033" spans="1:15" s="31" customFormat="1" x14ac:dyDescent="0.25">
      <c r="B1033" s="239"/>
      <c r="C1033" s="240">
        <f>C1031+C1032</f>
        <v>87650</v>
      </c>
      <c r="D1033" s="229"/>
      <c r="E1033" s="229"/>
      <c r="F1033" s="229"/>
      <c r="G1033" s="229"/>
      <c r="H1033" s="229"/>
      <c r="I1033" s="229"/>
      <c r="J1033" s="229"/>
      <c r="K1033" s="229"/>
      <c r="L1033" s="229"/>
      <c r="M1033" s="229"/>
      <c r="N1033" s="229"/>
    </row>
    <row r="1034" spans="1:15" s="31" customFormat="1" x14ac:dyDescent="0.25">
      <c r="B1034" s="239" t="s">
        <v>1486</v>
      </c>
      <c r="C1034" s="229">
        <v>36812</v>
      </c>
      <c r="D1034" s="229"/>
      <c r="E1034" s="229" t="s">
        <v>1658</v>
      </c>
      <c r="F1034" s="229"/>
      <c r="G1034" s="229"/>
      <c r="H1034" s="229"/>
      <c r="I1034" s="229"/>
      <c r="J1034" s="229"/>
      <c r="K1034" s="229"/>
      <c r="L1034" s="229"/>
      <c r="M1034" s="229"/>
      <c r="N1034" s="229" t="s">
        <v>1647</v>
      </c>
    </row>
    <row r="1035" spans="1:15" s="31" customFormat="1" x14ac:dyDescent="0.25">
      <c r="B1035" s="239" t="s">
        <v>1508</v>
      </c>
      <c r="C1035" s="229">
        <v>50280</v>
      </c>
      <c r="D1035" s="229"/>
      <c r="E1035" s="229" t="s">
        <v>1658</v>
      </c>
      <c r="F1035" s="229"/>
      <c r="G1035" s="229"/>
      <c r="H1035" s="229"/>
      <c r="I1035" s="229"/>
      <c r="J1035" s="229"/>
      <c r="K1035" s="229"/>
      <c r="L1035" s="229"/>
      <c r="M1035" s="229"/>
      <c r="N1035" s="229" t="s">
        <v>1647</v>
      </c>
    </row>
    <row r="1036" spans="1:15" s="31" customFormat="1" x14ac:dyDescent="0.25">
      <c r="B1036" s="239" t="s">
        <v>1509</v>
      </c>
      <c r="C1036" s="229">
        <v>23856</v>
      </c>
      <c r="D1036" s="229"/>
      <c r="E1036" s="229" t="s">
        <v>1658</v>
      </c>
      <c r="F1036" s="229"/>
      <c r="G1036" s="229"/>
      <c r="H1036" s="229"/>
      <c r="I1036" s="229"/>
      <c r="J1036" s="229"/>
      <c r="K1036" s="229"/>
      <c r="L1036" s="229"/>
      <c r="M1036" s="229"/>
      <c r="N1036" s="229" t="s">
        <v>1647</v>
      </c>
    </row>
    <row r="1037" spans="1:15" s="31" customFormat="1" x14ac:dyDescent="0.25">
      <c r="B1037" s="241"/>
      <c r="C1037" s="242"/>
      <c r="D1037" s="243"/>
      <c r="E1037" s="243"/>
      <c r="F1037" s="243"/>
      <c r="G1037" s="243"/>
      <c r="H1037" s="243"/>
      <c r="I1037" s="243"/>
      <c r="J1037" s="243"/>
      <c r="K1037" s="243"/>
      <c r="L1037" s="243"/>
      <c r="M1037" s="243"/>
      <c r="N1037" s="243"/>
    </row>
    <row r="1038" spans="1:15" s="31" customFormat="1" x14ac:dyDescent="0.25">
      <c r="B1038" s="241"/>
      <c r="C1038" s="243"/>
      <c r="D1038" s="243"/>
      <c r="E1038" s="243"/>
      <c r="F1038" s="243"/>
      <c r="G1038" s="243"/>
      <c r="H1038" s="243"/>
      <c r="I1038" s="243"/>
      <c r="J1038" s="243"/>
      <c r="K1038" s="243"/>
      <c r="L1038" s="243"/>
      <c r="M1038" s="243"/>
      <c r="N1038" s="243"/>
    </row>
    <row r="1039" spans="1:15" s="31" customFormat="1" x14ac:dyDescent="0.25">
      <c r="B1039" s="244" t="s">
        <v>41</v>
      </c>
      <c r="C1039" s="147" t="s">
        <v>1651</v>
      </c>
      <c r="D1039" s="147" t="s">
        <v>230</v>
      </c>
      <c r="E1039" s="147" t="s">
        <v>1652</v>
      </c>
      <c r="F1039" s="243"/>
      <c r="G1039" s="243"/>
      <c r="H1039" s="243"/>
      <c r="I1039" s="243"/>
      <c r="J1039" s="243"/>
      <c r="K1039" s="243"/>
      <c r="L1039" s="243"/>
      <c r="M1039" s="243"/>
      <c r="N1039" s="243"/>
    </row>
    <row r="1040" spans="1:15" s="31" customFormat="1" x14ac:dyDescent="0.25">
      <c r="B1040" s="233" t="s">
        <v>1366</v>
      </c>
      <c r="C1040" s="245">
        <v>163824</v>
      </c>
      <c r="D1040" s="168">
        <v>60123549</v>
      </c>
      <c r="E1040" s="168"/>
      <c r="F1040" s="243"/>
      <c r="G1040" s="243"/>
      <c r="H1040" s="243"/>
      <c r="I1040" s="246"/>
      <c r="J1040" s="247"/>
      <c r="K1040" s="247"/>
      <c r="L1040" s="247"/>
      <c r="M1040" s="247"/>
      <c r="N1040" s="243"/>
    </row>
    <row r="1041" spans="2:15" s="31" customFormat="1" x14ac:dyDescent="0.25">
      <c r="B1041" s="233" t="s">
        <v>1367</v>
      </c>
      <c r="C1041" s="245">
        <v>82449</v>
      </c>
      <c r="D1041" s="168">
        <v>60123549</v>
      </c>
      <c r="E1041" s="168"/>
      <c r="F1041" s="243"/>
      <c r="G1041" s="243"/>
      <c r="H1041" s="243"/>
      <c r="I1041" s="246"/>
      <c r="J1041" s="246"/>
      <c r="K1041" s="246"/>
      <c r="L1041" s="246"/>
      <c r="M1041" s="246"/>
      <c r="N1041" s="243"/>
    </row>
    <row r="1042" spans="2:15" s="31" customFormat="1" x14ac:dyDescent="0.25">
      <c r="B1042" s="233" t="s">
        <v>1368</v>
      </c>
      <c r="C1042" s="245">
        <v>84705</v>
      </c>
      <c r="D1042" s="168">
        <v>60123549</v>
      </c>
      <c r="E1042" s="168"/>
      <c r="F1042" s="243"/>
      <c r="G1042" s="243"/>
      <c r="H1042" s="243"/>
      <c r="I1042" s="246"/>
      <c r="J1042" s="246"/>
      <c r="K1042" s="246"/>
      <c r="L1042" s="246"/>
      <c r="M1042" s="246"/>
      <c r="N1042" s="243"/>
    </row>
    <row r="1043" spans="2:15" s="31" customFormat="1" x14ac:dyDescent="0.25">
      <c r="B1043" s="233" t="s">
        <v>1369</v>
      </c>
      <c r="C1043" s="245">
        <v>36842</v>
      </c>
      <c r="D1043" s="168">
        <v>60123549</v>
      </c>
      <c r="E1043" s="168"/>
      <c r="F1043" s="243"/>
      <c r="G1043" s="243"/>
      <c r="H1043" s="243"/>
      <c r="I1043" s="243"/>
      <c r="J1043" s="243"/>
      <c r="K1043" s="243"/>
      <c r="L1043" s="243"/>
      <c r="M1043" s="243"/>
      <c r="N1043" s="243"/>
    </row>
    <row r="1044" spans="2:15" s="31" customFormat="1" x14ac:dyDescent="0.25">
      <c r="B1044" s="205" t="s">
        <v>1369</v>
      </c>
      <c r="C1044" s="168">
        <v>54603</v>
      </c>
      <c r="D1044" s="168">
        <v>60133691</v>
      </c>
      <c r="E1044" s="168" t="s">
        <v>1653</v>
      </c>
      <c r="F1044" s="243"/>
      <c r="G1044" s="243"/>
      <c r="H1044" s="243"/>
      <c r="I1044" s="243"/>
      <c r="J1044" s="243"/>
      <c r="K1044" s="243"/>
      <c r="L1044" s="243"/>
      <c r="M1044" s="243"/>
      <c r="N1044" s="243"/>
    </row>
    <row r="1045" spans="2:15" s="31" customFormat="1" x14ac:dyDescent="0.25">
      <c r="B1045" s="248"/>
      <c r="C1045" s="243"/>
      <c r="D1045" s="243"/>
      <c r="E1045" s="243"/>
      <c r="F1045" s="243"/>
      <c r="G1045" s="243"/>
      <c r="H1045" s="243"/>
      <c r="I1045" s="243"/>
      <c r="J1045" s="243"/>
      <c r="K1045" s="243"/>
      <c r="L1045" s="243"/>
      <c r="M1045" s="243"/>
      <c r="N1045" s="243"/>
    </row>
    <row r="1046" spans="2:15" s="31" customFormat="1" x14ac:dyDescent="0.25">
      <c r="B1046" s="228"/>
      <c r="C1046" s="255" t="s">
        <v>1848</v>
      </c>
      <c r="D1046" s="243"/>
    </row>
    <row r="1047" spans="2:15" s="31" customFormat="1" x14ac:dyDescent="0.25">
      <c r="B1047" s="228"/>
      <c r="E1047" s="31">
        <v>4</v>
      </c>
      <c r="I1047" s="31">
        <v>1</v>
      </c>
    </row>
    <row r="1048" spans="2:15" s="31" customFormat="1" x14ac:dyDescent="0.25">
      <c r="B1048" s="248"/>
      <c r="C1048" s="243"/>
      <c r="D1048" s="243"/>
      <c r="E1048" s="31" t="s">
        <v>1509</v>
      </c>
      <c r="I1048" s="31" t="s">
        <v>1847</v>
      </c>
      <c r="J1048" s="213"/>
      <c r="K1048" s="213"/>
      <c r="L1048" s="213"/>
      <c r="M1048" s="213"/>
    </row>
    <row r="1049" spans="2:15" s="31" customFormat="1" x14ac:dyDescent="0.25">
      <c r="B1049" s="248"/>
      <c r="C1049" s="251" t="s">
        <v>1845</v>
      </c>
      <c r="D1049" s="243">
        <v>16370</v>
      </c>
      <c r="E1049" s="243">
        <f>D1049*E1047</f>
        <v>65480</v>
      </c>
      <c r="F1049" s="243"/>
      <c r="G1049" s="243"/>
      <c r="H1049" s="243"/>
      <c r="I1049" s="243">
        <f>D1049*I1047</f>
        <v>16370</v>
      </c>
      <c r="J1049" s="213" t="e">
        <f>E1049+#REF!+I1049</f>
        <v>#REF!</v>
      </c>
      <c r="K1049" s="213"/>
      <c r="L1049" s="213"/>
      <c r="M1049" s="213"/>
    </row>
    <row r="1050" spans="2:15" s="31" customFormat="1" x14ac:dyDescent="0.25">
      <c r="B1050" s="248"/>
      <c r="C1050" s="251"/>
      <c r="D1050" s="243"/>
      <c r="E1050" s="243">
        <f>E1049*0.07</f>
        <v>4583.6000000000004</v>
      </c>
      <c r="F1050" s="243"/>
      <c r="G1050" s="243"/>
      <c r="H1050" s="243"/>
      <c r="I1050" s="243">
        <f>I1049*0.07</f>
        <v>1145.9000000000001</v>
      </c>
      <c r="J1050" s="213" t="e">
        <f>E1050+#REF!+I1050</f>
        <v>#REF!</v>
      </c>
      <c r="K1050" s="213"/>
      <c r="L1050" s="213"/>
      <c r="M1050" s="213"/>
    </row>
    <row r="1051" spans="2:15" s="31" customFormat="1" x14ac:dyDescent="0.25">
      <c r="B1051" s="248">
        <f>471*20</f>
        <v>9420</v>
      </c>
      <c r="C1051" s="251"/>
      <c r="D1051" s="243"/>
      <c r="E1051" s="243"/>
      <c r="F1051" s="243"/>
      <c r="G1051" s="243"/>
      <c r="H1051" s="243"/>
      <c r="I1051" s="243"/>
      <c r="J1051" s="213"/>
      <c r="K1051" s="213"/>
      <c r="L1051" s="213"/>
      <c r="M1051" s="213"/>
      <c r="O1051" s="213" t="e">
        <f>J1050+J1052</f>
        <v>#REF!</v>
      </c>
    </row>
    <row r="1052" spans="2:15" s="31" customFormat="1" x14ac:dyDescent="0.25">
      <c r="B1052" s="248">
        <f>B1051*0.07</f>
        <v>659.40000000000009</v>
      </c>
      <c r="C1052" s="251" t="s">
        <v>1845</v>
      </c>
      <c r="D1052" s="243">
        <v>16370</v>
      </c>
      <c r="E1052" s="243"/>
      <c r="F1052" s="243"/>
      <c r="G1052" s="243"/>
      <c r="H1052" s="243"/>
      <c r="I1052" s="243"/>
      <c r="J1052" s="213">
        <v>10313.1</v>
      </c>
      <c r="K1052" s="213"/>
      <c r="L1052" s="213"/>
      <c r="M1052" s="213"/>
      <c r="O1052" s="213"/>
    </row>
    <row r="1053" spans="2:15" s="31" customFormat="1" x14ac:dyDescent="0.25">
      <c r="B1053" s="248"/>
      <c r="C1053" s="251"/>
      <c r="D1053" s="243"/>
      <c r="E1053" s="249" t="s">
        <v>1850</v>
      </c>
      <c r="F1053" s="243"/>
      <c r="G1053" s="243"/>
      <c r="H1053" s="243"/>
      <c r="I1053" s="243"/>
      <c r="J1053" s="213"/>
      <c r="K1053" s="213"/>
      <c r="L1053" s="213"/>
      <c r="M1053" s="213"/>
      <c r="O1053" s="213"/>
    </row>
    <row r="1054" spans="2:15" s="31" customFormat="1" x14ac:dyDescent="0.25">
      <c r="B1054" s="248"/>
      <c r="C1054" s="251" t="s">
        <v>1849</v>
      </c>
      <c r="D1054" s="243">
        <v>18000</v>
      </c>
      <c r="E1054" s="249">
        <f>D1054*4</f>
        <v>72000</v>
      </c>
      <c r="F1054" s="243"/>
      <c r="G1054" s="243"/>
      <c r="H1054" s="243"/>
      <c r="I1054" s="243"/>
      <c r="J1054" s="213"/>
      <c r="K1054" s="213"/>
      <c r="L1054" s="213"/>
      <c r="M1054" s="213"/>
      <c r="O1054" s="213"/>
    </row>
    <row r="1055" spans="2:15" s="31" customFormat="1" x14ac:dyDescent="0.25">
      <c r="B1055" s="248"/>
      <c r="C1055" s="251"/>
      <c r="D1055" s="243"/>
      <c r="E1055" s="249">
        <f>E1054*0.07</f>
        <v>5040.0000000000009</v>
      </c>
      <c r="F1055" s="249"/>
      <c r="G1055" s="249"/>
      <c r="H1055" s="249"/>
      <c r="I1055" s="243"/>
      <c r="J1055" s="256" t="e">
        <f>E1055+#REF!</f>
        <v>#REF!</v>
      </c>
      <c r="K1055" s="256"/>
      <c r="L1055" s="256"/>
      <c r="M1055" s="256"/>
      <c r="O1055" s="256" t="e">
        <f>J1055</f>
        <v>#REF!</v>
      </c>
    </row>
    <row r="1056" spans="2:15" s="31" customFormat="1" x14ac:dyDescent="0.25">
      <c r="B1056" s="248"/>
      <c r="C1056" s="251" t="s">
        <v>1852</v>
      </c>
      <c r="D1056" s="243"/>
      <c r="E1056" s="249"/>
      <c r="F1056" s="243"/>
      <c r="G1056" s="243"/>
      <c r="H1056" s="243"/>
      <c r="I1056" s="243"/>
      <c r="O1056" s="213"/>
    </row>
    <row r="1057" spans="1:15" s="31" customFormat="1" x14ac:dyDescent="0.25">
      <c r="B1057" s="248"/>
      <c r="C1057" s="243"/>
      <c r="D1057" s="243"/>
      <c r="E1057" s="249"/>
      <c r="F1057" s="243"/>
      <c r="G1057" s="243"/>
      <c r="H1057" s="243"/>
      <c r="I1057" s="243"/>
      <c r="O1057" s="213">
        <f>40950*0.07</f>
        <v>2866.5000000000005</v>
      </c>
    </row>
    <row r="1058" spans="1:15" s="31" customFormat="1" x14ac:dyDescent="0.25">
      <c r="B1058" s="248"/>
      <c r="C1058" s="251" t="s">
        <v>1853</v>
      </c>
      <c r="D1058" s="243"/>
      <c r="E1058" s="249"/>
      <c r="F1058" s="243"/>
      <c r="G1058" s="243"/>
      <c r="H1058" s="243"/>
      <c r="I1058" s="243"/>
      <c r="O1058" s="213"/>
    </row>
    <row r="1059" spans="1:15" s="31" customFormat="1" x14ac:dyDescent="0.25">
      <c r="B1059" s="228"/>
      <c r="C1059" s="250"/>
      <c r="D1059" s="243"/>
      <c r="E1059" s="249"/>
      <c r="F1059" s="243"/>
      <c r="G1059" s="243"/>
      <c r="H1059" s="243"/>
      <c r="I1059" s="243"/>
      <c r="O1059" s="256" t="e">
        <f>#REF!-#REF!</f>
        <v>#REF!</v>
      </c>
    </row>
    <row r="1060" spans="1:15" s="31" customFormat="1" x14ac:dyDescent="0.25">
      <c r="B1060" s="228"/>
      <c r="D1060" s="243"/>
      <c r="E1060" s="243"/>
      <c r="F1060" s="243"/>
      <c r="G1060" s="243"/>
      <c r="H1060" s="243"/>
      <c r="I1060" s="243"/>
      <c r="O1060" s="213"/>
    </row>
    <row r="1061" spans="1:15" s="31" customFormat="1" x14ac:dyDescent="0.25">
      <c r="B1061" s="228"/>
      <c r="C1061" s="251" t="s">
        <v>106</v>
      </c>
      <c r="D1061" s="243"/>
      <c r="E1061" s="243">
        <v>660</v>
      </c>
      <c r="F1061" s="243"/>
      <c r="G1061" s="243"/>
      <c r="H1061" s="243"/>
      <c r="I1061" s="243"/>
      <c r="O1061" s="213" t="e">
        <f>E1061+#REF!</f>
        <v>#REF!</v>
      </c>
    </row>
    <row r="1062" spans="1:15" s="31" customFormat="1" x14ac:dyDescent="0.25">
      <c r="B1062" s="228"/>
      <c r="D1062" s="243"/>
      <c r="E1062" s="243"/>
      <c r="F1062" s="243"/>
      <c r="G1062" s="243"/>
      <c r="H1062" s="243"/>
      <c r="I1062" s="243"/>
    </row>
    <row r="1063" spans="1:15" s="31" customFormat="1" x14ac:dyDescent="0.25">
      <c r="B1063" s="228"/>
      <c r="D1063" s="243"/>
      <c r="E1063" s="243"/>
      <c r="F1063" s="243"/>
      <c r="G1063" s="243"/>
      <c r="H1063" s="243"/>
      <c r="I1063" s="243"/>
      <c r="O1063" s="31" t="e">
        <f>SUM(O1051:O1061)</f>
        <v>#REF!</v>
      </c>
    </row>
    <row r="1064" spans="1:15" s="31" customFormat="1" x14ac:dyDescent="0.25">
      <c r="B1064" s="228"/>
      <c r="C1064" s="243"/>
      <c r="D1064" s="243"/>
      <c r="E1064" s="243"/>
      <c r="F1064" s="243"/>
      <c r="G1064" s="243"/>
      <c r="H1064" s="243"/>
      <c r="I1064" s="243"/>
      <c r="J1064" s="243"/>
      <c r="K1064" s="243"/>
      <c r="L1064" s="243"/>
      <c r="M1064" s="243"/>
      <c r="N1064" s="243"/>
      <c r="O1064" s="243">
        <v>20641.509999999998</v>
      </c>
    </row>
    <row r="1065" spans="1:15" s="31" customFormat="1" x14ac:dyDescent="0.25">
      <c r="B1065" s="228"/>
      <c r="C1065" s="243"/>
      <c r="D1065" s="243"/>
      <c r="E1065" s="243"/>
      <c r="F1065" s="243"/>
      <c r="G1065" s="243"/>
      <c r="H1065" s="243"/>
      <c r="I1065" s="243"/>
      <c r="J1065" s="243"/>
      <c r="K1065" s="243"/>
      <c r="L1065" s="243"/>
      <c r="M1065" s="243"/>
      <c r="N1065" s="243"/>
      <c r="O1065" s="243"/>
    </row>
    <row r="1066" spans="1:15" s="31" customFormat="1" x14ac:dyDescent="0.25">
      <c r="B1066" s="228"/>
      <c r="C1066" s="243"/>
      <c r="D1066" s="243"/>
      <c r="E1066" s="243"/>
      <c r="F1066" s="243"/>
      <c r="G1066" s="243"/>
      <c r="H1066" s="243"/>
      <c r="I1066" s="243"/>
      <c r="J1066" s="243"/>
      <c r="K1066" s="243"/>
      <c r="L1066" s="243"/>
      <c r="M1066" s="243"/>
      <c r="N1066" s="243"/>
      <c r="O1066" s="243"/>
    </row>
    <row r="1067" spans="1:15" s="31" customFormat="1" ht="15.75" x14ac:dyDescent="0.25">
      <c r="B1067" s="228"/>
      <c r="C1067" s="243"/>
      <c r="D1067" s="252"/>
      <c r="E1067" s="252"/>
      <c r="F1067" s="252"/>
      <c r="G1067" s="252"/>
      <c r="H1067" s="252"/>
      <c r="I1067" s="252"/>
      <c r="J1067" s="56" t="s">
        <v>1854</v>
      </c>
      <c r="K1067" s="56"/>
      <c r="L1067" s="56"/>
      <c r="M1067" s="56"/>
      <c r="N1067" s="242"/>
      <c r="O1067" s="242" t="e">
        <f>O1063+O1064</f>
        <v>#REF!</v>
      </c>
    </row>
    <row r="1068" spans="1:15" s="31" customFormat="1" ht="15.75" x14ac:dyDescent="0.25">
      <c r="B1068" s="228"/>
      <c r="C1068" s="242"/>
      <c r="D1068" s="252"/>
      <c r="E1068" s="252"/>
      <c r="F1068" s="252"/>
      <c r="G1068" s="252"/>
      <c r="H1068" s="252"/>
      <c r="I1068" s="252"/>
      <c r="J1068" s="243"/>
      <c r="K1068" s="243"/>
      <c r="L1068" s="243"/>
      <c r="M1068" s="243"/>
      <c r="N1068" s="243"/>
      <c r="O1068" s="243"/>
    </row>
    <row r="1069" spans="1:15" s="31" customFormat="1" ht="15.75" x14ac:dyDescent="0.25">
      <c r="A1069" s="243"/>
      <c r="B1069" s="248"/>
      <c r="C1069" s="289"/>
      <c r="D1069" s="252"/>
      <c r="E1069" s="252"/>
      <c r="F1069" s="252"/>
      <c r="G1069" s="252"/>
      <c r="H1069" s="252"/>
      <c r="I1069" s="252"/>
      <c r="J1069" s="243"/>
      <c r="K1069" s="243"/>
      <c r="L1069" s="243"/>
      <c r="M1069" s="243"/>
      <c r="N1069" s="243"/>
      <c r="O1069" s="243"/>
    </row>
    <row r="1070" spans="1:15" ht="75" x14ac:dyDescent="0.25">
      <c r="B1070" s="313" t="s">
        <v>2528</v>
      </c>
    </row>
    <row r="1076" spans="1:4" x14ac:dyDescent="0.25">
      <c r="A1076" s="56"/>
    </row>
    <row r="1077" spans="1:4" x14ac:dyDescent="0.25">
      <c r="A1077" s="56"/>
    </row>
    <row r="1078" spans="1:4" x14ac:dyDescent="0.25">
      <c r="A1078" s="56"/>
    </row>
    <row r="1079" spans="1:4" x14ac:dyDescent="0.25">
      <c r="A1079" s="147"/>
      <c r="B1079" s="147"/>
      <c r="C1079" s="147"/>
    </row>
    <row r="1080" spans="1:4" x14ac:dyDescent="0.25">
      <c r="A1080" s="23"/>
      <c r="B1080" s="372"/>
      <c r="C1080" s="110"/>
    </row>
    <row r="1081" spans="1:4" x14ac:dyDescent="0.25">
      <c r="A1081" s="29"/>
      <c r="B1081" s="372"/>
      <c r="C1081" s="110"/>
    </row>
    <row r="1082" spans="1:4" x14ac:dyDescent="0.25">
      <c r="A1082" s="23"/>
      <c r="B1082" s="372"/>
      <c r="C1082" s="110"/>
    </row>
    <row r="1083" spans="1:4" x14ac:dyDescent="0.25">
      <c r="A1083" s="110"/>
      <c r="B1083" s="338"/>
      <c r="C1083" s="110"/>
    </row>
    <row r="1084" spans="1:4" x14ac:dyDescent="0.25">
      <c r="A1084" s="371"/>
      <c r="B1084" s="349"/>
      <c r="C1084" s="110"/>
    </row>
    <row r="1088" spans="1:4" x14ac:dyDescent="0.25">
      <c r="A1088" s="147" t="s">
        <v>2535</v>
      </c>
      <c r="B1088" s="147" t="s">
        <v>2322</v>
      </c>
      <c r="C1088" s="147" t="s">
        <v>2536</v>
      </c>
      <c r="D1088" s="309" t="s">
        <v>18</v>
      </c>
    </row>
    <row r="1089" spans="1:4" s="31" customFormat="1" x14ac:dyDescent="0.25">
      <c r="A1089" s="168" t="s">
        <v>2537</v>
      </c>
      <c r="B1089" s="168"/>
      <c r="C1089" s="829" t="s">
        <v>1497</v>
      </c>
      <c r="D1089" s="212" t="s">
        <v>2538</v>
      </c>
    </row>
    <row r="1090" spans="1:4" x14ac:dyDescent="0.25">
      <c r="A1090" s="110" t="s">
        <v>107</v>
      </c>
      <c r="B1090" s="110"/>
      <c r="C1090" s="829"/>
      <c r="D1090" s="110"/>
    </row>
    <row r="1091" spans="1:4" x14ac:dyDescent="0.25">
      <c r="A1091" s="208" t="s">
        <v>1816</v>
      </c>
      <c r="B1091" s="110"/>
      <c r="C1091" s="829"/>
      <c r="D1091" s="110"/>
    </row>
    <row r="1092" spans="1:4" x14ac:dyDescent="0.25">
      <c r="A1092" s="208" t="s">
        <v>77</v>
      </c>
      <c r="B1092" s="110"/>
      <c r="C1092" s="829"/>
      <c r="D1092" s="110"/>
    </row>
    <row r="1093" spans="1:4" x14ac:dyDescent="0.25">
      <c r="A1093" s="208" t="s">
        <v>2238</v>
      </c>
      <c r="B1093" s="110"/>
      <c r="C1093" s="829"/>
      <c r="D1093" s="110"/>
    </row>
    <row r="1094" spans="1:4" x14ac:dyDescent="0.25">
      <c r="A1094" s="214" t="s">
        <v>2529</v>
      </c>
      <c r="B1094" s="110"/>
      <c r="C1094" s="829"/>
      <c r="D1094" s="110"/>
    </row>
    <row r="1095" spans="1:4" x14ac:dyDescent="0.25">
      <c r="A1095" s="208" t="s">
        <v>2531</v>
      </c>
      <c r="B1095" s="902" t="s">
        <v>2530</v>
      </c>
      <c r="C1095" s="829"/>
      <c r="D1095" s="110"/>
    </row>
    <row r="1096" spans="1:4" x14ac:dyDescent="0.25">
      <c r="A1096" s="208" t="s">
        <v>2532</v>
      </c>
      <c r="B1096" s="902"/>
      <c r="C1096" s="829"/>
      <c r="D1096" s="110"/>
    </row>
    <row r="1097" spans="1:4" x14ac:dyDescent="0.25">
      <c r="A1097" s="208" t="s">
        <v>2181</v>
      </c>
      <c r="B1097" s="902"/>
      <c r="C1097" s="829"/>
      <c r="D1097" s="110"/>
    </row>
    <row r="1098" spans="1:4" x14ac:dyDescent="0.25">
      <c r="A1098" s="208" t="s">
        <v>113</v>
      </c>
      <c r="B1098" s="902" t="s">
        <v>2534</v>
      </c>
      <c r="C1098" s="829"/>
      <c r="D1098" s="110"/>
    </row>
    <row r="1099" spans="1:4" x14ac:dyDescent="0.25">
      <c r="A1099" s="208" t="s">
        <v>2533</v>
      </c>
      <c r="B1099" s="902"/>
      <c r="C1099" s="829"/>
      <c r="D1099" s="110"/>
    </row>
    <row r="1100" spans="1:4" x14ac:dyDescent="0.25">
      <c r="A1100" s="208" t="s">
        <v>2539</v>
      </c>
      <c r="B1100" s="902" t="s">
        <v>2542</v>
      </c>
      <c r="C1100" s="820" t="s">
        <v>2543</v>
      </c>
      <c r="D1100" s="110"/>
    </row>
    <row r="1101" spans="1:4" x14ac:dyDescent="0.25">
      <c r="A1101" s="208" t="s">
        <v>2540</v>
      </c>
      <c r="B1101" s="902"/>
      <c r="C1101" s="821"/>
      <c r="D1101" s="110"/>
    </row>
    <row r="1102" spans="1:4" x14ac:dyDescent="0.25">
      <c r="A1102" s="208" t="s">
        <v>2541</v>
      </c>
      <c r="B1102" s="902"/>
      <c r="C1102" s="821"/>
      <c r="D1102" s="110"/>
    </row>
    <row r="1103" spans="1:4" x14ac:dyDescent="0.25">
      <c r="A1103" s="110" t="s">
        <v>2544</v>
      </c>
      <c r="B1103" s="820" t="s">
        <v>2546</v>
      </c>
      <c r="C1103" s="821"/>
      <c r="D1103" s="110"/>
    </row>
    <row r="1104" spans="1:4" x14ac:dyDescent="0.25">
      <c r="A1104" s="110" t="s">
        <v>2545</v>
      </c>
      <c r="B1104" s="822"/>
      <c r="C1104" s="821"/>
      <c r="D1104" s="110"/>
    </row>
    <row r="1105" spans="1:4" x14ac:dyDescent="0.25">
      <c r="A1105" s="110" t="s">
        <v>2547</v>
      </c>
      <c r="B1105" s="820" t="s">
        <v>2548</v>
      </c>
      <c r="C1105" s="821"/>
      <c r="D1105" s="110"/>
    </row>
    <row r="1106" spans="1:4" x14ac:dyDescent="0.25">
      <c r="A1106" s="110" t="s">
        <v>2553</v>
      </c>
      <c r="B1106" s="821"/>
      <c r="C1106" s="821"/>
      <c r="D1106" s="110"/>
    </row>
    <row r="1107" spans="1:4" x14ac:dyDescent="0.25">
      <c r="A1107" s="110" t="s">
        <v>1053</v>
      </c>
      <c r="B1107" s="822"/>
      <c r="C1107" s="821"/>
      <c r="D1107" s="110"/>
    </row>
    <row r="1108" spans="1:4" x14ac:dyDescent="0.25">
      <c r="A1108" s="110" t="s">
        <v>2550</v>
      </c>
      <c r="B1108" s="820" t="s">
        <v>2552</v>
      </c>
      <c r="C1108" s="821"/>
      <c r="D1108" s="110"/>
    </row>
    <row r="1109" spans="1:4" x14ac:dyDescent="0.25">
      <c r="A1109" s="110" t="s">
        <v>2549</v>
      </c>
      <c r="B1109" s="821"/>
      <c r="C1109" s="821"/>
      <c r="D1109" s="110"/>
    </row>
    <row r="1110" spans="1:4" x14ac:dyDescent="0.25">
      <c r="A1110" s="110" t="s">
        <v>2551</v>
      </c>
      <c r="B1110" s="822"/>
      <c r="C1110" s="822"/>
      <c r="D1110" s="110"/>
    </row>
    <row r="1111" spans="1:4" x14ac:dyDescent="0.25">
      <c r="A1111" s="18" t="s">
        <v>2557</v>
      </c>
      <c r="B1111" s="902" t="s">
        <v>2555</v>
      </c>
      <c r="C1111" s="820" t="s">
        <v>2556</v>
      </c>
      <c r="D1111" s="110"/>
    </row>
    <row r="1112" spans="1:4" x14ac:dyDescent="0.25">
      <c r="A1112" s="18" t="s">
        <v>2558</v>
      </c>
      <c r="B1112" s="902"/>
      <c r="C1112" s="821"/>
      <c r="D1112" s="110"/>
    </row>
    <row r="1113" spans="1:4" x14ac:dyDescent="0.25">
      <c r="A1113" s="18" t="s">
        <v>2559</v>
      </c>
      <c r="B1113" s="902"/>
      <c r="C1113" s="821"/>
      <c r="D1113" s="110"/>
    </row>
    <row r="1114" spans="1:4" x14ac:dyDescent="0.25">
      <c r="A1114" s="18" t="s">
        <v>2560</v>
      </c>
      <c r="B1114" s="902"/>
      <c r="C1114" s="821"/>
      <c r="D1114" s="110"/>
    </row>
    <row r="1115" spans="1:4" x14ac:dyDescent="0.25">
      <c r="A1115" s="18" t="s">
        <v>2561</v>
      </c>
      <c r="B1115" s="902"/>
      <c r="C1115" s="821"/>
      <c r="D1115" s="110"/>
    </row>
    <row r="1116" spans="1:4" x14ac:dyDescent="0.25">
      <c r="A1116" s="18" t="s">
        <v>2562</v>
      </c>
      <c r="B1116" s="902"/>
      <c r="C1116" s="821"/>
      <c r="D1116" s="110"/>
    </row>
    <row r="1117" spans="1:4" x14ac:dyDescent="0.25">
      <c r="A1117" s="18" t="s">
        <v>2563</v>
      </c>
      <c r="B1117" s="902"/>
      <c r="C1117" s="821"/>
      <c r="D1117" s="110"/>
    </row>
    <row r="1118" spans="1:4" x14ac:dyDescent="0.25">
      <c r="A1118" s="18" t="s">
        <v>2564</v>
      </c>
      <c r="B1118" s="902"/>
      <c r="C1118" s="821"/>
      <c r="D1118" s="110"/>
    </row>
    <row r="1119" spans="1:4" x14ac:dyDescent="0.25">
      <c r="A1119" s="18" t="s">
        <v>2566</v>
      </c>
      <c r="B1119" s="902" t="s">
        <v>2554</v>
      </c>
      <c r="C1119" s="821"/>
      <c r="D1119" s="110"/>
    </row>
    <row r="1120" spans="1:4" x14ac:dyDescent="0.25">
      <c r="A1120" s="18" t="s">
        <v>2156</v>
      </c>
      <c r="B1120" s="902"/>
      <c r="C1120" s="821"/>
      <c r="D1120" s="110"/>
    </row>
    <row r="1121" spans="1:4" x14ac:dyDescent="0.25">
      <c r="A1121" s="18" t="s">
        <v>2567</v>
      </c>
      <c r="B1121" s="902"/>
      <c r="C1121" s="821"/>
      <c r="D1121" s="110"/>
    </row>
    <row r="1122" spans="1:4" x14ac:dyDescent="0.25">
      <c r="A1122" s="18" t="s">
        <v>2568</v>
      </c>
      <c r="B1122" s="902"/>
      <c r="C1122" s="821"/>
      <c r="D1122" s="110"/>
    </row>
    <row r="1123" spans="1:4" x14ac:dyDescent="0.25">
      <c r="A1123" s="18" t="s">
        <v>2569</v>
      </c>
      <c r="B1123" s="902"/>
      <c r="C1123" s="821"/>
      <c r="D1123" s="110"/>
    </row>
    <row r="1124" spans="1:4" x14ac:dyDescent="0.25">
      <c r="A1124" s="18" t="s">
        <v>2570</v>
      </c>
      <c r="B1124" s="902"/>
      <c r="C1124" s="821"/>
      <c r="D1124" s="110"/>
    </row>
    <row r="1125" spans="1:4" x14ac:dyDescent="0.25">
      <c r="A1125" s="18" t="s">
        <v>2565</v>
      </c>
      <c r="B1125" s="902"/>
      <c r="C1125" s="821"/>
      <c r="D1125" s="110"/>
    </row>
    <row r="1126" spans="1:4" x14ac:dyDescent="0.25">
      <c r="A1126" s="18" t="s">
        <v>2571</v>
      </c>
      <c r="B1126" s="902" t="s">
        <v>2575</v>
      </c>
      <c r="C1126" s="821"/>
      <c r="D1126" s="110"/>
    </row>
    <row r="1127" spans="1:4" x14ac:dyDescent="0.25">
      <c r="A1127" s="18" t="s">
        <v>83</v>
      </c>
      <c r="B1127" s="902"/>
      <c r="C1127" s="821"/>
      <c r="D1127" s="110"/>
    </row>
    <row r="1128" spans="1:4" x14ac:dyDescent="0.25">
      <c r="A1128" s="18" t="s">
        <v>2572</v>
      </c>
      <c r="B1128" s="902"/>
      <c r="C1128" s="821"/>
      <c r="D1128" s="110"/>
    </row>
    <row r="1129" spans="1:4" x14ac:dyDescent="0.25">
      <c r="A1129" s="18" t="s">
        <v>2159</v>
      </c>
      <c r="B1129" s="902"/>
      <c r="C1129" s="821"/>
      <c r="D1129" s="110"/>
    </row>
    <row r="1130" spans="1:4" x14ac:dyDescent="0.25">
      <c r="A1130" s="18" t="s">
        <v>2154</v>
      </c>
      <c r="B1130" s="902"/>
      <c r="C1130" s="821"/>
      <c r="D1130" s="110"/>
    </row>
    <row r="1131" spans="1:4" x14ac:dyDescent="0.25">
      <c r="A1131" s="18" t="s">
        <v>2573</v>
      </c>
      <c r="B1131" s="902"/>
      <c r="C1131" s="821"/>
      <c r="D1131" s="110"/>
    </row>
    <row r="1132" spans="1:4" x14ac:dyDescent="0.25">
      <c r="A1132" s="18" t="s">
        <v>2574</v>
      </c>
      <c r="B1132" s="902"/>
      <c r="C1132" s="821"/>
      <c r="D1132" s="110"/>
    </row>
    <row r="1133" spans="1:4" x14ac:dyDescent="0.25">
      <c r="A1133" s="18" t="s">
        <v>2576</v>
      </c>
      <c r="B1133" s="902" t="s">
        <v>2580</v>
      </c>
      <c r="C1133" s="821"/>
      <c r="D1133" s="110"/>
    </row>
    <row r="1134" spans="1:4" x14ac:dyDescent="0.25">
      <c r="A1134" s="18" t="s">
        <v>2577</v>
      </c>
      <c r="B1134" s="902"/>
      <c r="C1134" s="821"/>
      <c r="D1134" s="110"/>
    </row>
    <row r="1135" spans="1:4" x14ac:dyDescent="0.25">
      <c r="A1135" s="18" t="s">
        <v>2579</v>
      </c>
      <c r="B1135" s="902"/>
      <c r="C1135" s="821"/>
      <c r="D1135" s="110"/>
    </row>
    <row r="1136" spans="1:4" x14ac:dyDescent="0.25">
      <c r="A1136" s="18" t="s">
        <v>2183</v>
      </c>
      <c r="B1136" s="902"/>
      <c r="C1136" s="821"/>
      <c r="D1136" s="110"/>
    </row>
    <row r="1137" spans="1:4" x14ac:dyDescent="0.25">
      <c r="A1137" s="18" t="s">
        <v>2578</v>
      </c>
      <c r="B1137" s="902"/>
      <c r="C1137" s="822"/>
      <c r="D1137" s="110"/>
    </row>
    <row r="1138" spans="1:4" x14ac:dyDescent="0.25">
      <c r="A1138" s="18" t="s">
        <v>106</v>
      </c>
      <c r="B1138" s="902" t="s">
        <v>2581</v>
      </c>
      <c r="C1138" s="902" t="s">
        <v>2582</v>
      </c>
      <c r="D1138" s="110"/>
    </row>
    <row r="1139" spans="1:4" x14ac:dyDescent="0.25">
      <c r="A1139" s="18" t="s">
        <v>100</v>
      </c>
      <c r="B1139" s="902"/>
      <c r="C1139" s="902"/>
      <c r="D1139" s="110"/>
    </row>
    <row r="1140" spans="1:4" x14ac:dyDescent="0.25">
      <c r="A1140" s="18" t="s">
        <v>2333</v>
      </c>
      <c r="B1140" s="902"/>
      <c r="C1140" s="902"/>
      <c r="D1140" s="110"/>
    </row>
    <row r="1141" spans="1:4" x14ac:dyDescent="0.25">
      <c r="A1141" s="18" t="s">
        <v>2583</v>
      </c>
      <c r="B1141" s="902" t="s">
        <v>2590</v>
      </c>
      <c r="C1141" s="902" t="s">
        <v>2556</v>
      </c>
      <c r="D1141" s="110"/>
    </row>
    <row r="1142" spans="1:4" x14ac:dyDescent="0.25">
      <c r="A1142" s="18" t="s">
        <v>2584</v>
      </c>
      <c r="B1142" s="902"/>
      <c r="C1142" s="902"/>
      <c r="D1142" s="110"/>
    </row>
    <row r="1143" spans="1:4" x14ac:dyDescent="0.25">
      <c r="A1143" s="18" t="s">
        <v>2585</v>
      </c>
      <c r="B1143" s="902"/>
      <c r="C1143" s="902"/>
      <c r="D1143" s="110"/>
    </row>
    <row r="1144" spans="1:4" x14ac:dyDescent="0.25">
      <c r="A1144" s="18" t="s">
        <v>2586</v>
      </c>
      <c r="B1144" s="902"/>
      <c r="C1144" s="902"/>
      <c r="D1144" s="110"/>
    </row>
    <row r="1145" spans="1:4" x14ac:dyDescent="0.25">
      <c r="A1145" s="18" t="s">
        <v>2587</v>
      </c>
      <c r="B1145" s="902"/>
      <c r="C1145" s="902"/>
      <c r="D1145" s="110"/>
    </row>
    <row r="1146" spans="1:4" x14ac:dyDescent="0.25">
      <c r="A1146" s="18" t="s">
        <v>2588</v>
      </c>
      <c r="B1146" s="902"/>
      <c r="C1146" s="902"/>
      <c r="D1146" s="110"/>
    </row>
    <row r="1147" spans="1:4" x14ac:dyDescent="0.25">
      <c r="A1147" s="18" t="s">
        <v>2589</v>
      </c>
      <c r="B1147" s="902"/>
      <c r="C1147" s="902"/>
      <c r="D1147" s="110"/>
    </row>
    <row r="1148" spans="1:4" x14ac:dyDescent="0.25">
      <c r="A1148" s="18" t="s">
        <v>2591</v>
      </c>
      <c r="B1148" s="820" t="s">
        <v>2309</v>
      </c>
      <c r="C1148" s="820" t="s">
        <v>2582</v>
      </c>
      <c r="D1148" s="110"/>
    </row>
    <row r="1149" spans="1:4" x14ac:dyDescent="0.25">
      <c r="A1149" s="18" t="s">
        <v>345</v>
      </c>
      <c r="B1149" s="822"/>
      <c r="C1149" s="822"/>
      <c r="D1149" s="110"/>
    </row>
    <row r="1150" spans="1:4" x14ac:dyDescent="0.25">
      <c r="A1150" s="373"/>
    </row>
    <row r="1156" spans="1:13" x14ac:dyDescent="0.25">
      <c r="A1156" s="382" t="s">
        <v>2596</v>
      </c>
      <c r="B1156" s="383" t="s">
        <v>2597</v>
      </c>
      <c r="C1156" s="383" t="s">
        <v>2598</v>
      </c>
      <c r="D1156" s="383" t="s">
        <v>1713</v>
      </c>
      <c r="E1156" s="383" t="s">
        <v>1259</v>
      </c>
      <c r="F1156" s="383"/>
      <c r="G1156" s="383"/>
      <c r="H1156" s="383"/>
      <c r="I1156" s="110"/>
      <c r="J1156" s="232" t="s">
        <v>18</v>
      </c>
      <c r="K1156" s="462"/>
      <c r="L1156" s="462"/>
      <c r="M1156" s="462"/>
    </row>
    <row r="1157" spans="1:13" ht="225" x14ac:dyDescent="0.25">
      <c r="A1157" s="384" t="s">
        <v>2625</v>
      </c>
      <c r="B1157" s="222">
        <v>447</v>
      </c>
      <c r="C1157" s="222">
        <v>10</v>
      </c>
      <c r="D1157" s="222">
        <f t="shared" ref="D1157:D1164" si="14">B1157*C1157</f>
        <v>4470</v>
      </c>
      <c r="E1157" s="222">
        <f t="shared" ref="E1157:E1164" si="15">D1157*0.07</f>
        <v>312.90000000000003</v>
      </c>
      <c r="F1157" s="222"/>
      <c r="G1157" s="222"/>
      <c r="H1157" s="222"/>
      <c r="I1157" s="222"/>
      <c r="J1157" s="386" t="s">
        <v>2614</v>
      </c>
      <c r="K1157" s="463"/>
      <c r="L1157" s="463"/>
      <c r="M1157" s="463"/>
    </row>
    <row r="1158" spans="1:13" x14ac:dyDescent="0.25">
      <c r="A1158" s="384" t="s">
        <v>2616</v>
      </c>
      <c r="B1158" s="222">
        <v>488</v>
      </c>
      <c r="C1158" s="222">
        <f>15+25</f>
        <v>40</v>
      </c>
      <c r="D1158" s="222">
        <f t="shared" si="14"/>
        <v>19520</v>
      </c>
      <c r="E1158" s="222">
        <f t="shared" si="15"/>
        <v>1366.4</v>
      </c>
      <c r="F1158" s="222"/>
      <c r="G1158" s="222"/>
      <c r="H1158" s="222"/>
      <c r="I1158" s="222"/>
      <c r="J1158" s="222" t="s">
        <v>2619</v>
      </c>
      <c r="K1158" s="464"/>
      <c r="L1158" s="464"/>
      <c r="M1158" s="464"/>
    </row>
    <row r="1159" spans="1:13" x14ac:dyDescent="0.25">
      <c r="A1159" s="384" t="s">
        <v>2617</v>
      </c>
      <c r="B1159" s="222">
        <v>471</v>
      </c>
      <c r="C1159" s="222">
        <f>15+5</f>
        <v>20</v>
      </c>
      <c r="D1159" s="222">
        <f t="shared" si="14"/>
        <v>9420</v>
      </c>
      <c r="E1159" s="222">
        <f t="shared" si="15"/>
        <v>659.40000000000009</v>
      </c>
      <c r="F1159" s="222"/>
      <c r="G1159" s="222"/>
      <c r="H1159" s="222"/>
      <c r="I1159" s="222"/>
      <c r="J1159" s="222" t="s">
        <v>2618</v>
      </c>
      <c r="K1159" s="464"/>
      <c r="L1159" s="464"/>
      <c r="M1159" s="464"/>
    </row>
    <row r="1160" spans="1:13" x14ac:dyDescent="0.25">
      <c r="A1160" s="384" t="s">
        <v>2333</v>
      </c>
      <c r="B1160" s="222">
        <v>488</v>
      </c>
      <c r="C1160" s="222">
        <f>18+19+25+20+18+23</f>
        <v>123</v>
      </c>
      <c r="D1160" s="222">
        <f t="shared" si="14"/>
        <v>60024</v>
      </c>
      <c r="E1160" s="222">
        <f t="shared" si="15"/>
        <v>4201.68</v>
      </c>
      <c r="F1160" s="222"/>
      <c r="G1160" s="222"/>
      <c r="H1160" s="222"/>
      <c r="I1160" s="222"/>
      <c r="J1160" s="222" t="s">
        <v>2620</v>
      </c>
      <c r="K1160" s="464"/>
      <c r="L1160" s="464"/>
      <c r="M1160" s="464"/>
    </row>
    <row r="1161" spans="1:13" x14ac:dyDescent="0.25">
      <c r="A1161" s="384" t="s">
        <v>100</v>
      </c>
      <c r="B1161" s="222">
        <v>471</v>
      </c>
      <c r="C1161" s="222">
        <f>18+19+25</f>
        <v>62</v>
      </c>
      <c r="D1161" s="222">
        <f t="shared" si="14"/>
        <v>29202</v>
      </c>
      <c r="E1161" s="222">
        <f t="shared" si="15"/>
        <v>2044.14</v>
      </c>
      <c r="F1161" s="222"/>
      <c r="G1161" s="222"/>
      <c r="H1161" s="222"/>
      <c r="I1161" s="222"/>
      <c r="J1161" s="222" t="s">
        <v>2621</v>
      </c>
      <c r="K1161" s="464"/>
      <c r="L1161" s="464"/>
      <c r="M1161" s="464"/>
    </row>
    <row r="1162" spans="1:13" x14ac:dyDescent="0.25">
      <c r="A1162" s="384" t="s">
        <v>71</v>
      </c>
      <c r="B1162" s="222">
        <v>447</v>
      </c>
      <c r="C1162" s="222">
        <f>15+25+18+19+25+20+2</f>
        <v>124</v>
      </c>
      <c r="D1162" s="222">
        <f t="shared" si="14"/>
        <v>55428</v>
      </c>
      <c r="E1162" s="222">
        <f t="shared" si="15"/>
        <v>3879.9600000000005</v>
      </c>
      <c r="F1162" s="222"/>
      <c r="G1162" s="222"/>
      <c r="H1162" s="222"/>
      <c r="I1162" s="222"/>
      <c r="J1162" s="222" t="s">
        <v>2622</v>
      </c>
      <c r="K1162" s="464"/>
      <c r="L1162" s="464"/>
      <c r="M1162" s="464"/>
    </row>
    <row r="1163" spans="1:13" x14ac:dyDescent="0.25">
      <c r="A1163" s="384" t="s">
        <v>2623</v>
      </c>
      <c r="B1163" s="222">
        <v>447</v>
      </c>
      <c r="C1163" s="222">
        <f>15+25</f>
        <v>40</v>
      </c>
      <c r="D1163" s="222">
        <f t="shared" si="14"/>
        <v>17880</v>
      </c>
      <c r="E1163" s="222">
        <f t="shared" si="15"/>
        <v>1251.6000000000001</v>
      </c>
      <c r="F1163" s="222"/>
      <c r="G1163" s="222"/>
      <c r="H1163" s="222"/>
      <c r="I1163" s="222"/>
      <c r="J1163" s="222" t="s">
        <v>2624</v>
      </c>
      <c r="K1163" s="464"/>
      <c r="L1163" s="464"/>
      <c r="M1163" s="464"/>
    </row>
    <row r="1164" spans="1:13" x14ac:dyDescent="0.25">
      <c r="A1164" s="384" t="s">
        <v>268</v>
      </c>
      <c r="B1164" s="222">
        <v>471</v>
      </c>
      <c r="C1164" s="222">
        <f>25+18+3</f>
        <v>46</v>
      </c>
      <c r="D1164" s="222">
        <f t="shared" si="14"/>
        <v>21666</v>
      </c>
      <c r="E1164" s="222">
        <f t="shared" si="15"/>
        <v>1516.6200000000001</v>
      </c>
      <c r="F1164" s="222"/>
      <c r="G1164" s="222"/>
      <c r="H1164" s="222"/>
      <c r="I1164" s="222"/>
      <c r="J1164" s="222" t="s">
        <v>2628</v>
      </c>
      <c r="K1164" s="464"/>
      <c r="L1164" s="464"/>
      <c r="M1164" s="464"/>
    </row>
    <row r="1165" spans="1:13" x14ac:dyDescent="0.25">
      <c r="A1165" s="110"/>
      <c r="B1165" s="110"/>
      <c r="C1165" s="110"/>
      <c r="D1165" s="110"/>
      <c r="E1165" s="147" t="s">
        <v>2321</v>
      </c>
      <c r="F1165" s="232"/>
      <c r="G1165" s="232"/>
      <c r="H1165" s="232"/>
      <c r="I1165" s="110"/>
      <c r="J1165" s="110"/>
      <c r="K1165" s="106"/>
      <c r="L1165" s="106"/>
      <c r="M1165" s="106"/>
    </row>
    <row r="1167" spans="1:13" x14ac:dyDescent="0.25">
      <c r="A1167" t="s">
        <v>2615</v>
      </c>
    </row>
    <row r="1168" spans="1:13" x14ac:dyDescent="0.25">
      <c r="A1168" s="147"/>
      <c r="B1168" s="925" t="s">
        <v>2604</v>
      </c>
      <c r="C1168" s="925"/>
      <c r="D1168" s="925" t="s">
        <v>2043</v>
      </c>
      <c r="E1168" s="925"/>
      <c r="F1168" s="389"/>
      <c r="G1168" s="389"/>
      <c r="H1168" s="389"/>
      <c r="I1168" s="385"/>
    </row>
    <row r="1169" spans="1:18" x14ac:dyDescent="0.25">
      <c r="A1169" s="147" t="s">
        <v>2607</v>
      </c>
      <c r="B1169" s="147" t="s">
        <v>2605</v>
      </c>
      <c r="C1169" s="147" t="s">
        <v>2606</v>
      </c>
      <c r="D1169" s="147" t="s">
        <v>2060</v>
      </c>
      <c r="E1169" s="147" t="s">
        <v>2041</v>
      </c>
      <c r="F1169" s="242"/>
      <c r="G1169" s="242"/>
      <c r="H1169" s="242"/>
      <c r="I1169" t="s">
        <v>2042</v>
      </c>
      <c r="N1169" s="310" t="s">
        <v>2608</v>
      </c>
      <c r="O1169" s="310" t="s">
        <v>2609</v>
      </c>
      <c r="Q1169" s="56" t="s">
        <v>2612</v>
      </c>
      <c r="R1169" s="56" t="s">
        <v>2613</v>
      </c>
    </row>
    <row r="1170" spans="1:18" x14ac:dyDescent="0.25">
      <c r="A1170" s="110" t="s">
        <v>2599</v>
      </c>
      <c r="B1170" s="110">
        <v>463</v>
      </c>
      <c r="C1170" s="110">
        <v>168</v>
      </c>
      <c r="D1170" s="110">
        <f>B1170*20</f>
        <v>9260</v>
      </c>
      <c r="E1170" s="110">
        <v>4667</v>
      </c>
      <c r="F1170" s="106"/>
      <c r="G1170" s="106"/>
      <c r="H1170" s="106"/>
      <c r="J1170" t="s">
        <v>2041</v>
      </c>
      <c r="N1170">
        <f>B1170*5</f>
        <v>2315</v>
      </c>
      <c r="O1170">
        <f>14*C1170</f>
        <v>2352</v>
      </c>
      <c r="Q1170">
        <f>D1170+N1170</f>
        <v>11575</v>
      </c>
      <c r="R1170" t="e">
        <f>O1170+#REF!</f>
        <v>#REF!</v>
      </c>
    </row>
    <row r="1171" spans="1:18" x14ac:dyDescent="0.25">
      <c r="A1171" s="110" t="s">
        <v>2600</v>
      </c>
      <c r="B1171" s="110">
        <v>463</v>
      </c>
      <c r="C1171" s="110">
        <v>168</v>
      </c>
      <c r="D1171" s="110">
        <v>6310</v>
      </c>
      <c r="E1171" s="110">
        <f>C1171*17</f>
        <v>2856</v>
      </c>
      <c r="F1171" s="106"/>
      <c r="G1171" s="106"/>
      <c r="H1171" s="106"/>
      <c r="J1171" t="s">
        <v>2060</v>
      </c>
      <c r="N1171">
        <f>10*B1171</f>
        <v>4630</v>
      </c>
      <c r="O1171">
        <f>10*C1171</f>
        <v>1680</v>
      </c>
      <c r="Q1171">
        <f>N1171</f>
        <v>4630</v>
      </c>
      <c r="R1171" t="e">
        <f>O1171+E1171+#REF!</f>
        <v>#REF!</v>
      </c>
    </row>
    <row r="1172" spans="1:18" x14ac:dyDescent="0.25">
      <c r="A1172" s="110" t="s">
        <v>2603</v>
      </c>
      <c r="B1172" s="110">
        <v>463</v>
      </c>
      <c r="C1172" s="110">
        <v>168</v>
      </c>
      <c r="D1172" s="110">
        <f>C1172*20</f>
        <v>3360</v>
      </c>
      <c r="E1172" s="110">
        <f>C1172*17</f>
        <v>2856</v>
      </c>
      <c r="F1172" s="106"/>
      <c r="G1172" s="106"/>
      <c r="H1172" s="106"/>
      <c r="Q1172">
        <v>0</v>
      </c>
      <c r="R1172" t="e">
        <f>D1172+E1172+#REF!</f>
        <v>#REF!</v>
      </c>
    </row>
    <row r="1173" spans="1:18" x14ac:dyDescent="0.25">
      <c r="A1173" s="110" t="s">
        <v>2601</v>
      </c>
      <c r="B1173" s="110">
        <v>471</v>
      </c>
      <c r="C1173" s="110">
        <v>156</v>
      </c>
      <c r="D1173" s="110">
        <f>B1173*20</f>
        <v>9420</v>
      </c>
      <c r="E1173" s="110">
        <v>4539</v>
      </c>
      <c r="F1173" s="106"/>
      <c r="G1173" s="106"/>
      <c r="H1173" s="106"/>
      <c r="J1173" t="s">
        <v>2041</v>
      </c>
      <c r="N1173">
        <f>B1173*5</f>
        <v>2355</v>
      </c>
      <c r="O1173">
        <f>C1173*14</f>
        <v>2184</v>
      </c>
      <c r="Q1173">
        <f>D1173+N1173</f>
        <v>11775</v>
      </c>
      <c r="R1173" t="e">
        <f>O1173+#REF!</f>
        <v>#REF!</v>
      </c>
    </row>
    <row r="1174" spans="1:18" x14ac:dyDescent="0.25">
      <c r="A1174" s="110" t="s">
        <v>2602</v>
      </c>
      <c r="B1174" s="110">
        <v>447</v>
      </c>
      <c r="C1174" s="110">
        <v>140</v>
      </c>
      <c r="D1174" s="110">
        <f>B1174*20</f>
        <v>8940</v>
      </c>
      <c r="E1174" s="110">
        <v>4195</v>
      </c>
      <c r="F1174" s="106"/>
      <c r="G1174" s="106"/>
      <c r="H1174" s="106"/>
      <c r="J1174" t="s">
        <v>2041</v>
      </c>
      <c r="N1174">
        <f>B1174*5</f>
        <v>2235</v>
      </c>
      <c r="O1174">
        <f>C1174*14</f>
        <v>1960</v>
      </c>
      <c r="Q1174">
        <f>D1174+N1174</f>
        <v>11175</v>
      </c>
      <c r="R1174" t="e">
        <f>O1174+#REF!</f>
        <v>#REF!</v>
      </c>
    </row>
    <row r="1175" spans="1:18" x14ac:dyDescent="0.25">
      <c r="D1175">
        <f>SUM(D1170:D1174)</f>
        <v>37290</v>
      </c>
      <c r="E1175">
        <f>SUM(E1170:E1174)</f>
        <v>19113</v>
      </c>
      <c r="N1175">
        <f>SUM(N1170:N1174)</f>
        <v>11535</v>
      </c>
    </row>
    <row r="1176" spans="1:18" x14ac:dyDescent="0.25">
      <c r="N1176">
        <f>N1175*0.07</f>
        <v>807.45</v>
      </c>
      <c r="Q1176">
        <f>SUM(Q1170:Q1174)</f>
        <v>39155</v>
      </c>
      <c r="R1176" t="e">
        <f>SUM(R1170:R1174)</f>
        <v>#REF!</v>
      </c>
    </row>
    <row r="1177" spans="1:18" x14ac:dyDescent="0.25">
      <c r="C1177" t="s">
        <v>2610</v>
      </c>
      <c r="D1177">
        <f>Q1176</f>
        <v>39155</v>
      </c>
      <c r="E1177">
        <f>Q1177</f>
        <v>36414.15</v>
      </c>
      <c r="N1177">
        <f>N1175-N1176</f>
        <v>10727.55</v>
      </c>
      <c r="Q1177">
        <f>Q1176*0.93</f>
        <v>36414.15</v>
      </c>
      <c r="R1177" t="e">
        <f>R1176</f>
        <v>#REF!</v>
      </c>
    </row>
    <row r="1178" spans="1:18" x14ac:dyDescent="0.25">
      <c r="C1178" t="s">
        <v>2611</v>
      </c>
      <c r="D1178" t="e">
        <f>R1176</f>
        <v>#REF!</v>
      </c>
      <c r="E1178" t="e">
        <f>D1178</f>
        <v>#REF!</v>
      </c>
      <c r="R1178" t="e">
        <f>Q1177+R1177</f>
        <v>#REF!</v>
      </c>
    </row>
    <row r="1179" spans="1:18" x14ac:dyDescent="0.25">
      <c r="E1179" t="e">
        <f>E1177+E1178</f>
        <v>#REF!</v>
      </c>
    </row>
    <row r="1181" spans="1:18" x14ac:dyDescent="0.25">
      <c r="C1181">
        <f>B1174*10</f>
        <v>4470</v>
      </c>
    </row>
    <row r="1183" spans="1:18" x14ac:dyDescent="0.25">
      <c r="A1183" s="381" t="s">
        <v>2596</v>
      </c>
      <c r="B1183" s="390" t="s">
        <v>2597</v>
      </c>
      <c r="C1183" s="390" t="s">
        <v>2598</v>
      </c>
      <c r="D1183" s="390" t="s">
        <v>1713</v>
      </c>
      <c r="E1183" s="390" t="s">
        <v>1259</v>
      </c>
      <c r="F1183" s="390" t="s">
        <v>2627</v>
      </c>
      <c r="G1183" s="390"/>
      <c r="H1183" s="390"/>
      <c r="I1183" s="390" t="s">
        <v>18</v>
      </c>
    </row>
    <row r="1184" spans="1:18" ht="240" x14ac:dyDescent="0.25">
      <c r="A1184" s="380" t="s">
        <v>2625</v>
      </c>
      <c r="B1184" s="391">
        <v>447</v>
      </c>
      <c r="C1184" s="391">
        <v>10</v>
      </c>
      <c r="D1184" s="392">
        <v>4470</v>
      </c>
      <c r="E1184" s="391">
        <v>312.89999999999998</v>
      </c>
      <c r="F1184" s="393" t="s">
        <v>92</v>
      </c>
      <c r="G1184" s="393"/>
      <c r="H1184" s="393"/>
      <c r="I1184" s="380" t="s">
        <v>2626</v>
      </c>
    </row>
    <row r="1185" spans="1:15" x14ac:dyDescent="0.25">
      <c r="A1185" s="380" t="s">
        <v>2616</v>
      </c>
      <c r="B1185" s="391">
        <v>488</v>
      </c>
      <c r="C1185" s="391">
        <v>40</v>
      </c>
      <c r="D1185" s="392">
        <v>19520</v>
      </c>
      <c r="E1185" s="393">
        <v>1366.4</v>
      </c>
      <c r="F1185" s="393" t="s">
        <v>92</v>
      </c>
      <c r="G1185" s="393"/>
      <c r="H1185" s="393"/>
      <c r="I1185" s="394" t="s">
        <v>2619</v>
      </c>
    </row>
    <row r="1186" spans="1:15" x14ac:dyDescent="0.25">
      <c r="A1186" s="380" t="s">
        <v>2617</v>
      </c>
      <c r="B1186" s="391">
        <v>471</v>
      </c>
      <c r="C1186" s="391">
        <v>20</v>
      </c>
      <c r="D1186" s="392">
        <v>9420</v>
      </c>
      <c r="E1186" s="391">
        <v>659.4</v>
      </c>
      <c r="F1186" s="393" t="s">
        <v>92</v>
      </c>
      <c r="G1186" s="393"/>
      <c r="H1186" s="393"/>
      <c r="I1186" s="394" t="s">
        <v>2618</v>
      </c>
    </row>
    <row r="1187" spans="1:15" x14ac:dyDescent="0.25">
      <c r="A1187" s="380" t="s">
        <v>2333</v>
      </c>
      <c r="B1187" s="391">
        <v>488</v>
      </c>
      <c r="C1187" s="391">
        <v>123</v>
      </c>
      <c r="D1187" s="392">
        <v>60024</v>
      </c>
      <c r="E1187" s="393">
        <v>4201.68</v>
      </c>
      <c r="F1187" s="393">
        <v>55822.32</v>
      </c>
      <c r="G1187" s="393"/>
      <c r="H1187" s="393"/>
      <c r="I1187" s="394" t="s">
        <v>2620</v>
      </c>
    </row>
    <row r="1188" spans="1:15" x14ac:dyDescent="0.25">
      <c r="A1188" s="380" t="s">
        <v>100</v>
      </c>
      <c r="B1188" s="391">
        <v>471</v>
      </c>
      <c r="C1188" s="391">
        <v>62</v>
      </c>
      <c r="D1188" s="392">
        <v>29202</v>
      </c>
      <c r="E1188" s="393">
        <v>2044.14</v>
      </c>
      <c r="F1188" s="393">
        <v>27157.86</v>
      </c>
      <c r="G1188" s="393"/>
      <c r="H1188" s="393"/>
      <c r="I1188" s="394" t="s">
        <v>2621</v>
      </c>
    </row>
    <row r="1189" spans="1:15" x14ac:dyDescent="0.25">
      <c r="A1189" s="380" t="s">
        <v>71</v>
      </c>
      <c r="B1189" s="391">
        <v>447</v>
      </c>
      <c r="C1189" s="391">
        <v>124</v>
      </c>
      <c r="D1189" s="392">
        <v>55428</v>
      </c>
      <c r="E1189" s="393">
        <v>3879.96</v>
      </c>
      <c r="F1189" s="393" t="e">
        <f>#REF!-#REF!</f>
        <v>#REF!</v>
      </c>
      <c r="G1189" s="393"/>
      <c r="H1189" s="393"/>
      <c r="I1189" s="394" t="s">
        <v>2622</v>
      </c>
    </row>
    <row r="1190" spans="1:15" x14ac:dyDescent="0.25">
      <c r="A1190" s="380" t="s">
        <v>2623</v>
      </c>
      <c r="B1190" s="391">
        <v>447</v>
      </c>
      <c r="C1190" s="391">
        <v>40</v>
      </c>
      <c r="D1190" s="392">
        <v>17880</v>
      </c>
      <c r="E1190" s="393">
        <v>1251.5999999999999</v>
      </c>
      <c r="F1190" s="393" t="s">
        <v>92</v>
      </c>
      <c r="G1190" s="393"/>
      <c r="H1190" s="393"/>
      <c r="I1190" s="394" t="s">
        <v>2624</v>
      </c>
    </row>
    <row r="1191" spans="1:15" ht="17.25" x14ac:dyDescent="0.25">
      <c r="A1191" s="380" t="s">
        <v>268</v>
      </c>
      <c r="B1191" s="391">
        <v>471</v>
      </c>
      <c r="C1191" s="391">
        <v>46</v>
      </c>
      <c r="D1191" s="392">
        <v>21666</v>
      </c>
      <c r="E1191" s="391">
        <v>1516.62</v>
      </c>
      <c r="F1191" s="393" t="e">
        <f>#REF!-#REF!</f>
        <v>#REF!</v>
      </c>
      <c r="G1191" s="393"/>
      <c r="H1191" s="393"/>
      <c r="I1191" s="394" t="s">
        <v>2629</v>
      </c>
    </row>
    <row r="1192" spans="1:15" x14ac:dyDescent="0.25">
      <c r="A1192" s="394"/>
      <c r="B1192" s="394"/>
      <c r="C1192" s="394"/>
      <c r="D1192" s="394"/>
      <c r="E1192" s="390" t="s">
        <v>2321</v>
      </c>
      <c r="F1192" s="395" t="e">
        <f>F1187+F1188+F1189+F1191</f>
        <v>#REF!</v>
      </c>
      <c r="G1192" s="395"/>
      <c r="H1192" s="395"/>
      <c r="I1192" s="394"/>
    </row>
    <row r="1196" spans="1:15" x14ac:dyDescent="0.25">
      <c r="A1196" s="56" t="s">
        <v>2783</v>
      </c>
    </row>
    <row r="1197" spans="1:15" x14ac:dyDescent="0.25">
      <c r="A1197" s="920" t="s">
        <v>129</v>
      </c>
      <c r="B1197" s="920" t="s">
        <v>2287</v>
      </c>
      <c r="C1197" s="920" t="s">
        <v>2288</v>
      </c>
      <c r="D1197" s="920" t="s">
        <v>1630</v>
      </c>
      <c r="E1197" s="920" t="s">
        <v>18</v>
      </c>
      <c r="F1197" s="914"/>
      <c r="G1197" s="914"/>
      <c r="H1197" s="914"/>
      <c r="I1197" s="914"/>
      <c r="J1197" s="914"/>
      <c r="K1197" s="460"/>
      <c r="L1197" s="535"/>
      <c r="M1197" s="460"/>
      <c r="N1197" s="917" t="s">
        <v>2298</v>
      </c>
      <c r="O1197" s="917" t="s">
        <v>2633</v>
      </c>
    </row>
    <row r="1198" spans="1:15" x14ac:dyDescent="0.25">
      <c r="A1198" s="920"/>
      <c r="B1198" s="920"/>
      <c r="C1198" s="920"/>
      <c r="D1198" s="920"/>
      <c r="E1198" s="920"/>
      <c r="F1198" s="915" t="s">
        <v>1493</v>
      </c>
      <c r="G1198" s="641"/>
      <c r="H1198" s="641"/>
      <c r="I1198" s="915" t="s">
        <v>1494</v>
      </c>
      <c r="J1198" s="915" t="s">
        <v>1495</v>
      </c>
      <c r="K1198" s="455"/>
      <c r="L1198" s="530"/>
      <c r="M1198" s="455"/>
      <c r="N1198" s="917"/>
      <c r="O1198" s="917"/>
    </row>
    <row r="1199" spans="1:15" x14ac:dyDescent="0.25">
      <c r="A1199" s="920"/>
      <c r="B1199" s="920"/>
      <c r="C1199" s="920"/>
      <c r="D1199" s="920"/>
      <c r="E1199" s="920"/>
      <c r="F1199" s="915"/>
      <c r="G1199" s="641"/>
      <c r="H1199" s="641"/>
      <c r="I1199" s="915"/>
      <c r="J1199" s="915"/>
      <c r="K1199" s="455"/>
      <c r="L1199" s="530"/>
      <c r="M1199" s="455"/>
      <c r="N1199" s="917"/>
      <c r="O1199" s="917"/>
    </row>
    <row r="1200" spans="1:15" x14ac:dyDescent="0.25">
      <c r="A1200" s="922">
        <v>1000083056</v>
      </c>
      <c r="B1200" s="930" t="s">
        <v>25</v>
      </c>
      <c r="C1200" s="873" t="s">
        <v>854</v>
      </c>
      <c r="D1200" s="874" t="s">
        <v>2630</v>
      </c>
      <c r="E1200" s="396" t="s">
        <v>2631</v>
      </c>
      <c r="F1200" s="916">
        <v>0</v>
      </c>
      <c r="G1200" s="642"/>
      <c r="H1200" s="642"/>
      <c r="I1200" s="909" t="s">
        <v>92</v>
      </c>
      <c r="J1200" s="924" t="s">
        <v>92</v>
      </c>
      <c r="K1200" s="456"/>
      <c r="L1200" s="529"/>
      <c r="M1200" s="456"/>
      <c r="N1200" s="913">
        <v>-31462</v>
      </c>
      <c r="O1200" s="912">
        <v>-19476.400000000001</v>
      </c>
    </row>
    <row r="1201" spans="1:15" x14ac:dyDescent="0.25">
      <c r="A1201" s="922"/>
      <c r="B1201" s="930"/>
      <c r="C1201" s="873"/>
      <c r="D1201" s="874"/>
      <c r="E1201" s="397" t="s">
        <v>2637</v>
      </c>
      <c r="F1201" s="916"/>
      <c r="G1201" s="642"/>
      <c r="H1201" s="642"/>
      <c r="I1201" s="909"/>
      <c r="J1201" s="924"/>
      <c r="K1201" s="456"/>
      <c r="L1201" s="529"/>
      <c r="M1201" s="456"/>
      <c r="N1201" s="913"/>
      <c r="O1201" s="912"/>
    </row>
    <row r="1202" spans="1:15" x14ac:dyDescent="0.25">
      <c r="A1202" s="922"/>
      <c r="B1202" s="930"/>
      <c r="C1202" s="873"/>
      <c r="D1202" s="874"/>
      <c r="E1202" s="397" t="s">
        <v>2638</v>
      </c>
      <c r="F1202" s="916"/>
      <c r="G1202" s="642"/>
      <c r="H1202" s="642"/>
      <c r="I1202" s="909"/>
      <c r="J1202" s="924"/>
      <c r="K1202" s="456"/>
      <c r="L1202" s="529"/>
      <c r="M1202" s="456"/>
      <c r="N1202" s="913"/>
      <c r="O1202" s="912"/>
    </row>
    <row r="1203" spans="1:15" x14ac:dyDescent="0.25">
      <c r="A1203" s="922"/>
      <c r="B1203" s="930"/>
      <c r="C1203" s="886" t="s">
        <v>852</v>
      </c>
      <c r="D1203" s="874" t="s">
        <v>2313</v>
      </c>
      <c r="E1203" s="396" t="s">
        <v>2632</v>
      </c>
      <c r="F1203" s="398"/>
      <c r="G1203" s="398"/>
      <c r="H1203" s="398"/>
      <c r="I1203" s="378"/>
      <c r="J1203" s="402"/>
      <c r="K1203" s="456"/>
      <c r="L1203" s="529"/>
      <c r="M1203" s="456"/>
      <c r="N1203" s="379"/>
      <c r="O1203" s="912"/>
    </row>
    <row r="1204" spans="1:15" x14ac:dyDescent="0.25">
      <c r="A1204" s="922"/>
      <c r="B1204" s="930"/>
      <c r="C1204" s="886"/>
      <c r="D1204" s="874"/>
      <c r="E1204" s="397" t="s">
        <v>2639</v>
      </c>
      <c r="F1204" s="398" t="s">
        <v>92</v>
      </c>
      <c r="G1204" s="398"/>
      <c r="H1204" s="398"/>
      <c r="I1204" s="398" t="s">
        <v>92</v>
      </c>
      <c r="J1204" s="398" t="s">
        <v>92</v>
      </c>
      <c r="K1204" s="398"/>
      <c r="L1204" s="398"/>
      <c r="M1204" s="398"/>
      <c r="N1204" s="399">
        <v>11985.6</v>
      </c>
      <c r="O1204" s="912"/>
    </row>
    <row r="1205" spans="1:15" ht="7.5" customHeight="1" x14ac:dyDescent="0.25">
      <c r="A1205" s="403"/>
      <c r="B1205" s="404"/>
      <c r="C1205" s="405"/>
      <c r="D1205" s="404"/>
      <c r="E1205" s="404"/>
      <c r="F1205" s="406"/>
      <c r="G1205" s="406"/>
      <c r="H1205" s="406"/>
      <c r="I1205" s="406"/>
      <c r="J1205" s="407"/>
      <c r="K1205" s="407"/>
      <c r="L1205" s="407"/>
      <c r="M1205" s="407"/>
      <c r="N1205" s="407"/>
      <c r="O1205" s="408"/>
    </row>
    <row r="1206" spans="1:15" s="108" customFormat="1" ht="15" customHeight="1" x14ac:dyDescent="0.25">
      <c r="A1206" s="922">
        <v>1000105043</v>
      </c>
      <c r="B1206" s="923" t="s">
        <v>1261</v>
      </c>
      <c r="C1206" s="890" t="s">
        <v>481</v>
      </c>
      <c r="D1206" s="889" t="s">
        <v>2314</v>
      </c>
      <c r="E1206" s="396" t="s">
        <v>2632</v>
      </c>
      <c r="F1206" s="858" t="s">
        <v>92</v>
      </c>
      <c r="G1206" s="644"/>
      <c r="H1206" s="644"/>
      <c r="I1206" s="858" t="s">
        <v>92</v>
      </c>
      <c r="J1206" s="928" t="s">
        <v>92</v>
      </c>
      <c r="K1206" s="458"/>
      <c r="L1206" s="532"/>
      <c r="M1206" s="458"/>
      <c r="N1206" s="929">
        <v>29563.599999999999</v>
      </c>
      <c r="O1206" s="921">
        <v>52317.11</v>
      </c>
    </row>
    <row r="1207" spans="1:15" s="108" customFormat="1" ht="15" customHeight="1" x14ac:dyDescent="0.25">
      <c r="A1207" s="922"/>
      <c r="B1207" s="923"/>
      <c r="C1207" s="890"/>
      <c r="D1207" s="889"/>
      <c r="E1207" s="209" t="s">
        <v>2640</v>
      </c>
      <c r="F1207" s="858"/>
      <c r="G1207" s="644"/>
      <c r="H1207" s="644"/>
      <c r="I1207" s="858"/>
      <c r="J1207" s="928"/>
      <c r="K1207" s="458"/>
      <c r="L1207" s="532"/>
      <c r="M1207" s="458"/>
      <c r="N1207" s="928"/>
      <c r="O1207" s="921"/>
    </row>
    <row r="1208" spans="1:15" s="108" customFormat="1" x14ac:dyDescent="0.25">
      <c r="A1208" s="922"/>
      <c r="B1208" s="923"/>
      <c r="C1208" s="888" t="s">
        <v>2636</v>
      </c>
      <c r="D1208" s="889" t="s">
        <v>2315</v>
      </c>
      <c r="E1208" s="396" t="s">
        <v>2632</v>
      </c>
      <c r="F1208" s="858" t="s">
        <v>92</v>
      </c>
      <c r="G1208" s="644"/>
      <c r="H1208" s="644"/>
      <c r="I1208" s="858" t="s">
        <v>92</v>
      </c>
      <c r="J1208" s="928" t="s">
        <v>92</v>
      </c>
      <c r="K1208" s="458"/>
      <c r="L1208" s="532"/>
      <c r="M1208" s="458"/>
      <c r="N1208" s="926">
        <v>21973.599999999999</v>
      </c>
      <c r="O1208" s="921"/>
    </row>
    <row r="1209" spans="1:15" s="108" customFormat="1" x14ac:dyDescent="0.25">
      <c r="A1209" s="922"/>
      <c r="B1209" s="923"/>
      <c r="C1209" s="888"/>
      <c r="D1209" s="889"/>
      <c r="E1209" s="209" t="s">
        <v>2640</v>
      </c>
      <c r="F1209" s="858"/>
      <c r="G1209" s="644"/>
      <c r="H1209" s="644"/>
      <c r="I1209" s="858"/>
      <c r="J1209" s="928"/>
      <c r="K1209" s="458"/>
      <c r="L1209" s="532"/>
      <c r="M1209" s="458"/>
      <c r="N1209" s="926"/>
      <c r="O1209" s="921"/>
    </row>
    <row r="1210" spans="1:15" ht="15" customHeight="1" x14ac:dyDescent="0.25">
      <c r="A1210" s="922"/>
      <c r="B1210" s="923"/>
      <c r="C1210" s="891" t="s">
        <v>46</v>
      </c>
      <c r="D1210" s="930" t="s">
        <v>2207</v>
      </c>
      <c r="E1210" s="396" t="s">
        <v>2641</v>
      </c>
      <c r="F1210" s="859" t="s">
        <v>92</v>
      </c>
      <c r="G1210" s="643"/>
      <c r="H1210" s="643"/>
      <c r="I1210" s="859" t="s">
        <v>92</v>
      </c>
      <c r="J1210" s="927" t="s">
        <v>92</v>
      </c>
      <c r="K1210" s="457"/>
      <c r="L1210" s="533"/>
      <c r="M1210" s="457"/>
      <c r="N1210" s="931">
        <v>779.91</v>
      </c>
      <c r="O1210" s="921"/>
    </row>
    <row r="1211" spans="1:15" x14ac:dyDescent="0.25">
      <c r="A1211" s="922"/>
      <c r="B1211" s="923"/>
      <c r="C1211" s="892"/>
      <c r="D1211" s="930"/>
      <c r="E1211" s="397" t="s">
        <v>2649</v>
      </c>
      <c r="F1211" s="859"/>
      <c r="G1211" s="643"/>
      <c r="H1211" s="643"/>
      <c r="I1211" s="859"/>
      <c r="J1211" s="927"/>
      <c r="K1211" s="457"/>
      <c r="L1211" s="533"/>
      <c r="M1211" s="457"/>
      <c r="N1211" s="931"/>
      <c r="O1211" s="921"/>
    </row>
    <row r="1213" spans="1:15" x14ac:dyDescent="0.25">
      <c r="A1213" s="147" t="s">
        <v>2645</v>
      </c>
      <c r="B1213" s="147" t="s">
        <v>2646</v>
      </c>
      <c r="C1213" s="147" t="s">
        <v>2647</v>
      </c>
      <c r="D1213" s="147" t="s">
        <v>2648</v>
      </c>
      <c r="E1213" s="147" t="s">
        <v>2612</v>
      </c>
    </row>
    <row r="1214" spans="1:15" x14ac:dyDescent="0.25">
      <c r="A1214" s="110" t="s">
        <v>2599</v>
      </c>
      <c r="B1214" s="110">
        <v>463</v>
      </c>
      <c r="C1214" s="110">
        <v>20</v>
      </c>
      <c r="D1214" s="110">
        <f t="shared" ref="D1214:D1220" si="16">B1214*C1214</f>
        <v>9260</v>
      </c>
      <c r="E1214" s="168">
        <f>D1214</f>
        <v>9260</v>
      </c>
    </row>
    <row r="1215" spans="1:15" x14ac:dyDescent="0.25">
      <c r="A1215" s="110" t="s">
        <v>2600</v>
      </c>
      <c r="B1215" s="110">
        <v>463</v>
      </c>
      <c r="C1215" s="110">
        <v>9</v>
      </c>
      <c r="D1215" s="110">
        <f t="shared" si="16"/>
        <v>4167</v>
      </c>
      <c r="E1215" s="226">
        <f>D1215</f>
        <v>4167</v>
      </c>
    </row>
    <row r="1216" spans="1:15" x14ac:dyDescent="0.25">
      <c r="A1216" s="110" t="s">
        <v>2600</v>
      </c>
      <c r="B1216" s="110">
        <v>168</v>
      </c>
      <c r="C1216" s="110">
        <v>10</v>
      </c>
      <c r="D1216" s="110">
        <f t="shared" si="16"/>
        <v>1680</v>
      </c>
      <c r="E1216" s="226">
        <v>0</v>
      </c>
    </row>
    <row r="1217" spans="1:9" x14ac:dyDescent="0.25">
      <c r="A1217" s="110" t="s">
        <v>2642</v>
      </c>
      <c r="B1217" s="110">
        <v>168</v>
      </c>
      <c r="C1217" s="110">
        <v>19</v>
      </c>
      <c r="D1217" s="110">
        <f t="shared" si="16"/>
        <v>3192</v>
      </c>
      <c r="E1217" s="226">
        <v>0</v>
      </c>
    </row>
    <row r="1218" spans="1:9" x14ac:dyDescent="0.25">
      <c r="A1218" s="110" t="s">
        <v>2643</v>
      </c>
      <c r="B1218" s="110">
        <v>447</v>
      </c>
      <c r="C1218" s="110">
        <v>15</v>
      </c>
      <c r="D1218" s="110">
        <f t="shared" si="16"/>
        <v>6705</v>
      </c>
      <c r="E1218" s="168">
        <f>D1218</f>
        <v>6705</v>
      </c>
    </row>
    <row r="1219" spans="1:9" x14ac:dyDescent="0.25">
      <c r="A1219" s="110" t="s">
        <v>2644</v>
      </c>
      <c r="B1219" s="110">
        <v>447</v>
      </c>
      <c r="C1219" s="110">
        <v>5</v>
      </c>
      <c r="D1219" s="110">
        <f t="shared" si="16"/>
        <v>2235</v>
      </c>
      <c r="E1219" s="168">
        <f>D1219</f>
        <v>2235</v>
      </c>
    </row>
    <row r="1220" spans="1:9" x14ac:dyDescent="0.25">
      <c r="A1220" s="110" t="s">
        <v>2601</v>
      </c>
      <c r="B1220" s="110">
        <v>471</v>
      </c>
      <c r="C1220" s="110">
        <v>20</v>
      </c>
      <c r="D1220" s="110">
        <f t="shared" si="16"/>
        <v>9420</v>
      </c>
      <c r="E1220" s="168">
        <f>D1220</f>
        <v>9420</v>
      </c>
    </row>
    <row r="1221" spans="1:9" x14ac:dyDescent="0.25">
      <c r="A1221" s="110"/>
      <c r="B1221" s="110"/>
      <c r="C1221" s="110"/>
      <c r="D1221" s="147">
        <f>SUM(D1214:D1220)</f>
        <v>36659</v>
      </c>
      <c r="E1221" s="400">
        <f>SUM(E1214:E1220)</f>
        <v>31787</v>
      </c>
      <c r="I1221" s="401"/>
    </row>
    <row r="1222" spans="1:9" s="106" customFormat="1" x14ac:dyDescent="0.25">
      <c r="D1222" s="242"/>
      <c r="E1222" s="433"/>
      <c r="I1222" s="434"/>
    </row>
    <row r="1223" spans="1:9" s="106" customFormat="1" x14ac:dyDescent="0.25">
      <c r="D1223" s="242"/>
      <c r="E1223" s="433"/>
      <c r="I1223" s="434"/>
    </row>
    <row r="1224" spans="1:9" s="106" customFormat="1" x14ac:dyDescent="0.25">
      <c r="A1224" s="443" t="s">
        <v>2760</v>
      </c>
    </row>
    <row r="1225" spans="1:9" x14ac:dyDescent="0.25">
      <c r="A1225" s="147" t="s">
        <v>2698</v>
      </c>
      <c r="B1225" s="147" t="s">
        <v>1681</v>
      </c>
      <c r="C1225" s="147" t="s">
        <v>2762</v>
      </c>
      <c r="D1225" s="106"/>
      <c r="E1225" s="106"/>
    </row>
    <row r="1226" spans="1:9" s="451" customFormat="1" x14ac:dyDescent="0.25">
      <c r="A1226" s="450" t="s">
        <v>70</v>
      </c>
      <c r="B1226" s="150" t="s">
        <v>2699</v>
      </c>
      <c r="C1226" s="150" t="s">
        <v>2769</v>
      </c>
      <c r="D1226" s="136"/>
      <c r="E1226" s="136"/>
    </row>
    <row r="1227" spans="1:9" s="439" customFormat="1" x14ac:dyDescent="0.25">
      <c r="A1227" s="447" t="s">
        <v>1065</v>
      </c>
      <c r="B1227" s="876" t="s">
        <v>2776</v>
      </c>
      <c r="C1227" s="877" t="s">
        <v>2767</v>
      </c>
      <c r="D1227" s="441"/>
      <c r="E1227" s="441"/>
    </row>
    <row r="1228" spans="1:9" s="451" customFormat="1" x14ac:dyDescent="0.25">
      <c r="A1228" s="452" t="s">
        <v>53</v>
      </c>
      <c r="B1228" s="876"/>
      <c r="C1228" s="877"/>
      <c r="D1228" s="136"/>
      <c r="E1228" s="136"/>
    </row>
    <row r="1229" spans="1:9" s="439" customFormat="1" x14ac:dyDescent="0.25">
      <c r="A1229" s="448" t="s">
        <v>515</v>
      </c>
      <c r="B1229" s="876"/>
      <c r="C1229" s="877"/>
      <c r="D1229" s="441"/>
      <c r="E1229" s="441"/>
    </row>
    <row r="1230" spans="1:9" s="451" customFormat="1" x14ac:dyDescent="0.25">
      <c r="A1230" s="452" t="s">
        <v>2774</v>
      </c>
      <c r="B1230" s="876"/>
      <c r="C1230" s="877"/>
      <c r="D1230" s="136"/>
      <c r="E1230" s="136"/>
    </row>
    <row r="1231" spans="1:9" s="439" customFormat="1" x14ac:dyDescent="0.25">
      <c r="A1231" s="448" t="s">
        <v>2775</v>
      </c>
      <c r="B1231" s="876"/>
      <c r="C1231" s="877"/>
      <c r="D1231" s="441"/>
      <c r="E1231" s="441"/>
    </row>
    <row r="1232" spans="1:9" s="451" customFormat="1" x14ac:dyDescent="0.25">
      <c r="A1232" s="452" t="s">
        <v>2704</v>
      </c>
      <c r="B1232" s="876"/>
      <c r="C1232" s="877"/>
      <c r="D1232" s="136"/>
      <c r="E1232" s="136"/>
    </row>
    <row r="1233" spans="1:5" s="451" customFormat="1" x14ac:dyDescent="0.25">
      <c r="A1233" s="452" t="s">
        <v>2777</v>
      </c>
      <c r="B1233" s="876"/>
      <c r="C1233" s="877"/>
      <c r="D1233" s="136"/>
      <c r="E1233" s="136"/>
    </row>
    <row r="1234" spans="1:5" s="451" customFormat="1" x14ac:dyDescent="0.25">
      <c r="A1234" s="452" t="s">
        <v>2778</v>
      </c>
      <c r="B1234" s="876"/>
      <c r="C1234" s="877"/>
      <c r="D1234" s="136"/>
      <c r="E1234" s="136"/>
    </row>
    <row r="1235" spans="1:5" s="451" customFormat="1" x14ac:dyDescent="0.25">
      <c r="A1235" s="150" t="s">
        <v>2701</v>
      </c>
      <c r="B1235" s="887" t="s">
        <v>854</v>
      </c>
      <c r="C1235" s="878" t="s">
        <v>2766</v>
      </c>
      <c r="D1235" s="136"/>
      <c r="E1235" s="136"/>
    </row>
    <row r="1236" spans="1:5" s="451" customFormat="1" x14ac:dyDescent="0.25">
      <c r="A1236" s="150" t="s">
        <v>2702</v>
      </c>
      <c r="B1236" s="887"/>
      <c r="C1236" s="879"/>
      <c r="D1236" s="136"/>
      <c r="E1236" s="136"/>
    </row>
    <row r="1237" spans="1:5" s="451" customFormat="1" x14ac:dyDescent="0.25">
      <c r="A1237" s="150" t="s">
        <v>2703</v>
      </c>
      <c r="B1237" s="887"/>
      <c r="C1237" s="879"/>
      <c r="D1237" s="136"/>
      <c r="E1237" s="136"/>
    </row>
    <row r="1238" spans="1:5" s="451" customFormat="1" x14ac:dyDescent="0.25">
      <c r="A1238" s="150" t="s">
        <v>1063</v>
      </c>
      <c r="B1238" s="887"/>
      <c r="C1238" s="879"/>
      <c r="D1238" s="136"/>
      <c r="E1238" s="136"/>
    </row>
    <row r="1239" spans="1:5" s="439" customFormat="1" x14ac:dyDescent="0.25">
      <c r="A1239" s="438" t="s">
        <v>1060</v>
      </c>
      <c r="B1239" s="887"/>
      <c r="C1239" s="880"/>
      <c r="D1239" s="441"/>
      <c r="E1239" s="441"/>
    </row>
    <row r="1240" spans="1:5" s="451" customFormat="1" x14ac:dyDescent="0.25">
      <c r="A1240" s="150" t="s">
        <v>2634</v>
      </c>
      <c r="B1240" s="885" t="s">
        <v>2655</v>
      </c>
      <c r="C1240" s="882" t="s">
        <v>2770</v>
      </c>
      <c r="D1240" s="136"/>
      <c r="E1240" s="136"/>
    </row>
    <row r="1241" spans="1:5" s="451" customFormat="1" x14ac:dyDescent="0.25">
      <c r="A1241" s="150" t="s">
        <v>296</v>
      </c>
      <c r="B1241" s="885"/>
      <c r="C1241" s="883"/>
      <c r="D1241" s="136"/>
      <c r="E1241" s="136"/>
    </row>
    <row r="1242" spans="1:5" s="451" customFormat="1" x14ac:dyDescent="0.25">
      <c r="A1242" s="150" t="s">
        <v>2635</v>
      </c>
      <c r="B1242" s="885"/>
      <c r="C1242" s="883"/>
      <c r="D1242" s="136"/>
      <c r="E1242" s="136"/>
    </row>
    <row r="1243" spans="1:5" s="451" customFormat="1" x14ac:dyDescent="0.25">
      <c r="A1243" s="150" t="s">
        <v>518</v>
      </c>
      <c r="B1243" s="885"/>
      <c r="C1243" s="884"/>
      <c r="D1243" s="136"/>
      <c r="E1243" s="136"/>
    </row>
    <row r="1244" spans="1:5" s="439" customFormat="1" x14ac:dyDescent="0.25">
      <c r="A1244" s="438" t="s">
        <v>54</v>
      </c>
      <c r="B1244" s="442" t="s">
        <v>2700</v>
      </c>
      <c r="C1244" s="438" t="s">
        <v>2770</v>
      </c>
      <c r="D1244" s="441"/>
      <c r="E1244" s="441"/>
    </row>
    <row r="1245" spans="1:5" s="451" customFormat="1" x14ac:dyDescent="0.25">
      <c r="A1245" s="150" t="s">
        <v>288</v>
      </c>
      <c r="B1245" s="878" t="s">
        <v>2771</v>
      </c>
      <c r="C1245" s="878" t="s">
        <v>2770</v>
      </c>
      <c r="D1245" s="136"/>
      <c r="E1245" s="136"/>
    </row>
    <row r="1246" spans="1:5" s="439" customFormat="1" x14ac:dyDescent="0.25">
      <c r="A1246" s="438" t="s">
        <v>74</v>
      </c>
      <c r="B1246" s="880"/>
      <c r="C1246" s="880"/>
      <c r="D1246" s="441"/>
      <c r="E1246" s="441"/>
    </row>
    <row r="1247" spans="1:5" s="439" customFormat="1" x14ac:dyDescent="0.25">
      <c r="A1247" s="445" t="s">
        <v>2583</v>
      </c>
      <c r="B1247" s="881" t="s">
        <v>2772</v>
      </c>
      <c r="C1247" s="878" t="s">
        <v>2773</v>
      </c>
    </row>
    <row r="1248" spans="1:5" s="439" customFormat="1" x14ac:dyDescent="0.25">
      <c r="A1248" s="445" t="s">
        <v>2584</v>
      </c>
      <c r="B1248" s="881"/>
      <c r="C1248" s="879"/>
    </row>
    <row r="1249" spans="1:8" s="439" customFormat="1" x14ac:dyDescent="0.25">
      <c r="A1249" s="445" t="s">
        <v>2585</v>
      </c>
      <c r="B1249" s="881"/>
      <c r="C1249" s="879"/>
    </row>
    <row r="1250" spans="1:8" s="439" customFormat="1" x14ac:dyDescent="0.25">
      <c r="A1250" s="445" t="s">
        <v>2586</v>
      </c>
      <c r="B1250" s="881"/>
      <c r="C1250" s="879"/>
    </row>
    <row r="1251" spans="1:8" s="439" customFormat="1" x14ac:dyDescent="0.25">
      <c r="A1251" s="445" t="s">
        <v>2587</v>
      </c>
      <c r="B1251" s="881"/>
      <c r="C1251" s="879"/>
    </row>
    <row r="1252" spans="1:8" s="439" customFormat="1" x14ac:dyDescent="0.25">
      <c r="A1252" s="445" t="s">
        <v>2588</v>
      </c>
      <c r="B1252" s="881"/>
      <c r="C1252" s="880"/>
    </row>
    <row r="1253" spans="1:8" s="439" customFormat="1" x14ac:dyDescent="0.25">
      <c r="A1253" s="438" t="s">
        <v>2659</v>
      </c>
      <c r="B1253" s="442" t="s">
        <v>2655</v>
      </c>
      <c r="C1253" s="444" t="s">
        <v>2761</v>
      </c>
      <c r="D1253" s="441"/>
      <c r="E1253" s="441"/>
    </row>
    <row r="1254" spans="1:8" s="439" customFormat="1" x14ac:dyDescent="0.25">
      <c r="A1254" s="438" t="s">
        <v>77</v>
      </c>
      <c r="B1254" s="438" t="s">
        <v>2763</v>
      </c>
      <c r="C1254" s="438" t="s">
        <v>2761</v>
      </c>
      <c r="F1254" s="440"/>
      <c r="G1254" s="440"/>
      <c r="H1254" s="440"/>
    </row>
    <row r="1255" spans="1:8" s="439" customFormat="1" x14ac:dyDescent="0.25">
      <c r="A1255" s="438" t="s">
        <v>1977</v>
      </c>
      <c r="B1255" s="438" t="s">
        <v>2763</v>
      </c>
      <c r="C1255" s="438" t="s">
        <v>2761</v>
      </c>
      <c r="F1255" s="440"/>
      <c r="G1255" s="440"/>
      <c r="H1255" s="440"/>
    </row>
    <row r="1256" spans="1:8" s="439" customFormat="1" x14ac:dyDescent="0.25">
      <c r="A1256" s="438" t="s">
        <v>2764</v>
      </c>
      <c r="B1256" s="438" t="s">
        <v>2765</v>
      </c>
      <c r="C1256" s="438" t="s">
        <v>2761</v>
      </c>
      <c r="F1256" s="440"/>
      <c r="G1256" s="440"/>
      <c r="H1256" s="440"/>
    </row>
    <row r="1257" spans="1:8" s="439" customFormat="1" x14ac:dyDescent="0.25">
      <c r="A1257" s="438" t="s">
        <v>2576</v>
      </c>
      <c r="B1257" s="881" t="s">
        <v>46</v>
      </c>
      <c r="C1257" s="881" t="s">
        <v>2761</v>
      </c>
    </row>
    <row r="1258" spans="1:8" s="439" customFormat="1" x14ac:dyDescent="0.25">
      <c r="A1258" s="438" t="s">
        <v>2577</v>
      </c>
      <c r="B1258" s="881"/>
      <c r="C1258" s="881"/>
    </row>
    <row r="1259" spans="1:8" s="439" customFormat="1" x14ac:dyDescent="0.25">
      <c r="A1259" s="438" t="s">
        <v>2768</v>
      </c>
      <c r="B1259" s="881"/>
      <c r="C1259" s="881"/>
    </row>
    <row r="1260" spans="1:8" s="439" customFormat="1" x14ac:dyDescent="0.25">
      <c r="A1260" s="438" t="s">
        <v>2183</v>
      </c>
      <c r="B1260" s="881"/>
      <c r="C1260" s="881"/>
    </row>
    <row r="1261" spans="1:8" s="439" customFormat="1" x14ac:dyDescent="0.25">
      <c r="A1261" s="438" t="s">
        <v>2578</v>
      </c>
      <c r="B1261" s="881"/>
      <c r="C1261" s="881"/>
    </row>
    <row r="1262" spans="1:8" x14ac:dyDescent="0.25">
      <c r="B1262" s="441"/>
      <c r="C1262" s="441"/>
    </row>
    <row r="1263" spans="1:8" x14ac:dyDescent="0.25">
      <c r="B1263" s="441"/>
      <c r="C1263" s="441"/>
    </row>
    <row r="1264" spans="1:8" x14ac:dyDescent="0.25">
      <c r="B1264" s="441"/>
      <c r="C1264" s="441"/>
    </row>
    <row r="1265" spans="1:14" x14ac:dyDescent="0.25">
      <c r="B1265" s="441"/>
      <c r="C1265" s="441"/>
    </row>
    <row r="1266" spans="1:14" x14ac:dyDescent="0.25">
      <c r="B1266" s="441"/>
      <c r="C1266" s="441"/>
    </row>
    <row r="1267" spans="1:14" x14ac:dyDescent="0.25">
      <c r="B1267" s="441"/>
      <c r="C1267" s="441"/>
    </row>
    <row r="1274" spans="1:14" x14ac:dyDescent="0.25">
      <c r="A1274" s="147" t="s">
        <v>1681</v>
      </c>
      <c r="B1274" s="147" t="s">
        <v>1630</v>
      </c>
      <c r="C1274" s="147" t="s">
        <v>1672</v>
      </c>
      <c r="D1274" s="147" t="s">
        <v>230</v>
      </c>
      <c r="E1274" s="147" t="s">
        <v>1631</v>
      </c>
      <c r="F1274" s="147" t="s">
        <v>1632</v>
      </c>
      <c r="G1274" s="147"/>
      <c r="H1274" s="147"/>
      <c r="I1274" s="309" t="s">
        <v>2652</v>
      </c>
      <c r="J1274" s="147" t="s">
        <v>2651</v>
      </c>
      <c r="K1274" s="147"/>
      <c r="L1274" s="147"/>
      <c r="M1274" s="147"/>
      <c r="N1274" s="309" t="s">
        <v>18</v>
      </c>
    </row>
    <row r="1275" spans="1:14" x14ac:dyDescent="0.25">
      <c r="A1275" s="875" t="s">
        <v>2650</v>
      </c>
      <c r="B1275" s="212" t="s">
        <v>1268</v>
      </c>
      <c r="C1275" s="208" t="s">
        <v>2</v>
      </c>
      <c r="D1275" s="221">
        <v>60132662</v>
      </c>
      <c r="E1275" s="215">
        <v>41730</v>
      </c>
      <c r="F1275" s="220">
        <v>61362</v>
      </c>
      <c r="G1275" s="220"/>
      <c r="H1275" s="220"/>
      <c r="I1275" s="220">
        <v>59998</v>
      </c>
      <c r="J1275" s="338">
        <f t="shared" ref="J1275:J1280" si="17">F1275-I1275</f>
        <v>1364</v>
      </c>
      <c r="K1275" s="338"/>
      <c r="L1275" s="338"/>
      <c r="M1275" s="338"/>
      <c r="N1275" s="110"/>
    </row>
    <row r="1276" spans="1:14" x14ac:dyDescent="0.25">
      <c r="A1276" s="875"/>
      <c r="B1276" s="212" t="s">
        <v>1633</v>
      </c>
      <c r="C1276" s="208" t="s">
        <v>2</v>
      </c>
      <c r="D1276" s="221">
        <v>60137489</v>
      </c>
      <c r="E1276" s="215">
        <v>41792</v>
      </c>
      <c r="F1276" s="220">
        <v>150918</v>
      </c>
      <c r="G1276" s="220"/>
      <c r="H1276" s="220"/>
      <c r="I1276" s="220">
        <v>37369.75</v>
      </c>
      <c r="J1276" s="338">
        <f t="shared" si="17"/>
        <v>113548.25</v>
      </c>
      <c r="K1276" s="338"/>
      <c r="L1276" s="338"/>
      <c r="M1276" s="338"/>
      <c r="N1276" s="110" t="s">
        <v>2653</v>
      </c>
    </row>
    <row r="1277" spans="1:14" x14ac:dyDescent="0.25">
      <c r="A1277" s="214" t="s">
        <v>2654</v>
      </c>
      <c r="B1277" s="168" t="s">
        <v>917</v>
      </c>
      <c r="C1277" s="208" t="s">
        <v>2</v>
      </c>
      <c r="D1277" s="210">
        <v>60128260</v>
      </c>
      <c r="E1277" s="215">
        <v>41659</v>
      </c>
      <c r="F1277" s="220">
        <v>328741</v>
      </c>
      <c r="G1277" s="220"/>
      <c r="H1277" s="220"/>
      <c r="I1277" s="220">
        <v>146256</v>
      </c>
      <c r="J1277" s="338">
        <f t="shared" si="17"/>
        <v>182485</v>
      </c>
      <c r="K1277" s="338"/>
      <c r="L1277" s="338"/>
      <c r="M1277" s="338"/>
      <c r="N1277" s="110" t="s">
        <v>2653</v>
      </c>
    </row>
    <row r="1278" spans="1:14" ht="46.5" customHeight="1" x14ac:dyDescent="0.25">
      <c r="A1278" s="377" t="s">
        <v>2655</v>
      </c>
      <c r="B1278" s="212" t="s">
        <v>1265</v>
      </c>
      <c r="C1278" s="209" t="s">
        <v>2</v>
      </c>
      <c r="D1278" s="221">
        <v>60131330</v>
      </c>
      <c r="E1278" s="215">
        <v>41757</v>
      </c>
      <c r="F1278" s="426">
        <v>276292.59999999998</v>
      </c>
      <c r="G1278" s="426"/>
      <c r="H1278" s="426"/>
      <c r="I1278" s="426">
        <v>195025.19</v>
      </c>
      <c r="J1278" s="338">
        <f t="shared" si="17"/>
        <v>81267.409999999974</v>
      </c>
      <c r="K1278" s="338"/>
      <c r="L1278" s="338"/>
      <c r="M1278" s="338"/>
      <c r="N1278" s="337" t="s">
        <v>2656</v>
      </c>
    </row>
    <row r="1279" spans="1:14" x14ac:dyDescent="0.25">
      <c r="A1279" s="214" t="s">
        <v>2657</v>
      </c>
      <c r="B1279" s="212" t="s">
        <v>1258</v>
      </c>
      <c r="C1279" s="209" t="s">
        <v>2</v>
      </c>
      <c r="D1279" s="221">
        <v>60131329</v>
      </c>
      <c r="E1279" s="227">
        <v>41715</v>
      </c>
      <c r="F1279" s="220">
        <v>501831</v>
      </c>
      <c r="G1279" s="220"/>
      <c r="H1279" s="220"/>
      <c r="I1279" s="426">
        <v>306734.46000000002</v>
      </c>
      <c r="J1279" s="427">
        <f t="shared" si="17"/>
        <v>195096.53999999998</v>
      </c>
      <c r="K1279" s="427"/>
      <c r="L1279" s="427"/>
      <c r="M1279" s="427"/>
      <c r="N1279" s="110"/>
    </row>
    <row r="1280" spans="1:14" x14ac:dyDescent="0.25">
      <c r="A1280" s="214" t="s">
        <v>106</v>
      </c>
      <c r="B1280" s="218" t="s">
        <v>1297</v>
      </c>
      <c r="C1280" s="168" t="s">
        <v>2</v>
      </c>
      <c r="D1280" s="221">
        <v>60132658</v>
      </c>
      <c r="E1280" s="215">
        <v>41730</v>
      </c>
      <c r="F1280" s="428">
        <v>38985</v>
      </c>
      <c r="G1280" s="428"/>
      <c r="H1280" s="428"/>
      <c r="I1280" s="205">
        <v>35808.959999999999</v>
      </c>
      <c r="J1280" s="110">
        <f t="shared" si="17"/>
        <v>3176.0400000000009</v>
      </c>
      <c r="K1280" s="110"/>
      <c r="L1280" s="110"/>
      <c r="M1280" s="110"/>
      <c r="N1280" s="110"/>
    </row>
    <row r="1281" spans="1:14" x14ac:dyDescent="0.25">
      <c r="I1281" s="56" t="s">
        <v>1678</v>
      </c>
      <c r="J1281" s="166">
        <f>SUM(J1275:J1280)</f>
        <v>576937.24</v>
      </c>
      <c r="K1281" s="166"/>
      <c r="L1281" s="166"/>
      <c r="M1281" s="166"/>
      <c r="N1281" s="425" t="s">
        <v>2658</v>
      </c>
    </row>
    <row r="1285" spans="1:14" s="5" customFormat="1" ht="12.75" x14ac:dyDescent="0.2">
      <c r="A1285" s="488" t="s">
        <v>2793</v>
      </c>
      <c r="F1285" s="11"/>
      <c r="G1285" s="11"/>
      <c r="H1285" s="11"/>
      <c r="I1285" s="11"/>
      <c r="J1285" s="11"/>
    </row>
    <row r="1286" spans="1:14" s="5" customFormat="1" ht="12.75" x14ac:dyDescent="0.2">
      <c r="A1286" s="489" t="s">
        <v>2794</v>
      </c>
      <c r="B1286" s="490" t="s">
        <v>2795</v>
      </c>
      <c r="C1286" s="490" t="s">
        <v>2698</v>
      </c>
      <c r="D1286" s="489" t="s">
        <v>2796</v>
      </c>
      <c r="E1286" s="489" t="s">
        <v>18</v>
      </c>
      <c r="F1286" s="11"/>
      <c r="G1286" s="11"/>
      <c r="H1286" s="11"/>
      <c r="I1286" s="11"/>
      <c r="J1286" s="11"/>
    </row>
    <row r="1287" spans="1:14" s="5" customFormat="1" ht="12.75" x14ac:dyDescent="0.2">
      <c r="A1287" s="10">
        <v>1</v>
      </c>
      <c r="B1287" s="10">
        <v>403012</v>
      </c>
      <c r="C1287" s="485" t="s">
        <v>2797</v>
      </c>
      <c r="D1287" s="10" t="s">
        <v>2809</v>
      </c>
      <c r="E1287" s="10"/>
      <c r="F1287" s="491"/>
      <c r="G1287" s="491"/>
      <c r="H1287" s="491"/>
      <c r="I1287" s="491"/>
      <c r="J1287" s="492"/>
    </row>
    <row r="1288" spans="1:14" s="5" customFormat="1" ht="12.75" x14ac:dyDescent="0.2">
      <c r="A1288" s="10">
        <v>3</v>
      </c>
      <c r="B1288" s="10">
        <v>391455</v>
      </c>
      <c r="C1288" s="486" t="s">
        <v>2798</v>
      </c>
      <c r="D1288" s="10" t="s">
        <v>2808</v>
      </c>
      <c r="E1288" s="10"/>
      <c r="F1288" s="493"/>
      <c r="G1288" s="493"/>
      <c r="H1288" s="493"/>
      <c r="I1288" s="493"/>
      <c r="J1288" s="494"/>
    </row>
    <row r="1289" spans="1:14" s="5" customFormat="1" ht="12.75" x14ac:dyDescent="0.2">
      <c r="A1289" s="10">
        <v>4</v>
      </c>
      <c r="B1289" s="10">
        <v>401252</v>
      </c>
      <c r="C1289" s="486" t="s">
        <v>2799</v>
      </c>
      <c r="D1289" s="10" t="s">
        <v>2809</v>
      </c>
      <c r="E1289" s="10"/>
      <c r="F1289" s="493"/>
      <c r="G1289" s="493"/>
      <c r="H1289" s="493"/>
      <c r="I1289" s="493"/>
      <c r="J1289" s="494"/>
    </row>
    <row r="1290" spans="1:14" s="5" customFormat="1" ht="12.75" x14ac:dyDescent="0.2">
      <c r="A1290" s="10">
        <v>5</v>
      </c>
      <c r="B1290" s="10">
        <v>387472</v>
      </c>
      <c r="C1290" s="485" t="s">
        <v>1067</v>
      </c>
      <c r="D1290" s="10" t="s">
        <v>2808</v>
      </c>
      <c r="E1290" s="10"/>
      <c r="F1290" s="493"/>
      <c r="G1290" s="493"/>
      <c r="H1290" s="493"/>
      <c r="I1290" s="493"/>
      <c r="J1290" s="494"/>
    </row>
    <row r="1291" spans="1:14" s="5" customFormat="1" ht="12.75" x14ac:dyDescent="0.2">
      <c r="A1291" s="10">
        <v>6</v>
      </c>
      <c r="B1291" s="10">
        <v>401218</v>
      </c>
      <c r="C1291" s="485" t="s">
        <v>2800</v>
      </c>
      <c r="D1291" s="10" t="s">
        <v>2809</v>
      </c>
      <c r="E1291" s="10"/>
      <c r="F1291" s="495"/>
      <c r="G1291" s="495"/>
      <c r="H1291" s="495"/>
      <c r="I1291" s="495"/>
      <c r="J1291" s="496"/>
    </row>
    <row r="1292" spans="1:14" s="5" customFormat="1" ht="12.75" x14ac:dyDescent="0.2">
      <c r="A1292" s="10">
        <v>7</v>
      </c>
      <c r="B1292" s="10">
        <v>401208</v>
      </c>
      <c r="C1292" s="485" t="s">
        <v>2801</v>
      </c>
      <c r="D1292" s="10" t="s">
        <v>2809</v>
      </c>
      <c r="E1292" s="10"/>
      <c r="F1292" s="493"/>
      <c r="G1292" s="493"/>
      <c r="H1292" s="493"/>
      <c r="I1292" s="493"/>
      <c r="J1292" s="494"/>
    </row>
    <row r="1293" spans="1:14" s="5" customFormat="1" ht="12.75" x14ac:dyDescent="0.2">
      <c r="A1293" s="10">
        <v>8</v>
      </c>
      <c r="B1293" s="10">
        <v>275359</v>
      </c>
      <c r="C1293" s="486" t="s">
        <v>56</v>
      </c>
      <c r="D1293" s="10" t="s">
        <v>2780</v>
      </c>
      <c r="E1293" s="10"/>
      <c r="F1293" s="495"/>
      <c r="G1293" s="495"/>
      <c r="H1293" s="495"/>
      <c r="I1293" s="493"/>
      <c r="J1293" s="494"/>
    </row>
    <row r="1294" spans="1:14" s="5" customFormat="1" ht="12.75" x14ac:dyDescent="0.2">
      <c r="A1294" s="10">
        <v>9</v>
      </c>
      <c r="B1294" s="10">
        <v>391452</v>
      </c>
      <c r="C1294" s="485" t="s">
        <v>2802</v>
      </c>
      <c r="D1294" s="10" t="s">
        <v>2808</v>
      </c>
      <c r="E1294" s="10"/>
      <c r="F1294" s="493"/>
      <c r="G1294" s="493"/>
      <c r="H1294" s="493"/>
      <c r="I1294" s="497"/>
      <c r="J1294" s="494"/>
    </row>
    <row r="1295" spans="1:14" s="5" customFormat="1" ht="12.75" x14ac:dyDescent="0.2">
      <c r="A1295" s="10">
        <v>10</v>
      </c>
      <c r="B1295" s="10">
        <v>119092</v>
      </c>
      <c r="C1295" s="436" t="s">
        <v>2198</v>
      </c>
      <c r="D1295" s="10" t="s">
        <v>928</v>
      </c>
      <c r="E1295" s="10"/>
      <c r="F1295" s="493"/>
      <c r="G1295" s="493"/>
      <c r="H1295" s="493"/>
      <c r="I1295" s="493"/>
      <c r="J1295" s="494"/>
    </row>
    <row r="1296" spans="1:14" s="5" customFormat="1" ht="12.75" x14ac:dyDescent="0.2">
      <c r="A1296" s="10">
        <v>11</v>
      </c>
      <c r="B1296" s="10">
        <v>364104</v>
      </c>
      <c r="C1296" s="436" t="s">
        <v>2155</v>
      </c>
      <c r="D1296" s="10" t="s">
        <v>2780</v>
      </c>
      <c r="E1296" s="10"/>
      <c r="F1296" s="493"/>
      <c r="G1296" s="493"/>
      <c r="H1296" s="493"/>
      <c r="I1296" s="493"/>
      <c r="J1296" s="494"/>
    </row>
    <row r="1297" spans="1:10" s="5" customFormat="1" ht="12.75" x14ac:dyDescent="0.2">
      <c r="A1297" s="10">
        <v>13</v>
      </c>
      <c r="B1297" s="10">
        <v>412026</v>
      </c>
      <c r="C1297" s="436" t="s">
        <v>2128</v>
      </c>
      <c r="D1297" s="10" t="s">
        <v>2808</v>
      </c>
      <c r="E1297" s="10"/>
      <c r="F1297" s="493"/>
      <c r="G1297" s="493"/>
      <c r="H1297" s="493"/>
      <c r="I1297" s="493"/>
      <c r="J1297" s="494"/>
    </row>
    <row r="1298" spans="1:10" s="5" customFormat="1" ht="12.75" x14ac:dyDescent="0.2">
      <c r="A1298" s="10">
        <v>14</v>
      </c>
      <c r="B1298" s="10">
        <v>266061</v>
      </c>
      <c r="C1298" s="436" t="s">
        <v>2803</v>
      </c>
      <c r="D1298" s="10" t="s">
        <v>2808</v>
      </c>
      <c r="E1298" s="10"/>
      <c r="F1298" s="11"/>
      <c r="G1298" s="11"/>
      <c r="H1298" s="11"/>
      <c r="I1298" s="11"/>
      <c r="J1298" s="11"/>
    </row>
    <row r="1299" spans="1:10" s="5" customFormat="1" ht="12.75" x14ac:dyDescent="0.2">
      <c r="A1299" s="10">
        <v>15</v>
      </c>
      <c r="B1299" s="10">
        <v>428330</v>
      </c>
      <c r="C1299" s="436" t="s">
        <v>2804</v>
      </c>
      <c r="D1299" s="10" t="s">
        <v>2807</v>
      </c>
      <c r="E1299" s="10"/>
      <c r="F1299" s="11"/>
      <c r="G1299" s="11"/>
      <c r="H1299" s="11"/>
      <c r="I1299" s="11"/>
      <c r="J1299" s="11"/>
    </row>
    <row r="1300" spans="1:10" s="5" customFormat="1" ht="12.75" x14ac:dyDescent="0.2">
      <c r="A1300" s="10">
        <v>16</v>
      </c>
      <c r="B1300" s="10">
        <v>418847</v>
      </c>
      <c r="C1300" s="18" t="s">
        <v>2805</v>
      </c>
      <c r="D1300" s="10" t="s">
        <v>2780</v>
      </c>
      <c r="E1300" s="10"/>
      <c r="F1300" s="11"/>
      <c r="G1300" s="11"/>
      <c r="H1300" s="11"/>
      <c r="I1300" s="11"/>
      <c r="J1300" s="11"/>
    </row>
    <row r="1301" spans="1:10" s="5" customFormat="1" ht="12.75" x14ac:dyDescent="0.2">
      <c r="A1301" s="10">
        <v>17</v>
      </c>
      <c r="B1301" s="10">
        <v>298081</v>
      </c>
      <c r="C1301" s="18" t="s">
        <v>2806</v>
      </c>
      <c r="D1301" s="10" t="s">
        <v>2808</v>
      </c>
      <c r="E1301" s="10"/>
      <c r="F1301" s="11"/>
      <c r="G1301" s="11"/>
      <c r="H1301" s="11"/>
      <c r="I1301" s="11"/>
      <c r="J1301" s="11"/>
    </row>
    <row r="1302" spans="1:10" s="5" customFormat="1" ht="12.75" x14ac:dyDescent="0.2">
      <c r="A1302" s="17">
        <v>18</v>
      </c>
      <c r="B1302" s="10">
        <v>207947</v>
      </c>
      <c r="C1302" s="18" t="s">
        <v>2814</v>
      </c>
      <c r="D1302" s="10" t="s">
        <v>2780</v>
      </c>
      <c r="E1302" s="10"/>
      <c r="F1302" s="11"/>
      <c r="G1302" s="11"/>
      <c r="H1302" s="11"/>
      <c r="I1302" s="11"/>
      <c r="J1302" s="11"/>
    </row>
    <row r="1303" spans="1:10" x14ac:dyDescent="0.25">
      <c r="A1303" s="17">
        <v>19</v>
      </c>
      <c r="B1303" s="10">
        <v>291610</v>
      </c>
      <c r="C1303" s="18" t="s">
        <v>54</v>
      </c>
      <c r="D1303" s="110" t="s">
        <v>2808</v>
      </c>
      <c r="E1303" s="110" t="s">
        <v>2812</v>
      </c>
      <c r="F1303" s="106"/>
      <c r="G1303" s="106"/>
      <c r="H1303" s="106"/>
      <c r="I1303" s="106"/>
      <c r="J1303" s="106"/>
    </row>
    <row r="1304" spans="1:10" x14ac:dyDescent="0.25">
      <c r="A1304" s="10">
        <v>20</v>
      </c>
      <c r="B1304" s="10">
        <v>178270</v>
      </c>
      <c r="C1304" s="23" t="s">
        <v>2810</v>
      </c>
      <c r="D1304" s="10" t="s">
        <v>2780</v>
      </c>
      <c r="E1304" s="110" t="s">
        <v>2811</v>
      </c>
      <c r="F1304" s="106"/>
      <c r="G1304" s="106"/>
      <c r="H1304" s="106"/>
      <c r="I1304" s="106"/>
      <c r="J1304" s="106"/>
    </row>
    <row r="1305" spans="1:10" x14ac:dyDescent="0.25">
      <c r="A1305" s="17">
        <v>21</v>
      </c>
      <c r="B1305" s="17">
        <v>192297</v>
      </c>
      <c r="C1305" s="18" t="s">
        <v>2813</v>
      </c>
      <c r="D1305" s="17" t="s">
        <v>2779</v>
      </c>
      <c r="E1305" s="110" t="s">
        <v>2812</v>
      </c>
      <c r="F1305" s="106"/>
      <c r="G1305" s="106"/>
      <c r="H1305" s="106"/>
      <c r="I1305" s="106"/>
      <c r="J1305" s="106"/>
    </row>
    <row r="1306" spans="1:10" x14ac:dyDescent="0.25">
      <c r="A1306" s="110">
        <v>22</v>
      </c>
      <c r="B1306" s="17">
        <v>266694</v>
      </c>
      <c r="C1306" s="18" t="s">
        <v>2815</v>
      </c>
      <c r="D1306" s="17" t="s">
        <v>2780</v>
      </c>
      <c r="E1306" s="110"/>
      <c r="F1306" s="106"/>
      <c r="G1306" s="106"/>
      <c r="H1306" s="106"/>
      <c r="I1306" s="106"/>
      <c r="J1306" s="106"/>
    </row>
    <row r="1307" spans="1:10" x14ac:dyDescent="0.25">
      <c r="A1307" s="17">
        <v>23</v>
      </c>
      <c r="B1307" s="17">
        <v>421391</v>
      </c>
      <c r="C1307" s="17" t="s">
        <v>2816</v>
      </c>
      <c r="D1307" s="17" t="s">
        <v>2809</v>
      </c>
      <c r="E1307" s="110"/>
      <c r="F1307" s="106"/>
      <c r="G1307" s="106"/>
      <c r="H1307" s="106"/>
      <c r="I1307" s="106"/>
      <c r="J1307" s="106"/>
    </row>
    <row r="1308" spans="1:10" x14ac:dyDescent="0.25">
      <c r="B1308" s="197"/>
      <c r="C1308" s="373"/>
      <c r="F1308" s="106"/>
      <c r="G1308" s="106"/>
      <c r="H1308" s="106"/>
      <c r="I1308" s="106"/>
      <c r="J1308" s="106"/>
    </row>
    <row r="1309" spans="1:10" x14ac:dyDescent="0.25">
      <c r="F1309" s="106"/>
      <c r="G1309" s="106"/>
      <c r="H1309" s="106"/>
      <c r="I1309" s="106"/>
      <c r="J1309" s="106"/>
    </row>
    <row r="1310" spans="1:10" x14ac:dyDescent="0.25">
      <c r="A1310" s="489" t="s">
        <v>2794</v>
      </c>
      <c r="B1310" s="490" t="s">
        <v>2795</v>
      </c>
      <c r="C1310" s="490" t="s">
        <v>2698</v>
      </c>
      <c r="D1310" s="489" t="s">
        <v>2796</v>
      </c>
      <c r="E1310" s="489" t="s">
        <v>18</v>
      </c>
      <c r="F1310" s="106"/>
      <c r="G1310" s="106"/>
      <c r="H1310" s="106"/>
      <c r="I1310" s="106"/>
      <c r="J1310" s="106"/>
    </row>
    <row r="1311" spans="1:10" x14ac:dyDescent="0.25">
      <c r="A1311" s="110">
        <v>1</v>
      </c>
      <c r="B1311" s="10">
        <v>428330</v>
      </c>
      <c r="C1311" s="436" t="s">
        <v>2804</v>
      </c>
      <c r="D1311" s="10" t="s">
        <v>2807</v>
      </c>
      <c r="E1311" s="10"/>
      <c r="F1311" s="106"/>
      <c r="G1311" s="106"/>
      <c r="H1311" s="106"/>
      <c r="I1311" s="106"/>
      <c r="J1311" s="106"/>
    </row>
    <row r="1312" spans="1:10" x14ac:dyDescent="0.25">
      <c r="A1312" s="110">
        <v>2</v>
      </c>
      <c r="B1312" s="10">
        <v>119092</v>
      </c>
      <c r="C1312" s="436" t="s">
        <v>2198</v>
      </c>
      <c r="D1312" s="10" t="s">
        <v>928</v>
      </c>
      <c r="E1312" s="10"/>
      <c r="F1312" s="106"/>
      <c r="G1312" s="106"/>
      <c r="H1312" s="106"/>
      <c r="I1312" s="106"/>
      <c r="J1312" s="106"/>
    </row>
    <row r="1313" spans="1:10" x14ac:dyDescent="0.25">
      <c r="A1313" s="110">
        <v>3</v>
      </c>
      <c r="B1313" s="17">
        <v>192297</v>
      </c>
      <c r="C1313" s="18" t="s">
        <v>2813</v>
      </c>
      <c r="D1313" s="17" t="s">
        <v>2779</v>
      </c>
      <c r="E1313" s="110" t="s">
        <v>2812</v>
      </c>
      <c r="F1313" s="106"/>
      <c r="G1313" s="106"/>
      <c r="H1313" s="106"/>
      <c r="I1313" s="106"/>
      <c r="J1313" s="106"/>
    </row>
    <row r="1314" spans="1:10" x14ac:dyDescent="0.25">
      <c r="A1314" s="110">
        <v>4</v>
      </c>
      <c r="B1314" s="10">
        <v>275359</v>
      </c>
      <c r="C1314" s="486" t="s">
        <v>56</v>
      </c>
      <c r="D1314" s="10" t="s">
        <v>2780</v>
      </c>
      <c r="E1314" s="10"/>
    </row>
    <row r="1315" spans="1:10" x14ac:dyDescent="0.25">
      <c r="A1315" s="110">
        <v>5</v>
      </c>
      <c r="B1315" s="10">
        <v>364104</v>
      </c>
      <c r="C1315" s="436" t="s">
        <v>2155</v>
      </c>
      <c r="D1315" s="10" t="s">
        <v>2780</v>
      </c>
      <c r="E1315" s="10"/>
    </row>
    <row r="1316" spans="1:10" x14ac:dyDescent="0.25">
      <c r="A1316" s="110">
        <v>6</v>
      </c>
      <c r="B1316" s="10">
        <v>418847</v>
      </c>
      <c r="C1316" s="18" t="s">
        <v>2805</v>
      </c>
      <c r="D1316" s="10" t="s">
        <v>2780</v>
      </c>
      <c r="E1316" s="10"/>
    </row>
    <row r="1317" spans="1:10" x14ac:dyDescent="0.25">
      <c r="A1317" s="110">
        <v>7</v>
      </c>
      <c r="B1317" s="10">
        <v>207947</v>
      </c>
      <c r="C1317" s="18" t="s">
        <v>2814</v>
      </c>
      <c r="D1317" s="10" t="s">
        <v>2780</v>
      </c>
      <c r="E1317" s="10"/>
    </row>
    <row r="1318" spans="1:10" x14ac:dyDescent="0.25">
      <c r="A1318" s="110">
        <v>8</v>
      </c>
      <c r="B1318" s="10">
        <v>178270</v>
      </c>
      <c r="C1318" s="23" t="s">
        <v>2810</v>
      </c>
      <c r="D1318" s="10" t="s">
        <v>2780</v>
      </c>
      <c r="E1318" s="110" t="s">
        <v>2811</v>
      </c>
    </row>
    <row r="1319" spans="1:10" x14ac:dyDescent="0.25">
      <c r="A1319" s="110">
        <v>9</v>
      </c>
      <c r="B1319" s="17">
        <v>266694</v>
      </c>
      <c r="C1319" s="18" t="s">
        <v>2815</v>
      </c>
      <c r="D1319" s="17" t="s">
        <v>2780</v>
      </c>
      <c r="E1319" s="110"/>
    </row>
    <row r="1320" spans="1:10" x14ac:dyDescent="0.25">
      <c r="A1320" s="110">
        <v>10</v>
      </c>
      <c r="B1320" s="10">
        <v>391455</v>
      </c>
      <c r="C1320" s="486" t="s">
        <v>2798</v>
      </c>
      <c r="D1320" s="10" t="s">
        <v>2808</v>
      </c>
      <c r="E1320" s="10"/>
    </row>
    <row r="1321" spans="1:10" x14ac:dyDescent="0.25">
      <c r="A1321" s="110">
        <v>11</v>
      </c>
      <c r="B1321" s="10">
        <v>387472</v>
      </c>
      <c r="C1321" s="485" t="s">
        <v>1067</v>
      </c>
      <c r="D1321" s="10" t="s">
        <v>2808</v>
      </c>
      <c r="E1321" s="10"/>
    </row>
    <row r="1322" spans="1:10" x14ac:dyDescent="0.25">
      <c r="A1322" s="110">
        <v>12</v>
      </c>
      <c r="B1322" s="10">
        <v>391452</v>
      </c>
      <c r="C1322" s="485" t="s">
        <v>2802</v>
      </c>
      <c r="D1322" s="10" t="s">
        <v>2808</v>
      </c>
      <c r="E1322" s="10"/>
    </row>
    <row r="1323" spans="1:10" x14ac:dyDescent="0.25">
      <c r="A1323" s="110">
        <v>13</v>
      </c>
      <c r="B1323" s="10">
        <v>412026</v>
      </c>
      <c r="C1323" s="436" t="s">
        <v>2128</v>
      </c>
      <c r="D1323" s="10" t="s">
        <v>2808</v>
      </c>
      <c r="E1323" s="10"/>
    </row>
    <row r="1324" spans="1:10" x14ac:dyDescent="0.25">
      <c r="A1324" s="110">
        <v>14</v>
      </c>
      <c r="B1324" s="10">
        <v>266061</v>
      </c>
      <c r="C1324" s="436" t="s">
        <v>2803</v>
      </c>
      <c r="D1324" s="10" t="s">
        <v>2808</v>
      </c>
      <c r="E1324" s="10"/>
    </row>
    <row r="1325" spans="1:10" x14ac:dyDescent="0.25">
      <c r="A1325" s="110">
        <v>15</v>
      </c>
      <c r="B1325" s="10">
        <v>298081</v>
      </c>
      <c r="C1325" s="18" t="s">
        <v>2806</v>
      </c>
      <c r="D1325" s="10" t="s">
        <v>2808</v>
      </c>
      <c r="E1325" s="10"/>
    </row>
    <row r="1326" spans="1:10" x14ac:dyDescent="0.25">
      <c r="A1326" s="110">
        <v>16</v>
      </c>
      <c r="B1326" s="10">
        <v>291610</v>
      </c>
      <c r="C1326" s="18" t="s">
        <v>54</v>
      </c>
      <c r="D1326" s="110" t="s">
        <v>2808</v>
      </c>
      <c r="E1326" s="110" t="s">
        <v>2812</v>
      </c>
    </row>
    <row r="1327" spans="1:10" x14ac:dyDescent="0.25">
      <c r="A1327" s="110">
        <v>17</v>
      </c>
      <c r="B1327" s="10">
        <v>403012</v>
      </c>
      <c r="C1327" s="485" t="s">
        <v>2797</v>
      </c>
      <c r="D1327" s="10" t="s">
        <v>2809</v>
      </c>
      <c r="E1327" s="110"/>
    </row>
    <row r="1328" spans="1:10" x14ac:dyDescent="0.25">
      <c r="A1328" s="110">
        <v>18</v>
      </c>
      <c r="B1328" s="10">
        <v>401252</v>
      </c>
      <c r="C1328" s="486" t="s">
        <v>2799</v>
      </c>
      <c r="D1328" s="10" t="s">
        <v>2809</v>
      </c>
      <c r="E1328" s="110"/>
    </row>
    <row r="1329" spans="1:5" x14ac:dyDescent="0.25">
      <c r="A1329" s="110">
        <v>19</v>
      </c>
      <c r="B1329" s="10">
        <v>401218</v>
      </c>
      <c r="C1329" s="485" t="s">
        <v>2800</v>
      </c>
      <c r="D1329" s="10" t="s">
        <v>2809</v>
      </c>
      <c r="E1329" s="110"/>
    </row>
    <row r="1330" spans="1:5" x14ac:dyDescent="0.25">
      <c r="A1330" s="110">
        <v>20</v>
      </c>
      <c r="B1330" s="10">
        <v>401208</v>
      </c>
      <c r="C1330" s="485" t="s">
        <v>2801</v>
      </c>
      <c r="D1330" s="10" t="s">
        <v>2809</v>
      </c>
      <c r="E1330" s="110"/>
    </row>
    <row r="1331" spans="1:5" x14ac:dyDescent="0.25">
      <c r="A1331" s="110">
        <v>21</v>
      </c>
      <c r="B1331" s="17">
        <v>421391</v>
      </c>
      <c r="C1331" s="17" t="s">
        <v>2816</v>
      </c>
      <c r="D1331" s="17" t="s">
        <v>2809</v>
      </c>
      <c r="E1331" s="110"/>
    </row>
    <row r="1332" spans="1:5" x14ac:dyDescent="0.25">
      <c r="B1332" s="49"/>
      <c r="C1332" s="498"/>
      <c r="D1332" s="49"/>
      <c r="E1332" s="499"/>
    </row>
    <row r="1333" spans="1:5" x14ac:dyDescent="0.25">
      <c r="B1333" s="10"/>
      <c r="C1333" s="485"/>
      <c r="D1333" s="10"/>
      <c r="E1333" s="110"/>
    </row>
    <row r="1334" spans="1:5" x14ac:dyDescent="0.25">
      <c r="B1334" s="10"/>
      <c r="C1334" s="485"/>
      <c r="D1334" s="10"/>
      <c r="E1334" s="110"/>
    </row>
    <row r="1335" spans="1:5" x14ac:dyDescent="0.25">
      <c r="B1335" s="17"/>
      <c r="C1335" s="17"/>
      <c r="D1335" s="17"/>
      <c r="E1335" s="110"/>
    </row>
    <row r="1345" spans="1:15" x14ac:dyDescent="0.25">
      <c r="E1345" s="401"/>
      <c r="F1345" s="401"/>
      <c r="G1345" s="401"/>
      <c r="H1345" s="401"/>
      <c r="I1345" s="401"/>
    </row>
    <row r="1346" spans="1:15" x14ac:dyDescent="0.25">
      <c r="F1346" s="401"/>
      <c r="G1346" s="401"/>
      <c r="H1346" s="401"/>
    </row>
    <row r="1349" spans="1:15" s="5" customFormat="1" ht="18.75" x14ac:dyDescent="0.3">
      <c r="A1349" s="487" t="s">
        <v>2784</v>
      </c>
    </row>
    <row r="1350" spans="1:15" s="5" customFormat="1" ht="12.75" x14ac:dyDescent="0.2">
      <c r="A1350" s="834" t="s">
        <v>129</v>
      </c>
      <c r="B1350" s="834" t="s">
        <v>2287</v>
      </c>
      <c r="C1350" s="834" t="s">
        <v>2288</v>
      </c>
      <c r="D1350" s="834" t="s">
        <v>1630</v>
      </c>
      <c r="E1350" s="834" t="s">
        <v>18</v>
      </c>
      <c r="F1350" s="860" t="s">
        <v>41</v>
      </c>
      <c r="G1350" s="861"/>
      <c r="H1350" s="861"/>
      <c r="I1350" s="861"/>
      <c r="J1350" s="861"/>
      <c r="K1350" s="861"/>
      <c r="L1350" s="861"/>
      <c r="M1350" s="862"/>
      <c r="N1350" s="819" t="s">
        <v>2298</v>
      </c>
      <c r="O1350" s="819" t="s">
        <v>2633</v>
      </c>
    </row>
    <row r="1351" spans="1:15" s="5" customFormat="1" ht="12.75" x14ac:dyDescent="0.2">
      <c r="A1351" s="834"/>
      <c r="B1351" s="834"/>
      <c r="C1351" s="834"/>
      <c r="D1351" s="834"/>
      <c r="E1351" s="834"/>
      <c r="F1351" s="935" t="s">
        <v>1493</v>
      </c>
      <c r="G1351" s="648"/>
      <c r="H1351" s="648"/>
      <c r="I1351" s="935" t="s">
        <v>1494</v>
      </c>
      <c r="J1351" s="935" t="s">
        <v>1495</v>
      </c>
      <c r="K1351" s="863" t="s">
        <v>2282</v>
      </c>
      <c r="L1351" s="525"/>
      <c r="M1351" s="863" t="s">
        <v>2329</v>
      </c>
      <c r="N1351" s="819"/>
      <c r="O1351" s="819"/>
    </row>
    <row r="1352" spans="1:15" s="5" customFormat="1" ht="1.5" customHeight="1" x14ac:dyDescent="0.2">
      <c r="A1352" s="834"/>
      <c r="B1352" s="834"/>
      <c r="C1352" s="834"/>
      <c r="D1352" s="834"/>
      <c r="E1352" s="834"/>
      <c r="F1352" s="935"/>
      <c r="G1352" s="648"/>
      <c r="H1352" s="648"/>
      <c r="I1352" s="935"/>
      <c r="J1352" s="935"/>
      <c r="K1352" s="828"/>
      <c r="L1352" s="526"/>
      <c r="M1352" s="828"/>
      <c r="N1352" s="819"/>
      <c r="O1352" s="819"/>
    </row>
    <row r="1353" spans="1:15" s="5" customFormat="1" ht="51" x14ac:dyDescent="0.2">
      <c r="A1353" s="838">
        <v>1000105043</v>
      </c>
      <c r="B1353" s="936" t="s">
        <v>1261</v>
      </c>
      <c r="C1353" s="503" t="s">
        <v>2781</v>
      </c>
      <c r="D1353" s="470" t="s">
        <v>2035</v>
      </c>
      <c r="E1353" s="481" t="s">
        <v>2845</v>
      </c>
      <c r="F1353" s="500" t="s">
        <v>2817</v>
      </c>
      <c r="G1353" s="500"/>
      <c r="H1353" s="500"/>
      <c r="I1353" s="483">
        <v>31105</v>
      </c>
      <c r="J1353" s="483">
        <v>23639.8</v>
      </c>
      <c r="K1353" s="483">
        <v>24884</v>
      </c>
      <c r="L1353" s="483"/>
      <c r="M1353" s="483">
        <v>6221</v>
      </c>
      <c r="N1353" s="507">
        <v>-1244.2</v>
      </c>
      <c r="O1353" s="932">
        <v>24433.95</v>
      </c>
    </row>
    <row r="1354" spans="1:15" s="5" customFormat="1" ht="51" x14ac:dyDescent="0.2">
      <c r="A1354" s="838"/>
      <c r="B1354" s="936"/>
      <c r="C1354" s="504" t="s">
        <v>2782</v>
      </c>
      <c r="D1354" s="470" t="s">
        <v>2036</v>
      </c>
      <c r="E1354" s="481" t="s">
        <v>2846</v>
      </c>
      <c r="F1354" s="500" t="s">
        <v>2817</v>
      </c>
      <c r="G1354" s="500"/>
      <c r="H1354" s="500"/>
      <c r="I1354" s="483">
        <v>36137</v>
      </c>
      <c r="J1354" s="483">
        <v>32907.599999999999</v>
      </c>
      <c r="K1354" s="472" t="s">
        <v>92</v>
      </c>
      <c r="L1354" s="472"/>
      <c r="M1354" s="472" t="s">
        <v>92</v>
      </c>
      <c r="N1354" s="507">
        <v>-1244.2</v>
      </c>
      <c r="O1354" s="933"/>
    </row>
    <row r="1355" spans="1:15" s="5" customFormat="1" ht="51" x14ac:dyDescent="0.2">
      <c r="A1355" s="838"/>
      <c r="B1355" s="936"/>
      <c r="C1355" s="469" t="s">
        <v>2790</v>
      </c>
      <c r="D1355" s="470" t="s">
        <v>2069</v>
      </c>
      <c r="E1355" s="481" t="s">
        <v>2847</v>
      </c>
      <c r="F1355" s="482" t="s">
        <v>2844</v>
      </c>
      <c r="G1355" s="482"/>
      <c r="H1355" s="482"/>
      <c r="I1355" s="509">
        <v>33842.5</v>
      </c>
      <c r="J1355" s="509">
        <v>25720.3</v>
      </c>
      <c r="K1355" s="509">
        <v>27074</v>
      </c>
      <c r="L1355" s="509"/>
      <c r="M1355" s="509">
        <v>33842.5</v>
      </c>
      <c r="N1355" s="507">
        <v>-1353.7</v>
      </c>
      <c r="O1355" s="933"/>
    </row>
    <row r="1356" spans="1:15" s="5" customFormat="1" ht="63.75" x14ac:dyDescent="0.2">
      <c r="A1356" s="838"/>
      <c r="B1356" s="936"/>
      <c r="C1356" s="469" t="s">
        <v>481</v>
      </c>
      <c r="D1356" s="470" t="s">
        <v>2676</v>
      </c>
      <c r="E1356" s="481" t="s">
        <v>2818</v>
      </c>
      <c r="F1356" s="502">
        <v>17677.400000000001</v>
      </c>
      <c r="G1356" s="502"/>
      <c r="H1356" s="502"/>
      <c r="I1356" s="484">
        <v>13598</v>
      </c>
      <c r="J1356" s="472" t="s">
        <v>92</v>
      </c>
      <c r="K1356" s="472" t="s">
        <v>92</v>
      </c>
      <c r="L1356" s="472"/>
      <c r="M1356" s="472" t="s">
        <v>92</v>
      </c>
      <c r="N1356" s="511">
        <v>31275.4</v>
      </c>
      <c r="O1356" s="933"/>
    </row>
    <row r="1357" spans="1:15" s="5" customFormat="1" ht="41.25" customHeight="1" x14ac:dyDescent="0.2">
      <c r="A1357" s="838"/>
      <c r="B1357" s="936"/>
      <c r="C1357" s="469" t="s">
        <v>46</v>
      </c>
      <c r="D1357" s="470" t="s">
        <v>2207</v>
      </c>
      <c r="E1357" s="481" t="s">
        <v>2838</v>
      </c>
      <c r="F1357" s="482" t="s">
        <v>2837</v>
      </c>
      <c r="G1357" s="482"/>
      <c r="H1357" s="482"/>
      <c r="I1357" s="510">
        <v>4000</v>
      </c>
      <c r="J1357" s="472" t="s">
        <v>92</v>
      </c>
      <c r="K1357" s="472" t="s">
        <v>92</v>
      </c>
      <c r="L1357" s="472"/>
      <c r="M1357" s="472" t="s">
        <v>92</v>
      </c>
      <c r="N1357" s="507">
        <v>-2989.35</v>
      </c>
      <c r="O1357" s="934"/>
    </row>
    <row r="1358" spans="1:15" s="5" customFormat="1" ht="9" customHeight="1" x14ac:dyDescent="0.2">
      <c r="A1358" s="473"/>
      <c r="B1358" s="474"/>
      <c r="C1358" s="475"/>
      <c r="D1358" s="474"/>
      <c r="E1358" s="474"/>
      <c r="F1358" s="476"/>
      <c r="G1358" s="476"/>
      <c r="H1358" s="476"/>
      <c r="I1358" s="476"/>
      <c r="J1358" s="477"/>
      <c r="K1358" s="477"/>
      <c r="L1358" s="477"/>
      <c r="M1358" s="477"/>
      <c r="N1358" s="477"/>
      <c r="O1358" s="478"/>
    </row>
    <row r="1359" spans="1:15" s="22" customFormat="1" ht="51" x14ac:dyDescent="0.2">
      <c r="A1359" s="87">
        <v>1000109733</v>
      </c>
      <c r="B1359" s="479" t="s">
        <v>2828</v>
      </c>
      <c r="C1359" s="505" t="s">
        <v>331</v>
      </c>
      <c r="D1359" s="20" t="s">
        <v>2051</v>
      </c>
      <c r="E1359" s="481" t="s">
        <v>2848</v>
      </c>
      <c r="F1359" s="482" t="s">
        <v>2792</v>
      </c>
      <c r="G1359" s="482"/>
      <c r="H1359" s="482"/>
      <c r="I1359" s="471" t="s">
        <v>92</v>
      </c>
      <c r="J1359" s="472" t="s">
        <v>92</v>
      </c>
      <c r="K1359" s="472" t="s">
        <v>92</v>
      </c>
      <c r="L1359" s="472"/>
      <c r="M1359" s="472" t="s">
        <v>92</v>
      </c>
      <c r="N1359" s="508">
        <v>-1177.8</v>
      </c>
      <c r="O1359" s="508">
        <v>-1177.8</v>
      </c>
    </row>
    <row r="1360" spans="1:15" s="108" customFormat="1" ht="15" customHeight="1" x14ac:dyDescent="0.25">
      <c r="A1360" s="465"/>
      <c r="B1360" s="461"/>
      <c r="C1360" s="466"/>
      <c r="D1360" s="461"/>
      <c r="E1360" s="461"/>
      <c r="F1360" s="467"/>
      <c r="G1360" s="467"/>
      <c r="H1360" s="467"/>
      <c r="I1360" s="467"/>
      <c r="J1360" s="468"/>
      <c r="K1360" s="468"/>
      <c r="L1360" s="468"/>
      <c r="M1360" s="468"/>
      <c r="N1360" s="468"/>
      <c r="O1360" s="265"/>
    </row>
    <row r="1361" spans="1:15" s="108" customFormat="1" ht="15" customHeight="1" x14ac:dyDescent="0.25">
      <c r="A1361" s="465"/>
      <c r="B1361" s="461"/>
      <c r="C1361" s="466"/>
      <c r="D1361" s="461"/>
      <c r="E1361" s="461"/>
      <c r="F1361" s="467"/>
      <c r="G1361" s="467"/>
      <c r="H1361" s="467"/>
      <c r="I1361" s="467"/>
      <c r="J1361" s="468"/>
      <c r="K1361" s="468"/>
      <c r="L1361" s="468"/>
      <c r="M1361" s="468"/>
      <c r="N1361" s="468"/>
      <c r="O1361" s="265"/>
    </row>
    <row r="1362" spans="1:15" x14ac:dyDescent="0.25">
      <c r="C1362" s="506"/>
      <c r="E1362" s="401"/>
      <c r="I1362" s="401"/>
    </row>
    <row r="1363" spans="1:15" s="5" customFormat="1" ht="12.75" x14ac:dyDescent="0.2">
      <c r="E1363" s="435"/>
      <c r="F1363" s="501"/>
      <c r="G1363" s="501"/>
      <c r="H1363" s="501"/>
    </row>
    <row r="1364" spans="1:15" s="5" customFormat="1" ht="12.75" x14ac:dyDescent="0.2">
      <c r="C1364" s="435"/>
      <c r="F1364" s="435"/>
      <c r="G1364" s="435"/>
      <c r="H1364" s="435"/>
    </row>
    <row r="1365" spans="1:15" s="5" customFormat="1" ht="12.75" x14ac:dyDescent="0.2">
      <c r="F1365" s="435"/>
      <c r="G1365" s="435"/>
      <c r="H1365" s="435"/>
    </row>
    <row r="1366" spans="1:15" s="5" customFormat="1" ht="12.75" x14ac:dyDescent="0.2">
      <c r="A1366" s="480" t="s">
        <v>2785</v>
      </c>
      <c r="D1366" s="131" t="s">
        <v>2791</v>
      </c>
    </row>
    <row r="1367" spans="1:15" s="5" customFormat="1" ht="12.75" x14ac:dyDescent="0.2"/>
    <row r="1368" spans="1:15" s="5" customFormat="1" ht="12.75" x14ac:dyDescent="0.2">
      <c r="A1368" s="32" t="s">
        <v>0</v>
      </c>
      <c r="B1368" s="32" t="s">
        <v>2786</v>
      </c>
      <c r="C1368" s="32" t="s">
        <v>2787</v>
      </c>
      <c r="D1368" s="32" t="s">
        <v>2788</v>
      </c>
      <c r="E1368" s="32" t="s">
        <v>18</v>
      </c>
      <c r="F1368" s="32" t="s">
        <v>2830</v>
      </c>
      <c r="G1368" s="131"/>
      <c r="H1368" s="131"/>
    </row>
    <row r="1369" spans="1:15" s="5" customFormat="1" ht="12.75" x14ac:dyDescent="0.2">
      <c r="A1369" s="17" t="s">
        <v>2826</v>
      </c>
      <c r="B1369" s="10">
        <v>6</v>
      </c>
      <c r="C1369" s="10" t="s">
        <v>2789</v>
      </c>
      <c r="D1369" s="10">
        <f>11*F1369</f>
        <v>1848</v>
      </c>
      <c r="E1369" s="10" t="s">
        <v>2831</v>
      </c>
      <c r="F1369" s="10">
        <v>168</v>
      </c>
      <c r="G1369" s="11"/>
      <c r="H1369" s="11"/>
    </row>
    <row r="1370" spans="1:15" s="5" customFormat="1" ht="12.75" x14ac:dyDescent="0.2">
      <c r="A1370" s="17" t="s">
        <v>2827</v>
      </c>
      <c r="B1370" s="10">
        <v>2</v>
      </c>
      <c r="C1370" s="10" t="s">
        <v>2819</v>
      </c>
      <c r="D1370" s="10">
        <f>15*F1370</f>
        <v>2520</v>
      </c>
      <c r="E1370" s="10" t="s">
        <v>2832</v>
      </c>
      <c r="F1370" s="10">
        <v>168</v>
      </c>
      <c r="G1370" s="11"/>
      <c r="H1370" s="11"/>
    </row>
    <row r="1371" spans="1:15" s="5" customFormat="1" ht="12.75" x14ac:dyDescent="0.2">
      <c r="A1371" s="17" t="s">
        <v>2824</v>
      </c>
      <c r="B1371" s="10">
        <v>0</v>
      </c>
      <c r="C1371" s="10" t="s">
        <v>92</v>
      </c>
      <c r="D1371" s="25">
        <f>F1371*5</f>
        <v>2355</v>
      </c>
      <c r="E1371" s="10" t="s">
        <v>374</v>
      </c>
      <c r="F1371" s="10">
        <v>471</v>
      </c>
      <c r="G1371" s="11"/>
      <c r="H1371" s="11"/>
    </row>
    <row r="1372" spans="1:15" s="5" customFormat="1" ht="12.75" x14ac:dyDescent="0.2">
      <c r="A1372" s="17" t="s">
        <v>2825</v>
      </c>
      <c r="B1372" s="10">
        <v>6</v>
      </c>
      <c r="C1372" s="10" t="s">
        <v>2829</v>
      </c>
      <c r="D1372" s="10">
        <f>8*F1372</f>
        <v>1248</v>
      </c>
      <c r="E1372" s="10" t="s">
        <v>2834</v>
      </c>
      <c r="F1372" s="10">
        <v>156</v>
      </c>
      <c r="G1372" s="11"/>
      <c r="H1372" s="11"/>
    </row>
    <row r="1373" spans="1:15" s="5" customFormat="1" ht="12.75" x14ac:dyDescent="0.2">
      <c r="A1373" s="17" t="s">
        <v>2820</v>
      </c>
      <c r="B1373" s="10">
        <v>2</v>
      </c>
      <c r="C1373" s="10" t="s">
        <v>2819</v>
      </c>
      <c r="D1373" s="10">
        <f>12*F1373</f>
        <v>1680</v>
      </c>
      <c r="E1373" s="10" t="s">
        <v>2833</v>
      </c>
      <c r="F1373" s="10">
        <v>140</v>
      </c>
      <c r="G1373" s="11"/>
      <c r="H1373" s="11"/>
    </row>
    <row r="1374" spans="1:15" s="5" customFormat="1" ht="12.75" x14ac:dyDescent="0.2">
      <c r="A1374" s="17" t="s">
        <v>2821</v>
      </c>
      <c r="B1374" s="10">
        <v>0</v>
      </c>
      <c r="C1374" s="10" t="s">
        <v>92</v>
      </c>
      <c r="D1374" s="25">
        <f>5*F1374</f>
        <v>2235</v>
      </c>
      <c r="E1374" s="10" t="s">
        <v>374</v>
      </c>
      <c r="F1374" s="10">
        <v>447</v>
      </c>
      <c r="G1374" s="11"/>
      <c r="H1374" s="11"/>
    </row>
    <row r="1375" spans="1:15" s="5" customFormat="1" ht="12.75" x14ac:dyDescent="0.2">
      <c r="A1375" s="17" t="s">
        <v>2822</v>
      </c>
      <c r="B1375" s="10">
        <v>0</v>
      </c>
      <c r="C1375" s="10" t="s">
        <v>92</v>
      </c>
      <c r="D1375" s="25">
        <f>F1375*5</f>
        <v>2315</v>
      </c>
      <c r="E1375" s="10" t="s">
        <v>374</v>
      </c>
      <c r="F1375" s="10">
        <v>463</v>
      </c>
      <c r="G1375" s="11"/>
      <c r="H1375" s="11"/>
    </row>
    <row r="1376" spans="1:15" s="5" customFormat="1" ht="12.75" x14ac:dyDescent="0.2">
      <c r="A1376" s="17" t="s">
        <v>2823</v>
      </c>
      <c r="B1376" s="10">
        <v>2</v>
      </c>
      <c r="C1376" s="10" t="s">
        <v>2819</v>
      </c>
      <c r="D1376" s="10">
        <f>12*F1376</f>
        <v>2016</v>
      </c>
      <c r="E1376" s="10" t="s">
        <v>2833</v>
      </c>
      <c r="F1376" s="10">
        <v>168</v>
      </c>
      <c r="G1376" s="11"/>
      <c r="H1376" s="11"/>
    </row>
    <row r="1377" spans="1:16" x14ac:dyDescent="0.25">
      <c r="D1377" s="32">
        <f>SUM(D1369:D1376)</f>
        <v>16217</v>
      </c>
    </row>
    <row r="1379" spans="1:16" x14ac:dyDescent="0.25">
      <c r="B1379" s="32" t="s">
        <v>2605</v>
      </c>
      <c r="C1379" s="32" t="s">
        <v>2606</v>
      </c>
    </row>
    <row r="1380" spans="1:16" x14ac:dyDescent="0.25">
      <c r="B1380" s="110">
        <f>D1371+D1374+D1375</f>
        <v>6905</v>
      </c>
      <c r="C1380" s="110">
        <f>D1369+D1370+D1372+D1373+D1376</f>
        <v>9312</v>
      </c>
      <c r="D1380">
        <f>B1380+C1380</f>
        <v>16217</v>
      </c>
    </row>
    <row r="1381" spans="1:16" x14ac:dyDescent="0.25">
      <c r="A1381" t="s">
        <v>2047</v>
      </c>
      <c r="B1381" s="110">
        <f>B1380*7%</f>
        <v>483.35</v>
      </c>
      <c r="C1381" s="110"/>
    </row>
    <row r="1382" spans="1:16" x14ac:dyDescent="0.25">
      <c r="B1382" s="110">
        <f>B1380-B1381</f>
        <v>6421.65</v>
      </c>
      <c r="C1382" s="110">
        <f>C1380</f>
        <v>9312</v>
      </c>
      <c r="D1382" s="56">
        <f>B1382+C1382</f>
        <v>15733.65</v>
      </c>
      <c r="E1382" t="s">
        <v>2835</v>
      </c>
    </row>
    <row r="1383" spans="1:16" x14ac:dyDescent="0.25">
      <c r="D1383" s="56">
        <v>18723</v>
      </c>
      <c r="E1383" t="s">
        <v>2836</v>
      </c>
    </row>
    <row r="1384" spans="1:16" x14ac:dyDescent="0.25">
      <c r="D1384">
        <f>D1382-D1383</f>
        <v>-2989.3500000000004</v>
      </c>
      <c r="E1384" t="s">
        <v>2839</v>
      </c>
    </row>
    <row r="1385" spans="1:16" x14ac:dyDescent="0.25">
      <c r="A1385" t="s">
        <v>3005</v>
      </c>
      <c r="B1385">
        <v>36137</v>
      </c>
      <c r="C1385" s="542">
        <f>F1391</f>
        <v>32505</v>
      </c>
      <c r="D1385" s="542">
        <f>C1385-B1385</f>
        <v>-3632</v>
      </c>
      <c r="E1385" s="542"/>
      <c r="F1385" t="s">
        <v>3007</v>
      </c>
      <c r="I1385">
        <v>4000</v>
      </c>
      <c r="J1385" s="401">
        <v>3356</v>
      </c>
      <c r="K1385" s="401">
        <f>J1385-I1385</f>
        <v>-644</v>
      </c>
    </row>
    <row r="1386" spans="1:16" x14ac:dyDescent="0.25">
      <c r="A1386" t="s">
        <v>3006</v>
      </c>
      <c r="B1386" s="313">
        <v>32907.599999999999</v>
      </c>
      <c r="C1386" s="550">
        <f>I1391</f>
        <v>12442</v>
      </c>
      <c r="D1386" s="506">
        <f>C1386-B1386</f>
        <v>-20465.599999999999</v>
      </c>
    </row>
    <row r="1387" spans="1:16" x14ac:dyDescent="0.25">
      <c r="J1387" s="401"/>
    </row>
    <row r="1388" spans="1:16" s="536" customFormat="1" ht="18.75" x14ac:dyDescent="0.3">
      <c r="A1388" s="543" t="s">
        <v>2986</v>
      </c>
    </row>
    <row r="1389" spans="1:16" s="5" customFormat="1" ht="102" x14ac:dyDescent="0.2">
      <c r="A1389" s="834" t="s">
        <v>129</v>
      </c>
      <c r="B1389" s="834" t="s">
        <v>2287</v>
      </c>
      <c r="C1389" s="834" t="s">
        <v>2288</v>
      </c>
      <c r="D1389" s="834" t="s">
        <v>1630</v>
      </c>
      <c r="E1389" s="834" t="s">
        <v>18</v>
      </c>
      <c r="F1389" s="860" t="s">
        <v>41</v>
      </c>
      <c r="G1389" s="861"/>
      <c r="H1389" s="861"/>
      <c r="I1389" s="861"/>
      <c r="J1389" s="861"/>
      <c r="K1389" s="861"/>
      <c r="L1389" s="862"/>
      <c r="M1389" s="527" t="s">
        <v>2298</v>
      </c>
      <c r="N1389" s="819" t="s">
        <v>2633</v>
      </c>
    </row>
    <row r="1390" spans="1:16" s="5" customFormat="1" ht="12.75" x14ac:dyDescent="0.2">
      <c r="A1390" s="834"/>
      <c r="B1390" s="834"/>
      <c r="C1390" s="834"/>
      <c r="D1390" s="834"/>
      <c r="E1390" s="834"/>
      <c r="F1390" s="528" t="s">
        <v>1494</v>
      </c>
      <c r="G1390" s="648"/>
      <c r="H1390" s="648"/>
      <c r="I1390" s="528" t="s">
        <v>1495</v>
      </c>
      <c r="J1390" s="525" t="s">
        <v>2282</v>
      </c>
      <c r="K1390" s="525" t="s">
        <v>2329</v>
      </c>
      <c r="L1390" s="525" t="s">
        <v>1548</v>
      </c>
      <c r="M1390" s="527"/>
      <c r="N1390" s="819"/>
    </row>
    <row r="1391" spans="1:16" s="5" customFormat="1" ht="51" x14ac:dyDescent="0.2">
      <c r="A1391" s="866">
        <v>1000105043</v>
      </c>
      <c r="B1391" s="867" t="s">
        <v>1261</v>
      </c>
      <c r="C1391" s="504" t="s">
        <v>272</v>
      </c>
      <c r="D1391" s="470" t="s">
        <v>2036</v>
      </c>
      <c r="E1391" s="481" t="s">
        <v>3002</v>
      </c>
      <c r="F1391" s="544">
        <v>32505</v>
      </c>
      <c r="G1391" s="544"/>
      <c r="H1391" s="544"/>
      <c r="I1391" s="544">
        <v>12442</v>
      </c>
      <c r="J1391" s="472" t="s">
        <v>92</v>
      </c>
      <c r="K1391" s="472" t="s">
        <v>92</v>
      </c>
      <c r="L1391" s="472" t="s">
        <v>92</v>
      </c>
      <c r="M1391" s="507">
        <v>-24097.599999999999</v>
      </c>
      <c r="N1391" s="868">
        <v>247191.6</v>
      </c>
    </row>
    <row r="1392" spans="1:16" s="5" customFormat="1" ht="63.75" x14ac:dyDescent="0.2">
      <c r="A1392" s="866"/>
      <c r="B1392" s="867"/>
      <c r="C1392" s="469" t="s">
        <v>481</v>
      </c>
      <c r="D1392" s="186" t="s">
        <v>2975</v>
      </c>
      <c r="E1392" s="481" t="s">
        <v>3003</v>
      </c>
      <c r="F1392" s="538">
        <v>22497</v>
      </c>
      <c r="G1392" s="538"/>
      <c r="H1392" s="538"/>
      <c r="I1392" s="539">
        <v>28496.2</v>
      </c>
      <c r="J1392" s="472" t="s">
        <v>92</v>
      </c>
      <c r="K1392" s="472" t="s">
        <v>92</v>
      </c>
      <c r="L1392" s="472" t="s">
        <v>92</v>
      </c>
      <c r="M1392" s="511">
        <v>50993.2</v>
      </c>
      <c r="N1392" s="869"/>
      <c r="O1392" s="435"/>
      <c r="P1392" s="435"/>
    </row>
    <row r="1393" spans="1:15" s="5" customFormat="1" ht="153" x14ac:dyDescent="0.2">
      <c r="A1393" s="866"/>
      <c r="B1393" s="867"/>
      <c r="C1393" s="469" t="s">
        <v>2987</v>
      </c>
      <c r="D1393" s="470" t="s">
        <v>2885</v>
      </c>
      <c r="E1393" s="481" t="s">
        <v>2988</v>
      </c>
      <c r="F1393" s="538">
        <v>37632</v>
      </c>
      <c r="G1393" s="538"/>
      <c r="H1393" s="538"/>
      <c r="I1393" s="545">
        <v>50176</v>
      </c>
      <c r="J1393" s="545">
        <v>50176</v>
      </c>
      <c r="K1393" s="545">
        <v>62720</v>
      </c>
      <c r="L1393" s="546">
        <v>12544</v>
      </c>
      <c r="M1393" s="546">
        <v>213248</v>
      </c>
      <c r="N1393" s="869"/>
      <c r="O1393" s="435"/>
    </row>
    <row r="1394" spans="1:15" s="5" customFormat="1" ht="76.5" x14ac:dyDescent="0.2">
      <c r="A1394" s="866"/>
      <c r="B1394" s="867"/>
      <c r="C1394" s="469" t="s">
        <v>46</v>
      </c>
      <c r="D1394" s="186" t="s">
        <v>2207</v>
      </c>
      <c r="E1394" s="481" t="s">
        <v>3000</v>
      </c>
      <c r="F1394" s="539" t="s">
        <v>2995</v>
      </c>
      <c r="G1394" s="539"/>
      <c r="H1394" s="539"/>
      <c r="I1394" s="472" t="s">
        <v>92</v>
      </c>
      <c r="J1394" s="472" t="s">
        <v>92</v>
      </c>
      <c r="K1394" s="472" t="s">
        <v>92</v>
      </c>
      <c r="L1394" s="541" t="s">
        <v>92</v>
      </c>
      <c r="M1394" s="547">
        <v>7048</v>
      </c>
      <c r="N1394" s="870"/>
    </row>
    <row r="1395" spans="1:15" s="5" customFormat="1" ht="5.25" customHeight="1" x14ac:dyDescent="0.2">
      <c r="A1395" s="473"/>
      <c r="B1395" s="474"/>
      <c r="C1395" s="475"/>
      <c r="D1395" s="474"/>
      <c r="E1395" s="474"/>
      <c r="F1395" s="476"/>
      <c r="G1395" s="476"/>
      <c r="H1395" s="476"/>
      <c r="I1395" s="477"/>
      <c r="J1395" s="477"/>
      <c r="K1395" s="477"/>
      <c r="L1395" s="477"/>
      <c r="M1395" s="477"/>
      <c r="N1395" s="478"/>
    </row>
    <row r="1396" spans="1:15" s="22" customFormat="1" ht="102" x14ac:dyDescent="0.2">
      <c r="A1396" s="549">
        <v>1000109733</v>
      </c>
      <c r="B1396" s="479" t="s">
        <v>2828</v>
      </c>
      <c r="C1396" s="505" t="s">
        <v>331</v>
      </c>
      <c r="D1396" s="20" t="s">
        <v>2854</v>
      </c>
      <c r="E1396" s="481" t="s">
        <v>3004</v>
      </c>
      <c r="F1396" s="540">
        <v>29445</v>
      </c>
      <c r="G1396" s="540"/>
      <c r="H1396" s="540"/>
      <c r="I1396" s="540">
        <v>23556</v>
      </c>
      <c r="J1396" s="540">
        <v>5889</v>
      </c>
      <c r="K1396" s="472" t="s">
        <v>92</v>
      </c>
      <c r="L1396" s="472" t="s">
        <v>92</v>
      </c>
      <c r="M1396" s="537">
        <v>58890</v>
      </c>
      <c r="N1396" s="537">
        <v>58890</v>
      </c>
    </row>
    <row r="1398" spans="1:15" s="5" customFormat="1" ht="12.75" x14ac:dyDescent="0.2">
      <c r="A1398" s="548" t="s">
        <v>95</v>
      </c>
    </row>
    <row r="1399" spans="1:15" s="5" customFormat="1" ht="12.75" x14ac:dyDescent="0.2">
      <c r="B1399" s="9" t="s">
        <v>2989</v>
      </c>
    </row>
    <row r="1400" spans="1:15" s="5" customFormat="1" ht="12.75" x14ac:dyDescent="0.2">
      <c r="A1400" s="32" t="s">
        <v>2994</v>
      </c>
      <c r="B1400" s="32" t="s">
        <v>132</v>
      </c>
      <c r="C1400" s="32" t="s">
        <v>1714</v>
      </c>
      <c r="D1400" s="32" t="s">
        <v>459</v>
      </c>
      <c r="E1400" s="32" t="s">
        <v>1008</v>
      </c>
      <c r="F1400" s="32" t="s">
        <v>1713</v>
      </c>
      <c r="G1400" s="131"/>
      <c r="H1400" s="131"/>
    </row>
    <row r="1401" spans="1:15" s="5" customFormat="1" ht="12.75" x14ac:dyDescent="0.2">
      <c r="A1401" s="10" t="s">
        <v>2579</v>
      </c>
      <c r="B1401" s="10">
        <v>140</v>
      </c>
      <c r="C1401" s="10">
        <v>5</v>
      </c>
      <c r="D1401" s="10">
        <v>1</v>
      </c>
      <c r="E1401" s="10">
        <f>C1401-D1401</f>
        <v>4</v>
      </c>
      <c r="F1401" s="10">
        <f>B1401*E1401</f>
        <v>560</v>
      </c>
      <c r="G1401" s="11"/>
      <c r="H1401" s="11"/>
    </row>
    <row r="1402" spans="1:15" s="5" customFormat="1" ht="12.75" x14ac:dyDescent="0.2">
      <c r="A1402" s="10" t="s">
        <v>2991</v>
      </c>
      <c r="B1402" s="10">
        <v>168</v>
      </c>
      <c r="C1402" s="10">
        <v>5</v>
      </c>
      <c r="D1402" s="10">
        <v>2</v>
      </c>
      <c r="E1402" s="10">
        <f>C1402-D1402</f>
        <v>3</v>
      </c>
      <c r="F1402" s="10">
        <f>B1402*E1402</f>
        <v>504</v>
      </c>
      <c r="G1402" s="11"/>
      <c r="H1402" s="11"/>
    </row>
    <row r="1403" spans="1:15" s="5" customFormat="1" ht="12.75" x14ac:dyDescent="0.2">
      <c r="A1403" s="10" t="s">
        <v>2992</v>
      </c>
      <c r="B1403" s="10">
        <v>168</v>
      </c>
      <c r="C1403" s="10">
        <v>5</v>
      </c>
      <c r="D1403" s="10">
        <v>0</v>
      </c>
      <c r="E1403" s="10">
        <f>C1403-D1403</f>
        <v>5</v>
      </c>
      <c r="F1403" s="10">
        <f>B1403*E1403</f>
        <v>840</v>
      </c>
      <c r="G1403" s="11"/>
      <c r="H1403" s="11"/>
    </row>
    <row r="1404" spans="1:15" s="5" customFormat="1" ht="12.75" x14ac:dyDescent="0.2">
      <c r="A1404" s="10" t="s">
        <v>2993</v>
      </c>
      <c r="B1404" s="10">
        <v>168</v>
      </c>
      <c r="C1404" s="10">
        <v>5</v>
      </c>
      <c r="D1404" s="10">
        <v>1</v>
      </c>
      <c r="E1404" s="10">
        <f>C1404-D1404</f>
        <v>4</v>
      </c>
      <c r="F1404" s="10">
        <f>B1404*E1404</f>
        <v>672</v>
      </c>
      <c r="G1404" s="11"/>
      <c r="H1404" s="11"/>
    </row>
    <row r="1405" spans="1:15" s="5" customFormat="1" ht="12.75" x14ac:dyDescent="0.2">
      <c r="A1405" s="10" t="s">
        <v>512</v>
      </c>
      <c r="B1405" s="10">
        <v>156</v>
      </c>
      <c r="C1405" s="10">
        <v>5</v>
      </c>
      <c r="D1405" s="10">
        <v>0</v>
      </c>
      <c r="E1405" s="10">
        <f>C1405-D1405</f>
        <v>5</v>
      </c>
      <c r="F1405" s="10">
        <f>B1405*E1405</f>
        <v>780</v>
      </c>
      <c r="G1405" s="11"/>
      <c r="H1405" s="11"/>
    </row>
    <row r="1406" spans="1:15" s="5" customFormat="1" ht="12.75" x14ac:dyDescent="0.2">
      <c r="A1406" s="10"/>
      <c r="B1406" s="10"/>
      <c r="C1406" s="10"/>
      <c r="D1406" s="32">
        <f>SUM(D1401:D1405)</f>
        <v>4</v>
      </c>
      <c r="E1406" s="32"/>
      <c r="F1406" s="32">
        <f>SUM(F1401:F1405)</f>
        <v>3356</v>
      </c>
      <c r="G1406" s="131"/>
      <c r="H1406" s="131"/>
    </row>
    <row r="1407" spans="1:15" s="5" customFormat="1" ht="12.75" x14ac:dyDescent="0.2"/>
    <row r="1408" spans="1:15" s="5" customFormat="1" ht="12.75" x14ac:dyDescent="0.2">
      <c r="B1408" s="9" t="s">
        <v>2990</v>
      </c>
    </row>
    <row r="1409" spans="1:9" s="5" customFormat="1" ht="12.75" x14ac:dyDescent="0.2">
      <c r="A1409" s="10" t="s">
        <v>2579</v>
      </c>
      <c r="B1409" s="10">
        <v>140</v>
      </c>
      <c r="C1409" s="10">
        <v>10</v>
      </c>
      <c r="D1409" s="10">
        <v>1</v>
      </c>
      <c r="E1409" s="10">
        <f>C1409-D1409</f>
        <v>9</v>
      </c>
      <c r="F1409" s="10">
        <f>B1409*E1409</f>
        <v>1260</v>
      </c>
      <c r="G1409" s="11"/>
      <c r="H1409" s="11"/>
    </row>
    <row r="1410" spans="1:9" s="5" customFormat="1" ht="12.75" x14ac:dyDescent="0.2">
      <c r="A1410" s="10" t="s">
        <v>2991</v>
      </c>
      <c r="B1410" s="10">
        <v>168</v>
      </c>
      <c r="C1410" s="10">
        <v>10</v>
      </c>
      <c r="D1410" s="10">
        <v>0</v>
      </c>
      <c r="E1410" s="10">
        <f>C1410-D1410</f>
        <v>10</v>
      </c>
      <c r="F1410" s="10">
        <f>B1410*E1410</f>
        <v>1680</v>
      </c>
      <c r="G1410" s="11"/>
      <c r="H1410" s="11"/>
    </row>
    <row r="1411" spans="1:9" s="5" customFormat="1" ht="12.75" x14ac:dyDescent="0.2">
      <c r="A1411" s="10" t="s">
        <v>2992</v>
      </c>
      <c r="B1411" s="10">
        <v>168</v>
      </c>
      <c r="C1411" s="10">
        <v>10</v>
      </c>
      <c r="D1411" s="10">
        <v>1</v>
      </c>
      <c r="E1411" s="10">
        <f>C1411-D1411</f>
        <v>9</v>
      </c>
      <c r="F1411" s="10">
        <f>B1411*E1411</f>
        <v>1512</v>
      </c>
      <c r="G1411" s="11"/>
      <c r="H1411" s="11"/>
    </row>
    <row r="1412" spans="1:9" s="5" customFormat="1" ht="12.75" x14ac:dyDescent="0.2">
      <c r="A1412" s="10" t="s">
        <v>2993</v>
      </c>
      <c r="B1412" s="10">
        <v>168</v>
      </c>
      <c r="C1412" s="10">
        <v>10</v>
      </c>
      <c r="D1412" s="10">
        <v>0</v>
      </c>
      <c r="E1412" s="10">
        <f>C1412-D1412</f>
        <v>10</v>
      </c>
      <c r="F1412" s="10">
        <f>B1412*E1412</f>
        <v>1680</v>
      </c>
      <c r="G1412" s="11"/>
      <c r="H1412" s="11"/>
    </row>
    <row r="1413" spans="1:9" s="5" customFormat="1" ht="12.75" x14ac:dyDescent="0.2">
      <c r="A1413" s="10" t="s">
        <v>512</v>
      </c>
      <c r="B1413" s="10">
        <v>156</v>
      </c>
      <c r="C1413" s="10">
        <v>10</v>
      </c>
      <c r="D1413" s="10">
        <v>0</v>
      </c>
      <c r="E1413" s="10">
        <f>C1413-D1413</f>
        <v>10</v>
      </c>
      <c r="F1413" s="10">
        <f>B1413*E1413</f>
        <v>1560</v>
      </c>
      <c r="G1413" s="11"/>
      <c r="H1413" s="11"/>
    </row>
    <row r="1414" spans="1:9" s="5" customFormat="1" ht="12.75" x14ac:dyDescent="0.2">
      <c r="A1414" s="10"/>
      <c r="B1414" s="10"/>
      <c r="C1414" s="10"/>
      <c r="D1414" s="32">
        <f>SUM(D1409:D1413)</f>
        <v>2</v>
      </c>
      <c r="E1414" s="32"/>
      <c r="F1414" s="32">
        <f>SUM(F1409:F1413)</f>
        <v>7692</v>
      </c>
      <c r="G1414" s="131"/>
      <c r="H1414" s="131"/>
    </row>
    <row r="1415" spans="1:9" s="5" customFormat="1" ht="12.75" x14ac:dyDescent="0.2"/>
    <row r="1416" spans="1:9" s="5" customFormat="1" ht="12.75" x14ac:dyDescent="0.2">
      <c r="A1416" s="145" t="s">
        <v>2996</v>
      </c>
      <c r="C1416" s="145">
        <v>4000</v>
      </c>
    </row>
    <row r="1417" spans="1:9" s="5" customFormat="1" ht="12.75" x14ac:dyDescent="0.2">
      <c r="A1417" s="145" t="s">
        <v>2998</v>
      </c>
      <c r="C1417" s="5">
        <f>F1406</f>
        <v>3356</v>
      </c>
    </row>
    <row r="1418" spans="1:9" s="5" customFormat="1" ht="12.75" x14ac:dyDescent="0.2">
      <c r="A1418" s="145" t="s">
        <v>3001</v>
      </c>
      <c r="C1418" s="5">
        <f>C1417-C1416</f>
        <v>-644</v>
      </c>
    </row>
    <row r="1419" spans="1:9" s="5" customFormat="1" ht="12.75" x14ac:dyDescent="0.2">
      <c r="A1419" s="145" t="s">
        <v>2997</v>
      </c>
      <c r="C1419" s="5">
        <f>F1414</f>
        <v>7692</v>
      </c>
    </row>
    <row r="1420" spans="1:9" s="5" customFormat="1" ht="12.75" x14ac:dyDescent="0.2">
      <c r="A1420" s="145" t="s">
        <v>2999</v>
      </c>
      <c r="C1420" s="5">
        <f>C1418+C1419</f>
        <v>7048</v>
      </c>
    </row>
    <row r="1423" spans="1:9" x14ac:dyDescent="0.25">
      <c r="A1423" s="185" t="s">
        <v>3008</v>
      </c>
      <c r="B1423" s="5" t="s">
        <v>3009</v>
      </c>
      <c r="C1423" s="5"/>
      <c r="D1423" s="5"/>
    </row>
    <row r="1424" spans="1:9" x14ac:dyDescent="0.25">
      <c r="A1424" s="5"/>
      <c r="B1424" s="5"/>
      <c r="C1424" s="5"/>
      <c r="D1424" s="5"/>
      <c r="F1424" t="s">
        <v>3161</v>
      </c>
      <c r="I1424">
        <v>50176</v>
      </c>
    </row>
    <row r="1425" spans="1:14" x14ac:dyDescent="0.25">
      <c r="A1425" s="32" t="s">
        <v>2607</v>
      </c>
      <c r="B1425" s="32" t="s">
        <v>132</v>
      </c>
      <c r="C1425" s="32" t="s">
        <v>1714</v>
      </c>
      <c r="D1425" s="32" t="s">
        <v>1713</v>
      </c>
    </row>
    <row r="1426" spans="1:14" x14ac:dyDescent="0.25">
      <c r="A1426" s="10" t="s">
        <v>2991</v>
      </c>
      <c r="B1426" s="10">
        <v>168</v>
      </c>
      <c r="C1426" s="10">
        <v>5</v>
      </c>
      <c r="D1426" s="10">
        <f>B1426*C1426</f>
        <v>840</v>
      </c>
      <c r="F1426" t="s">
        <v>3153</v>
      </c>
      <c r="I1426" t="s">
        <v>3158</v>
      </c>
    </row>
    <row r="1427" spans="1:14" x14ac:dyDescent="0.25">
      <c r="A1427" s="10" t="s">
        <v>512</v>
      </c>
      <c r="B1427" s="10">
        <v>156</v>
      </c>
      <c r="C1427" s="10">
        <v>5</v>
      </c>
      <c r="D1427" s="10">
        <f>B1427*C1427</f>
        <v>780</v>
      </c>
      <c r="F1427">
        <v>12544</v>
      </c>
      <c r="I1427">
        <f>F1427/5</f>
        <v>2508.8000000000002</v>
      </c>
    </row>
    <row r="1428" spans="1:14" x14ac:dyDescent="0.25">
      <c r="A1428" s="10"/>
      <c r="B1428" s="10"/>
      <c r="C1428" s="10"/>
      <c r="D1428" s="32">
        <f>D1426+D1427</f>
        <v>1620</v>
      </c>
    </row>
    <row r="1429" spans="1:14" x14ac:dyDescent="0.25">
      <c r="E1429" s="313"/>
    </row>
    <row r="1432" spans="1:14" ht="18.75" x14ac:dyDescent="0.3">
      <c r="A1432" s="594" t="s">
        <v>3152</v>
      </c>
      <c r="B1432" s="536"/>
      <c r="C1432" s="536"/>
      <c r="D1432" s="536"/>
      <c r="E1432" s="536"/>
      <c r="F1432" s="536"/>
      <c r="G1432" s="536"/>
      <c r="H1432" s="536"/>
      <c r="I1432" s="536"/>
      <c r="J1432" s="536"/>
      <c r="K1432" s="536"/>
      <c r="L1432" s="536"/>
      <c r="M1432" s="536"/>
      <c r="N1432" s="536"/>
    </row>
    <row r="1433" spans="1:14" ht="102" x14ac:dyDescent="0.25">
      <c r="A1433" s="834" t="s">
        <v>129</v>
      </c>
      <c r="B1433" s="834" t="s">
        <v>2287</v>
      </c>
      <c r="C1433" s="834" t="s">
        <v>2288</v>
      </c>
      <c r="D1433" s="834" t="s">
        <v>1630</v>
      </c>
      <c r="E1433" s="834" t="s">
        <v>18</v>
      </c>
      <c r="F1433" s="860" t="s">
        <v>41</v>
      </c>
      <c r="G1433" s="861"/>
      <c r="H1433" s="861"/>
      <c r="I1433" s="861"/>
      <c r="J1433" s="861"/>
      <c r="K1433" s="861"/>
      <c r="L1433" s="862"/>
      <c r="M1433" s="578" t="s">
        <v>2298</v>
      </c>
      <c r="N1433" s="819" t="s">
        <v>2633</v>
      </c>
    </row>
    <row r="1434" spans="1:14" x14ac:dyDescent="0.25">
      <c r="A1434" s="834"/>
      <c r="B1434" s="834"/>
      <c r="C1434" s="834"/>
      <c r="D1434" s="834"/>
      <c r="E1434" s="834"/>
      <c r="F1434" s="579" t="s">
        <v>1495</v>
      </c>
      <c r="G1434" s="653"/>
      <c r="H1434" s="653"/>
      <c r="I1434" s="577" t="s">
        <v>2282</v>
      </c>
      <c r="J1434" s="577" t="s">
        <v>2329</v>
      </c>
      <c r="K1434" s="577" t="s">
        <v>1548</v>
      </c>
      <c r="L1434" s="40" t="s">
        <v>2330</v>
      </c>
      <c r="M1434" s="578"/>
      <c r="N1434" s="819"/>
    </row>
    <row r="1435" spans="1:14" ht="127.5" x14ac:dyDescent="0.25">
      <c r="A1435" s="871">
        <v>1000105043</v>
      </c>
      <c r="B1435" s="872" t="s">
        <v>1261</v>
      </c>
      <c r="C1435" s="580" t="s">
        <v>272</v>
      </c>
      <c r="D1435" s="186" t="s">
        <v>3090</v>
      </c>
      <c r="E1435" s="481" t="s">
        <v>3160</v>
      </c>
      <c r="F1435" s="483">
        <v>11197.8</v>
      </c>
      <c r="G1435" s="483"/>
      <c r="H1435" s="483"/>
      <c r="I1435" s="544">
        <v>24884</v>
      </c>
      <c r="J1435" s="537">
        <v>36135</v>
      </c>
      <c r="K1435" s="537">
        <v>29914</v>
      </c>
      <c r="L1435" s="581">
        <v>2994.4</v>
      </c>
      <c r="M1435" s="591">
        <v>105125.2</v>
      </c>
      <c r="N1435" s="868">
        <v>102625.4</v>
      </c>
    </row>
    <row r="1436" spans="1:14" ht="25.5" x14ac:dyDescent="0.25">
      <c r="A1436" s="871"/>
      <c r="B1436" s="872"/>
      <c r="C1436" s="580" t="s">
        <v>46</v>
      </c>
      <c r="D1436" s="186" t="s">
        <v>2207</v>
      </c>
      <c r="E1436" s="481" t="s">
        <v>3159</v>
      </c>
      <c r="F1436" s="538">
        <v>1620</v>
      </c>
      <c r="G1436" s="538"/>
      <c r="H1436" s="538"/>
      <c r="I1436" s="539" t="s">
        <v>92</v>
      </c>
      <c r="J1436" s="472" t="s">
        <v>92</v>
      </c>
      <c r="K1436" s="472" t="s">
        <v>92</v>
      </c>
      <c r="L1436" s="472" t="s">
        <v>92</v>
      </c>
      <c r="M1436" s="539">
        <v>1620</v>
      </c>
      <c r="N1436" s="869"/>
    </row>
    <row r="1437" spans="1:14" ht="25.5" x14ac:dyDescent="0.25">
      <c r="A1437" s="871"/>
      <c r="B1437" s="872"/>
      <c r="C1437" s="580" t="s">
        <v>2987</v>
      </c>
      <c r="D1437" s="186" t="s">
        <v>2885</v>
      </c>
      <c r="E1437" s="481" t="s">
        <v>3166</v>
      </c>
      <c r="F1437" s="592" t="s">
        <v>3167</v>
      </c>
      <c r="G1437" s="592"/>
      <c r="H1437" s="592"/>
      <c r="I1437" s="539" t="s">
        <v>92</v>
      </c>
      <c r="J1437" s="472" t="s">
        <v>92</v>
      </c>
      <c r="K1437" s="472" t="s">
        <v>92</v>
      </c>
      <c r="L1437" s="472" t="s">
        <v>92</v>
      </c>
      <c r="M1437" s="588">
        <v>-4119.8</v>
      </c>
      <c r="N1437" s="869"/>
    </row>
    <row r="1438" spans="1:14" x14ac:dyDescent="0.25">
      <c r="A1438" s="473"/>
      <c r="B1438" s="474"/>
      <c r="C1438" s="474"/>
      <c r="D1438" s="474"/>
      <c r="E1438" s="474"/>
      <c r="F1438" s="476"/>
      <c r="G1438" s="476"/>
      <c r="H1438" s="476"/>
      <c r="I1438" s="477"/>
      <c r="J1438" s="477"/>
      <c r="K1438" s="477"/>
      <c r="L1438" s="477"/>
      <c r="M1438" s="477"/>
      <c r="N1438" s="478"/>
    </row>
    <row r="1439" spans="1:14" ht="26.25" customHeight="1" x14ac:dyDescent="0.25">
      <c r="A1439" s="838">
        <v>1000109733</v>
      </c>
      <c r="B1439" s="867" t="s">
        <v>2828</v>
      </c>
      <c r="C1439" s="937" t="s">
        <v>331</v>
      </c>
      <c r="D1439" s="20" t="s">
        <v>2854</v>
      </c>
      <c r="E1439" s="583" t="s">
        <v>3154</v>
      </c>
      <c r="F1439" s="585" t="s">
        <v>3157</v>
      </c>
      <c r="G1439" s="585"/>
      <c r="H1439" s="585"/>
      <c r="I1439" s="585" t="s">
        <v>3155</v>
      </c>
      <c r="J1439" s="586" t="s">
        <v>92</v>
      </c>
      <c r="K1439" s="587" t="s">
        <v>92</v>
      </c>
      <c r="L1439" s="587" t="s">
        <v>92</v>
      </c>
      <c r="M1439" s="588">
        <v>-2355.6</v>
      </c>
      <c r="N1439" s="864">
        <v>74201.399999999994</v>
      </c>
    </row>
    <row r="1440" spans="1:14" ht="102" x14ac:dyDescent="0.25">
      <c r="A1440" s="838"/>
      <c r="B1440" s="867"/>
      <c r="C1440" s="938"/>
      <c r="D1440" s="186" t="s">
        <v>3100</v>
      </c>
      <c r="E1440" s="584" t="s">
        <v>3156</v>
      </c>
      <c r="F1440" s="589" t="s">
        <v>92</v>
      </c>
      <c r="G1440" s="589"/>
      <c r="H1440" s="589"/>
      <c r="I1440" s="582">
        <v>17667</v>
      </c>
      <c r="J1440" s="582">
        <v>29445</v>
      </c>
      <c r="K1440" s="582">
        <v>23556</v>
      </c>
      <c r="L1440" s="582">
        <v>5889</v>
      </c>
      <c r="M1440" s="590">
        <v>76557</v>
      </c>
      <c r="N1440" s="865"/>
    </row>
    <row r="1447" spans="1:10" x14ac:dyDescent="0.25">
      <c r="A1447" t="s">
        <v>3169</v>
      </c>
      <c r="E1447">
        <v>5</v>
      </c>
    </row>
    <row r="1448" spans="1:10" s="56" customFormat="1" x14ac:dyDescent="0.25">
      <c r="B1448" s="147" t="s">
        <v>281</v>
      </c>
      <c r="C1448" s="147" t="s">
        <v>132</v>
      </c>
      <c r="D1448" s="147" t="s">
        <v>3170</v>
      </c>
      <c r="E1448" s="147" t="s">
        <v>1637</v>
      </c>
      <c r="F1448" s="147" t="s">
        <v>3171</v>
      </c>
      <c r="G1448" s="147"/>
      <c r="H1448" s="147"/>
      <c r="I1448" s="147"/>
      <c r="J1448" s="147"/>
    </row>
    <row r="1449" spans="1:10" x14ac:dyDescent="0.25">
      <c r="B1449" s="110" t="s">
        <v>3162</v>
      </c>
      <c r="C1449" s="110">
        <v>479</v>
      </c>
      <c r="D1449" s="110">
        <v>1</v>
      </c>
      <c r="E1449" s="110">
        <f>C1449*D1449*$E$1447</f>
        <v>2395</v>
      </c>
      <c r="F1449" s="110">
        <f>C1449*18</f>
        <v>8622</v>
      </c>
      <c r="G1449" s="110"/>
      <c r="H1449" s="110"/>
      <c r="I1449" s="110"/>
      <c r="J1449" s="110">
        <f>C1449*2</f>
        <v>958</v>
      </c>
    </row>
    <row r="1450" spans="1:10" x14ac:dyDescent="0.25">
      <c r="B1450" s="110" t="s">
        <v>271</v>
      </c>
      <c r="C1450" s="110">
        <v>488</v>
      </c>
      <c r="D1450" s="110">
        <v>1</v>
      </c>
      <c r="E1450" s="110">
        <f t="shared" ref="E1450:E1458" si="18">C1450*D1450*$E$1447</f>
        <v>2440</v>
      </c>
      <c r="F1450" s="110">
        <f>C1450*16</f>
        <v>7808</v>
      </c>
      <c r="G1450" s="110"/>
      <c r="H1450" s="110"/>
      <c r="I1450" s="110"/>
      <c r="J1450" s="110">
        <f>C1450*3</f>
        <v>1464</v>
      </c>
    </row>
    <row r="1451" spans="1:10" x14ac:dyDescent="0.25">
      <c r="B1451" s="110" t="s">
        <v>271</v>
      </c>
      <c r="C1451" s="110">
        <v>166</v>
      </c>
      <c r="D1451" s="110">
        <v>1</v>
      </c>
      <c r="E1451" s="110"/>
      <c r="F1451" s="110">
        <f>C1451*2</f>
        <v>332</v>
      </c>
      <c r="G1451" s="110"/>
      <c r="H1451" s="110"/>
      <c r="I1451" s="110"/>
      <c r="J1451" s="110"/>
    </row>
    <row r="1452" spans="1:10" x14ac:dyDescent="0.25">
      <c r="B1452" s="110" t="s">
        <v>2807</v>
      </c>
      <c r="C1452" s="110">
        <v>179</v>
      </c>
      <c r="D1452" s="110">
        <v>1</v>
      </c>
      <c r="E1452" s="110">
        <f t="shared" si="18"/>
        <v>895</v>
      </c>
      <c r="F1452" s="110">
        <f>C1452*$I$1452</f>
        <v>3401</v>
      </c>
      <c r="G1452" s="110"/>
      <c r="H1452" s="110"/>
      <c r="I1452" s="110">
        <v>19</v>
      </c>
      <c r="J1452" s="110">
        <f>C1452</f>
        <v>179</v>
      </c>
    </row>
    <row r="1453" spans="1:10" x14ac:dyDescent="0.25">
      <c r="B1453" s="110" t="s">
        <v>2779</v>
      </c>
      <c r="C1453" s="110">
        <v>179</v>
      </c>
      <c r="D1453" s="110">
        <v>1</v>
      </c>
      <c r="E1453" s="110">
        <f t="shared" si="18"/>
        <v>895</v>
      </c>
      <c r="F1453" s="110">
        <f>C1453*$I$1452</f>
        <v>3401</v>
      </c>
      <c r="G1453" s="110"/>
      <c r="H1453" s="110"/>
      <c r="I1453" s="110"/>
      <c r="J1453" s="110">
        <f t="shared" ref="J1453:J1458" si="19">C1453</f>
        <v>179</v>
      </c>
    </row>
    <row r="1454" spans="1:10" x14ac:dyDescent="0.25">
      <c r="B1454" s="110" t="s">
        <v>3163</v>
      </c>
      <c r="C1454" s="110">
        <v>168</v>
      </c>
      <c r="D1454" s="110">
        <v>2</v>
      </c>
      <c r="E1454" s="110">
        <f t="shared" si="18"/>
        <v>1680</v>
      </c>
      <c r="F1454" s="110">
        <f>C1454*$I$1452*2</f>
        <v>6384</v>
      </c>
      <c r="G1454" s="110"/>
      <c r="H1454" s="110"/>
      <c r="I1454" s="110"/>
      <c r="J1454" s="110">
        <f t="shared" si="19"/>
        <v>168</v>
      </c>
    </row>
    <row r="1455" spans="1:10" x14ac:dyDescent="0.25">
      <c r="B1455" s="110" t="s">
        <v>3164</v>
      </c>
      <c r="C1455" s="110">
        <v>179</v>
      </c>
      <c r="D1455" s="110">
        <v>2</v>
      </c>
      <c r="E1455" s="110">
        <f t="shared" si="18"/>
        <v>1790</v>
      </c>
      <c r="F1455" s="110">
        <f>C1455*$I$1452*2</f>
        <v>6802</v>
      </c>
      <c r="G1455" s="110"/>
      <c r="H1455" s="110"/>
      <c r="I1455" s="110"/>
      <c r="J1455" s="110">
        <f t="shared" si="19"/>
        <v>179</v>
      </c>
    </row>
    <row r="1456" spans="1:10" x14ac:dyDescent="0.25">
      <c r="B1456" s="110" t="s">
        <v>3162</v>
      </c>
      <c r="C1456" s="110">
        <v>158</v>
      </c>
      <c r="D1456" s="110">
        <v>1</v>
      </c>
      <c r="E1456" s="110">
        <f t="shared" si="18"/>
        <v>790</v>
      </c>
      <c r="F1456" s="110">
        <f>C1456*$I$1452</f>
        <v>3002</v>
      </c>
      <c r="G1456" s="110"/>
      <c r="H1456" s="110"/>
      <c r="I1456" s="110"/>
      <c r="J1456" s="110">
        <f t="shared" si="19"/>
        <v>158</v>
      </c>
    </row>
    <row r="1457" spans="1:11" x14ac:dyDescent="0.25">
      <c r="B1457" s="110" t="s">
        <v>297</v>
      </c>
      <c r="C1457" s="110">
        <v>156</v>
      </c>
      <c r="D1457" s="110">
        <v>2</v>
      </c>
      <c r="E1457" s="110">
        <f t="shared" si="18"/>
        <v>1560</v>
      </c>
      <c r="F1457" s="110">
        <f>C1457*$I$1452*2</f>
        <v>5928</v>
      </c>
      <c r="G1457" s="110"/>
      <c r="H1457" s="110"/>
      <c r="I1457" s="110"/>
      <c r="J1457" s="110">
        <f t="shared" si="19"/>
        <v>156</v>
      </c>
    </row>
    <row r="1458" spans="1:11" x14ac:dyDescent="0.25">
      <c r="B1458" s="110" t="s">
        <v>3165</v>
      </c>
      <c r="C1458" s="110">
        <v>198</v>
      </c>
      <c r="D1458" s="110">
        <v>0.1</v>
      </c>
      <c r="E1458" s="110">
        <f t="shared" si="18"/>
        <v>99</v>
      </c>
      <c r="F1458" s="110">
        <f>C1458*$I$1452*0.1</f>
        <v>376.20000000000005</v>
      </c>
      <c r="G1458" s="110"/>
      <c r="H1458" s="110"/>
      <c r="I1458" s="110"/>
      <c r="J1458" s="110">
        <f t="shared" si="19"/>
        <v>198</v>
      </c>
    </row>
    <row r="1459" spans="1:11" x14ac:dyDescent="0.25">
      <c r="B1459" s="110"/>
      <c r="C1459" s="110"/>
      <c r="D1459" s="110"/>
      <c r="E1459" s="110">
        <f>SUM(E1449:E1458)</f>
        <v>12544</v>
      </c>
      <c r="F1459" s="147">
        <f>SUM(F1449:F1458)</f>
        <v>46056.2</v>
      </c>
      <c r="G1459" s="147"/>
      <c r="H1459" s="147"/>
      <c r="I1459" s="110"/>
      <c r="J1459" s="110"/>
      <c r="K1459" t="s">
        <v>3172</v>
      </c>
    </row>
    <row r="1460" spans="1:11" x14ac:dyDescent="0.25">
      <c r="B1460" s="110"/>
      <c r="C1460" s="110"/>
      <c r="D1460" s="110"/>
      <c r="E1460" s="110" t="s">
        <v>3173</v>
      </c>
      <c r="F1460" s="110">
        <f>E1459*4</f>
        <v>50176</v>
      </c>
      <c r="G1460" s="110"/>
      <c r="H1460" s="110"/>
      <c r="I1460" s="110">
        <f>F1460-F1459</f>
        <v>4119.8000000000029</v>
      </c>
      <c r="J1460" s="110" t="s">
        <v>3174</v>
      </c>
    </row>
    <row r="1463" spans="1:11" x14ac:dyDescent="0.25">
      <c r="A1463" s="56" t="s">
        <v>3261</v>
      </c>
      <c r="E1463">
        <v>5</v>
      </c>
    </row>
    <row r="1464" spans="1:11" s="56" customFormat="1" x14ac:dyDescent="0.25">
      <c r="B1464" s="147" t="s">
        <v>281</v>
      </c>
      <c r="C1464" s="147" t="s">
        <v>132</v>
      </c>
      <c r="D1464" s="147" t="s">
        <v>3170</v>
      </c>
      <c r="E1464" s="147" t="s">
        <v>1637</v>
      </c>
      <c r="F1464" s="147" t="s">
        <v>3263</v>
      </c>
      <c r="G1464" s="147"/>
      <c r="H1464" s="147"/>
      <c r="I1464" s="147" t="s">
        <v>3274</v>
      </c>
      <c r="J1464" s="147"/>
    </row>
    <row r="1465" spans="1:11" s="198" customFormat="1" x14ac:dyDescent="0.25">
      <c r="A1465" s="225" t="s">
        <v>3262</v>
      </c>
      <c r="B1465" s="222" t="s">
        <v>3162</v>
      </c>
      <c r="C1465" s="222">
        <v>479</v>
      </c>
      <c r="D1465" s="222">
        <v>1</v>
      </c>
      <c r="E1465" s="222">
        <f>C1465*D1465*$E$1463</f>
        <v>2395</v>
      </c>
      <c r="F1465" s="222">
        <f>C1465*18</f>
        <v>8622</v>
      </c>
      <c r="G1465" s="222"/>
      <c r="H1465" s="222"/>
      <c r="I1465" s="222" t="s">
        <v>3293</v>
      </c>
      <c r="J1465" s="222">
        <f>2*C1465</f>
        <v>958</v>
      </c>
      <c r="K1465" s="225"/>
    </row>
    <row r="1466" spans="1:11" x14ac:dyDescent="0.25">
      <c r="A1466" s="225" t="s">
        <v>3264</v>
      </c>
      <c r="B1466" s="110" t="s">
        <v>271</v>
      </c>
      <c r="C1466" s="110">
        <v>488</v>
      </c>
      <c r="D1466" s="110">
        <v>1</v>
      </c>
      <c r="E1466" s="110">
        <f t="shared" ref="E1466:E1474" si="20">C1466*D1466*$E$1463</f>
        <v>2440</v>
      </c>
      <c r="F1466" s="110">
        <f>C1466*10</f>
        <v>4880</v>
      </c>
      <c r="G1466" s="110"/>
      <c r="H1466" s="110"/>
      <c r="I1466" s="110" t="s">
        <v>3294</v>
      </c>
      <c r="J1466" s="110">
        <v>3718</v>
      </c>
    </row>
    <row r="1467" spans="1:11" x14ac:dyDescent="0.25">
      <c r="A1467" s="225" t="s">
        <v>3265</v>
      </c>
      <c r="B1467" s="110" t="s">
        <v>271</v>
      </c>
      <c r="C1467" s="110">
        <v>166</v>
      </c>
      <c r="D1467" s="110">
        <v>1</v>
      </c>
      <c r="E1467" s="110">
        <f t="shared" si="20"/>
        <v>830</v>
      </c>
      <c r="F1467" s="110">
        <f>C1467*7</f>
        <v>1162</v>
      </c>
      <c r="G1467" s="110"/>
      <c r="H1467" s="110"/>
      <c r="I1467" s="110" t="s">
        <v>3295</v>
      </c>
      <c r="J1467" s="110">
        <v>0</v>
      </c>
    </row>
    <row r="1468" spans="1:11" x14ac:dyDescent="0.25">
      <c r="A1468" s="225" t="s">
        <v>3266</v>
      </c>
      <c r="B1468" s="110" t="s">
        <v>2807</v>
      </c>
      <c r="C1468" s="110">
        <v>179</v>
      </c>
      <c r="D1468" s="110">
        <v>1</v>
      </c>
      <c r="E1468" s="110">
        <f t="shared" si="20"/>
        <v>895</v>
      </c>
      <c r="F1468" s="110">
        <f>C1468*19</f>
        <v>3401</v>
      </c>
      <c r="G1468" s="110"/>
      <c r="H1468" s="110"/>
      <c r="I1468" s="110" t="s">
        <v>3273</v>
      </c>
      <c r="J1468" s="110">
        <f>C1468</f>
        <v>179</v>
      </c>
    </row>
    <row r="1469" spans="1:11" x14ac:dyDescent="0.25">
      <c r="A1469" s="225" t="s">
        <v>3267</v>
      </c>
      <c r="B1469" s="110" t="s">
        <v>2779</v>
      </c>
      <c r="C1469" s="110">
        <v>179</v>
      </c>
      <c r="D1469" s="110">
        <v>1</v>
      </c>
      <c r="E1469" s="110">
        <f t="shared" si="20"/>
        <v>895</v>
      </c>
      <c r="F1469" s="110">
        <f>C1469*19</f>
        <v>3401</v>
      </c>
      <c r="G1469" s="110"/>
      <c r="H1469" s="110"/>
      <c r="I1469" s="110" t="s">
        <v>3273</v>
      </c>
      <c r="J1469" s="110">
        <f>C1469</f>
        <v>179</v>
      </c>
    </row>
    <row r="1470" spans="1:11" x14ac:dyDescent="0.25">
      <c r="A1470" s="225" t="s">
        <v>3268</v>
      </c>
      <c r="B1470" s="110" t="s">
        <v>3163</v>
      </c>
      <c r="C1470" s="110">
        <v>168</v>
      </c>
      <c r="D1470" s="110">
        <v>2</v>
      </c>
      <c r="E1470" s="110">
        <f t="shared" si="20"/>
        <v>1680</v>
      </c>
      <c r="F1470" s="110">
        <f>C1470*19*2</f>
        <v>6384</v>
      </c>
      <c r="G1470" s="110"/>
      <c r="H1470" s="110"/>
      <c r="I1470" s="110" t="s">
        <v>3273</v>
      </c>
      <c r="J1470" s="110">
        <f>C1470*2</f>
        <v>336</v>
      </c>
    </row>
    <row r="1471" spans="1:11" x14ac:dyDescent="0.25">
      <c r="A1471" s="225" t="s">
        <v>3270</v>
      </c>
      <c r="B1471" s="110" t="s">
        <v>3164</v>
      </c>
      <c r="C1471" s="110">
        <v>179</v>
      </c>
      <c r="D1471" s="110">
        <v>2</v>
      </c>
      <c r="E1471" s="110">
        <f t="shared" si="20"/>
        <v>1790</v>
      </c>
      <c r="F1471" s="110">
        <f>C1471*19*2</f>
        <v>6802</v>
      </c>
      <c r="G1471" s="110"/>
      <c r="H1471" s="110"/>
      <c r="I1471" s="110" t="s">
        <v>3273</v>
      </c>
      <c r="J1471" s="110">
        <f>C1471*2</f>
        <v>358</v>
      </c>
    </row>
    <row r="1472" spans="1:11" x14ac:dyDescent="0.25">
      <c r="A1472" s="225" t="s">
        <v>3269</v>
      </c>
      <c r="B1472" s="110" t="s">
        <v>3162</v>
      </c>
      <c r="C1472" s="110">
        <v>158</v>
      </c>
      <c r="D1472" s="110">
        <v>1</v>
      </c>
      <c r="E1472" s="110">
        <f t="shared" si="20"/>
        <v>790</v>
      </c>
      <c r="F1472" s="110">
        <f>C1472*19</f>
        <v>3002</v>
      </c>
      <c r="G1472" s="110"/>
      <c r="H1472" s="110"/>
      <c r="I1472" s="110" t="s">
        <v>3273</v>
      </c>
      <c r="J1472" s="110">
        <f>C1472</f>
        <v>158</v>
      </c>
    </row>
    <row r="1473" spans="1:10" x14ac:dyDescent="0.25">
      <c r="A1473" s="225" t="s">
        <v>3271</v>
      </c>
      <c r="B1473" s="110" t="s">
        <v>297</v>
      </c>
      <c r="C1473" s="110">
        <v>156</v>
      </c>
      <c r="D1473" s="110">
        <v>2</v>
      </c>
      <c r="E1473" s="110">
        <f t="shared" si="20"/>
        <v>1560</v>
      </c>
      <c r="F1473" s="110">
        <f>C1473*19*2</f>
        <v>5928</v>
      </c>
      <c r="G1473" s="110"/>
      <c r="H1473" s="110"/>
      <c r="I1473" s="110" t="s">
        <v>3273</v>
      </c>
      <c r="J1473" s="110">
        <f>C1473*2</f>
        <v>312</v>
      </c>
    </row>
    <row r="1474" spans="1:10" x14ac:dyDescent="0.25">
      <c r="A1474" s="225" t="s">
        <v>3272</v>
      </c>
      <c r="B1474" s="110" t="s">
        <v>3165</v>
      </c>
      <c r="C1474" s="110">
        <v>198</v>
      </c>
      <c r="D1474" s="110">
        <v>0.1</v>
      </c>
      <c r="E1474" s="110">
        <f t="shared" si="20"/>
        <v>99</v>
      </c>
      <c r="F1474" s="110">
        <f>C1474*19*0.1</f>
        <v>376.20000000000005</v>
      </c>
      <c r="G1474" s="110"/>
      <c r="H1474" s="110"/>
      <c r="I1474" s="110" t="s">
        <v>3273</v>
      </c>
      <c r="J1474" s="110">
        <v>19.8</v>
      </c>
    </row>
    <row r="1475" spans="1:10" x14ac:dyDescent="0.25">
      <c r="B1475" s="110"/>
      <c r="C1475" s="110"/>
      <c r="D1475" s="110"/>
      <c r="E1475" s="110">
        <f>SUM(E1465:E1474)</f>
        <v>13374</v>
      </c>
      <c r="F1475" s="147">
        <f>SUM(F1465:F1474)</f>
        <v>43958.2</v>
      </c>
      <c r="G1475" s="147"/>
      <c r="H1475" s="147"/>
      <c r="I1475" s="110"/>
      <c r="J1475" s="110"/>
    </row>
    <row r="1476" spans="1:10" x14ac:dyDescent="0.25">
      <c r="B1476" s="110"/>
      <c r="C1476" s="110"/>
      <c r="D1476" s="110"/>
      <c r="E1476" s="110" t="s">
        <v>3173</v>
      </c>
      <c r="F1476" s="110">
        <v>50176</v>
      </c>
      <c r="G1476" s="110"/>
      <c r="H1476" s="110"/>
      <c r="I1476" s="147">
        <f>F1476-F1475</f>
        <v>6217.8000000000029</v>
      </c>
      <c r="J1476" s="168" t="s">
        <v>3277</v>
      </c>
    </row>
    <row r="1477" spans="1:10" x14ac:dyDescent="0.25">
      <c r="A1477" t="s">
        <v>3276</v>
      </c>
    </row>
    <row r="1478" spans="1:10" x14ac:dyDescent="0.25">
      <c r="A1478" t="s">
        <v>3275</v>
      </c>
      <c r="B1478">
        <f>488*20</f>
        <v>9760</v>
      </c>
    </row>
    <row r="1479" spans="1:10" x14ac:dyDescent="0.25">
      <c r="B1479">
        <f>488*10</f>
        <v>4880</v>
      </c>
    </row>
    <row r="1480" spans="1:10" x14ac:dyDescent="0.25">
      <c r="B1480">
        <f>166*7</f>
        <v>1162</v>
      </c>
      <c r="C1480">
        <f>B1478-B1479-B1480</f>
        <v>3718</v>
      </c>
    </row>
    <row r="1485" spans="1:10" x14ac:dyDescent="0.25">
      <c r="A1485" s="361" t="s">
        <v>3284</v>
      </c>
    </row>
    <row r="1486" spans="1:10" ht="25.5" x14ac:dyDescent="0.25">
      <c r="A1486" s="1" t="s">
        <v>40</v>
      </c>
      <c r="B1486" s="1" t="s">
        <v>15</v>
      </c>
      <c r="C1486" s="1" t="s">
        <v>41</v>
      </c>
      <c r="D1486" s="1" t="s">
        <v>1</v>
      </c>
      <c r="E1486" s="1" t="s">
        <v>265</v>
      </c>
      <c r="F1486" s="1" t="s">
        <v>230</v>
      </c>
      <c r="G1486" s="1"/>
      <c r="H1486" s="1"/>
      <c r="I1486" s="1" t="s">
        <v>42</v>
      </c>
      <c r="J1486" s="1" t="s">
        <v>2853</v>
      </c>
    </row>
    <row r="1487" spans="1:10" x14ac:dyDescent="0.25">
      <c r="A1487" s="10" t="s">
        <v>901</v>
      </c>
      <c r="B1487" s="23">
        <v>1000083056</v>
      </c>
      <c r="C1487" s="10" t="s">
        <v>473</v>
      </c>
      <c r="D1487" s="17" t="s">
        <v>902</v>
      </c>
      <c r="E1487" s="13">
        <v>84000</v>
      </c>
      <c r="F1487" s="23">
        <v>60123549</v>
      </c>
      <c r="G1487" s="23"/>
      <c r="H1487" s="23"/>
      <c r="I1487" s="23" t="s">
        <v>92</v>
      </c>
      <c r="J1487" s="23" t="s">
        <v>903</v>
      </c>
    </row>
    <row r="1488" spans="1:10" x14ac:dyDescent="0.25">
      <c r="A1488" s="10" t="s">
        <v>1177</v>
      </c>
      <c r="B1488" s="10">
        <v>1000083056</v>
      </c>
      <c r="C1488" s="10" t="s">
        <v>475</v>
      </c>
      <c r="D1488" s="29" t="s">
        <v>1179</v>
      </c>
      <c r="E1488" s="39">
        <v>196588.79999999999</v>
      </c>
      <c r="F1488" s="29">
        <v>60123549</v>
      </c>
      <c r="G1488" s="29"/>
      <c r="H1488" s="29"/>
      <c r="I1488" s="23" t="s">
        <v>280</v>
      </c>
      <c r="J1488" s="23" t="s">
        <v>903</v>
      </c>
    </row>
    <row r="1489" spans="1:10" x14ac:dyDescent="0.25">
      <c r="A1489" s="10" t="s">
        <v>1289</v>
      </c>
      <c r="B1489" s="23">
        <v>1000083056</v>
      </c>
      <c r="C1489" s="10" t="s">
        <v>476</v>
      </c>
      <c r="D1489" s="29" t="s">
        <v>1290</v>
      </c>
      <c r="E1489" s="39">
        <v>98938.8</v>
      </c>
      <c r="F1489" s="29">
        <v>60123549</v>
      </c>
      <c r="G1489" s="29"/>
      <c r="H1489" s="29"/>
      <c r="I1489" s="23" t="s">
        <v>280</v>
      </c>
      <c r="J1489" s="23" t="s">
        <v>903</v>
      </c>
    </row>
    <row r="1490" spans="1:10" x14ac:dyDescent="0.25">
      <c r="A1490" s="23" t="s">
        <v>1445</v>
      </c>
      <c r="B1490" s="10">
        <v>1000083056</v>
      </c>
      <c r="C1490" s="10" t="s">
        <v>477</v>
      </c>
      <c r="D1490" s="29" t="s">
        <v>1452</v>
      </c>
      <c r="E1490" s="13">
        <v>101646</v>
      </c>
      <c r="F1490" s="29">
        <v>60123549</v>
      </c>
      <c r="G1490" s="29"/>
      <c r="H1490" s="29"/>
      <c r="I1490" s="39" t="s">
        <v>280</v>
      </c>
      <c r="J1490" s="10" t="s">
        <v>903</v>
      </c>
    </row>
    <row r="1491" spans="1:10" x14ac:dyDescent="0.25">
      <c r="A1491" s="23" t="s">
        <v>1529</v>
      </c>
      <c r="B1491" s="10">
        <v>1000083056</v>
      </c>
      <c r="C1491" s="10" t="s">
        <v>1478</v>
      </c>
      <c r="D1491" s="29" t="s">
        <v>1531</v>
      </c>
      <c r="E1491" s="39">
        <v>44210.400000000001</v>
      </c>
      <c r="F1491" s="29">
        <v>60123549</v>
      </c>
      <c r="G1491" s="29"/>
      <c r="H1491" s="29"/>
      <c r="I1491" s="39" t="s">
        <v>280</v>
      </c>
      <c r="J1491" s="23" t="s">
        <v>903</v>
      </c>
    </row>
    <row r="1492" spans="1:10" x14ac:dyDescent="0.25">
      <c r="A1492" s="23" t="s">
        <v>1528</v>
      </c>
      <c r="B1492" s="10">
        <v>1000083056</v>
      </c>
      <c r="C1492" s="10" t="s">
        <v>1478</v>
      </c>
      <c r="D1492" s="29" t="s">
        <v>1531</v>
      </c>
      <c r="E1492" s="39">
        <v>65523.6</v>
      </c>
      <c r="F1492" s="15">
        <v>60133691</v>
      </c>
      <c r="G1492" s="15"/>
      <c r="H1492" s="15"/>
      <c r="I1492" s="39" t="s">
        <v>1822</v>
      </c>
      <c r="J1492" s="23" t="s">
        <v>903</v>
      </c>
    </row>
    <row r="1493" spans="1:10" x14ac:dyDescent="0.25">
      <c r="A1493" s="10" t="s">
        <v>1660</v>
      </c>
      <c r="B1493" s="10">
        <v>1000083056</v>
      </c>
      <c r="C1493" s="10" t="s">
        <v>1488</v>
      </c>
      <c r="D1493" s="29" t="s">
        <v>1824</v>
      </c>
      <c r="E1493" s="39">
        <v>70080</v>
      </c>
      <c r="F1493" s="23">
        <v>60133689</v>
      </c>
      <c r="G1493" s="23"/>
      <c r="H1493" s="23"/>
      <c r="I1493" s="23" t="s">
        <v>280</v>
      </c>
      <c r="J1493" s="23" t="s">
        <v>903</v>
      </c>
    </row>
    <row r="1494" spans="1:10" x14ac:dyDescent="0.25">
      <c r="A1494" s="10" t="s">
        <v>1857</v>
      </c>
      <c r="B1494" s="10">
        <v>1000083056</v>
      </c>
      <c r="C1494" s="10" t="s">
        <v>1489</v>
      </c>
      <c r="D1494" s="29" t="s">
        <v>1860</v>
      </c>
      <c r="E1494" s="39">
        <v>35100</v>
      </c>
      <c r="F1494" s="23">
        <v>60133689</v>
      </c>
      <c r="G1494" s="23"/>
      <c r="H1494" s="23"/>
      <c r="I1494" s="23" t="s">
        <v>280</v>
      </c>
      <c r="J1494" s="23" t="s">
        <v>903</v>
      </c>
    </row>
    <row r="1495" spans="1:10" x14ac:dyDescent="0.25">
      <c r="A1495" s="10" t="s">
        <v>1858</v>
      </c>
      <c r="B1495" s="10">
        <v>1000083056</v>
      </c>
      <c r="C1495" s="10" t="s">
        <v>1489</v>
      </c>
      <c r="D1495" s="86" t="s">
        <v>1860</v>
      </c>
      <c r="E1495" s="39">
        <v>44174.400000000001</v>
      </c>
      <c r="F1495" s="23">
        <v>60135855</v>
      </c>
      <c r="G1495" s="23"/>
      <c r="H1495" s="23"/>
      <c r="I1495" s="23" t="s">
        <v>280</v>
      </c>
      <c r="J1495" s="23" t="s">
        <v>903</v>
      </c>
    </row>
    <row r="1496" spans="1:10" x14ac:dyDescent="0.25">
      <c r="A1496" s="23" t="s">
        <v>2214</v>
      </c>
      <c r="B1496" s="23">
        <v>1000083056</v>
      </c>
      <c r="C1496" s="23" t="s">
        <v>1490</v>
      </c>
      <c r="D1496" s="29" t="s">
        <v>2215</v>
      </c>
      <c r="E1496" s="39">
        <v>60336</v>
      </c>
      <c r="F1496" s="23">
        <v>60135855</v>
      </c>
      <c r="G1496" s="23"/>
      <c r="H1496" s="23"/>
      <c r="I1496" s="23" t="s">
        <v>280</v>
      </c>
      <c r="J1496" s="23" t="s">
        <v>903</v>
      </c>
    </row>
    <row r="1497" spans="1:10" x14ac:dyDescent="0.25">
      <c r="A1497" s="23" t="s">
        <v>2359</v>
      </c>
      <c r="B1497" s="23">
        <v>1000083056</v>
      </c>
      <c r="C1497" s="23" t="s">
        <v>1491</v>
      </c>
      <c r="D1497" s="29" t="s">
        <v>2361</v>
      </c>
      <c r="E1497" s="39">
        <v>28627.200000000001</v>
      </c>
      <c r="F1497" s="23">
        <v>60135855</v>
      </c>
      <c r="G1497" s="23"/>
      <c r="H1497" s="23"/>
      <c r="I1497" s="23" t="s">
        <v>280</v>
      </c>
      <c r="J1497" s="23" t="s">
        <v>903</v>
      </c>
    </row>
    <row r="1498" spans="1:10" x14ac:dyDescent="0.25">
      <c r="A1498" s="29" t="s">
        <v>2984</v>
      </c>
      <c r="B1498" s="23">
        <v>1000083056</v>
      </c>
      <c r="C1498" s="23" t="s">
        <v>1491</v>
      </c>
      <c r="D1498" s="29" t="s">
        <v>2361</v>
      </c>
      <c r="E1498" s="39">
        <v>24979.200000000001</v>
      </c>
      <c r="F1498" s="23">
        <v>60141183</v>
      </c>
      <c r="G1498" s="23"/>
      <c r="H1498" s="23"/>
      <c r="I1498" s="23" t="s">
        <v>1822</v>
      </c>
      <c r="J1498" s="23" t="s">
        <v>903</v>
      </c>
    </row>
    <row r="1499" spans="1:10" x14ac:dyDescent="0.25">
      <c r="A1499" s="436" t="s">
        <v>2680</v>
      </c>
      <c r="B1499" s="23">
        <v>1000083056</v>
      </c>
      <c r="C1499" s="23" t="s">
        <v>1492</v>
      </c>
      <c r="D1499" s="39" t="s">
        <v>2683</v>
      </c>
      <c r="E1499" s="39">
        <v>20484</v>
      </c>
      <c r="F1499" s="23" t="s">
        <v>431</v>
      </c>
      <c r="G1499" s="23"/>
      <c r="H1499" s="23"/>
      <c r="I1499" s="601">
        <v>17070</v>
      </c>
      <c r="J1499" s="23" t="s">
        <v>903</v>
      </c>
    </row>
    <row r="1500" spans="1:10" x14ac:dyDescent="0.25">
      <c r="A1500" s="437"/>
      <c r="B1500" s="437"/>
      <c r="C1500" s="437"/>
      <c r="D1500" s="437"/>
      <c r="E1500" s="350"/>
      <c r="F1500" s="610"/>
      <c r="G1500" s="610"/>
      <c r="H1500" s="610"/>
      <c r="I1500" s="437"/>
      <c r="J1500" s="45"/>
    </row>
    <row r="1501" spans="1:10" x14ac:dyDescent="0.25">
      <c r="A1501" s="11"/>
      <c r="B1501" s="11"/>
      <c r="C1501" s="437"/>
      <c r="D1501" s="11"/>
      <c r="E1501" s="164"/>
      <c r="F1501" s="11"/>
      <c r="G1501" s="11"/>
      <c r="H1501" s="11"/>
      <c r="I1501" s="11"/>
      <c r="J1501" s="145"/>
    </row>
    <row r="1502" spans="1:10" x14ac:dyDescent="0.25">
      <c r="A1502" s="32" t="s">
        <v>41</v>
      </c>
      <c r="B1502" s="32" t="s">
        <v>3279</v>
      </c>
      <c r="C1502" s="32" t="s">
        <v>230</v>
      </c>
      <c r="D1502" s="11"/>
      <c r="E1502" s="608" t="s">
        <v>49</v>
      </c>
      <c r="F1502" s="602" t="s">
        <v>3280</v>
      </c>
      <c r="G1502" s="650"/>
      <c r="H1502" s="650"/>
      <c r="I1502" s="32" t="s">
        <v>3281</v>
      </c>
      <c r="J1502" s="184" t="s">
        <v>3282</v>
      </c>
    </row>
    <row r="1503" spans="1:10" x14ac:dyDescent="0.25">
      <c r="A1503" s="10" t="s">
        <v>473</v>
      </c>
      <c r="B1503" s="607">
        <v>70000</v>
      </c>
      <c r="C1503" s="10">
        <v>60123549</v>
      </c>
      <c r="D1503" s="11"/>
      <c r="E1503" s="7">
        <v>60123549</v>
      </c>
      <c r="F1503" s="609">
        <v>367820</v>
      </c>
      <c r="G1503" s="609"/>
      <c r="H1503" s="609"/>
      <c r="I1503" s="609">
        <v>367820</v>
      </c>
      <c r="J1503" s="446">
        <v>0</v>
      </c>
    </row>
    <row r="1504" spans="1:10" x14ac:dyDescent="0.25">
      <c r="A1504" s="10" t="s">
        <v>475</v>
      </c>
      <c r="B1504" s="607">
        <v>163824</v>
      </c>
      <c r="C1504" s="29">
        <v>60123549</v>
      </c>
      <c r="D1504" s="11"/>
      <c r="E1504" s="7">
        <v>60133691</v>
      </c>
      <c r="F1504" s="609">
        <v>54603</v>
      </c>
      <c r="G1504" s="609"/>
      <c r="H1504" s="609"/>
      <c r="I1504" s="609">
        <v>54603</v>
      </c>
      <c r="J1504" s="446">
        <v>0</v>
      </c>
    </row>
    <row r="1505" spans="1:10" x14ac:dyDescent="0.25">
      <c r="A1505" s="10" t="s">
        <v>476</v>
      </c>
      <c r="B1505" s="607">
        <v>82449</v>
      </c>
      <c r="C1505" s="29">
        <v>60123549</v>
      </c>
      <c r="D1505" s="11"/>
      <c r="E1505" s="10">
        <v>60133689</v>
      </c>
      <c r="F1505" s="609">
        <v>87650</v>
      </c>
      <c r="G1505" s="609"/>
      <c r="H1505" s="609"/>
      <c r="I1505" s="609">
        <v>87650</v>
      </c>
      <c r="J1505" s="446">
        <v>0</v>
      </c>
    </row>
    <row r="1506" spans="1:10" x14ac:dyDescent="0.25">
      <c r="A1506" s="10" t="s">
        <v>477</v>
      </c>
      <c r="B1506" s="607">
        <v>84705</v>
      </c>
      <c r="C1506" s="29">
        <v>60123549</v>
      </c>
      <c r="D1506" s="11"/>
      <c r="E1506" s="23">
        <v>60135855</v>
      </c>
      <c r="F1506" s="609">
        <v>110948</v>
      </c>
      <c r="G1506" s="609"/>
      <c r="H1506" s="609"/>
      <c r="I1506" s="609">
        <v>110948</v>
      </c>
      <c r="J1506" s="446">
        <v>0</v>
      </c>
    </row>
    <row r="1507" spans="1:10" x14ac:dyDescent="0.25">
      <c r="A1507" s="10" t="s">
        <v>1478</v>
      </c>
      <c r="B1507" s="607">
        <v>36842</v>
      </c>
      <c r="C1507" s="29">
        <v>60123549</v>
      </c>
      <c r="D1507" s="11"/>
      <c r="E1507" s="23">
        <v>60141183</v>
      </c>
      <c r="F1507" s="609">
        <v>20816</v>
      </c>
      <c r="G1507" s="609"/>
      <c r="H1507" s="609"/>
      <c r="I1507" s="609">
        <v>20816</v>
      </c>
      <c r="J1507" s="446">
        <v>0</v>
      </c>
    </row>
    <row r="1508" spans="1:10" x14ac:dyDescent="0.25">
      <c r="A1508" s="10" t="s">
        <v>1478</v>
      </c>
      <c r="B1508" s="607">
        <v>54603</v>
      </c>
      <c r="C1508" s="10">
        <v>60133691</v>
      </c>
      <c r="D1508" s="11"/>
      <c r="E1508" s="7" t="s">
        <v>3283</v>
      </c>
      <c r="F1508" s="607">
        <v>17070</v>
      </c>
      <c r="G1508" s="607"/>
      <c r="H1508" s="607"/>
      <c r="I1508" s="607">
        <v>17070</v>
      </c>
      <c r="J1508" s="446">
        <v>0</v>
      </c>
    </row>
    <row r="1509" spans="1:10" x14ac:dyDescent="0.25">
      <c r="A1509" s="10" t="s">
        <v>1488</v>
      </c>
      <c r="B1509" s="607">
        <v>58400</v>
      </c>
      <c r="C1509" s="10">
        <v>60133689</v>
      </c>
      <c r="D1509" s="11"/>
      <c r="E1509" s="612" t="s">
        <v>3285</v>
      </c>
      <c r="F1509" s="611">
        <f>SUM(F1503:F1508)</f>
        <v>658907</v>
      </c>
      <c r="G1509" s="611"/>
      <c r="H1509" s="611"/>
      <c r="I1509" s="10"/>
      <c r="J1509" s="17"/>
    </row>
    <row r="1510" spans="1:10" x14ac:dyDescent="0.25">
      <c r="A1510" s="10" t="s">
        <v>1489</v>
      </c>
      <c r="B1510" s="607">
        <v>29250</v>
      </c>
      <c r="C1510" s="10">
        <v>60133689</v>
      </c>
      <c r="D1510" s="11"/>
      <c r="E1510" s="164"/>
      <c r="F1510" s="11"/>
      <c r="G1510" s="11"/>
      <c r="H1510" s="11"/>
      <c r="I1510" s="11"/>
      <c r="J1510" s="145"/>
    </row>
    <row r="1511" spans="1:10" x14ac:dyDescent="0.25">
      <c r="A1511" s="10" t="s">
        <v>1489</v>
      </c>
      <c r="B1511" s="607">
        <v>36812</v>
      </c>
      <c r="C1511" s="23">
        <v>60135855</v>
      </c>
      <c r="D1511" s="11"/>
      <c r="E1511" s="164"/>
      <c r="F1511" s="11"/>
      <c r="G1511" s="11"/>
      <c r="H1511" s="11"/>
      <c r="I1511" s="11"/>
      <c r="J1511" s="145"/>
    </row>
    <row r="1512" spans="1:10" x14ac:dyDescent="0.25">
      <c r="A1512" s="10" t="s">
        <v>1490</v>
      </c>
      <c r="B1512" s="607">
        <v>50280</v>
      </c>
      <c r="C1512" s="23">
        <v>60135855</v>
      </c>
      <c r="D1512" s="11"/>
      <c r="E1512" s="164"/>
      <c r="F1512" s="11"/>
      <c r="G1512" s="11"/>
      <c r="H1512" s="11"/>
      <c r="I1512" s="11"/>
      <c r="J1512" s="145"/>
    </row>
    <row r="1513" spans="1:10" x14ac:dyDescent="0.25">
      <c r="A1513" s="10" t="s">
        <v>1491</v>
      </c>
      <c r="B1513" s="607">
        <v>23856</v>
      </c>
      <c r="C1513" s="23">
        <v>60135855</v>
      </c>
      <c r="D1513" s="11"/>
      <c r="E1513" s="164"/>
      <c r="F1513" s="11"/>
      <c r="G1513" s="11"/>
      <c r="H1513" s="11"/>
      <c r="I1513" s="11"/>
      <c r="J1513" s="145"/>
    </row>
    <row r="1514" spans="1:10" x14ac:dyDescent="0.25">
      <c r="A1514" s="10" t="s">
        <v>1491</v>
      </c>
      <c r="B1514" s="607">
        <v>20816</v>
      </c>
      <c r="C1514" s="23">
        <v>60141183</v>
      </c>
      <c r="D1514" s="11"/>
      <c r="E1514" s="164"/>
      <c r="F1514" s="11"/>
      <c r="G1514" s="11"/>
      <c r="H1514" s="11"/>
      <c r="I1514" s="11"/>
      <c r="J1514" s="145"/>
    </row>
    <row r="1515" spans="1:10" x14ac:dyDescent="0.25">
      <c r="A1515" s="10" t="s">
        <v>1492</v>
      </c>
      <c r="B1515" s="607">
        <v>17070</v>
      </c>
      <c r="C1515" s="7" t="s">
        <v>3283</v>
      </c>
      <c r="D1515" s="11"/>
      <c r="E1515" s="164"/>
      <c r="F1515" s="11"/>
      <c r="G1515" s="11"/>
      <c r="H1515" s="11"/>
      <c r="I1515" s="11"/>
      <c r="J1515" s="145"/>
    </row>
    <row r="1521" spans="1:14" ht="18.75" x14ac:dyDescent="0.3">
      <c r="A1521" s="652" t="s">
        <v>3286</v>
      </c>
      <c r="B1521" s="536"/>
      <c r="C1521" s="536"/>
      <c r="D1521" s="536"/>
      <c r="E1521" s="536"/>
      <c r="F1521" s="536"/>
      <c r="G1521" s="536"/>
      <c r="H1521" s="536"/>
      <c r="I1521" s="536"/>
      <c r="J1521" s="536"/>
      <c r="K1521" s="536"/>
      <c r="L1521" s="536"/>
      <c r="M1521" s="536"/>
      <c r="N1521" s="536"/>
    </row>
    <row r="1522" spans="1:14" ht="25.5" customHeight="1" x14ac:dyDescent="0.25">
      <c r="A1522" s="834" t="s">
        <v>129</v>
      </c>
      <c r="B1522" s="834" t="s">
        <v>2287</v>
      </c>
      <c r="C1522" s="834" t="s">
        <v>2288</v>
      </c>
      <c r="D1522" s="834" t="s">
        <v>1630</v>
      </c>
      <c r="E1522" s="834" t="s">
        <v>18</v>
      </c>
      <c r="F1522" s="606" t="s">
        <v>41</v>
      </c>
      <c r="G1522" s="647"/>
      <c r="H1522" s="647"/>
      <c r="I1522" s="819" t="s">
        <v>2298</v>
      </c>
      <c r="J1522" s="819" t="s">
        <v>2633</v>
      </c>
      <c r="K1522" s="614"/>
      <c r="L1522" s="614"/>
      <c r="M1522" s="615"/>
      <c r="N1522" s="837"/>
    </row>
    <row r="1523" spans="1:14" x14ac:dyDescent="0.25">
      <c r="A1523" s="834"/>
      <c r="B1523" s="834"/>
      <c r="C1523" s="834"/>
      <c r="D1523" s="834"/>
      <c r="E1523" s="834"/>
      <c r="F1523" s="605" t="s">
        <v>2282</v>
      </c>
      <c r="G1523" s="646"/>
      <c r="H1523" s="646"/>
      <c r="I1523" s="819"/>
      <c r="J1523" s="819"/>
      <c r="K1523" s="616"/>
      <c r="L1523" s="106"/>
      <c r="M1523" s="615"/>
      <c r="N1523" s="837"/>
    </row>
    <row r="1524" spans="1:14" ht="25.5" x14ac:dyDescent="0.25">
      <c r="A1524" s="838">
        <v>1000105043</v>
      </c>
      <c r="B1524" s="818" t="s">
        <v>1261</v>
      </c>
      <c r="C1524" s="613" t="s">
        <v>47</v>
      </c>
      <c r="D1524" s="613" t="s">
        <v>2035</v>
      </c>
      <c r="E1524" s="481" t="s">
        <v>3287</v>
      </c>
      <c r="F1524" s="613" t="s">
        <v>3290</v>
      </c>
      <c r="G1524" s="613"/>
      <c r="H1524" s="613"/>
      <c r="I1524" s="621">
        <v>-1244.2</v>
      </c>
      <c r="J1524" s="939">
        <v>-10059.9</v>
      </c>
      <c r="K1524" s="616"/>
      <c r="L1524" s="106"/>
      <c r="M1524" s="615"/>
      <c r="N1524" s="837"/>
    </row>
    <row r="1525" spans="1:14" ht="25.5" x14ac:dyDescent="0.25">
      <c r="A1525" s="838"/>
      <c r="B1525" s="818"/>
      <c r="C1525" s="44" t="s">
        <v>272</v>
      </c>
      <c r="D1525" s="186" t="s">
        <v>3090</v>
      </c>
      <c r="E1525" s="481" t="s">
        <v>3287</v>
      </c>
      <c r="F1525" s="613" t="s">
        <v>3290</v>
      </c>
      <c r="G1525" s="613"/>
      <c r="H1525" s="613"/>
      <c r="I1525" s="621">
        <v>-1244.2</v>
      </c>
      <c r="J1525" s="940"/>
      <c r="K1525" s="617"/>
      <c r="L1525" s="106"/>
      <c r="M1525" s="617"/>
      <c r="N1525" s="837"/>
    </row>
    <row r="1526" spans="1:14" ht="25.5" x14ac:dyDescent="0.25">
      <c r="A1526" s="838"/>
      <c r="B1526" s="818"/>
      <c r="C1526" s="44" t="s">
        <v>2790</v>
      </c>
      <c r="D1526" s="186" t="s">
        <v>2069</v>
      </c>
      <c r="E1526" s="481" t="s">
        <v>3288</v>
      </c>
      <c r="F1526" s="613" t="s">
        <v>3291</v>
      </c>
      <c r="G1526" s="613"/>
      <c r="H1526" s="613"/>
      <c r="I1526" s="621">
        <v>-1353.7</v>
      </c>
      <c r="J1526" s="940"/>
      <c r="K1526" s="618"/>
      <c r="L1526" s="106"/>
      <c r="M1526" s="619"/>
      <c r="N1526" s="837"/>
    </row>
    <row r="1527" spans="1:14" ht="25.5" x14ac:dyDescent="0.25">
      <c r="A1527" s="838"/>
      <c r="B1527" s="818"/>
      <c r="C1527" s="44" t="s">
        <v>2987</v>
      </c>
      <c r="D1527" s="186" t="s">
        <v>2885</v>
      </c>
      <c r="E1527" s="481" t="s">
        <v>3289</v>
      </c>
      <c r="F1527" s="613" t="s">
        <v>3292</v>
      </c>
      <c r="G1527" s="613"/>
      <c r="H1527" s="613"/>
      <c r="I1527" s="621">
        <v>-6217.8</v>
      </c>
      <c r="J1527" s="941"/>
      <c r="K1527" s="618"/>
      <c r="L1527" s="106"/>
      <c r="M1527" s="620"/>
      <c r="N1527" s="837"/>
    </row>
    <row r="1532" spans="1:14" x14ac:dyDescent="0.25">
      <c r="C1532" s="188"/>
    </row>
    <row r="1534" spans="1:14" ht="18.75" x14ac:dyDescent="0.3">
      <c r="A1534" s="651" t="s">
        <v>3395</v>
      </c>
      <c r="B1534" s="536"/>
      <c r="C1534" s="536"/>
      <c r="D1534" s="536"/>
      <c r="E1534" s="536"/>
      <c r="F1534" s="536"/>
      <c r="G1534" s="536"/>
      <c r="H1534" s="536"/>
      <c r="I1534" s="536"/>
      <c r="J1534" s="536"/>
      <c r="K1534" s="536"/>
      <c r="L1534" s="536"/>
      <c r="M1534" s="536"/>
      <c r="N1534" s="536"/>
    </row>
    <row r="1535" spans="1:14" ht="25.5" customHeight="1" x14ac:dyDescent="0.25">
      <c r="A1535" s="834" t="s">
        <v>129</v>
      </c>
      <c r="B1535" s="834" t="s">
        <v>2287</v>
      </c>
      <c r="C1535" s="834" t="s">
        <v>2288</v>
      </c>
      <c r="D1535" s="834" t="s">
        <v>1630</v>
      </c>
      <c r="E1535" s="834" t="s">
        <v>18</v>
      </c>
      <c r="F1535" s="860" t="s">
        <v>41</v>
      </c>
      <c r="G1535" s="862"/>
      <c r="H1535" s="645"/>
      <c r="I1535" s="819" t="s">
        <v>2298</v>
      </c>
      <c r="J1535" s="819" t="s">
        <v>2633</v>
      </c>
      <c r="K1535" s="614"/>
      <c r="L1535" s="614"/>
      <c r="M1535" s="649"/>
      <c r="N1535" s="837"/>
    </row>
    <row r="1536" spans="1:14" x14ac:dyDescent="0.25">
      <c r="A1536" s="834"/>
      <c r="B1536" s="834"/>
      <c r="C1536" s="834"/>
      <c r="D1536" s="834"/>
      <c r="E1536" s="834"/>
      <c r="F1536" s="646" t="s">
        <v>2329</v>
      </c>
      <c r="G1536" s="646" t="s">
        <v>1548</v>
      </c>
      <c r="H1536" s="646" t="s">
        <v>2330</v>
      </c>
      <c r="I1536" s="819"/>
      <c r="J1536" s="819"/>
      <c r="K1536" s="616"/>
      <c r="L1536" s="106"/>
      <c r="M1536" s="649"/>
      <c r="N1536" s="837"/>
    </row>
    <row r="1537" spans="1:14" ht="25.5" x14ac:dyDescent="0.25">
      <c r="A1537" s="838">
        <v>1000105043</v>
      </c>
      <c r="B1537" s="818" t="s">
        <v>1261</v>
      </c>
      <c r="C1537" s="949" t="s">
        <v>47</v>
      </c>
      <c r="D1537" s="655" t="s">
        <v>2035</v>
      </c>
      <c r="E1537" s="481" t="s">
        <v>3408</v>
      </c>
      <c r="F1537" s="613" t="s">
        <v>3409</v>
      </c>
      <c r="G1537" s="613"/>
      <c r="H1537" s="613"/>
      <c r="I1537" s="621">
        <v>-1244.2</v>
      </c>
      <c r="J1537" s="939">
        <v>19086.099999999999</v>
      </c>
      <c r="K1537" s="616"/>
      <c r="L1537" s="106"/>
      <c r="M1537" s="649"/>
      <c r="N1537" s="837"/>
    </row>
    <row r="1538" spans="1:14" ht="25.5" x14ac:dyDescent="0.25">
      <c r="A1538" s="838"/>
      <c r="B1538" s="818"/>
      <c r="C1538" s="950"/>
      <c r="D1538" s="655" t="s">
        <v>3260</v>
      </c>
      <c r="E1538" s="481" t="s">
        <v>3407</v>
      </c>
      <c r="F1538" s="613" t="s">
        <v>3410</v>
      </c>
      <c r="G1538" s="613"/>
      <c r="H1538" s="613"/>
      <c r="I1538" s="621">
        <v>18663</v>
      </c>
      <c r="J1538" s="940"/>
      <c r="K1538" s="616"/>
      <c r="L1538" s="106"/>
      <c r="M1538" s="649"/>
      <c r="N1538" s="837"/>
    </row>
    <row r="1539" spans="1:14" ht="25.5" x14ac:dyDescent="0.25">
      <c r="A1539" s="838"/>
      <c r="B1539" s="818"/>
      <c r="C1539" s="950"/>
      <c r="D1539" s="952" t="s">
        <v>3380</v>
      </c>
      <c r="E1539" s="481" t="s">
        <v>3411</v>
      </c>
      <c r="F1539" s="613" t="s">
        <v>3412</v>
      </c>
      <c r="G1539" s="613"/>
      <c r="H1539" s="613"/>
      <c r="I1539" s="621">
        <v>6221</v>
      </c>
      <c r="J1539" s="940"/>
      <c r="K1539" s="616"/>
      <c r="L1539" s="106"/>
      <c r="M1539" s="649"/>
      <c r="N1539" s="837"/>
    </row>
    <row r="1540" spans="1:14" ht="25.5" x14ac:dyDescent="0.25">
      <c r="A1540" s="838"/>
      <c r="B1540" s="818"/>
      <c r="C1540" s="951"/>
      <c r="D1540" s="953"/>
      <c r="E1540" s="481" t="s">
        <v>3413</v>
      </c>
      <c r="F1540" s="613"/>
      <c r="G1540" s="613" t="s">
        <v>3428</v>
      </c>
      <c r="H1540" s="613"/>
      <c r="I1540" s="621">
        <v>6221</v>
      </c>
      <c r="J1540" s="940"/>
      <c r="K1540" s="616"/>
      <c r="L1540" s="106"/>
      <c r="M1540" s="649"/>
      <c r="N1540" s="837"/>
    </row>
    <row r="1541" spans="1:14" ht="25.5" x14ac:dyDescent="0.25">
      <c r="A1541" s="838"/>
      <c r="B1541" s="818"/>
      <c r="C1541" s="44" t="s">
        <v>272</v>
      </c>
      <c r="D1541" s="18" t="s">
        <v>3090</v>
      </c>
      <c r="E1541" s="481" t="s">
        <v>3414</v>
      </c>
      <c r="F1541" s="613" t="s">
        <v>3415</v>
      </c>
      <c r="G1541" s="613"/>
      <c r="H1541" s="613"/>
      <c r="I1541" s="621">
        <v>-6274.2</v>
      </c>
      <c r="J1541" s="940"/>
      <c r="K1541" s="617"/>
      <c r="L1541" s="106"/>
      <c r="M1541" s="617"/>
      <c r="N1541" s="837"/>
    </row>
    <row r="1542" spans="1:14" ht="25.5" x14ac:dyDescent="0.25">
      <c r="A1542" s="838"/>
      <c r="B1542" s="818"/>
      <c r="C1542" s="44" t="s">
        <v>2790</v>
      </c>
      <c r="D1542" s="18" t="s">
        <v>2069</v>
      </c>
      <c r="E1542" s="481" t="s">
        <v>3416</v>
      </c>
      <c r="F1542" s="613" t="s">
        <v>3417</v>
      </c>
      <c r="G1542" s="613"/>
      <c r="H1542" s="613"/>
      <c r="I1542" s="621">
        <v>-1353.7</v>
      </c>
      <c r="J1542" s="940"/>
      <c r="K1542" s="618"/>
      <c r="L1542" s="106"/>
      <c r="M1542" s="619"/>
      <c r="N1542" s="837"/>
    </row>
    <row r="1543" spans="1:14" ht="25.5" x14ac:dyDescent="0.25">
      <c r="A1543" s="838"/>
      <c r="B1543" s="818"/>
      <c r="C1543" s="44" t="s">
        <v>2987</v>
      </c>
      <c r="D1543" s="18" t="s">
        <v>2885</v>
      </c>
      <c r="E1543" s="481" t="s">
        <v>3418</v>
      </c>
      <c r="F1543" s="613" t="s">
        <v>3419</v>
      </c>
      <c r="G1543" s="613"/>
      <c r="H1543" s="613"/>
      <c r="I1543" s="621">
        <v>-3146.8</v>
      </c>
      <c r="J1543" s="941"/>
      <c r="K1543" s="618"/>
      <c r="L1543" s="106"/>
      <c r="M1543" s="620"/>
      <c r="N1543" s="837"/>
    </row>
    <row r="1544" spans="1:14" ht="25.5" x14ac:dyDescent="0.25">
      <c r="A1544" s="846">
        <v>1000109733</v>
      </c>
      <c r="B1544" s="847" t="s">
        <v>3420</v>
      </c>
      <c r="C1544" s="10" t="s">
        <v>331</v>
      </c>
      <c r="D1544" s="75" t="s">
        <v>3100</v>
      </c>
      <c r="E1544" s="481" t="s">
        <v>3422</v>
      </c>
      <c r="F1544" s="613" t="s">
        <v>3423</v>
      </c>
      <c r="G1544" s="10"/>
      <c r="H1544" s="10"/>
      <c r="I1544" s="654">
        <v>-1177.8</v>
      </c>
      <c r="J1544" s="848">
        <v>18990.2</v>
      </c>
    </row>
    <row r="1545" spans="1:14" ht="25.5" x14ac:dyDescent="0.25">
      <c r="A1545" s="846"/>
      <c r="B1545" s="847"/>
      <c r="C1545" s="845" t="s">
        <v>3421</v>
      </c>
      <c r="D1545" s="851" t="s">
        <v>3325</v>
      </c>
      <c r="E1545" s="481" t="s">
        <v>3424</v>
      </c>
      <c r="F1545" s="613" t="s">
        <v>3425</v>
      </c>
      <c r="G1545" s="10"/>
      <c r="H1545" s="10"/>
      <c r="I1545" s="654">
        <v>4368</v>
      </c>
      <c r="J1545" s="849"/>
    </row>
    <row r="1546" spans="1:14" ht="25.5" x14ac:dyDescent="0.25">
      <c r="A1546" s="846"/>
      <c r="B1546" s="847"/>
      <c r="C1546" s="845"/>
      <c r="D1546" s="852"/>
      <c r="E1546" s="481" t="s">
        <v>3426</v>
      </c>
      <c r="F1546" s="613"/>
      <c r="G1546" s="613" t="s">
        <v>3429</v>
      </c>
      <c r="H1546" s="613"/>
      <c r="I1546" s="654">
        <v>12640</v>
      </c>
      <c r="J1546" s="849"/>
    </row>
    <row r="1547" spans="1:14" s="622" customFormat="1" ht="25.5" x14ac:dyDescent="0.25">
      <c r="A1547" s="846"/>
      <c r="B1547" s="847"/>
      <c r="C1547" s="845"/>
      <c r="D1547" s="853"/>
      <c r="E1547" s="481" t="s">
        <v>3427</v>
      </c>
      <c r="F1547" s="613"/>
      <c r="G1547" s="110"/>
      <c r="H1547" s="613" t="s">
        <v>3430</v>
      </c>
      <c r="I1547" s="654">
        <v>3160</v>
      </c>
      <c r="J1547" s="850"/>
    </row>
    <row r="1551" spans="1:14" x14ac:dyDescent="0.25">
      <c r="A1551" s="56" t="s">
        <v>3396</v>
      </c>
      <c r="E1551">
        <v>5</v>
      </c>
    </row>
    <row r="1552" spans="1:14" s="56" customFormat="1" x14ac:dyDescent="0.25">
      <c r="A1552" s="147" t="s">
        <v>0</v>
      </c>
      <c r="B1552" s="147" t="s">
        <v>281</v>
      </c>
      <c r="C1552" s="147" t="s">
        <v>132</v>
      </c>
      <c r="D1552" s="147" t="s">
        <v>3170</v>
      </c>
      <c r="E1552" s="147" t="s">
        <v>1637</v>
      </c>
      <c r="F1552" s="147" t="s">
        <v>3398</v>
      </c>
      <c r="G1552" s="147"/>
      <c r="H1552" s="147"/>
      <c r="I1552" s="147" t="s">
        <v>3274</v>
      </c>
      <c r="J1552" s="147"/>
    </row>
    <row r="1553" spans="1:11" s="198" customFormat="1" x14ac:dyDescent="0.25">
      <c r="A1553" s="222" t="s">
        <v>3262</v>
      </c>
      <c r="B1553" s="222" t="s">
        <v>3162</v>
      </c>
      <c r="C1553" s="222">
        <v>479</v>
      </c>
      <c r="D1553" s="222">
        <v>1</v>
      </c>
      <c r="E1553" s="222">
        <f>C1553*D1553*$E$1551</f>
        <v>2395</v>
      </c>
      <c r="F1553" s="222">
        <f>C1553*D1553*24</f>
        <v>11496</v>
      </c>
      <c r="G1553" s="222"/>
      <c r="H1553" s="222"/>
      <c r="I1553" s="222" t="s">
        <v>3399</v>
      </c>
      <c r="J1553" s="222">
        <f>C1553*1</f>
        <v>479</v>
      </c>
      <c r="K1553" s="225"/>
    </row>
    <row r="1554" spans="1:11" x14ac:dyDescent="0.25">
      <c r="A1554" s="222" t="s">
        <v>3264</v>
      </c>
      <c r="B1554" s="110" t="s">
        <v>271</v>
      </c>
      <c r="C1554" s="110">
        <v>488</v>
      </c>
      <c r="D1554" s="110">
        <v>1</v>
      </c>
      <c r="E1554" s="222">
        <f t="shared" ref="E1554:E1563" si="21">C1554*D1554*$E$1551</f>
        <v>2440</v>
      </c>
      <c r="F1554" s="222">
        <f>C1554*D1554*23</f>
        <v>11224</v>
      </c>
      <c r="G1554" s="222"/>
      <c r="H1554" s="222"/>
      <c r="I1554" s="222" t="s">
        <v>3400</v>
      </c>
      <c r="J1554" s="110">
        <f>C1554*2</f>
        <v>976</v>
      </c>
    </row>
    <row r="1555" spans="1:11" x14ac:dyDescent="0.25">
      <c r="A1555" s="222" t="s">
        <v>3266</v>
      </c>
      <c r="B1555" s="110" t="s">
        <v>2807</v>
      </c>
      <c r="C1555" s="110">
        <v>179</v>
      </c>
      <c r="D1555" s="110">
        <v>1</v>
      </c>
      <c r="E1555" s="222">
        <f t="shared" si="21"/>
        <v>895</v>
      </c>
      <c r="F1555" s="222">
        <f t="shared" ref="F1555:F1563" si="22">C1555*D1555*24</f>
        <v>4296</v>
      </c>
      <c r="G1555" s="222"/>
      <c r="H1555" s="222"/>
      <c r="I1555" s="110" t="s">
        <v>3401</v>
      </c>
      <c r="J1555" s="110">
        <f>C1555</f>
        <v>179</v>
      </c>
    </row>
    <row r="1556" spans="1:11" x14ac:dyDescent="0.25">
      <c r="A1556" s="222" t="s">
        <v>3267</v>
      </c>
      <c r="B1556" s="110" t="s">
        <v>2779</v>
      </c>
      <c r="C1556" s="110">
        <v>179</v>
      </c>
      <c r="D1556" s="110">
        <v>1</v>
      </c>
      <c r="E1556" s="222">
        <f t="shared" si="21"/>
        <v>895</v>
      </c>
      <c r="F1556" s="222">
        <f t="shared" si="22"/>
        <v>4296</v>
      </c>
      <c r="G1556" s="222"/>
      <c r="H1556" s="222"/>
      <c r="I1556" s="110" t="s">
        <v>3401</v>
      </c>
      <c r="J1556" s="110">
        <f>C1556</f>
        <v>179</v>
      </c>
    </row>
    <row r="1557" spans="1:11" x14ac:dyDescent="0.25">
      <c r="A1557" s="222" t="s">
        <v>3403</v>
      </c>
      <c r="B1557" s="110" t="s">
        <v>3163</v>
      </c>
      <c r="C1557" s="110">
        <v>168</v>
      </c>
      <c r="D1557" s="110">
        <v>1</v>
      </c>
      <c r="E1557" s="222">
        <f t="shared" si="21"/>
        <v>840</v>
      </c>
      <c r="F1557" s="222">
        <f t="shared" si="22"/>
        <v>4032</v>
      </c>
      <c r="G1557" s="222"/>
      <c r="H1557" s="222"/>
      <c r="I1557" s="110" t="s">
        <v>3401</v>
      </c>
      <c r="J1557" s="110">
        <f>C1557*D1557</f>
        <v>168</v>
      </c>
    </row>
    <row r="1558" spans="1:11" x14ac:dyDescent="0.25">
      <c r="A1558" s="222" t="s">
        <v>3402</v>
      </c>
      <c r="B1558" s="110" t="s">
        <v>3163</v>
      </c>
      <c r="C1558" s="110">
        <v>168</v>
      </c>
      <c r="D1558" s="110">
        <v>1</v>
      </c>
      <c r="E1558" s="222">
        <f>C1558*D1558*$E$1551</f>
        <v>840</v>
      </c>
      <c r="F1558" s="222">
        <f>C1558*D1558*9</f>
        <v>1512</v>
      </c>
      <c r="G1558" s="222"/>
      <c r="H1558" s="222"/>
      <c r="I1558" s="110" t="s">
        <v>3405</v>
      </c>
      <c r="J1558" s="110">
        <f>C1558*D1558</f>
        <v>168</v>
      </c>
    </row>
    <row r="1559" spans="1:11" x14ac:dyDescent="0.25">
      <c r="A1559" s="222" t="s">
        <v>3270</v>
      </c>
      <c r="B1559" s="110" t="s">
        <v>3164</v>
      </c>
      <c r="C1559" s="110">
        <v>179</v>
      </c>
      <c r="D1559" s="110">
        <v>2</v>
      </c>
      <c r="E1559" s="222">
        <f t="shared" si="21"/>
        <v>1790</v>
      </c>
      <c r="F1559" s="222">
        <f t="shared" si="22"/>
        <v>8592</v>
      </c>
      <c r="G1559" s="222"/>
      <c r="H1559" s="222"/>
      <c r="I1559" s="110" t="s">
        <v>3401</v>
      </c>
      <c r="J1559" s="110">
        <f>C1559*D1559</f>
        <v>358</v>
      </c>
    </row>
    <row r="1560" spans="1:11" x14ac:dyDescent="0.25">
      <c r="A1560" s="222" t="s">
        <v>3269</v>
      </c>
      <c r="B1560" s="110" t="s">
        <v>3162</v>
      </c>
      <c r="C1560" s="110">
        <v>158</v>
      </c>
      <c r="D1560" s="110">
        <v>1</v>
      </c>
      <c r="E1560" s="222">
        <f t="shared" si="21"/>
        <v>790</v>
      </c>
      <c r="F1560" s="222">
        <f t="shared" si="22"/>
        <v>3792</v>
      </c>
      <c r="G1560" s="222"/>
      <c r="H1560" s="222"/>
      <c r="I1560" s="110" t="s">
        <v>3401</v>
      </c>
      <c r="J1560" s="110">
        <f>C1560</f>
        <v>158</v>
      </c>
    </row>
    <row r="1561" spans="1:11" x14ac:dyDescent="0.25">
      <c r="A1561" s="222" t="s">
        <v>3404</v>
      </c>
      <c r="B1561" s="110" t="s">
        <v>3162</v>
      </c>
      <c r="C1561" s="110">
        <v>158</v>
      </c>
      <c r="D1561" s="110">
        <v>1</v>
      </c>
      <c r="E1561" s="222">
        <f>C1561*D1561*$E$1551</f>
        <v>790</v>
      </c>
      <c r="F1561" s="222">
        <f>C1561*D1561*15</f>
        <v>2370</v>
      </c>
      <c r="G1561" s="222"/>
      <c r="H1561" s="222"/>
      <c r="I1561" s="110" t="s">
        <v>3406</v>
      </c>
      <c r="J1561" s="110">
        <f>C1561</f>
        <v>158</v>
      </c>
    </row>
    <row r="1562" spans="1:11" x14ac:dyDescent="0.25">
      <c r="A1562" s="222" t="s">
        <v>3271</v>
      </c>
      <c r="B1562" s="110" t="s">
        <v>297</v>
      </c>
      <c r="C1562" s="110">
        <v>156</v>
      </c>
      <c r="D1562" s="110">
        <v>2</v>
      </c>
      <c r="E1562" s="222">
        <f t="shared" si="21"/>
        <v>1560</v>
      </c>
      <c r="F1562" s="222">
        <f t="shared" si="22"/>
        <v>7488</v>
      </c>
      <c r="G1562" s="222"/>
      <c r="H1562" s="222"/>
      <c r="I1562" s="110" t="s">
        <v>3401</v>
      </c>
      <c r="J1562" s="110">
        <f>C1562*D1562</f>
        <v>312</v>
      </c>
    </row>
    <row r="1563" spans="1:11" x14ac:dyDescent="0.25">
      <c r="A1563" s="222" t="s">
        <v>3272</v>
      </c>
      <c r="B1563" s="110" t="s">
        <v>3165</v>
      </c>
      <c r="C1563" s="110">
        <v>198</v>
      </c>
      <c r="D1563" s="110">
        <v>0.1</v>
      </c>
      <c r="E1563" s="222">
        <f t="shared" si="21"/>
        <v>99</v>
      </c>
      <c r="F1563" s="222">
        <f t="shared" si="22"/>
        <v>475.20000000000005</v>
      </c>
      <c r="G1563" s="222"/>
      <c r="H1563" s="222"/>
      <c r="I1563" s="110" t="s">
        <v>3401</v>
      </c>
      <c r="J1563" s="110">
        <v>19.8</v>
      </c>
    </row>
    <row r="1564" spans="1:11" x14ac:dyDescent="0.25">
      <c r="A1564" s="110"/>
      <c r="B1564" s="110"/>
      <c r="C1564" s="110"/>
      <c r="D1564" s="110"/>
      <c r="E1564" s="110">
        <f>SUM(E1553:E1563)</f>
        <v>13334</v>
      </c>
      <c r="F1564" s="147">
        <f>SUM(F1553:F1563)</f>
        <v>59573.2</v>
      </c>
      <c r="G1564" s="147"/>
      <c r="H1564" s="147"/>
      <c r="I1564" s="110"/>
      <c r="J1564" s="110"/>
    </row>
    <row r="1565" spans="1:11" x14ac:dyDescent="0.25">
      <c r="A1565" s="110"/>
      <c r="B1565" s="110"/>
      <c r="C1565" s="110"/>
      <c r="D1565" s="110"/>
      <c r="E1565" s="110" t="s">
        <v>3397</v>
      </c>
      <c r="F1565" s="110">
        <v>62720</v>
      </c>
      <c r="G1565" s="110"/>
      <c r="H1565" s="110"/>
      <c r="I1565" s="147">
        <f>F1565-F1564</f>
        <v>3146.8000000000029</v>
      </c>
      <c r="J1565" s="168" t="s">
        <v>3277</v>
      </c>
    </row>
    <row r="1568" spans="1:11" x14ac:dyDescent="0.25">
      <c r="F1568" s="188"/>
      <c r="G1568" s="188"/>
      <c r="H1568" s="188"/>
    </row>
    <row r="1569" spans="1:5" s="56" customFormat="1" ht="15" hidden="1" customHeight="1" x14ac:dyDescent="0.25">
      <c r="A1569" s="56" t="s">
        <v>3388</v>
      </c>
      <c r="C1569" s="56" t="s">
        <v>3457</v>
      </c>
      <c r="D1569" s="56" t="s">
        <v>3458</v>
      </c>
      <c r="E1569" s="56" t="s">
        <v>18</v>
      </c>
    </row>
    <row r="1570" spans="1:5" ht="15" hidden="1" customHeight="1" x14ac:dyDescent="0.25">
      <c r="A1570" t="s">
        <v>3450</v>
      </c>
      <c r="C1570">
        <v>120393</v>
      </c>
      <c r="D1570">
        <f>C1570*1.5527</f>
        <v>186934.21109999999</v>
      </c>
    </row>
    <row r="1571" spans="1:5" ht="15" hidden="1" customHeight="1" x14ac:dyDescent="0.25">
      <c r="A1571" t="s">
        <v>273</v>
      </c>
      <c r="C1571">
        <v>41964</v>
      </c>
      <c r="D1571">
        <f t="shared" ref="D1571:D1579" si="23">C1571*1.5527</f>
        <v>65157.502800000002</v>
      </c>
    </row>
    <row r="1572" spans="1:5" ht="15" hidden="1" customHeight="1" x14ac:dyDescent="0.25">
      <c r="A1572" t="s">
        <v>1503</v>
      </c>
      <c r="C1572">
        <v>44462</v>
      </c>
      <c r="D1572">
        <f t="shared" si="23"/>
        <v>69036.147400000002</v>
      </c>
    </row>
    <row r="1573" spans="1:5" ht="15" hidden="1" customHeight="1" x14ac:dyDescent="0.25">
      <c r="A1573" t="s">
        <v>3451</v>
      </c>
      <c r="C1573">
        <v>6593</v>
      </c>
      <c r="D1573">
        <f t="shared" si="23"/>
        <v>10236.9511</v>
      </c>
    </row>
    <row r="1574" spans="1:5" ht="15" hidden="1" customHeight="1" x14ac:dyDescent="0.25">
      <c r="A1574" t="s">
        <v>3452</v>
      </c>
      <c r="C1574">
        <v>38000</v>
      </c>
      <c r="D1574">
        <f t="shared" si="23"/>
        <v>59002.6</v>
      </c>
    </row>
    <row r="1575" spans="1:5" ht="15" hidden="1" customHeight="1" x14ac:dyDescent="0.25">
      <c r="C1575" s="56">
        <f>SUM(C1570:C1574)</f>
        <v>251412</v>
      </c>
      <c r="D1575" s="56">
        <f t="shared" si="23"/>
        <v>390367.41239999997</v>
      </c>
    </row>
    <row r="1576" spans="1:5" ht="15" hidden="1" customHeight="1" x14ac:dyDescent="0.25">
      <c r="A1576" t="s">
        <v>2242</v>
      </c>
      <c r="C1576">
        <f>31409+5982+31409+53651+19950</f>
        <v>142401</v>
      </c>
      <c r="D1576">
        <f t="shared" si="23"/>
        <v>221106.03269999998</v>
      </c>
      <c r="E1576" t="s">
        <v>3454</v>
      </c>
    </row>
    <row r="1577" spans="1:5" ht="15" hidden="1" customHeight="1" x14ac:dyDescent="0.25">
      <c r="A1577" t="s">
        <v>3453</v>
      </c>
      <c r="C1577">
        <f>24733+12900</f>
        <v>37633</v>
      </c>
      <c r="D1577">
        <f t="shared" si="23"/>
        <v>58432.759099999996</v>
      </c>
      <c r="E1577" t="s">
        <v>3455</v>
      </c>
    </row>
    <row r="1578" spans="1:5" ht="15" hidden="1" customHeight="1" x14ac:dyDescent="0.25">
      <c r="A1578" t="s">
        <v>3324</v>
      </c>
      <c r="C1578">
        <v>34000</v>
      </c>
      <c r="D1578">
        <f t="shared" si="23"/>
        <v>52791.799999999996</v>
      </c>
      <c r="E1578" t="s">
        <v>3456</v>
      </c>
    </row>
    <row r="1579" spans="1:5" ht="15" hidden="1" customHeight="1" x14ac:dyDescent="0.25">
      <c r="C1579" s="56">
        <f>SUM(C1576:C1578)</f>
        <v>214034</v>
      </c>
      <c r="D1579" s="56">
        <f t="shared" si="23"/>
        <v>332330.59179999999</v>
      </c>
    </row>
    <row r="1580" spans="1:5" ht="15" hidden="1" customHeight="1" x14ac:dyDescent="0.25">
      <c r="D1580">
        <f>D1575+D1579</f>
        <v>722698.00419999997</v>
      </c>
    </row>
    <row r="1581" spans="1:5" ht="15" hidden="1" customHeight="1" x14ac:dyDescent="0.25"/>
    <row r="1582" spans="1:5" ht="15" hidden="1" customHeight="1" x14ac:dyDescent="0.25"/>
    <row r="1583" spans="1:5" ht="15" hidden="1" customHeight="1" x14ac:dyDescent="0.25"/>
    <row r="1584" spans="1:5" ht="15" hidden="1" customHeight="1" x14ac:dyDescent="0.25"/>
    <row r="1585" spans="1:14" ht="15" hidden="1" customHeight="1" x14ac:dyDescent="0.25"/>
    <row r="1586" spans="1:14" ht="15" hidden="1" customHeight="1" x14ac:dyDescent="0.25"/>
    <row r="1587" spans="1:14" ht="15.75" hidden="1" customHeight="1" thickBot="1" x14ac:dyDescent="0.3">
      <c r="A1587" t="s">
        <v>3302</v>
      </c>
      <c r="B1587" t="s">
        <v>3303</v>
      </c>
      <c r="C1587" t="s">
        <v>3304</v>
      </c>
      <c r="D1587" t="s">
        <v>3305</v>
      </c>
      <c r="E1587" t="s">
        <v>1713</v>
      </c>
    </row>
    <row r="1588" spans="1:14" ht="15.75" hidden="1" customHeight="1" thickBot="1" x14ac:dyDescent="0.3">
      <c r="A1588" s="629" t="s">
        <v>3297</v>
      </c>
      <c r="B1588" s="623">
        <v>2</v>
      </c>
      <c r="C1588" s="624"/>
      <c r="D1588" s="624">
        <v>199</v>
      </c>
      <c r="E1588" s="625">
        <v>51740</v>
      </c>
      <c r="I1588">
        <f>B1588*D1588*130</f>
        <v>51740</v>
      </c>
    </row>
    <row r="1589" spans="1:14" ht="15.75" hidden="1" customHeight="1" thickBot="1" x14ac:dyDescent="0.3">
      <c r="A1589" s="630" t="s">
        <v>3298</v>
      </c>
      <c r="B1589" s="626">
        <v>2</v>
      </c>
      <c r="C1589" s="627"/>
      <c r="D1589" s="627">
        <v>179</v>
      </c>
      <c r="E1589" s="628">
        <v>46540</v>
      </c>
      <c r="I1589">
        <f>B1589*D1589*130</f>
        <v>46540</v>
      </c>
    </row>
    <row r="1590" spans="1:14" ht="15.75" hidden="1" customHeight="1" thickBot="1" x14ac:dyDescent="0.3">
      <c r="A1590" s="630" t="s">
        <v>3299</v>
      </c>
      <c r="B1590" s="626">
        <v>1</v>
      </c>
      <c r="C1590" s="627"/>
      <c r="D1590" s="627">
        <v>179</v>
      </c>
      <c r="E1590" s="628">
        <v>23270</v>
      </c>
      <c r="I1590">
        <f>B1590*D1590*130</f>
        <v>23270</v>
      </c>
    </row>
    <row r="1591" spans="1:14" ht="15.75" hidden="1" customHeight="1" thickBot="1" x14ac:dyDescent="0.3">
      <c r="A1591" s="630" t="s">
        <v>3300</v>
      </c>
      <c r="B1591" s="626">
        <v>2</v>
      </c>
      <c r="C1591" s="627"/>
      <c r="D1591" s="627">
        <v>156</v>
      </c>
      <c r="E1591" s="628">
        <v>20280</v>
      </c>
      <c r="I1591">
        <f>B1591*D1591*130</f>
        <v>40560</v>
      </c>
    </row>
    <row r="1592" spans="1:14" ht="15.75" hidden="1" customHeight="1" thickBot="1" x14ac:dyDescent="0.3">
      <c r="A1592" s="630" t="s">
        <v>3306</v>
      </c>
      <c r="B1592" s="626">
        <v>1</v>
      </c>
      <c r="C1592" s="627">
        <v>514</v>
      </c>
      <c r="D1592" s="627"/>
      <c r="E1592" s="628">
        <v>66820</v>
      </c>
      <c r="I1592">
        <f>B1592*C1592*130</f>
        <v>66820</v>
      </c>
    </row>
    <row r="1593" spans="1:14" ht="15.75" hidden="1" customHeight="1" thickBot="1" x14ac:dyDescent="0.3">
      <c r="A1593" s="630" t="s">
        <v>3301</v>
      </c>
      <c r="B1593" s="626">
        <v>8</v>
      </c>
      <c r="C1593" s="627"/>
      <c r="D1593" s="627"/>
      <c r="E1593" s="628">
        <v>228930</v>
      </c>
    </row>
    <row r="1597" spans="1:14" ht="18.75" x14ac:dyDescent="0.3">
      <c r="A1597" s="652" t="s">
        <v>3462</v>
      </c>
      <c r="B1597" s="536"/>
      <c r="C1597" s="536"/>
      <c r="D1597" s="536"/>
      <c r="E1597" s="536"/>
      <c r="F1597" s="536"/>
      <c r="G1597" s="536"/>
      <c r="H1597" s="536"/>
      <c r="I1597" s="536"/>
      <c r="J1597" s="536"/>
      <c r="K1597" s="536"/>
      <c r="L1597" s="536"/>
      <c r="M1597" s="536"/>
      <c r="N1597" s="536"/>
    </row>
    <row r="1598" spans="1:14" ht="25.5" customHeight="1" x14ac:dyDescent="0.25">
      <c r="A1598" s="834" t="s">
        <v>129</v>
      </c>
      <c r="B1598" s="834" t="s">
        <v>2287</v>
      </c>
      <c r="C1598" s="834" t="s">
        <v>2288</v>
      </c>
      <c r="D1598" s="834" t="s">
        <v>1630</v>
      </c>
      <c r="E1598" s="834" t="s">
        <v>18</v>
      </c>
      <c r="F1598" s="819" t="s">
        <v>41</v>
      </c>
      <c r="G1598" s="819"/>
      <c r="H1598" s="819"/>
      <c r="I1598" s="819"/>
      <c r="J1598" s="819"/>
      <c r="K1598" s="819"/>
      <c r="L1598" s="827" t="s">
        <v>2259</v>
      </c>
      <c r="M1598" s="656" t="s">
        <v>3461</v>
      </c>
      <c r="N1598" s="837"/>
    </row>
    <row r="1599" spans="1:14" x14ac:dyDescent="0.25">
      <c r="A1599" s="834"/>
      <c r="B1599" s="834"/>
      <c r="C1599" s="834"/>
      <c r="D1599" s="834"/>
      <c r="E1599" s="834"/>
      <c r="F1599" s="657" t="s">
        <v>1548</v>
      </c>
      <c r="G1599" s="657" t="s">
        <v>2330</v>
      </c>
      <c r="H1599" s="657" t="s">
        <v>2331</v>
      </c>
      <c r="I1599" s="658" t="s">
        <v>3459</v>
      </c>
      <c r="J1599" s="658" t="s">
        <v>3460</v>
      </c>
      <c r="K1599" s="40" t="s">
        <v>2332</v>
      </c>
      <c r="L1599" s="948"/>
      <c r="M1599" s="656"/>
      <c r="N1599" s="837"/>
    </row>
    <row r="1600" spans="1:14" ht="14.25" customHeight="1" x14ac:dyDescent="0.25">
      <c r="A1600" s="942">
        <v>1000105043</v>
      </c>
      <c r="B1600" s="944" t="s">
        <v>1261</v>
      </c>
      <c r="C1600" s="44" t="s">
        <v>2790</v>
      </c>
      <c r="D1600" s="18" t="s">
        <v>3323</v>
      </c>
      <c r="E1600" s="481" t="s">
        <v>2632</v>
      </c>
      <c r="F1600" s="659">
        <v>27074</v>
      </c>
      <c r="G1600" s="659">
        <v>27074</v>
      </c>
      <c r="H1600" s="659">
        <v>33842.5</v>
      </c>
      <c r="I1600" s="659">
        <v>27074</v>
      </c>
      <c r="J1600" s="659">
        <v>27074</v>
      </c>
      <c r="K1600" s="659">
        <v>33842.5</v>
      </c>
      <c r="L1600" s="660">
        <f>SUM(F1600:K1600)</f>
        <v>175981</v>
      </c>
      <c r="M1600" s="946">
        <f>L1600+L1601</f>
        <v>386424</v>
      </c>
      <c r="N1600" s="837"/>
    </row>
    <row r="1601" spans="1:14" ht="14.25" customHeight="1" x14ac:dyDescent="0.25">
      <c r="A1601" s="943"/>
      <c r="B1601" s="945"/>
      <c r="C1601" s="44" t="s">
        <v>2987</v>
      </c>
      <c r="D1601" s="18" t="s">
        <v>3381</v>
      </c>
      <c r="E1601" s="481" t="s">
        <v>2632</v>
      </c>
      <c r="F1601" s="621">
        <v>37137</v>
      </c>
      <c r="G1601" s="621">
        <v>49516</v>
      </c>
      <c r="H1601" s="621">
        <v>61895</v>
      </c>
      <c r="I1601" s="621">
        <v>49516</v>
      </c>
      <c r="J1601" s="621">
        <v>12379</v>
      </c>
      <c r="K1601" s="659">
        <v>0</v>
      </c>
      <c r="L1601" s="660">
        <f>SUM(F1601:K1601)</f>
        <v>210443</v>
      </c>
      <c r="M1601" s="947"/>
      <c r="N1601" s="837"/>
    </row>
    <row r="1606" spans="1:14" x14ac:dyDescent="0.25">
      <c r="A1606" s="56" t="s">
        <v>3518</v>
      </c>
    </row>
    <row r="1607" spans="1:14" x14ac:dyDescent="0.25">
      <c r="B1607" t="s">
        <v>1630</v>
      </c>
      <c r="C1607" t="s">
        <v>230</v>
      </c>
      <c r="D1607" t="s">
        <v>3513</v>
      </c>
      <c r="E1607" t="s">
        <v>3514</v>
      </c>
      <c r="F1607" t="s">
        <v>3515</v>
      </c>
      <c r="G1607" t="s">
        <v>3516</v>
      </c>
      <c r="H1607" t="s">
        <v>3517</v>
      </c>
    </row>
    <row r="1608" spans="1:14" x14ac:dyDescent="0.25">
      <c r="A1608" s="830" t="s">
        <v>2857</v>
      </c>
      <c r="B1608" s="214" t="s">
        <v>2035</v>
      </c>
      <c r="C1608" s="218">
        <v>60146577</v>
      </c>
      <c r="D1608" s="219">
        <v>41848</v>
      </c>
      <c r="E1608" s="219">
        <v>42035</v>
      </c>
      <c r="F1608" s="429">
        <v>167967</v>
      </c>
      <c r="G1608" s="429">
        <v>155525</v>
      </c>
      <c r="H1608" s="429">
        <f>F1608-G1608</f>
        <v>12442</v>
      </c>
      <c r="I1608" s="603"/>
    </row>
    <row r="1609" spans="1:14" x14ac:dyDescent="0.25">
      <c r="A1609" s="854"/>
      <c r="B1609" s="214" t="s">
        <v>3260</v>
      </c>
      <c r="C1609" s="218" t="s">
        <v>1266</v>
      </c>
      <c r="D1609" s="219">
        <v>42037</v>
      </c>
      <c r="E1609" s="219">
        <v>42055</v>
      </c>
      <c r="F1609" s="604">
        <v>18663</v>
      </c>
      <c r="G1609" s="604">
        <v>18663</v>
      </c>
      <c r="H1609" s="429">
        <f>F1609-G1609</f>
        <v>0</v>
      </c>
      <c r="I1609" s="603"/>
    </row>
    <row r="1610" spans="1:14" x14ac:dyDescent="0.25">
      <c r="A1610" s="831"/>
      <c r="B1610" s="214" t="s">
        <v>3380</v>
      </c>
      <c r="C1610" s="218" t="s">
        <v>1266</v>
      </c>
      <c r="D1610" s="211">
        <v>42058</v>
      </c>
      <c r="E1610" s="219">
        <v>42069</v>
      </c>
      <c r="F1610" s="604">
        <v>12442</v>
      </c>
      <c r="G1610">
        <v>11197.8</v>
      </c>
      <c r="H1610" s="429">
        <f>F1610-G1610</f>
        <v>1244.2000000000007</v>
      </c>
      <c r="I1610" s="312"/>
    </row>
    <row r="1614" spans="1:14" x14ac:dyDescent="0.25">
      <c r="A1614" s="56" t="s">
        <v>3528</v>
      </c>
    </row>
    <row r="1615" spans="1:14" x14ac:dyDescent="0.25">
      <c r="A1615" s="110" t="s">
        <v>0</v>
      </c>
      <c r="B1615" s="110" t="s">
        <v>2319</v>
      </c>
      <c r="C1615" s="110" t="s">
        <v>1008</v>
      </c>
      <c r="D1615" s="110" t="s">
        <v>3532</v>
      </c>
    </row>
    <row r="1616" spans="1:14" x14ac:dyDescent="0.25">
      <c r="A1616" s="110" t="s">
        <v>3529</v>
      </c>
      <c r="B1616" s="110">
        <v>168</v>
      </c>
      <c r="C1616" s="110">
        <v>19</v>
      </c>
      <c r="D1616" s="110">
        <f>B1616*C1616</f>
        <v>3192</v>
      </c>
    </row>
    <row r="1617" spans="1:14" x14ac:dyDescent="0.25">
      <c r="A1617" s="110" t="s">
        <v>3530</v>
      </c>
      <c r="B1617" s="110">
        <v>168</v>
      </c>
      <c r="C1617" s="110">
        <v>19</v>
      </c>
      <c r="D1617" s="110">
        <f>B1617*C1617</f>
        <v>3192</v>
      </c>
    </row>
    <row r="1618" spans="1:14" x14ac:dyDescent="0.25">
      <c r="A1618" s="110" t="s">
        <v>3531</v>
      </c>
      <c r="B1618" s="110">
        <v>140</v>
      </c>
      <c r="C1618" s="110">
        <v>19</v>
      </c>
      <c r="D1618" s="110">
        <f>B1618*C1618</f>
        <v>2660</v>
      </c>
    </row>
    <row r="1619" spans="1:14" x14ac:dyDescent="0.25">
      <c r="A1619" s="110"/>
      <c r="B1619" s="110"/>
      <c r="C1619" s="110"/>
      <c r="D1619" s="147">
        <f>SUM(D1616:D1618)</f>
        <v>9044</v>
      </c>
    </row>
    <row r="1627" spans="1:14" ht="18.75" x14ac:dyDescent="0.3">
      <c r="A1627" s="594" t="s">
        <v>3534</v>
      </c>
      <c r="B1627" s="536"/>
      <c r="C1627" s="536"/>
      <c r="D1627" s="536"/>
      <c r="E1627" s="536"/>
      <c r="F1627" s="536"/>
      <c r="G1627" s="536"/>
      <c r="H1627" s="536"/>
      <c r="I1627" s="536"/>
      <c r="J1627" s="536"/>
      <c r="K1627" s="536"/>
      <c r="L1627" s="536"/>
      <c r="M1627" s="536"/>
      <c r="N1627" s="536"/>
    </row>
    <row r="1628" spans="1:14" x14ac:dyDescent="0.25">
      <c r="A1628" s="834" t="s">
        <v>129</v>
      </c>
      <c r="B1628" s="834" t="s">
        <v>2287</v>
      </c>
      <c r="C1628" s="834" t="s">
        <v>2288</v>
      </c>
      <c r="D1628" s="834" t="s">
        <v>1630</v>
      </c>
      <c r="E1628" s="834" t="s">
        <v>18</v>
      </c>
      <c r="F1628" s="665" t="s">
        <v>41</v>
      </c>
      <c r="G1628" s="819" t="s">
        <v>2298</v>
      </c>
      <c r="H1628" s="819" t="s">
        <v>3461</v>
      </c>
      <c r="I1628" s="837"/>
      <c r="J1628" s="837"/>
      <c r="K1628" s="837"/>
      <c r="L1628" s="837"/>
      <c r="M1628" s="837"/>
      <c r="N1628" s="837"/>
    </row>
    <row r="1629" spans="1:14" x14ac:dyDescent="0.25">
      <c r="A1629" s="834"/>
      <c r="B1629" s="834"/>
      <c r="C1629" s="834"/>
      <c r="D1629" s="834"/>
      <c r="E1629" s="834"/>
      <c r="F1629" s="664" t="s">
        <v>1548</v>
      </c>
      <c r="G1629" s="819"/>
      <c r="H1629" s="819"/>
      <c r="I1629" s="837"/>
      <c r="J1629" s="837"/>
      <c r="K1629" s="837"/>
      <c r="L1629" s="837"/>
      <c r="M1629" s="837"/>
      <c r="N1629" s="837"/>
    </row>
    <row r="1630" spans="1:14" ht="25.5" x14ac:dyDescent="0.25">
      <c r="A1630" s="838">
        <v>1000105043</v>
      </c>
      <c r="B1630" s="818" t="s">
        <v>1261</v>
      </c>
      <c r="C1630" s="954" t="s">
        <v>2781</v>
      </c>
      <c r="D1630" s="18" t="s">
        <v>3380</v>
      </c>
      <c r="E1630" s="481" t="s">
        <v>3536</v>
      </c>
      <c r="F1630" s="613" t="s">
        <v>3409</v>
      </c>
      <c r="G1630" s="659">
        <v>-1244.2</v>
      </c>
      <c r="H1630" s="840">
        <v>17400.599999999999</v>
      </c>
      <c r="I1630" s="955"/>
      <c r="J1630" s="837"/>
      <c r="K1630" s="837"/>
      <c r="L1630" s="837"/>
      <c r="M1630" s="837"/>
      <c r="N1630" s="837"/>
    </row>
    <row r="1631" spans="1:14" s="225" customFormat="1" ht="25.5" x14ac:dyDescent="0.25">
      <c r="A1631" s="838"/>
      <c r="B1631" s="818"/>
      <c r="C1631" s="954"/>
      <c r="D1631" s="18" t="s">
        <v>2035</v>
      </c>
      <c r="E1631" s="670" t="s">
        <v>3560</v>
      </c>
      <c r="F1631" s="613" t="s">
        <v>3554</v>
      </c>
      <c r="G1631" s="659">
        <v>4620</v>
      </c>
      <c r="H1631" s="840"/>
      <c r="I1631" s="955"/>
      <c r="J1631" s="837"/>
      <c r="K1631" s="837"/>
      <c r="L1631" s="837"/>
      <c r="M1631" s="837"/>
      <c r="N1631" s="837"/>
    </row>
    <row r="1632" spans="1:14" s="225" customFormat="1" ht="25.5" x14ac:dyDescent="0.25">
      <c r="A1632" s="838"/>
      <c r="B1632" s="818"/>
      <c r="C1632" s="669" t="s">
        <v>272</v>
      </c>
      <c r="D1632" s="18" t="s">
        <v>3090</v>
      </c>
      <c r="E1632" s="670" t="s">
        <v>3561</v>
      </c>
      <c r="F1632" s="613" t="s">
        <v>3537</v>
      </c>
      <c r="G1632" s="659">
        <v>-2501.6999999999998</v>
      </c>
      <c r="H1632" s="840"/>
      <c r="I1632" s="955"/>
      <c r="J1632" s="837"/>
      <c r="K1632" s="837"/>
      <c r="L1632" s="837"/>
      <c r="M1632" s="837"/>
      <c r="N1632" s="837"/>
    </row>
    <row r="1633" spans="1:13" s="225" customFormat="1" ht="25.5" x14ac:dyDescent="0.25">
      <c r="A1633" s="838"/>
      <c r="B1633" s="818"/>
      <c r="C1633" s="23" t="s">
        <v>2790</v>
      </c>
      <c r="D1633" s="23" t="s">
        <v>3323</v>
      </c>
      <c r="E1633" s="670" t="s">
        <v>3562</v>
      </c>
      <c r="F1633" s="613" t="s">
        <v>3538</v>
      </c>
      <c r="G1633" s="659">
        <v>-1353.7</v>
      </c>
      <c r="H1633" s="840"/>
      <c r="I1633" s="955"/>
      <c r="J1633" s="837"/>
      <c r="K1633" s="837"/>
      <c r="L1633" s="837"/>
      <c r="M1633" s="837"/>
    </row>
    <row r="1634" spans="1:13" s="225" customFormat="1" ht="25.5" x14ac:dyDescent="0.25">
      <c r="A1634" s="838"/>
      <c r="B1634" s="818"/>
      <c r="C1634" s="845" t="s">
        <v>3535</v>
      </c>
      <c r="D1634" s="23" t="s">
        <v>2885</v>
      </c>
      <c r="E1634" s="670" t="s">
        <v>3563</v>
      </c>
      <c r="F1634" s="613" t="s">
        <v>3539</v>
      </c>
      <c r="G1634" s="659">
        <v>-1581.8</v>
      </c>
      <c r="H1634" s="840"/>
      <c r="I1634" s="955"/>
      <c r="J1634" s="837"/>
      <c r="K1634" s="837"/>
      <c r="L1634" s="837"/>
      <c r="M1634" s="837"/>
    </row>
    <row r="1635" spans="1:13" ht="25.5" x14ac:dyDescent="0.25">
      <c r="A1635" s="838"/>
      <c r="B1635" s="818"/>
      <c r="C1635" s="845"/>
      <c r="D1635" s="10" t="s">
        <v>3381</v>
      </c>
      <c r="E1635" s="481" t="s">
        <v>3540</v>
      </c>
      <c r="F1635" s="613" t="s">
        <v>3541</v>
      </c>
      <c r="G1635" s="659">
        <v>-488</v>
      </c>
      <c r="H1635" s="840"/>
      <c r="I1635" s="955"/>
      <c r="J1635" s="837"/>
      <c r="K1635" s="837"/>
      <c r="L1635" s="837"/>
      <c r="M1635" s="837"/>
    </row>
    <row r="1636" spans="1:13" ht="26.25" x14ac:dyDescent="0.25">
      <c r="A1636" s="838"/>
      <c r="B1636" s="818"/>
      <c r="C1636" s="76" t="s">
        <v>3548</v>
      </c>
      <c r="D1636" s="10" t="s">
        <v>3382</v>
      </c>
      <c r="E1636" s="481" t="s">
        <v>3542</v>
      </c>
      <c r="F1636" s="613" t="s">
        <v>3543</v>
      </c>
      <c r="G1636" s="662">
        <v>19950</v>
      </c>
      <c r="H1636" s="840"/>
      <c r="I1636" s="955"/>
      <c r="J1636" s="837"/>
      <c r="K1636" s="837"/>
      <c r="L1636" s="837"/>
      <c r="M1636" s="837"/>
    </row>
    <row r="1637" spans="1:13" ht="25.5" x14ac:dyDescent="0.25">
      <c r="A1637" s="846">
        <v>1000109733</v>
      </c>
      <c r="B1637" s="847" t="s">
        <v>3527</v>
      </c>
      <c r="C1637" s="10" t="s">
        <v>331</v>
      </c>
      <c r="D1637" s="10" t="s">
        <v>3100</v>
      </c>
      <c r="E1637" s="481" t="s">
        <v>3544</v>
      </c>
      <c r="F1637" s="613" t="s">
        <v>3545</v>
      </c>
      <c r="G1637" s="659">
        <v>-1177.8</v>
      </c>
      <c r="H1637" s="840">
        <v>-4773.8</v>
      </c>
      <c r="I1637" s="955"/>
    </row>
    <row r="1638" spans="1:13" ht="25.5" x14ac:dyDescent="0.25">
      <c r="A1638" s="846"/>
      <c r="B1638" s="847"/>
      <c r="C1638" s="76" t="s">
        <v>3549</v>
      </c>
      <c r="D1638" s="10" t="s">
        <v>3325</v>
      </c>
      <c r="E1638" s="481" t="s">
        <v>3547</v>
      </c>
      <c r="F1638" s="613" t="s">
        <v>3546</v>
      </c>
      <c r="G1638" s="659">
        <v>-3596</v>
      </c>
      <c r="H1638" s="840"/>
      <c r="I1638" s="955"/>
    </row>
    <row r="1642" spans="1:13" x14ac:dyDescent="0.25">
      <c r="A1642" s="668" t="s">
        <v>3553</v>
      </c>
    </row>
    <row r="1643" spans="1:13" s="225" customFormat="1" x14ac:dyDescent="0.25">
      <c r="A1643" s="18" t="s">
        <v>3550</v>
      </c>
      <c r="B1643" s="18" t="s">
        <v>3551</v>
      </c>
      <c r="C1643" s="666">
        <v>168</v>
      </c>
      <c r="D1643" s="667">
        <v>15</v>
      </c>
      <c r="E1643" s="666">
        <f>C1643*D1643</f>
        <v>2520</v>
      </c>
    </row>
    <row r="1644" spans="1:13" s="225" customFormat="1" x14ac:dyDescent="0.25">
      <c r="A1644" s="18" t="s">
        <v>2569</v>
      </c>
      <c r="B1644" s="18" t="s">
        <v>3552</v>
      </c>
      <c r="C1644" s="666">
        <v>140</v>
      </c>
      <c r="D1644" s="667">
        <v>15</v>
      </c>
      <c r="E1644" s="666">
        <f>C1644*D1644</f>
        <v>2100</v>
      </c>
    </row>
    <row r="1645" spans="1:13" x14ac:dyDescent="0.25">
      <c r="A1645" s="855" t="s">
        <v>3151</v>
      </c>
      <c r="B1645" s="856"/>
      <c r="C1645" s="856"/>
      <c r="D1645" s="857"/>
      <c r="E1645" s="663">
        <f>E1643+E1644</f>
        <v>4620</v>
      </c>
    </row>
    <row r="1657" spans="1:8" x14ac:dyDescent="0.25">
      <c r="G1657" t="s">
        <v>3653</v>
      </c>
      <c r="H1657" t="s">
        <v>1713</v>
      </c>
    </row>
    <row r="1658" spans="1:8" x14ac:dyDescent="0.25">
      <c r="A1658" s="266" t="s">
        <v>3642</v>
      </c>
      <c r="B1658" s="266" t="s">
        <v>3098</v>
      </c>
      <c r="C1658" s="266" t="s">
        <v>3643</v>
      </c>
      <c r="D1658" s="671">
        <f>21*488</f>
        <v>10248</v>
      </c>
      <c r="E1658" s="266"/>
      <c r="F1658" s="266"/>
      <c r="G1658" s="266"/>
      <c r="H1658" s="266"/>
    </row>
    <row r="1659" spans="1:8" x14ac:dyDescent="0.25">
      <c r="A1659" s="266" t="s">
        <v>3644</v>
      </c>
      <c r="B1659" s="266"/>
      <c r="C1659" s="266" t="s">
        <v>3645</v>
      </c>
      <c r="D1659" s="671">
        <f>((27*150)+1000)*2</f>
        <v>10100</v>
      </c>
      <c r="E1659" s="266" t="s">
        <v>3646</v>
      </c>
      <c r="F1659" s="266"/>
      <c r="G1659" s="266" t="s">
        <v>3654</v>
      </c>
      <c r="H1659" s="266">
        <v>10100</v>
      </c>
    </row>
    <row r="1660" spans="1:8" x14ac:dyDescent="0.25">
      <c r="E1660" s="550"/>
      <c r="F1660" s="401"/>
    </row>
    <row r="1661" spans="1:8" x14ac:dyDescent="0.25">
      <c r="A1661" s="439" t="s">
        <v>3648</v>
      </c>
      <c r="B1661" s="439" t="s">
        <v>3325</v>
      </c>
      <c r="C1661" s="439" t="s">
        <v>3649</v>
      </c>
      <c r="D1661" s="439">
        <f>22992-15792</f>
        <v>7200</v>
      </c>
      <c r="E1661" s="439" t="s">
        <v>3660</v>
      </c>
      <c r="F1661" s="440"/>
      <c r="G1661" s="439" t="s">
        <v>3655</v>
      </c>
      <c r="H1661" s="439">
        <v>7200</v>
      </c>
    </row>
    <row r="1662" spans="1:8" x14ac:dyDescent="0.25">
      <c r="A1662" s="439" t="s">
        <v>3644</v>
      </c>
      <c r="B1662" s="439"/>
      <c r="C1662" s="439" t="s">
        <v>3647</v>
      </c>
      <c r="D1662" s="439">
        <f>29*150*2</f>
        <v>8700</v>
      </c>
      <c r="E1662" s="439"/>
      <c r="F1662" s="439"/>
      <c r="G1662" s="439"/>
      <c r="H1662" s="439"/>
    </row>
    <row r="1663" spans="1:8" x14ac:dyDescent="0.25">
      <c r="A1663" s="439" t="s">
        <v>3652</v>
      </c>
      <c r="B1663" s="439"/>
      <c r="C1663" s="439"/>
      <c r="D1663" s="672">
        <f>D1662-D1661</f>
        <v>1500</v>
      </c>
      <c r="E1663" s="439" t="s">
        <v>3661</v>
      </c>
      <c r="F1663" s="439"/>
      <c r="G1663" s="439" t="s">
        <v>3656</v>
      </c>
      <c r="H1663" s="439">
        <v>1500</v>
      </c>
    </row>
    <row r="1665" spans="1:5" x14ac:dyDescent="0.25">
      <c r="A1665" t="s">
        <v>3657</v>
      </c>
      <c r="B1665" t="s">
        <v>3658</v>
      </c>
      <c r="C1665" t="s">
        <v>3659</v>
      </c>
      <c r="D1665">
        <f>(463-168)*2*20</f>
        <v>11800</v>
      </c>
    </row>
    <row r="1668" spans="1:5" x14ac:dyDescent="0.25">
      <c r="A1668" t="s">
        <v>3650</v>
      </c>
      <c r="B1668" t="s">
        <v>3524</v>
      </c>
      <c r="C1668" t="s">
        <v>3651</v>
      </c>
      <c r="D1668">
        <f>539*15</f>
        <v>8085</v>
      </c>
      <c r="E1668" t="s">
        <v>3671</v>
      </c>
    </row>
    <row r="1669" spans="1:5" x14ac:dyDescent="0.25">
      <c r="A1669" t="s">
        <v>3662</v>
      </c>
      <c r="D1669">
        <f>D1665-D1668</f>
        <v>3715</v>
      </c>
      <c r="E1669" t="s">
        <v>3672</v>
      </c>
    </row>
    <row r="1671" spans="1:5" s="225" customFormat="1" x14ac:dyDescent="0.25">
      <c r="A1671" s="225" t="s">
        <v>3663</v>
      </c>
      <c r="B1671" s="844" t="s">
        <v>3664</v>
      </c>
      <c r="C1671" s="844"/>
      <c r="D1671" s="225">
        <f>D1663+D1669</f>
        <v>5215</v>
      </c>
    </row>
    <row r="1676" spans="1:5" x14ac:dyDescent="0.25">
      <c r="A1676" s="147" t="s">
        <v>3669</v>
      </c>
      <c r="B1676" s="147" t="s">
        <v>2648</v>
      </c>
      <c r="C1676" s="147" t="s">
        <v>3670</v>
      </c>
    </row>
    <row r="1677" spans="1:5" x14ac:dyDescent="0.25">
      <c r="A1677" s="168" t="s">
        <v>3665</v>
      </c>
      <c r="B1677" s="673">
        <v>10100</v>
      </c>
      <c r="C1677" s="168" t="s">
        <v>2044</v>
      </c>
    </row>
    <row r="1678" spans="1:5" x14ac:dyDescent="0.25">
      <c r="A1678" s="168" t="s">
        <v>3666</v>
      </c>
      <c r="B1678" s="673">
        <v>7200</v>
      </c>
      <c r="C1678" s="168" t="s">
        <v>2044</v>
      </c>
    </row>
    <row r="1679" spans="1:5" x14ac:dyDescent="0.25">
      <c r="A1679" s="168" t="s">
        <v>3668</v>
      </c>
      <c r="B1679" s="673">
        <v>8085</v>
      </c>
      <c r="C1679" s="168" t="s">
        <v>3674</v>
      </c>
    </row>
    <row r="1680" spans="1:5" x14ac:dyDescent="0.25">
      <c r="A1680" s="168" t="s">
        <v>3667</v>
      </c>
      <c r="B1680" s="673">
        <v>1500</v>
      </c>
      <c r="C1680" s="168" t="s">
        <v>2044</v>
      </c>
    </row>
    <row r="1681" spans="1:5" x14ac:dyDescent="0.25">
      <c r="A1681" s="168" t="s">
        <v>3667</v>
      </c>
      <c r="B1681" s="673">
        <v>3715</v>
      </c>
      <c r="C1681" s="168" t="s">
        <v>3674</v>
      </c>
    </row>
    <row r="1686" spans="1:5" x14ac:dyDescent="0.25">
      <c r="A1686" t="s">
        <v>3675</v>
      </c>
      <c r="B1686" t="s">
        <v>3676</v>
      </c>
    </row>
    <row r="1690" spans="1:5" s="56" customFormat="1" x14ac:dyDescent="0.25">
      <c r="A1690" s="56" t="s">
        <v>3679</v>
      </c>
      <c r="B1690" s="56" t="s">
        <v>3682</v>
      </c>
      <c r="C1690" s="56" t="s">
        <v>3677</v>
      </c>
      <c r="D1690" s="56" t="s">
        <v>3678</v>
      </c>
      <c r="E1690" s="56" t="s">
        <v>18</v>
      </c>
    </row>
    <row r="1691" spans="1:5" x14ac:dyDescent="0.25">
      <c r="A1691">
        <v>1</v>
      </c>
      <c r="B1691" t="s">
        <v>3680</v>
      </c>
      <c r="C1691" s="843" t="s">
        <v>3681</v>
      </c>
      <c r="D1691" t="s">
        <v>3688</v>
      </c>
      <c r="E1691" t="s">
        <v>3690</v>
      </c>
    </row>
    <row r="1692" spans="1:5" x14ac:dyDescent="0.25">
      <c r="A1692">
        <v>2</v>
      </c>
      <c r="B1692" t="s">
        <v>3729</v>
      </c>
      <c r="C1692" s="843"/>
      <c r="D1692" s="843" t="s">
        <v>3681</v>
      </c>
      <c r="E1692" t="s">
        <v>3730</v>
      </c>
    </row>
    <row r="1693" spans="1:5" x14ac:dyDescent="0.25">
      <c r="A1693">
        <v>3</v>
      </c>
      <c r="B1693" t="s">
        <v>3712</v>
      </c>
      <c r="C1693" s="843"/>
      <c r="D1693" s="843"/>
      <c r="E1693" t="s">
        <v>3713</v>
      </c>
    </row>
    <row r="1694" spans="1:5" x14ac:dyDescent="0.25">
      <c r="A1694">
        <v>4</v>
      </c>
      <c r="B1694" t="s">
        <v>3715</v>
      </c>
      <c r="C1694" s="843"/>
      <c r="D1694" s="843"/>
      <c r="E1694" t="s">
        <v>3716</v>
      </c>
    </row>
    <row r="1695" spans="1:5" x14ac:dyDescent="0.25">
      <c r="A1695">
        <v>5</v>
      </c>
      <c r="B1695" t="s">
        <v>3720</v>
      </c>
      <c r="C1695" s="843"/>
      <c r="D1695" s="843"/>
      <c r="E1695" t="s">
        <v>3719</v>
      </c>
    </row>
    <row r="1696" spans="1:5" x14ac:dyDescent="0.25">
      <c r="A1696">
        <v>6</v>
      </c>
      <c r="B1696" t="s">
        <v>3721</v>
      </c>
      <c r="C1696" s="843"/>
      <c r="D1696" s="843"/>
      <c r="E1696" t="s">
        <v>3722</v>
      </c>
    </row>
    <row r="1697" spans="1:5" x14ac:dyDescent="0.25">
      <c r="A1697">
        <v>7</v>
      </c>
      <c r="B1697" t="s">
        <v>3723</v>
      </c>
      <c r="C1697" s="843"/>
      <c r="D1697" s="843"/>
      <c r="E1697" t="s">
        <v>3724</v>
      </c>
    </row>
    <row r="1698" spans="1:5" x14ac:dyDescent="0.25">
      <c r="A1698">
        <v>8</v>
      </c>
      <c r="B1698" t="s">
        <v>3725</v>
      </c>
      <c r="C1698" s="843"/>
      <c r="D1698" s="843"/>
      <c r="E1698" t="s">
        <v>3726</v>
      </c>
    </row>
    <row r="1699" spans="1:5" x14ac:dyDescent="0.25">
      <c r="A1699">
        <v>9</v>
      </c>
      <c r="B1699" t="s">
        <v>3686</v>
      </c>
      <c r="C1699" s="843" t="s">
        <v>3687</v>
      </c>
      <c r="D1699" s="843" t="s">
        <v>3153</v>
      </c>
      <c r="E1699" t="s">
        <v>3698</v>
      </c>
    </row>
    <row r="1700" spans="1:5" x14ac:dyDescent="0.25">
      <c r="A1700">
        <v>10</v>
      </c>
      <c r="B1700" t="s">
        <v>3707</v>
      </c>
      <c r="C1700" s="843"/>
      <c r="D1700" s="843"/>
      <c r="E1700" t="s">
        <v>3708</v>
      </c>
    </row>
    <row r="1701" spans="1:5" x14ac:dyDescent="0.25">
      <c r="A1701">
        <v>11</v>
      </c>
      <c r="B1701" t="s">
        <v>3727</v>
      </c>
      <c r="C1701" s="843"/>
      <c r="D1701" s="843"/>
      <c r="E1701" t="s">
        <v>3728</v>
      </c>
    </row>
    <row r="1702" spans="1:5" x14ac:dyDescent="0.25">
      <c r="A1702">
        <v>12</v>
      </c>
      <c r="B1702" t="s">
        <v>3689</v>
      </c>
      <c r="C1702" t="s">
        <v>3683</v>
      </c>
      <c r="D1702" s="843" t="s">
        <v>3684</v>
      </c>
      <c r="E1702" t="s">
        <v>3705</v>
      </c>
    </row>
    <row r="1703" spans="1:5" x14ac:dyDescent="0.25">
      <c r="A1703">
        <v>13</v>
      </c>
      <c r="B1703" t="s">
        <v>3718</v>
      </c>
      <c r="C1703" s="843" t="s">
        <v>3739</v>
      </c>
      <c r="D1703" s="843"/>
      <c r="E1703" t="s">
        <v>3717</v>
      </c>
    </row>
    <row r="1704" spans="1:5" x14ac:dyDescent="0.25">
      <c r="A1704">
        <v>14</v>
      </c>
      <c r="B1704" t="s">
        <v>3685</v>
      </c>
      <c r="C1704" s="843"/>
      <c r="D1704" s="843"/>
      <c r="E1704" t="s">
        <v>3706</v>
      </c>
    </row>
    <row r="1705" spans="1:5" x14ac:dyDescent="0.25">
      <c r="A1705">
        <v>16</v>
      </c>
      <c r="B1705" t="s">
        <v>3691</v>
      </c>
      <c r="C1705" s="843"/>
      <c r="D1705" s="843"/>
      <c r="E1705" t="s">
        <v>3692</v>
      </c>
    </row>
    <row r="1706" spans="1:5" x14ac:dyDescent="0.25">
      <c r="A1706">
        <v>17</v>
      </c>
      <c r="B1706" t="s">
        <v>3693</v>
      </c>
      <c r="C1706" t="s">
        <v>3740</v>
      </c>
      <c r="D1706" s="843"/>
      <c r="E1706" t="s">
        <v>3694</v>
      </c>
    </row>
    <row r="1707" spans="1:5" x14ac:dyDescent="0.25">
      <c r="A1707">
        <v>18</v>
      </c>
      <c r="B1707" t="s">
        <v>3695</v>
      </c>
      <c r="C1707" t="s">
        <v>3741</v>
      </c>
      <c r="D1707" s="843"/>
      <c r="E1707" t="s">
        <v>3697</v>
      </c>
    </row>
    <row r="1708" spans="1:5" x14ac:dyDescent="0.25">
      <c r="A1708">
        <v>19</v>
      </c>
      <c r="B1708" t="s">
        <v>3699</v>
      </c>
      <c r="C1708" s="843" t="s">
        <v>3696</v>
      </c>
      <c r="D1708" s="843"/>
      <c r="E1708" t="s">
        <v>3700</v>
      </c>
    </row>
    <row r="1709" spans="1:5" x14ac:dyDescent="0.25">
      <c r="A1709">
        <v>20</v>
      </c>
      <c r="B1709" t="s">
        <v>3701</v>
      </c>
      <c r="C1709" s="843"/>
      <c r="D1709" s="843"/>
      <c r="E1709" t="s">
        <v>3702</v>
      </c>
    </row>
    <row r="1710" spans="1:5" x14ac:dyDescent="0.25">
      <c r="A1710">
        <v>21</v>
      </c>
      <c r="B1710" t="s">
        <v>3703</v>
      </c>
      <c r="C1710" s="843"/>
      <c r="D1710" s="843"/>
      <c r="E1710" t="s">
        <v>3704</v>
      </c>
    </row>
    <row r="1711" spans="1:5" x14ac:dyDescent="0.25">
      <c r="A1711">
        <v>22</v>
      </c>
      <c r="B1711" t="s">
        <v>3709</v>
      </c>
      <c r="C1711" s="843"/>
      <c r="D1711" s="843"/>
      <c r="E1711" t="s">
        <v>3710</v>
      </c>
    </row>
    <row r="1712" spans="1:5" x14ac:dyDescent="0.25">
      <c r="A1712">
        <v>23</v>
      </c>
      <c r="B1712" t="s">
        <v>3711</v>
      </c>
      <c r="C1712" s="843"/>
      <c r="D1712" s="843"/>
      <c r="E1712" t="s">
        <v>3714</v>
      </c>
    </row>
    <row r="1713" spans="1:14" x14ac:dyDescent="0.25">
      <c r="A1713">
        <v>24</v>
      </c>
      <c r="B1713" t="s">
        <v>3731</v>
      </c>
      <c r="C1713" t="s">
        <v>3733</v>
      </c>
      <c r="D1713" t="s">
        <v>3732</v>
      </c>
      <c r="E1713" t="s">
        <v>3734</v>
      </c>
    </row>
    <row r="1717" spans="1:14" x14ac:dyDescent="0.25">
      <c r="B1717" s="313"/>
    </row>
    <row r="1720" spans="1:14" ht="18.75" x14ac:dyDescent="0.3">
      <c r="A1720" s="652" t="s">
        <v>3742</v>
      </c>
      <c r="B1720" s="536"/>
      <c r="C1720" s="536"/>
      <c r="D1720" s="536"/>
      <c r="E1720" s="536"/>
      <c r="F1720" s="536"/>
      <c r="G1720" s="536"/>
      <c r="H1720" s="536"/>
      <c r="I1720" s="536"/>
      <c r="J1720" s="536"/>
      <c r="K1720" s="536"/>
      <c r="L1720" s="536"/>
      <c r="M1720" s="536"/>
      <c r="N1720" s="536"/>
    </row>
    <row r="1721" spans="1:14" x14ac:dyDescent="0.25">
      <c r="A1721" s="834" t="s">
        <v>129</v>
      </c>
      <c r="B1721" s="834" t="s">
        <v>2287</v>
      </c>
      <c r="C1721" s="834" t="s">
        <v>2288</v>
      </c>
      <c r="D1721" s="834" t="s">
        <v>1630</v>
      </c>
      <c r="E1721" s="834" t="s">
        <v>3759</v>
      </c>
      <c r="F1721" s="819" t="s">
        <v>41</v>
      </c>
      <c r="G1721" s="819"/>
      <c r="H1721" s="819"/>
      <c r="I1721" s="819"/>
      <c r="J1721" s="819" t="s">
        <v>2298</v>
      </c>
      <c r="K1721" s="819" t="s">
        <v>3766</v>
      </c>
      <c r="L1721" s="837"/>
      <c r="M1721" s="837"/>
      <c r="N1721" s="837"/>
    </row>
    <row r="1722" spans="1:14" x14ac:dyDescent="0.25">
      <c r="A1722" s="834"/>
      <c r="B1722" s="834"/>
      <c r="C1722" s="834"/>
      <c r="D1722" s="834"/>
      <c r="E1722" s="834"/>
      <c r="F1722" s="676" t="s">
        <v>2330</v>
      </c>
      <c r="G1722" s="679" t="s">
        <v>2331</v>
      </c>
      <c r="H1722" s="679" t="s">
        <v>2840</v>
      </c>
      <c r="I1722" s="679" t="s">
        <v>2841</v>
      </c>
      <c r="J1722" s="819"/>
      <c r="K1722" s="819"/>
      <c r="L1722" s="837"/>
      <c r="M1722" s="837"/>
      <c r="N1722" s="837"/>
    </row>
    <row r="1723" spans="1:14" s="225" customFormat="1" ht="51" x14ac:dyDescent="0.25">
      <c r="A1723" s="838">
        <v>1000105043</v>
      </c>
      <c r="B1723" s="818" t="s">
        <v>1261</v>
      </c>
      <c r="C1723" s="839" t="s">
        <v>272</v>
      </c>
      <c r="D1723" s="680" t="s">
        <v>3512</v>
      </c>
      <c r="E1723" s="684" t="s">
        <v>3750</v>
      </c>
      <c r="F1723" s="685" t="s">
        <v>3747</v>
      </c>
      <c r="G1723" s="685" t="s">
        <v>3748</v>
      </c>
      <c r="H1723" s="685" t="s">
        <v>3753</v>
      </c>
      <c r="I1723" s="685" t="s">
        <v>3749</v>
      </c>
      <c r="J1723" s="686">
        <v>101707.6</v>
      </c>
      <c r="K1723" s="840">
        <f>SUM(J1723:J1725)</f>
        <v>99770.6</v>
      </c>
      <c r="L1723" s="688"/>
      <c r="M1723" s="837"/>
      <c r="N1723" s="837"/>
    </row>
    <row r="1724" spans="1:14" s="225" customFormat="1" ht="102" x14ac:dyDescent="0.25">
      <c r="A1724" s="838"/>
      <c r="B1724" s="818"/>
      <c r="C1724" s="839"/>
      <c r="D1724" s="18" t="s">
        <v>3090</v>
      </c>
      <c r="E1724" s="670" t="s">
        <v>3765</v>
      </c>
      <c r="F1724" s="682" t="s">
        <v>3746</v>
      </c>
      <c r="G1724" s="222"/>
      <c r="H1724" s="222"/>
      <c r="I1724" s="222"/>
      <c r="J1724" s="687">
        <v>-3</v>
      </c>
      <c r="K1724" s="840"/>
      <c r="L1724" s="683" t="s">
        <v>3743</v>
      </c>
      <c r="M1724" s="837"/>
      <c r="N1724" s="837"/>
    </row>
    <row r="1725" spans="1:14" ht="204" x14ac:dyDescent="0.25">
      <c r="A1725" s="838"/>
      <c r="B1725" s="818"/>
      <c r="C1725" s="503" t="s">
        <v>3535</v>
      </c>
      <c r="D1725" s="505" t="s">
        <v>3381</v>
      </c>
      <c r="E1725" s="481" t="s">
        <v>3762</v>
      </c>
      <c r="F1725" s="682" t="s">
        <v>3763</v>
      </c>
      <c r="G1725" s="110"/>
      <c r="H1725" s="110"/>
      <c r="I1725" s="110"/>
      <c r="J1725" s="687">
        <v>-1934</v>
      </c>
      <c r="K1725" s="840"/>
      <c r="L1725" s="681" t="s">
        <v>3751</v>
      </c>
      <c r="M1725" s="677"/>
    </row>
    <row r="1726" spans="1:14" ht="102" x14ac:dyDescent="0.25">
      <c r="A1726" s="841">
        <v>1000109733</v>
      </c>
      <c r="B1726" s="842" t="s">
        <v>3527</v>
      </c>
      <c r="C1726" s="503" t="s">
        <v>331</v>
      </c>
      <c r="D1726" s="678" t="s">
        <v>3525</v>
      </c>
      <c r="E1726" s="481" t="s">
        <v>3764</v>
      </c>
      <c r="F1726" s="682" t="s">
        <v>3754</v>
      </c>
      <c r="G1726" s="685" t="s">
        <v>3755</v>
      </c>
      <c r="H1726" s="685" t="s">
        <v>3756</v>
      </c>
      <c r="I1726" s="685" t="s">
        <v>3757</v>
      </c>
      <c r="J1726" s="687">
        <v>76557</v>
      </c>
      <c r="K1726" s="840">
        <f>SUM(J1726:J1727)</f>
        <v>75777</v>
      </c>
      <c r="L1726" s="681" t="s">
        <v>3744</v>
      </c>
    </row>
    <row r="1727" spans="1:14" s="225" customFormat="1" ht="114.75" x14ac:dyDescent="0.25">
      <c r="A1727" s="841"/>
      <c r="B1727" s="842"/>
      <c r="C1727" s="36" t="s">
        <v>3549</v>
      </c>
      <c r="D1727" s="23" t="s">
        <v>3325</v>
      </c>
      <c r="E1727" s="670" t="s">
        <v>3767</v>
      </c>
      <c r="F1727" s="682" t="s">
        <v>3758</v>
      </c>
      <c r="G1727" s="222"/>
      <c r="H1727" s="222"/>
      <c r="I1727" s="222"/>
      <c r="J1727" s="687">
        <v>-780</v>
      </c>
      <c r="K1727" s="840"/>
      <c r="L1727" s="658" t="s">
        <v>3745</v>
      </c>
    </row>
    <row r="1731" spans="1:11" ht="15.75" x14ac:dyDescent="0.25">
      <c r="A1731" s="696" t="s">
        <v>3885</v>
      </c>
      <c r="C1731" s="701"/>
    </row>
    <row r="1732" spans="1:11" x14ac:dyDescent="0.25">
      <c r="A1732" s="834" t="s">
        <v>129</v>
      </c>
      <c r="B1732" s="834" t="s">
        <v>2287</v>
      </c>
      <c r="C1732" s="834" t="s">
        <v>2288</v>
      </c>
      <c r="D1732" s="834" t="s">
        <v>1630</v>
      </c>
      <c r="E1732" s="834" t="s">
        <v>3896</v>
      </c>
      <c r="F1732" s="827" t="s">
        <v>3895</v>
      </c>
      <c r="G1732" s="819" t="s">
        <v>2298</v>
      </c>
      <c r="H1732" s="819" t="s">
        <v>3766</v>
      </c>
      <c r="I1732" s="823"/>
      <c r="J1732" s="225"/>
      <c r="K1732" s="225" t="s">
        <v>3897</v>
      </c>
    </row>
    <row r="1733" spans="1:11" x14ac:dyDescent="0.25">
      <c r="A1733" s="834"/>
      <c r="B1733" s="834"/>
      <c r="C1733" s="834"/>
      <c r="D1733" s="834"/>
      <c r="E1733" s="834"/>
      <c r="F1733" s="828"/>
      <c r="G1733" s="819"/>
      <c r="H1733" s="819"/>
      <c r="I1733" s="823"/>
      <c r="J1733" s="225"/>
      <c r="K1733" s="225"/>
    </row>
    <row r="1734" spans="1:11" s="198" customFormat="1" ht="25.5" x14ac:dyDescent="0.25">
      <c r="A1734" s="817">
        <v>1000105043</v>
      </c>
      <c r="B1734" s="818" t="s">
        <v>1261</v>
      </c>
      <c r="C1734" s="704" t="s">
        <v>272</v>
      </c>
      <c r="D1734" s="18" t="s">
        <v>3512</v>
      </c>
      <c r="E1734" s="670" t="s">
        <v>3898</v>
      </c>
      <c r="F1734" s="694">
        <v>35896.800000000003</v>
      </c>
      <c r="G1734" s="659">
        <v>-1495.7</v>
      </c>
      <c r="H1734" s="824">
        <f>G1734+G1735+G1736</f>
        <v>-8131.2000000000007</v>
      </c>
      <c r="I1734" s="222"/>
      <c r="J1734" s="225"/>
      <c r="K1734" s="695">
        <v>37392.5</v>
      </c>
    </row>
    <row r="1735" spans="1:11" s="198" customFormat="1" ht="25.5" x14ac:dyDescent="0.25">
      <c r="A1735" s="817"/>
      <c r="B1735" s="818"/>
      <c r="C1735" s="704" t="s">
        <v>2790</v>
      </c>
      <c r="D1735" s="18" t="s">
        <v>3323</v>
      </c>
      <c r="E1735" s="670" t="s">
        <v>3899</v>
      </c>
      <c r="F1735" s="694">
        <v>32488.799999999999</v>
      </c>
      <c r="G1735" s="659">
        <v>-1353.7</v>
      </c>
      <c r="H1735" s="825"/>
      <c r="I1735" s="222"/>
      <c r="J1735" s="225"/>
      <c r="K1735" s="695">
        <v>33842.5</v>
      </c>
    </row>
    <row r="1736" spans="1:11" ht="25.5" x14ac:dyDescent="0.25">
      <c r="A1736" s="817"/>
      <c r="B1736" s="818"/>
      <c r="C1736" s="186" t="s">
        <v>3535</v>
      </c>
      <c r="D1736" s="18" t="s">
        <v>3381</v>
      </c>
      <c r="E1736" s="670" t="s">
        <v>3902</v>
      </c>
      <c r="F1736" s="694">
        <v>56613.2</v>
      </c>
      <c r="G1736" s="659">
        <v>-5281.8</v>
      </c>
      <c r="H1736" s="826"/>
      <c r="I1736" s="222"/>
      <c r="J1736" s="225"/>
      <c r="K1736" s="695">
        <v>61895</v>
      </c>
    </row>
    <row r="1737" spans="1:11" s="198" customFormat="1" ht="40.5" customHeight="1" x14ac:dyDescent="0.25">
      <c r="A1737" s="702">
        <v>1000109733</v>
      </c>
      <c r="B1737" s="703" t="s">
        <v>3894</v>
      </c>
      <c r="C1737" s="186" t="s">
        <v>331</v>
      </c>
      <c r="D1737" s="613" t="s">
        <v>3525</v>
      </c>
      <c r="E1737" s="670" t="s">
        <v>3900</v>
      </c>
      <c r="F1737" s="694">
        <v>28267.200000000001</v>
      </c>
      <c r="G1737" s="659">
        <v>-1177.8</v>
      </c>
      <c r="H1737" s="697">
        <f>G1737</f>
        <v>-1177.8</v>
      </c>
      <c r="I1737" s="222"/>
      <c r="J1737" s="225"/>
      <c r="K1737" s="695">
        <v>29445</v>
      </c>
    </row>
    <row r="1739" spans="1:11" x14ac:dyDescent="0.25">
      <c r="C1739" s="188"/>
      <c r="D1739" s="188"/>
      <c r="E1739" s="542"/>
      <c r="F1739" s="698"/>
      <c r="G1739" s="401"/>
      <c r="K1739" s="542"/>
    </row>
    <row r="1740" spans="1:11" x14ac:dyDescent="0.25">
      <c r="B1740" s="188"/>
      <c r="C1740" s="188"/>
      <c r="D1740" s="188"/>
      <c r="E1740" s="188"/>
      <c r="G1740" s="542"/>
      <c r="K1740" s="401"/>
    </row>
    <row r="1741" spans="1:11" x14ac:dyDescent="0.25">
      <c r="B1741" s="188"/>
      <c r="D1741" s="188"/>
      <c r="E1741" s="188"/>
      <c r="G1741" s="506"/>
      <c r="H1741" s="506"/>
      <c r="K1741" s="401"/>
    </row>
    <row r="1742" spans="1:11" x14ac:dyDescent="0.25">
      <c r="B1742" s="188"/>
      <c r="C1742" s="188"/>
      <c r="D1742" s="188"/>
      <c r="G1742" s="506"/>
      <c r="H1742" s="506"/>
    </row>
    <row r="1743" spans="1:11" x14ac:dyDescent="0.25">
      <c r="C1743" s="188"/>
      <c r="D1743" s="188"/>
      <c r="G1743" s="506"/>
      <c r="H1743" s="506"/>
    </row>
    <row r="1745" spans="1:8" x14ac:dyDescent="0.25">
      <c r="B1745" s="699"/>
    </row>
    <row r="1747" spans="1:8" x14ac:dyDescent="0.25">
      <c r="A1747" s="206" t="s">
        <v>0</v>
      </c>
      <c r="B1747" s="206" t="s">
        <v>485</v>
      </c>
      <c r="C1747" s="206" t="s">
        <v>2972</v>
      </c>
      <c r="D1747" s="206" t="s">
        <v>49</v>
      </c>
      <c r="E1747" s="206" t="s">
        <v>130</v>
      </c>
      <c r="F1747" s="206" t="s">
        <v>131</v>
      </c>
      <c r="G1747" s="206" t="s">
        <v>132</v>
      </c>
      <c r="H1747" s="207" t="s">
        <v>1262</v>
      </c>
    </row>
    <row r="1748" spans="1:8" x14ac:dyDescent="0.25">
      <c r="A1748" s="830" t="s">
        <v>3519</v>
      </c>
      <c r="B1748" s="214" t="s">
        <v>3511</v>
      </c>
      <c r="C1748" s="222" t="s">
        <v>2</v>
      </c>
      <c r="D1748" s="218">
        <v>60153350</v>
      </c>
      <c r="E1748" s="217">
        <v>42075</v>
      </c>
      <c r="F1748" s="217">
        <v>42167</v>
      </c>
      <c r="G1748" s="835">
        <v>488</v>
      </c>
      <c r="H1748" s="524">
        <v>32696</v>
      </c>
    </row>
    <row r="1749" spans="1:8" x14ac:dyDescent="0.25">
      <c r="A1749" s="831"/>
      <c r="B1749" s="214" t="s">
        <v>3874</v>
      </c>
      <c r="C1749" s="222" t="s">
        <v>880</v>
      </c>
      <c r="D1749" s="218" t="s">
        <v>1266</v>
      </c>
      <c r="E1749" s="217">
        <v>42170</v>
      </c>
      <c r="F1749" s="217">
        <v>42258</v>
      </c>
      <c r="G1749" s="836"/>
      <c r="H1749" s="524">
        <v>31720</v>
      </c>
    </row>
    <row r="1750" spans="1:8" x14ac:dyDescent="0.25">
      <c r="A1750" s="830" t="s">
        <v>3522</v>
      </c>
      <c r="B1750" s="214" t="s">
        <v>3533</v>
      </c>
      <c r="C1750" s="222" t="s">
        <v>2</v>
      </c>
      <c r="D1750" s="218">
        <v>60153349</v>
      </c>
      <c r="E1750" s="217">
        <v>42101</v>
      </c>
      <c r="F1750" s="431">
        <v>42188</v>
      </c>
      <c r="G1750" s="835">
        <v>471</v>
      </c>
      <c r="H1750" s="524">
        <v>30144</v>
      </c>
    </row>
    <row r="1751" spans="1:8" x14ac:dyDescent="0.25">
      <c r="A1751" s="831"/>
      <c r="B1751" s="214" t="s">
        <v>3875</v>
      </c>
      <c r="C1751" s="222" t="s">
        <v>880</v>
      </c>
      <c r="D1751" s="218" t="s">
        <v>1266</v>
      </c>
      <c r="E1751" s="431">
        <v>42191</v>
      </c>
      <c r="F1751" s="431">
        <v>42363</v>
      </c>
      <c r="G1751" s="836"/>
      <c r="H1751" s="524">
        <v>58875</v>
      </c>
    </row>
    <row r="1752" spans="1:8" x14ac:dyDescent="0.25">
      <c r="A1752" s="214" t="s">
        <v>3761</v>
      </c>
      <c r="B1752" s="214" t="s">
        <v>3760</v>
      </c>
      <c r="C1752" s="222" t="s">
        <v>2</v>
      </c>
      <c r="D1752" s="218">
        <v>60153344</v>
      </c>
      <c r="E1752" s="217">
        <v>42128</v>
      </c>
      <c r="F1752" s="431">
        <v>42216</v>
      </c>
      <c r="G1752" s="223">
        <v>559</v>
      </c>
      <c r="H1752" s="524">
        <v>36335</v>
      </c>
    </row>
    <row r="1753" spans="1:8" x14ac:dyDescent="0.25">
      <c r="A1753" s="214" t="s">
        <v>3787</v>
      </c>
      <c r="B1753" s="214" t="s">
        <v>3786</v>
      </c>
      <c r="C1753" s="222" t="s">
        <v>2</v>
      </c>
      <c r="D1753" s="218">
        <v>60153343</v>
      </c>
      <c r="E1753" s="217">
        <v>42129</v>
      </c>
      <c r="F1753" s="431">
        <v>42216</v>
      </c>
      <c r="G1753" s="223">
        <v>559</v>
      </c>
      <c r="H1753" s="524">
        <v>35776</v>
      </c>
    </row>
    <row r="1754" spans="1:8" x14ac:dyDescent="0.25">
      <c r="A1754" s="689" t="s">
        <v>3877</v>
      </c>
      <c r="B1754" s="214" t="s">
        <v>3878</v>
      </c>
      <c r="C1754" s="222" t="s">
        <v>880</v>
      </c>
      <c r="D1754" s="218" t="s">
        <v>1266</v>
      </c>
      <c r="E1754" s="217">
        <v>42135</v>
      </c>
      <c r="F1754" s="217">
        <v>42230</v>
      </c>
      <c r="G1754" s="690">
        <v>471</v>
      </c>
      <c r="H1754" s="524">
        <v>32970</v>
      </c>
    </row>
    <row r="1755" spans="1:8" x14ac:dyDescent="0.25">
      <c r="A1755" s="830" t="s">
        <v>3559</v>
      </c>
      <c r="B1755" s="214" t="s">
        <v>3558</v>
      </c>
      <c r="C1755" s="222" t="s">
        <v>880</v>
      </c>
      <c r="D1755" s="218" t="s">
        <v>1266</v>
      </c>
      <c r="E1755" s="217">
        <v>42101</v>
      </c>
      <c r="F1755" s="431">
        <v>42188</v>
      </c>
      <c r="G1755" s="832">
        <v>559</v>
      </c>
      <c r="H1755" s="524">
        <v>35776</v>
      </c>
    </row>
    <row r="1756" spans="1:8" x14ac:dyDescent="0.25">
      <c r="A1756" s="831"/>
      <c r="B1756" s="214" t="s">
        <v>3876</v>
      </c>
      <c r="C1756" s="222" t="s">
        <v>880</v>
      </c>
      <c r="D1756" s="218" t="s">
        <v>1266</v>
      </c>
      <c r="E1756" s="431">
        <v>42191</v>
      </c>
      <c r="F1756" s="217">
        <v>42279</v>
      </c>
      <c r="G1756" s="833"/>
      <c r="H1756" s="524">
        <v>36335</v>
      </c>
    </row>
    <row r="1759" spans="1:8" x14ac:dyDescent="0.25">
      <c r="A1759" t="s">
        <v>3905</v>
      </c>
      <c r="B1759" s="388" t="s">
        <v>3904</v>
      </c>
      <c r="C1759" s="388" t="s">
        <v>3903</v>
      </c>
    </row>
    <row r="1760" spans="1:8" x14ac:dyDescent="0.25">
      <c r="B1760">
        <v>1</v>
      </c>
      <c r="C1760" s="705">
        <v>64416</v>
      </c>
    </row>
    <row r="1762" spans="1:4" x14ac:dyDescent="0.25">
      <c r="A1762" t="s">
        <v>3906</v>
      </c>
      <c r="B1762" s="388" t="s">
        <v>3904</v>
      </c>
      <c r="C1762" s="388" t="s">
        <v>3903</v>
      </c>
    </row>
    <row r="1763" spans="1:4" x14ac:dyDescent="0.25">
      <c r="B1763">
        <v>2</v>
      </c>
      <c r="C1763" s="705">
        <v>161130</v>
      </c>
    </row>
    <row r="1765" spans="1:4" x14ac:dyDescent="0.25">
      <c r="A1765" s="31" t="s">
        <v>3907</v>
      </c>
      <c r="B1765" s="388" t="s">
        <v>3904</v>
      </c>
      <c r="C1765" s="388" t="s">
        <v>3903</v>
      </c>
    </row>
    <row r="1766" spans="1:4" x14ac:dyDescent="0.25">
      <c r="A1766" s="56"/>
      <c r="B1766">
        <v>3</v>
      </c>
      <c r="C1766" s="165">
        <v>105081</v>
      </c>
    </row>
    <row r="1767" spans="1:4" x14ac:dyDescent="0.25">
      <c r="A1767" s="56"/>
      <c r="C1767" s="165"/>
    </row>
    <row r="1768" spans="1:4" x14ac:dyDescent="0.25">
      <c r="A1768" s="56"/>
      <c r="C1768" s="165"/>
    </row>
    <row r="1769" spans="1:4" x14ac:dyDescent="0.25">
      <c r="A1769" s="56"/>
      <c r="C1769" s="165"/>
    </row>
    <row r="1770" spans="1:4" x14ac:dyDescent="0.25">
      <c r="A1770" s="56"/>
      <c r="C1770" s="165"/>
    </row>
    <row r="1771" spans="1:4" x14ac:dyDescent="0.25">
      <c r="A1771" s="56"/>
      <c r="C1771" s="165"/>
    </row>
    <row r="1772" spans="1:4" x14ac:dyDescent="0.25">
      <c r="A1772" s="56"/>
      <c r="C1772" s="165"/>
    </row>
    <row r="1773" spans="1:4" x14ac:dyDescent="0.25">
      <c r="A1773" s="147" t="s">
        <v>1681</v>
      </c>
      <c r="B1773" s="147" t="s">
        <v>2331</v>
      </c>
      <c r="C1773" s="147" t="s">
        <v>3459</v>
      </c>
      <c r="D1773" s="147" t="s">
        <v>3460</v>
      </c>
    </row>
    <row r="1774" spans="1:4" x14ac:dyDescent="0.25">
      <c r="A1774" s="110" t="s">
        <v>272</v>
      </c>
      <c r="B1774" s="631">
        <f>7478.5*4.8</f>
        <v>35896.799999999996</v>
      </c>
      <c r="C1774" s="631">
        <f>7478.5*4</f>
        <v>29914</v>
      </c>
      <c r="D1774" s="631">
        <f>7478.5</f>
        <v>7478.5</v>
      </c>
    </row>
    <row r="1775" spans="1:4" x14ac:dyDescent="0.25">
      <c r="A1775" s="110" t="s">
        <v>2790</v>
      </c>
      <c r="B1775" s="631">
        <f>6768.5*4.8</f>
        <v>32488.799999999999</v>
      </c>
      <c r="C1775" s="631">
        <f>6768.5*4</f>
        <v>27074</v>
      </c>
      <c r="D1775" s="631">
        <f>6768.5*4</f>
        <v>27074</v>
      </c>
    </row>
    <row r="1776" spans="1:4" x14ac:dyDescent="0.25">
      <c r="A1776" s="110" t="s">
        <v>3535</v>
      </c>
      <c r="B1776" s="631">
        <v>56125</v>
      </c>
      <c r="C1776" s="631">
        <v>49516</v>
      </c>
      <c r="D1776" s="631">
        <v>12379</v>
      </c>
    </row>
    <row r="1777" spans="1:8" x14ac:dyDescent="0.25">
      <c r="A1777" s="309" t="s">
        <v>3882</v>
      </c>
      <c r="B1777" s="631">
        <f>SUM(B1774:B1776)</f>
        <v>124510.59999999999</v>
      </c>
      <c r="C1777" s="631">
        <f>SUM(C1774:C1776)</f>
        <v>106504</v>
      </c>
      <c r="D1777" s="631">
        <f>SUM(D1774:D1776)</f>
        <v>46931.5</v>
      </c>
    </row>
    <row r="1782" spans="1:8" x14ac:dyDescent="0.25">
      <c r="A1782" s="110"/>
      <c r="B1782" s="110"/>
      <c r="C1782" s="110" t="s">
        <v>3893</v>
      </c>
      <c r="D1782" s="692">
        <v>15</v>
      </c>
      <c r="E1782" s="692">
        <v>25</v>
      </c>
      <c r="F1782" s="692">
        <v>20</v>
      </c>
      <c r="G1782" s="692">
        <v>20</v>
      </c>
      <c r="H1782" s="692">
        <v>5</v>
      </c>
    </row>
    <row r="1783" spans="1:8" x14ac:dyDescent="0.25">
      <c r="A1783" s="147" t="s">
        <v>18</v>
      </c>
      <c r="B1783" s="147" t="s">
        <v>3886</v>
      </c>
      <c r="C1783" s="147" t="s">
        <v>3887</v>
      </c>
      <c r="D1783" s="693" t="s">
        <v>1851</v>
      </c>
      <c r="E1783" s="693" t="s">
        <v>2039</v>
      </c>
      <c r="F1783" s="693" t="s">
        <v>2060</v>
      </c>
      <c r="G1783" s="693" t="s">
        <v>2041</v>
      </c>
      <c r="H1783" s="693" t="s">
        <v>2042</v>
      </c>
    </row>
    <row r="1784" spans="1:8" x14ac:dyDescent="0.25">
      <c r="A1784" s="829" t="s">
        <v>3892</v>
      </c>
      <c r="B1784" s="110" t="s">
        <v>3888</v>
      </c>
      <c r="C1784" s="110">
        <f>488/2</f>
        <v>244</v>
      </c>
      <c r="D1784" s="110">
        <f>C1784*D1782</f>
        <v>3660</v>
      </c>
      <c r="E1784" s="110">
        <f>C1784*$E$1782</f>
        <v>6100</v>
      </c>
      <c r="F1784" s="110">
        <f>C1784*$F$1782</f>
        <v>4880</v>
      </c>
      <c r="G1784" s="110">
        <f>C1784*$G$1782</f>
        <v>4880</v>
      </c>
      <c r="H1784" s="110">
        <f>C1784*$H$1782</f>
        <v>1220</v>
      </c>
    </row>
    <row r="1785" spans="1:8" x14ac:dyDescent="0.25">
      <c r="A1785" s="829"/>
      <c r="B1785" s="110" t="s">
        <v>3889</v>
      </c>
      <c r="C1785" s="110">
        <f>539/2</f>
        <v>269.5</v>
      </c>
      <c r="D1785" s="110">
        <f>C1785*D1782</f>
        <v>4042.5</v>
      </c>
      <c r="E1785" s="110">
        <f>C1785*$E$1782</f>
        <v>6737.5</v>
      </c>
      <c r="F1785" s="110">
        <f>C1785*$F$1782</f>
        <v>5390</v>
      </c>
      <c r="G1785" s="110">
        <f>C1785*$G$1782</f>
        <v>5390</v>
      </c>
      <c r="H1785" s="110">
        <f>C1785*$H$1782</f>
        <v>1347.5</v>
      </c>
    </row>
    <row r="1786" spans="1:8" x14ac:dyDescent="0.25">
      <c r="A1786" s="829"/>
      <c r="B1786" s="110" t="s">
        <v>3890</v>
      </c>
      <c r="C1786" s="110">
        <v>479</v>
      </c>
      <c r="D1786" s="110">
        <f>C1786*D1782</f>
        <v>7185</v>
      </c>
      <c r="E1786" s="110">
        <f>C1786*$E$1782</f>
        <v>11975</v>
      </c>
      <c r="F1786" s="110">
        <f>C1786*$F$1782</f>
        <v>9580</v>
      </c>
      <c r="G1786" s="110">
        <f>C1786*$G$1782</f>
        <v>9580</v>
      </c>
      <c r="H1786" s="110">
        <f>C1786*$H$1782</f>
        <v>2395</v>
      </c>
    </row>
    <row r="1787" spans="1:8" x14ac:dyDescent="0.25">
      <c r="A1787" s="829"/>
      <c r="B1787" s="110" t="s">
        <v>3891</v>
      </c>
      <c r="C1787" s="110">
        <f>4994/5</f>
        <v>998.8</v>
      </c>
      <c r="D1787" s="110">
        <f>C1787*D1782</f>
        <v>14982</v>
      </c>
      <c r="E1787" s="110">
        <f>C1787*$E$1782</f>
        <v>24970</v>
      </c>
      <c r="F1787" s="110">
        <f>C1787*$F$1782</f>
        <v>19976</v>
      </c>
      <c r="G1787" s="110">
        <f>C1787*$G$1782</f>
        <v>19976</v>
      </c>
      <c r="H1787" s="110">
        <f>C1787*$H$1782</f>
        <v>4994</v>
      </c>
    </row>
    <row r="1788" spans="1:8" x14ac:dyDescent="0.25">
      <c r="A1788" s="110"/>
      <c r="B1788" s="110"/>
      <c r="C1788" s="110"/>
      <c r="D1788" s="110">
        <f>SUM(D1784:D1787)</f>
        <v>29869.5</v>
      </c>
      <c r="E1788" s="110">
        <f>SUM(E1784:E1787)</f>
        <v>49782.5</v>
      </c>
      <c r="F1788" s="110">
        <f>SUM(F1784:F1787)</f>
        <v>39826</v>
      </c>
      <c r="G1788" s="110">
        <f>SUM(G1784:G1787)</f>
        <v>39826</v>
      </c>
      <c r="H1788" s="110">
        <f>SUM(H1784:H1787)</f>
        <v>9956.5</v>
      </c>
    </row>
    <row r="1789" spans="1:8" x14ac:dyDescent="0.25">
      <c r="A1789" s="518"/>
      <c r="B1789" s="110"/>
      <c r="C1789" s="110"/>
      <c r="D1789" s="110"/>
      <c r="E1789" s="110"/>
      <c r="F1789" s="110"/>
      <c r="G1789" s="110"/>
      <c r="H1789" s="518">
        <f>SUM(D1788:H1788)</f>
        <v>169260.5</v>
      </c>
    </row>
    <row r="1790" spans="1:8" x14ac:dyDescent="0.25">
      <c r="A1790" s="56"/>
      <c r="B1790" s="56"/>
      <c r="C1790" s="56"/>
      <c r="D1790" s="56"/>
      <c r="E1790" s="56"/>
      <c r="F1790" s="56"/>
    </row>
    <row r="1799" spans="1:9" x14ac:dyDescent="0.25">
      <c r="A1799" s="56" t="s">
        <v>3992</v>
      </c>
    </row>
    <row r="1800" spans="1:9" x14ac:dyDescent="0.25">
      <c r="A1800" s="147" t="s">
        <v>3999</v>
      </c>
      <c r="B1800" s="147" t="s">
        <v>4000</v>
      </c>
      <c r="C1800" s="147" t="s">
        <v>132</v>
      </c>
      <c r="D1800" s="147" t="s">
        <v>1008</v>
      </c>
      <c r="E1800" s="147" t="s">
        <v>4001</v>
      </c>
      <c r="F1800" s="147" t="s">
        <v>4002</v>
      </c>
    </row>
    <row r="1801" spans="1:9" x14ac:dyDescent="0.25">
      <c r="A1801" s="110" t="s">
        <v>3993</v>
      </c>
      <c r="B1801" s="110" t="s">
        <v>3994</v>
      </c>
      <c r="C1801" s="110">
        <v>471</v>
      </c>
      <c r="D1801" s="110">
        <v>14</v>
      </c>
      <c r="E1801" s="110">
        <f>C1801*D1801</f>
        <v>6594</v>
      </c>
      <c r="F1801" s="631">
        <f>E1801*1.5</f>
        <v>9891</v>
      </c>
    </row>
    <row r="1802" spans="1:9" s="108" customFormat="1" x14ac:dyDescent="0.25">
      <c r="A1802" s="293" t="s">
        <v>4003</v>
      </c>
      <c r="B1802" s="293" t="s">
        <v>3998</v>
      </c>
      <c r="C1802" s="293">
        <v>156</v>
      </c>
      <c r="D1802" s="293">
        <v>3</v>
      </c>
      <c r="E1802" s="293">
        <f>C1802*D1802</f>
        <v>468</v>
      </c>
      <c r="F1802" s="631">
        <f>E1802*1.5</f>
        <v>702</v>
      </c>
    </row>
    <row r="1803" spans="1:9" x14ac:dyDescent="0.25">
      <c r="A1803" s="110" t="s">
        <v>3996</v>
      </c>
      <c r="B1803" s="110" t="s">
        <v>3997</v>
      </c>
      <c r="C1803" s="110">
        <v>471</v>
      </c>
      <c r="D1803" s="110">
        <v>1</v>
      </c>
      <c r="E1803" s="110">
        <f>C1803*D1803</f>
        <v>471</v>
      </c>
      <c r="F1803" s="631">
        <f>E1803*1.5</f>
        <v>706.5</v>
      </c>
    </row>
    <row r="1804" spans="1:9" x14ac:dyDescent="0.25">
      <c r="A1804" s="110" t="s">
        <v>3880</v>
      </c>
      <c r="B1804" s="110" t="s">
        <v>3995</v>
      </c>
      <c r="C1804" s="110">
        <v>463</v>
      </c>
      <c r="D1804" s="110">
        <v>9</v>
      </c>
      <c r="E1804" s="110">
        <f>C1804*D1804</f>
        <v>4167</v>
      </c>
      <c r="F1804" s="631">
        <f>E1804*1.5</f>
        <v>6250.5</v>
      </c>
    </row>
    <row r="1805" spans="1:9" x14ac:dyDescent="0.25">
      <c r="A1805" s="110"/>
      <c r="B1805" s="110"/>
      <c r="C1805" s="110"/>
      <c r="D1805" s="110"/>
      <c r="E1805" s="110"/>
      <c r="F1805" s="631"/>
    </row>
    <row r="1806" spans="1:9" x14ac:dyDescent="0.25">
      <c r="F1806" s="706">
        <f>SUM(F1801:F1805)</f>
        <v>17550</v>
      </c>
    </row>
    <row r="1808" spans="1:9" x14ac:dyDescent="0.25">
      <c r="A1808" s="147" t="s">
        <v>485</v>
      </c>
      <c r="B1808" s="147" t="s">
        <v>2972</v>
      </c>
      <c r="C1808" s="147" t="s">
        <v>49</v>
      </c>
      <c r="D1808" s="147" t="s">
        <v>1631</v>
      </c>
      <c r="E1808" s="147" t="s">
        <v>1510</v>
      </c>
      <c r="F1808" s="147" t="s">
        <v>1632</v>
      </c>
      <c r="G1808" s="147" t="s">
        <v>4005</v>
      </c>
      <c r="H1808" s="147" t="s">
        <v>3282</v>
      </c>
      <c r="I1808" s="309" t="s">
        <v>18</v>
      </c>
    </row>
    <row r="1809" spans="1:9" x14ac:dyDescent="0.25">
      <c r="A1809" s="214" t="s">
        <v>3556</v>
      </c>
      <c r="B1809" s="208" t="s">
        <v>880</v>
      </c>
      <c r="C1809" s="218" t="s">
        <v>1266</v>
      </c>
      <c r="D1809" s="217">
        <v>42107</v>
      </c>
      <c r="E1809" s="431">
        <v>42188</v>
      </c>
      <c r="F1809" s="224">
        <v>44100</v>
      </c>
      <c r="G1809" s="224">
        <v>21589</v>
      </c>
      <c r="H1809" s="673">
        <v>4136</v>
      </c>
      <c r="I1809" s="110" t="s">
        <v>4006</v>
      </c>
    </row>
    <row r="1810" spans="1:9" x14ac:dyDescent="0.25">
      <c r="A1810" s="110"/>
      <c r="B1810" s="110"/>
      <c r="C1810" s="110"/>
      <c r="D1810" s="110"/>
      <c r="E1810" s="110"/>
      <c r="F1810" s="110"/>
      <c r="G1810" s="110"/>
      <c r="H1810" s="110"/>
      <c r="I1810" s="110"/>
    </row>
    <row r="1813" spans="1:9" x14ac:dyDescent="0.25">
      <c r="A1813" t="s">
        <v>4013</v>
      </c>
      <c r="B1813">
        <v>0.11</v>
      </c>
      <c r="C1813" s="188">
        <f>1/B1813</f>
        <v>9.0909090909090917</v>
      </c>
    </row>
    <row r="1814" spans="1:9" x14ac:dyDescent="0.25">
      <c r="A1814" t="s">
        <v>4014</v>
      </c>
      <c r="B1814">
        <v>0.16</v>
      </c>
      <c r="C1814">
        <f>1/B1814</f>
        <v>6.25</v>
      </c>
    </row>
    <row r="1816" spans="1:9" x14ac:dyDescent="0.25">
      <c r="A1816" s="56" t="s">
        <v>4011</v>
      </c>
      <c r="B1816" s="56" t="s">
        <v>2648</v>
      </c>
      <c r="C1816" s="56" t="s">
        <v>4012</v>
      </c>
      <c r="D1816" s="56"/>
    </row>
    <row r="1817" spans="1:9" x14ac:dyDescent="0.25">
      <c r="A1817" t="s">
        <v>4008</v>
      </c>
      <c r="B1817">
        <v>225</v>
      </c>
      <c r="C1817">
        <f>B1817*C1814</f>
        <v>1406.25</v>
      </c>
    </row>
    <row r="1818" spans="1:9" x14ac:dyDescent="0.25">
      <c r="A1818" t="s">
        <v>4009</v>
      </c>
      <c r="B1818">
        <v>360</v>
      </c>
      <c r="C1818">
        <f>B1818</f>
        <v>360</v>
      </c>
    </row>
    <row r="1819" spans="1:9" x14ac:dyDescent="0.25">
      <c r="A1819" t="s">
        <v>4010</v>
      </c>
      <c r="B1819">
        <v>670</v>
      </c>
      <c r="C1819">
        <f>B1819</f>
        <v>670</v>
      </c>
    </row>
    <row r="1820" spans="1:9" x14ac:dyDescent="0.25">
      <c r="C1820">
        <f>C1817+C1818+C1819</f>
        <v>2436.25</v>
      </c>
    </row>
    <row r="1821" spans="1:9" x14ac:dyDescent="0.25">
      <c r="C1821">
        <f>C1820/C1813</f>
        <v>267.98749999999995</v>
      </c>
    </row>
    <row r="1824" spans="1:9" x14ac:dyDescent="0.25">
      <c r="A1824" s="701" t="s">
        <v>4015</v>
      </c>
    </row>
    <row r="1825" spans="1:4" x14ac:dyDescent="0.25">
      <c r="A1825" s="147" t="s">
        <v>2288</v>
      </c>
      <c r="B1825" s="147" t="s">
        <v>1630</v>
      </c>
      <c r="C1825" s="147" t="s">
        <v>4016</v>
      </c>
    </row>
    <row r="1826" spans="1:4" x14ac:dyDescent="0.25">
      <c r="A1826" s="814" t="s">
        <v>275</v>
      </c>
      <c r="B1826" s="110" t="s">
        <v>1187</v>
      </c>
      <c r="C1826" s="707">
        <v>13</v>
      </c>
    </row>
    <row r="1827" spans="1:4" x14ac:dyDescent="0.25">
      <c r="A1827" s="815"/>
      <c r="B1827" s="110" t="s">
        <v>1255</v>
      </c>
      <c r="C1827" s="110" t="s">
        <v>4017</v>
      </c>
    </row>
    <row r="1828" spans="1:4" x14ac:dyDescent="0.25">
      <c r="A1828" s="814" t="s">
        <v>4019</v>
      </c>
      <c r="B1828" s="110" t="s">
        <v>1002</v>
      </c>
      <c r="C1828" s="110" t="s">
        <v>4018</v>
      </c>
    </row>
    <row r="1829" spans="1:4" x14ac:dyDescent="0.25">
      <c r="A1829" s="816"/>
      <c r="B1829" s="110" t="s">
        <v>2315</v>
      </c>
      <c r="C1829" s="110" t="s">
        <v>4017</v>
      </c>
      <c r="D1829" t="s">
        <v>4020</v>
      </c>
    </row>
    <row r="1830" spans="1:4" x14ac:dyDescent="0.25">
      <c r="A1830" s="814" t="s">
        <v>269</v>
      </c>
      <c r="B1830" s="110" t="s">
        <v>4021</v>
      </c>
      <c r="C1830" s="110" t="s">
        <v>4018</v>
      </c>
    </row>
    <row r="1831" spans="1:4" x14ac:dyDescent="0.25">
      <c r="A1831" s="816"/>
      <c r="B1831" s="110" t="s">
        <v>1269</v>
      </c>
      <c r="C1831" s="110" t="s">
        <v>4017</v>
      </c>
    </row>
    <row r="1832" spans="1:4" x14ac:dyDescent="0.25">
      <c r="A1832" s="814" t="s">
        <v>270</v>
      </c>
      <c r="B1832" s="110" t="s">
        <v>4021</v>
      </c>
      <c r="C1832" s="110" t="s">
        <v>4018</v>
      </c>
    </row>
    <row r="1833" spans="1:4" x14ac:dyDescent="0.25">
      <c r="A1833" s="816"/>
      <c r="B1833" s="110" t="s">
        <v>1268</v>
      </c>
      <c r="C1833" s="110" t="s">
        <v>4017</v>
      </c>
    </row>
    <row r="1834" spans="1:4" x14ac:dyDescent="0.25">
      <c r="A1834" s="110"/>
      <c r="B1834" s="110"/>
      <c r="C1834" s="110"/>
    </row>
    <row r="1837" spans="1:4" x14ac:dyDescent="0.25">
      <c r="A1837" s="56" t="s">
        <v>4031</v>
      </c>
    </row>
    <row r="1838" spans="1:4" x14ac:dyDescent="0.25">
      <c r="A1838" s="147" t="s">
        <v>4024</v>
      </c>
      <c r="B1838" s="147" t="s">
        <v>2830</v>
      </c>
      <c r="C1838" s="147" t="s">
        <v>4025</v>
      </c>
      <c r="D1838" s="147" t="s">
        <v>4026</v>
      </c>
    </row>
    <row r="1839" spans="1:4" x14ac:dyDescent="0.25">
      <c r="A1839" s="214" t="s">
        <v>5</v>
      </c>
      <c r="B1839" s="110">
        <v>471</v>
      </c>
      <c r="C1839" s="110" t="s">
        <v>4027</v>
      </c>
      <c r="D1839" s="110" t="s">
        <v>4028</v>
      </c>
    </row>
    <row r="1840" spans="1:4" x14ac:dyDescent="0.25">
      <c r="A1840" s="214" t="s">
        <v>3761</v>
      </c>
      <c r="B1840" s="223">
        <v>559</v>
      </c>
      <c r="C1840" s="110" t="s">
        <v>4029</v>
      </c>
      <c r="D1840" s="110" t="s">
        <v>4028</v>
      </c>
    </row>
    <row r="1841" spans="1:14" x14ac:dyDescent="0.25">
      <c r="A1841" s="214" t="s">
        <v>3787</v>
      </c>
      <c r="B1841" s="223">
        <v>559</v>
      </c>
      <c r="C1841" s="110" t="s">
        <v>4029</v>
      </c>
      <c r="D1841" s="110" t="s">
        <v>4028</v>
      </c>
    </row>
    <row r="1842" spans="1:14" x14ac:dyDescent="0.25">
      <c r="A1842" s="110" t="s">
        <v>4030</v>
      </c>
      <c r="B1842" s="110"/>
      <c r="C1842" s="110" t="s">
        <v>4022</v>
      </c>
      <c r="D1842" s="110" t="s">
        <v>4023</v>
      </c>
    </row>
    <row r="1845" spans="1:14" ht="15.75" x14ac:dyDescent="0.25">
      <c r="A1845" s="708" t="s">
        <v>4034</v>
      </c>
      <c r="B1845" t="s">
        <v>4035</v>
      </c>
      <c r="C1845" s="701"/>
    </row>
    <row r="1847" spans="1:14" x14ac:dyDescent="0.25">
      <c r="G1847" s="550"/>
    </row>
    <row r="1848" spans="1:14" x14ac:dyDescent="0.25">
      <c r="A1848" s="56" t="s">
        <v>4156</v>
      </c>
      <c r="G1848" s="550"/>
    </row>
    <row r="1849" spans="1:14" x14ac:dyDescent="0.25">
      <c r="A1849" s="56"/>
      <c r="G1849" s="550"/>
    </row>
    <row r="1850" spans="1:14" x14ac:dyDescent="0.25">
      <c r="A1850" s="110"/>
      <c r="B1850" s="147"/>
      <c r="C1850" s="147"/>
      <c r="D1850" s="147"/>
      <c r="E1850" s="147"/>
      <c r="F1850" s="147"/>
      <c r="G1850" s="147"/>
      <c r="H1850" s="147">
        <v>8</v>
      </c>
      <c r="I1850" s="147">
        <v>25</v>
      </c>
      <c r="J1850" s="147">
        <v>20</v>
      </c>
      <c r="K1850" s="714">
        <v>20</v>
      </c>
      <c r="L1850" s="147">
        <v>25</v>
      </c>
      <c r="M1850" s="147">
        <v>20</v>
      </c>
      <c r="N1850" s="147">
        <v>20</v>
      </c>
    </row>
    <row r="1851" spans="1:14" ht="14.25" customHeight="1" x14ac:dyDescent="0.25">
      <c r="A1851" s="147" t="s">
        <v>2698</v>
      </c>
      <c r="B1851" s="147" t="s">
        <v>281</v>
      </c>
      <c r="C1851" s="147" t="s">
        <v>1691</v>
      </c>
      <c r="D1851" s="147" t="s">
        <v>4149</v>
      </c>
      <c r="E1851" s="712" t="s">
        <v>4145</v>
      </c>
      <c r="F1851" s="712" t="s">
        <v>4146</v>
      </c>
      <c r="G1851" s="712" t="s">
        <v>4148</v>
      </c>
      <c r="H1851" s="712" t="s">
        <v>1851</v>
      </c>
      <c r="I1851" s="712" t="s">
        <v>2039</v>
      </c>
      <c r="J1851" s="712" t="s">
        <v>2060</v>
      </c>
      <c r="K1851" s="712" t="s">
        <v>2041</v>
      </c>
      <c r="L1851" s="712" t="s">
        <v>2042</v>
      </c>
      <c r="M1851" s="712" t="s">
        <v>1677</v>
      </c>
      <c r="N1851" s="712" t="s">
        <v>2317</v>
      </c>
    </row>
    <row r="1852" spans="1:14" ht="15.75" x14ac:dyDescent="0.25">
      <c r="A1852" s="110" t="s">
        <v>1053</v>
      </c>
      <c r="B1852" s="710" t="s">
        <v>4141</v>
      </c>
      <c r="C1852" s="710" t="s">
        <v>4142</v>
      </c>
      <c r="D1852" s="710">
        <v>1</v>
      </c>
      <c r="E1852" s="709">
        <v>514</v>
      </c>
      <c r="F1852" s="709">
        <v>179</v>
      </c>
      <c r="G1852" s="110" t="s">
        <v>4154</v>
      </c>
      <c r="H1852" s="110">
        <f>F1852*H1850</f>
        <v>1432</v>
      </c>
      <c r="I1852" s="110">
        <f>F1852*15+(10*E1852)</f>
        <v>7825</v>
      </c>
      <c r="J1852" s="110">
        <f>$E$1852*J1850</f>
        <v>10280</v>
      </c>
      <c r="K1852" s="110">
        <f>$E$1852*K1850</f>
        <v>10280</v>
      </c>
      <c r="L1852" s="110">
        <f>$E$1852*L1850</f>
        <v>12850</v>
      </c>
      <c r="M1852" s="110">
        <f>$E$1852*M1850</f>
        <v>10280</v>
      </c>
      <c r="N1852" s="110">
        <f>$E$1852*N1850</f>
        <v>10280</v>
      </c>
    </row>
    <row r="1853" spans="1:14" ht="15.75" x14ac:dyDescent="0.25">
      <c r="A1853" s="110" t="s">
        <v>4150</v>
      </c>
      <c r="B1853" s="710" t="s">
        <v>2065</v>
      </c>
      <c r="C1853" s="710" t="s">
        <v>1636</v>
      </c>
      <c r="D1853" s="710">
        <v>1</v>
      </c>
      <c r="E1853" s="709">
        <v>488</v>
      </c>
      <c r="F1853" s="709">
        <v>166</v>
      </c>
      <c r="G1853" s="110" t="s">
        <v>4155</v>
      </c>
      <c r="H1853" s="110">
        <f t="shared" ref="H1853:N1853" si="24">$E$1853*H1850</f>
        <v>3904</v>
      </c>
      <c r="I1853" s="110">
        <f t="shared" si="24"/>
        <v>12200</v>
      </c>
      <c r="J1853" s="110">
        <f t="shared" si="24"/>
        <v>9760</v>
      </c>
      <c r="K1853" s="713">
        <f t="shared" si="24"/>
        <v>9760</v>
      </c>
      <c r="L1853" s="110">
        <f t="shared" si="24"/>
        <v>12200</v>
      </c>
      <c r="M1853" s="110">
        <f t="shared" si="24"/>
        <v>9760</v>
      </c>
      <c r="N1853" s="110">
        <f t="shared" si="24"/>
        <v>9760</v>
      </c>
    </row>
    <row r="1854" spans="1:14" ht="15.75" x14ac:dyDescent="0.25">
      <c r="A1854" s="110" t="s">
        <v>4151</v>
      </c>
      <c r="B1854" s="710" t="s">
        <v>4144</v>
      </c>
      <c r="C1854" s="710" t="s">
        <v>4142</v>
      </c>
      <c r="D1854" s="710">
        <v>1</v>
      </c>
      <c r="E1854" s="709">
        <v>479</v>
      </c>
      <c r="F1854" s="709">
        <v>179</v>
      </c>
      <c r="G1854" s="110" t="s">
        <v>4029</v>
      </c>
      <c r="H1854" s="110">
        <f>F1854*H1850</f>
        <v>1432</v>
      </c>
      <c r="I1854" s="110">
        <f>F1854*5+(20*E1854)</f>
        <v>10475</v>
      </c>
      <c r="J1854" s="110">
        <f>$E$1854*J1850</f>
        <v>9580</v>
      </c>
      <c r="K1854" s="110">
        <f>$E$1854*K1850</f>
        <v>9580</v>
      </c>
      <c r="L1854" s="110">
        <f>$E$1854*L1850</f>
        <v>11975</v>
      </c>
      <c r="M1854" s="110">
        <f>$E$1854*M1850</f>
        <v>9580</v>
      </c>
      <c r="N1854" s="110">
        <f>$E$1854*N1850</f>
        <v>9580</v>
      </c>
    </row>
    <row r="1855" spans="1:14" ht="15.75" x14ac:dyDescent="0.25">
      <c r="A1855" s="110" t="s">
        <v>4152</v>
      </c>
      <c r="B1855" s="710" t="s">
        <v>4143</v>
      </c>
      <c r="C1855" s="710" t="s">
        <v>4142</v>
      </c>
      <c r="D1855" s="710">
        <v>1</v>
      </c>
      <c r="E1855" s="709">
        <v>463</v>
      </c>
      <c r="F1855" s="709">
        <v>168</v>
      </c>
      <c r="G1855" s="110" t="s">
        <v>4029</v>
      </c>
      <c r="H1855" s="110">
        <f>F1855*H1850</f>
        <v>1344</v>
      </c>
      <c r="I1855" s="110">
        <f>F1855*5+(20*E1855)</f>
        <v>10100</v>
      </c>
      <c r="J1855" s="110">
        <f>$E$1855*J1850</f>
        <v>9260</v>
      </c>
      <c r="K1855" s="110">
        <f>$E$1855*K1850</f>
        <v>9260</v>
      </c>
      <c r="L1855" s="110">
        <f>$E$1855*L1850</f>
        <v>11575</v>
      </c>
      <c r="M1855" s="110">
        <f>$E$1855*M1850</f>
        <v>9260</v>
      </c>
      <c r="N1855" s="110">
        <f>$E$1855*N1850</f>
        <v>9260</v>
      </c>
    </row>
    <row r="1856" spans="1:14" ht="15.75" x14ac:dyDescent="0.25">
      <c r="A1856" s="110" t="s">
        <v>3529</v>
      </c>
      <c r="B1856" s="710" t="s">
        <v>4143</v>
      </c>
      <c r="C1856" s="710" t="s">
        <v>1635</v>
      </c>
      <c r="D1856" s="710">
        <v>1</v>
      </c>
      <c r="E1856" s="709" t="s">
        <v>4147</v>
      </c>
      <c r="F1856" s="709">
        <v>168</v>
      </c>
      <c r="G1856" s="110"/>
      <c r="H1856" s="110">
        <f>$F$1856*H1850</f>
        <v>1344</v>
      </c>
      <c r="I1856" s="110">
        <f t="shared" ref="I1856:N1856" si="25">$F$1856*I1850</f>
        <v>4200</v>
      </c>
      <c r="J1856" s="110">
        <f t="shared" si="25"/>
        <v>3360</v>
      </c>
      <c r="K1856" s="110">
        <f t="shared" si="25"/>
        <v>3360</v>
      </c>
      <c r="L1856" s="110">
        <f t="shared" si="25"/>
        <v>4200</v>
      </c>
      <c r="M1856" s="110">
        <f t="shared" si="25"/>
        <v>3360</v>
      </c>
      <c r="N1856" s="110">
        <f t="shared" si="25"/>
        <v>3360</v>
      </c>
    </row>
    <row r="1857" spans="1:15" ht="15.75" x14ac:dyDescent="0.25">
      <c r="A1857" s="110" t="s">
        <v>114</v>
      </c>
      <c r="B1857" s="710" t="s">
        <v>344</v>
      </c>
      <c r="C1857" s="710" t="s">
        <v>1635</v>
      </c>
      <c r="D1857" s="710">
        <v>1</v>
      </c>
      <c r="E1857" s="709" t="s">
        <v>4147</v>
      </c>
      <c r="F1857" s="709">
        <v>156</v>
      </c>
      <c r="G1857" s="110"/>
      <c r="H1857" s="110">
        <f>$F$1857*H1850</f>
        <v>1248</v>
      </c>
      <c r="I1857" s="110">
        <f t="shared" ref="I1857:N1857" si="26">$F$1857*I1850</f>
        <v>3900</v>
      </c>
      <c r="J1857" s="110">
        <f t="shared" si="26"/>
        <v>3120</v>
      </c>
      <c r="K1857" s="110">
        <f t="shared" si="26"/>
        <v>3120</v>
      </c>
      <c r="L1857" s="110">
        <f t="shared" si="26"/>
        <v>3900</v>
      </c>
      <c r="M1857" s="110">
        <f t="shared" si="26"/>
        <v>3120</v>
      </c>
      <c r="N1857" s="110">
        <f t="shared" si="26"/>
        <v>3120</v>
      </c>
    </row>
    <row r="1858" spans="1:15" ht="15.75" x14ac:dyDescent="0.25">
      <c r="A1858" s="110" t="s">
        <v>4153</v>
      </c>
      <c r="B1858" s="710" t="s">
        <v>344</v>
      </c>
      <c r="C1858" s="710" t="s">
        <v>1635</v>
      </c>
      <c r="D1858" s="710">
        <v>1</v>
      </c>
      <c r="E1858" s="709" t="s">
        <v>4147</v>
      </c>
      <c r="F1858" s="709">
        <v>156</v>
      </c>
      <c r="G1858" s="110"/>
      <c r="H1858" s="110">
        <f>$F$1858*H1850</f>
        <v>1248</v>
      </c>
      <c r="I1858" s="110">
        <f t="shared" ref="I1858:N1858" si="27">$F$1858*I1850</f>
        <v>3900</v>
      </c>
      <c r="J1858" s="110">
        <f t="shared" si="27"/>
        <v>3120</v>
      </c>
      <c r="K1858" s="110">
        <f t="shared" si="27"/>
        <v>3120</v>
      </c>
      <c r="L1858" s="110">
        <f t="shared" si="27"/>
        <v>3900</v>
      </c>
      <c r="M1858" s="110">
        <f t="shared" si="27"/>
        <v>3120</v>
      </c>
      <c r="N1858" s="110">
        <f t="shared" si="27"/>
        <v>3120</v>
      </c>
    </row>
    <row r="1860" spans="1:15" x14ac:dyDescent="0.25">
      <c r="H1860">
        <f>SUM(H1852:H1858)</f>
        <v>11952</v>
      </c>
      <c r="I1860">
        <f t="shared" ref="I1860:N1860" si="28">SUM(I1852:I1858)</f>
        <v>52600</v>
      </c>
      <c r="J1860">
        <f t="shared" si="28"/>
        <v>48480</v>
      </c>
      <c r="K1860">
        <f t="shared" si="28"/>
        <v>48480</v>
      </c>
      <c r="L1860">
        <f t="shared" si="28"/>
        <v>60600</v>
      </c>
      <c r="M1860">
        <f t="shared" si="28"/>
        <v>48480</v>
      </c>
      <c r="N1860">
        <f t="shared" si="28"/>
        <v>48480</v>
      </c>
    </row>
    <row r="1861" spans="1:15" x14ac:dyDescent="0.25">
      <c r="N1861">
        <f>SUM(H1860:N1860)</f>
        <v>319072</v>
      </c>
    </row>
    <row r="1867" spans="1:15" ht="15.75" x14ac:dyDescent="0.25">
      <c r="A1867" s="696" t="s">
        <v>4164</v>
      </c>
    </row>
    <row r="1868" spans="1:15" ht="102" x14ac:dyDescent="0.25">
      <c r="A1868" s="715" t="s">
        <v>129</v>
      </c>
      <c r="B1868" s="715" t="s">
        <v>2287</v>
      </c>
      <c r="C1868" s="715" t="s">
        <v>2288</v>
      </c>
      <c r="D1868" s="715" t="s">
        <v>1630</v>
      </c>
      <c r="E1868" s="40" t="s">
        <v>3759</v>
      </c>
      <c r="F1868" s="715" t="s">
        <v>4165</v>
      </c>
      <c r="G1868" s="715" t="s">
        <v>4166</v>
      </c>
      <c r="H1868" s="715" t="s">
        <v>4167</v>
      </c>
      <c r="I1868" s="715" t="s">
        <v>4168</v>
      </c>
      <c r="J1868" s="715" t="s">
        <v>4169</v>
      </c>
      <c r="K1868" s="40" t="s">
        <v>3461</v>
      </c>
      <c r="L1868" s="41" t="s">
        <v>4170</v>
      </c>
      <c r="M1868" s="41" t="s">
        <v>4180</v>
      </c>
      <c r="N1868" s="40" t="s">
        <v>4178</v>
      </c>
      <c r="O1868" s="225"/>
    </row>
    <row r="1869" spans="1:15" x14ac:dyDescent="0.25">
      <c r="A1869" s="817">
        <v>1000105043</v>
      </c>
      <c r="B1869" s="818" t="s">
        <v>1261</v>
      </c>
      <c r="C1869" s="720" t="s">
        <v>272</v>
      </c>
      <c r="D1869" s="18" t="s">
        <v>4048</v>
      </c>
      <c r="E1869" s="670" t="s">
        <v>4171</v>
      </c>
      <c r="F1869" s="716">
        <v>22584</v>
      </c>
      <c r="G1869" s="716">
        <v>37640</v>
      </c>
      <c r="H1869" s="716">
        <v>30112</v>
      </c>
      <c r="I1869" s="716">
        <v>30112</v>
      </c>
      <c r="J1869" s="716">
        <v>37640</v>
      </c>
      <c r="K1869" s="716">
        <f>SUM(F1869:J1869)</f>
        <v>158088</v>
      </c>
      <c r="L1869" s="963">
        <f>K1869+K1870</f>
        <v>156588</v>
      </c>
      <c r="M1869" s="962" t="s">
        <v>4198</v>
      </c>
      <c r="N1869" s="716">
        <v>0</v>
      </c>
    </row>
    <row r="1870" spans="1:15" x14ac:dyDescent="0.25">
      <c r="A1870" s="817"/>
      <c r="B1870" s="818"/>
      <c r="C1870" s="186" t="s">
        <v>3535</v>
      </c>
      <c r="D1870" s="18" t="s">
        <v>4172</v>
      </c>
      <c r="E1870" s="670" t="s">
        <v>4177</v>
      </c>
      <c r="F1870" s="716">
        <v>10879</v>
      </c>
      <c r="G1870" s="659">
        <v>0</v>
      </c>
      <c r="H1870" s="694">
        <v>0</v>
      </c>
      <c r="I1870" s="694">
        <v>0</v>
      </c>
      <c r="J1870" s="694">
        <v>0</v>
      </c>
      <c r="K1870" s="716">
        <v>-1500</v>
      </c>
      <c r="L1870" s="964"/>
      <c r="M1870" s="962"/>
      <c r="N1870" s="716">
        <v>12379</v>
      </c>
    </row>
    <row r="1871" spans="1:15" x14ac:dyDescent="0.25">
      <c r="A1871" s="817">
        <v>1000109733</v>
      </c>
      <c r="B1871" s="818" t="s">
        <v>3894</v>
      </c>
      <c r="C1871" s="937" t="s">
        <v>331</v>
      </c>
      <c r="D1871" s="186" t="s">
        <v>3525</v>
      </c>
      <c r="E1871" s="670" t="s">
        <v>4179</v>
      </c>
      <c r="F1871" s="716">
        <v>6784</v>
      </c>
      <c r="G1871" s="659">
        <v>0</v>
      </c>
      <c r="H1871" s="717">
        <v>0</v>
      </c>
      <c r="I1871" s="694">
        <v>0</v>
      </c>
      <c r="J1871" s="694">
        <v>0</v>
      </c>
      <c r="K1871" s="716">
        <v>895</v>
      </c>
      <c r="L1871" s="963">
        <f>K1871+K1872</f>
        <v>107848</v>
      </c>
      <c r="M1871" s="962" t="s">
        <v>4198</v>
      </c>
      <c r="N1871" s="719">
        <v>5889</v>
      </c>
    </row>
    <row r="1872" spans="1:15" x14ac:dyDescent="0.25">
      <c r="A1872" s="817"/>
      <c r="B1872" s="818"/>
      <c r="C1872" s="938"/>
      <c r="D1872" s="186" t="s">
        <v>3883</v>
      </c>
      <c r="E1872" s="670" t="s">
        <v>4171</v>
      </c>
      <c r="F1872" s="716">
        <v>15279</v>
      </c>
      <c r="G1872" s="716">
        <v>25465</v>
      </c>
      <c r="H1872" s="716">
        <v>20372</v>
      </c>
      <c r="I1872" s="716">
        <v>20372</v>
      </c>
      <c r="J1872" s="716">
        <v>25465</v>
      </c>
      <c r="K1872" s="716">
        <f>SUM(F1872:J1872)</f>
        <v>106953</v>
      </c>
      <c r="L1872" s="964"/>
      <c r="M1872" s="962"/>
      <c r="N1872" s="716">
        <v>0</v>
      </c>
    </row>
    <row r="1873" spans="1:14" x14ac:dyDescent="0.25">
      <c r="B1873" s="550"/>
      <c r="K1873" s="718"/>
      <c r="L1873" s="718"/>
    </row>
    <row r="1874" spans="1:14" x14ac:dyDescent="0.25">
      <c r="A1874" s="550"/>
      <c r="N1874" s="718"/>
    </row>
    <row r="1875" spans="1:14" ht="15.75" x14ac:dyDescent="0.25">
      <c r="A1875" s="696" t="s">
        <v>4181</v>
      </c>
      <c r="B1875" t="s">
        <v>4182</v>
      </c>
      <c r="K1875" s="718"/>
      <c r="L1875" s="718"/>
    </row>
    <row r="1876" spans="1:14" x14ac:dyDescent="0.25">
      <c r="G1876" s="718"/>
      <c r="I1876" s="718"/>
      <c r="K1876" s="718"/>
    </row>
    <row r="1877" spans="1:14" x14ac:dyDescent="0.25">
      <c r="A1877" s="56" t="s">
        <v>4183</v>
      </c>
      <c r="B1877" s="56" t="s">
        <v>4184</v>
      </c>
    </row>
    <row r="1878" spans="1:14" x14ac:dyDescent="0.25">
      <c r="A1878" t="s">
        <v>4185</v>
      </c>
      <c r="B1878" s="725">
        <v>0.02</v>
      </c>
    </row>
    <row r="1879" spans="1:14" x14ac:dyDescent="0.25">
      <c r="A1879" t="s">
        <v>4186</v>
      </c>
      <c r="B1879" s="725">
        <v>0.05</v>
      </c>
    </row>
    <row r="1880" spans="1:14" x14ac:dyDescent="0.25">
      <c r="A1880" t="s">
        <v>4193</v>
      </c>
      <c r="B1880" s="725"/>
    </row>
    <row r="1882" spans="1:14" x14ac:dyDescent="0.25">
      <c r="A1882" s="56" t="s">
        <v>4191</v>
      </c>
    </row>
    <row r="1883" spans="1:14" x14ac:dyDescent="0.25">
      <c r="A1883" t="s">
        <v>4190</v>
      </c>
    </row>
    <row r="1884" spans="1:14" x14ac:dyDescent="0.25">
      <c r="A1884" t="s">
        <v>4189</v>
      </c>
    </row>
    <row r="1885" spans="1:14" x14ac:dyDescent="0.25">
      <c r="A1885" t="s">
        <v>4187</v>
      </c>
    </row>
    <row r="1886" spans="1:14" x14ac:dyDescent="0.25">
      <c r="A1886" t="s">
        <v>4194</v>
      </c>
    </row>
    <row r="1887" spans="1:14" x14ac:dyDescent="0.25">
      <c r="A1887" t="s">
        <v>4188</v>
      </c>
    </row>
    <row r="1888" spans="1:14" x14ac:dyDescent="0.25">
      <c r="A1888" t="s">
        <v>4192</v>
      </c>
    </row>
    <row r="1899" spans="1:11" x14ac:dyDescent="0.25">
      <c r="F1899" s="56" t="s">
        <v>4542</v>
      </c>
    </row>
    <row r="1900" spans="1:11" x14ac:dyDescent="0.25">
      <c r="A1900" s="147" t="s">
        <v>266</v>
      </c>
      <c r="B1900" s="147" t="s">
        <v>4331</v>
      </c>
      <c r="C1900" s="147" t="s">
        <v>4332</v>
      </c>
      <c r="D1900" s="147" t="s">
        <v>4520</v>
      </c>
      <c r="F1900" s="147" t="s">
        <v>266</v>
      </c>
      <c r="G1900" s="147" t="s">
        <v>4543</v>
      </c>
      <c r="H1900" s="147" t="s">
        <v>4563</v>
      </c>
      <c r="I1900" s="309" t="s">
        <v>4544</v>
      </c>
      <c r="J1900" s="309" t="s">
        <v>4553</v>
      </c>
      <c r="K1900" s="309" t="s">
        <v>18</v>
      </c>
    </row>
    <row r="1901" spans="1:11" x14ac:dyDescent="0.25">
      <c r="A1901" s="110">
        <v>1</v>
      </c>
      <c r="B1901" s="222" t="s">
        <v>4333</v>
      </c>
      <c r="C1901" s="110" t="s">
        <v>4334</v>
      </c>
      <c r="D1901" s="110" t="s">
        <v>4521</v>
      </c>
      <c r="F1901" s="110">
        <v>1</v>
      </c>
      <c r="G1901" s="337" t="s">
        <v>4552</v>
      </c>
      <c r="H1901" s="110">
        <v>2</v>
      </c>
      <c r="I1901" s="820">
        <v>1</v>
      </c>
      <c r="J1901" s="820" t="s">
        <v>4567</v>
      </c>
      <c r="K1901" s="110" t="s">
        <v>4556</v>
      </c>
    </row>
    <row r="1902" spans="1:11" x14ac:dyDescent="0.25">
      <c r="A1902" s="110">
        <v>2</v>
      </c>
      <c r="B1902" s="222" t="s">
        <v>4335</v>
      </c>
      <c r="C1902" s="110" t="s">
        <v>4334</v>
      </c>
      <c r="D1902" s="110" t="s">
        <v>4522</v>
      </c>
      <c r="F1902" s="110">
        <v>2</v>
      </c>
      <c r="G1902" s="337" t="s">
        <v>4554</v>
      </c>
      <c r="H1902" s="110">
        <v>6</v>
      </c>
      <c r="I1902" s="821"/>
      <c r="J1902" s="821"/>
      <c r="K1902" s="110" t="s">
        <v>4555</v>
      </c>
    </row>
    <row r="1903" spans="1:11" ht="30" x14ac:dyDescent="0.25">
      <c r="A1903" s="110">
        <v>3</v>
      </c>
      <c r="B1903" s="222" t="s">
        <v>4545</v>
      </c>
      <c r="C1903" s="110" t="s">
        <v>4334</v>
      </c>
      <c r="D1903" s="110" t="s">
        <v>4523</v>
      </c>
      <c r="F1903" s="110">
        <v>3</v>
      </c>
      <c r="G1903" s="110" t="s">
        <v>4559</v>
      </c>
      <c r="H1903" s="110">
        <v>16</v>
      </c>
      <c r="I1903" s="822"/>
      <c r="J1903" s="822"/>
      <c r="K1903" s="337" t="s">
        <v>4557</v>
      </c>
    </row>
    <row r="1904" spans="1:11" ht="45" x14ac:dyDescent="0.25">
      <c r="A1904" s="110">
        <v>4</v>
      </c>
      <c r="B1904" s="222" t="s">
        <v>4347</v>
      </c>
      <c r="C1904" s="110" t="s">
        <v>4334</v>
      </c>
      <c r="D1904" s="110" t="s">
        <v>4529</v>
      </c>
      <c r="F1904" s="110">
        <v>4</v>
      </c>
      <c r="G1904" s="110" t="s">
        <v>4560</v>
      </c>
      <c r="H1904" s="110">
        <v>14</v>
      </c>
      <c r="I1904" s="820">
        <v>2</v>
      </c>
      <c r="J1904" s="820" t="s">
        <v>4558</v>
      </c>
      <c r="K1904" s="337" t="s">
        <v>4564</v>
      </c>
    </row>
    <row r="1905" spans="1:11" ht="30" x14ac:dyDescent="0.25">
      <c r="A1905" s="110">
        <v>5</v>
      </c>
      <c r="B1905" s="214" t="s">
        <v>4548</v>
      </c>
      <c r="C1905" s="110" t="s">
        <v>4334</v>
      </c>
      <c r="D1905" s="293" t="s">
        <v>4533</v>
      </c>
      <c r="F1905" s="110">
        <v>5</v>
      </c>
      <c r="G1905" s="110" t="s">
        <v>4561</v>
      </c>
      <c r="H1905" s="110">
        <v>8</v>
      </c>
      <c r="I1905" s="821"/>
      <c r="J1905" s="821"/>
      <c r="K1905" s="337" t="s">
        <v>4562</v>
      </c>
    </row>
    <row r="1906" spans="1:11" x14ac:dyDescent="0.25">
      <c r="A1906" s="110">
        <v>6</v>
      </c>
      <c r="B1906" s="222" t="s">
        <v>4344</v>
      </c>
      <c r="C1906" s="110" t="s">
        <v>4334</v>
      </c>
      <c r="D1906" s="293" t="s">
        <v>4534</v>
      </c>
      <c r="F1906" s="110">
        <v>6</v>
      </c>
      <c r="G1906" s="110" t="s">
        <v>4565</v>
      </c>
      <c r="H1906" s="110">
        <v>4</v>
      </c>
      <c r="I1906" s="821"/>
      <c r="J1906" s="821"/>
      <c r="K1906" s="110" t="s">
        <v>4566</v>
      </c>
    </row>
    <row r="1907" spans="1:11" x14ac:dyDescent="0.25">
      <c r="A1907" s="110">
        <v>7</v>
      </c>
      <c r="B1907" s="222" t="s">
        <v>4342</v>
      </c>
      <c r="C1907" s="110" t="s">
        <v>4334</v>
      </c>
      <c r="D1907" s="110" t="s">
        <v>4536</v>
      </c>
      <c r="F1907" s="110">
        <v>7</v>
      </c>
      <c r="G1907" s="110" t="s">
        <v>4590</v>
      </c>
      <c r="H1907" s="110">
        <v>4</v>
      </c>
      <c r="I1907" s="821"/>
      <c r="J1907" s="821"/>
      <c r="K1907" s="110" t="s">
        <v>4568</v>
      </c>
    </row>
    <row r="1908" spans="1:11" x14ac:dyDescent="0.25">
      <c r="A1908" s="110">
        <v>8</v>
      </c>
      <c r="B1908" s="222" t="s">
        <v>4351</v>
      </c>
      <c r="C1908" s="110" t="s">
        <v>4334</v>
      </c>
      <c r="D1908" s="110" t="s">
        <v>4537</v>
      </c>
      <c r="F1908" s="110">
        <v>8</v>
      </c>
      <c r="G1908" s="110" t="s">
        <v>4569</v>
      </c>
      <c r="H1908" s="110">
        <v>2</v>
      </c>
      <c r="I1908" s="822"/>
      <c r="J1908" s="822"/>
      <c r="K1908" s="110" t="s">
        <v>4578</v>
      </c>
    </row>
    <row r="1909" spans="1:11" x14ac:dyDescent="0.25">
      <c r="A1909" s="425">
        <v>9</v>
      </c>
      <c r="B1909" s="222" t="s">
        <v>4348</v>
      </c>
      <c r="C1909" s="110" t="s">
        <v>4334</v>
      </c>
      <c r="D1909" s="110" t="s">
        <v>4539</v>
      </c>
      <c r="F1909" s="293">
        <v>9</v>
      </c>
      <c r="G1909" s="293" t="s">
        <v>4570</v>
      </c>
      <c r="H1909" s="293">
        <v>4</v>
      </c>
      <c r="I1909" s="820">
        <v>3</v>
      </c>
      <c r="J1909" s="820" t="s">
        <v>4571</v>
      </c>
      <c r="K1909" s="110" t="s">
        <v>4572</v>
      </c>
    </row>
    <row r="1910" spans="1:11" x14ac:dyDescent="0.25">
      <c r="A1910" s="110">
        <v>10</v>
      </c>
      <c r="B1910" s="222" t="s">
        <v>4349</v>
      </c>
      <c r="C1910" s="110" t="s">
        <v>4334</v>
      </c>
      <c r="D1910" s="110" t="s">
        <v>4540</v>
      </c>
      <c r="F1910" s="293">
        <v>10</v>
      </c>
      <c r="G1910" s="293" t="s">
        <v>4573</v>
      </c>
      <c r="H1910" s="293">
        <v>8</v>
      </c>
      <c r="I1910" s="821"/>
      <c r="J1910" s="821"/>
      <c r="K1910" s="110" t="s">
        <v>4574</v>
      </c>
    </row>
    <row r="1911" spans="1:11" x14ac:dyDescent="0.25">
      <c r="A1911" s="110">
        <v>11</v>
      </c>
      <c r="B1911" s="222" t="s">
        <v>4354</v>
      </c>
      <c r="C1911" s="110" t="s">
        <v>4334</v>
      </c>
      <c r="D1911" s="110" t="s">
        <v>4536</v>
      </c>
      <c r="F1911" s="293">
        <v>11</v>
      </c>
      <c r="G1911" s="293" t="s">
        <v>4592</v>
      </c>
      <c r="H1911" s="293">
        <v>4</v>
      </c>
      <c r="I1911" s="821"/>
      <c r="J1911" s="821"/>
      <c r="K1911" s="110" t="s">
        <v>4574</v>
      </c>
    </row>
    <row r="1912" spans="1:11" x14ac:dyDescent="0.25">
      <c r="A1912" s="110">
        <v>12</v>
      </c>
      <c r="B1912" s="222" t="s">
        <v>4550</v>
      </c>
      <c r="C1912" s="110" t="s">
        <v>4334</v>
      </c>
      <c r="D1912" s="110" t="s">
        <v>4551</v>
      </c>
      <c r="F1912" s="293">
        <v>12</v>
      </c>
      <c r="G1912" s="293" t="s">
        <v>4339</v>
      </c>
      <c r="H1912" s="293">
        <v>4</v>
      </c>
      <c r="I1912" s="821"/>
      <c r="J1912" s="821"/>
      <c r="K1912" s="110" t="s">
        <v>4574</v>
      </c>
    </row>
    <row r="1913" spans="1:11" x14ac:dyDescent="0.25">
      <c r="A1913" s="110">
        <v>13</v>
      </c>
      <c r="B1913" s="222" t="s">
        <v>4341</v>
      </c>
      <c r="C1913" s="110" t="s">
        <v>4337</v>
      </c>
      <c r="D1913" s="110" t="s">
        <v>4524</v>
      </c>
      <c r="F1913" s="293">
        <v>13</v>
      </c>
      <c r="G1913" s="293" t="s">
        <v>4576</v>
      </c>
      <c r="H1913" s="293">
        <v>4</v>
      </c>
      <c r="I1913" s="821"/>
      <c r="J1913" s="821"/>
      <c r="K1913" s="110" t="s">
        <v>4579</v>
      </c>
    </row>
    <row r="1914" spans="1:11" x14ac:dyDescent="0.25">
      <c r="A1914" s="293">
        <v>14</v>
      </c>
      <c r="B1914" s="222" t="s">
        <v>4336</v>
      </c>
      <c r="C1914" s="110" t="s">
        <v>4337</v>
      </c>
      <c r="D1914" s="110" t="s">
        <v>4525</v>
      </c>
      <c r="F1914" s="293">
        <v>14</v>
      </c>
      <c r="G1914" s="293" t="s">
        <v>4577</v>
      </c>
      <c r="H1914" s="293">
        <v>2</v>
      </c>
      <c r="I1914" s="821"/>
      <c r="J1914" s="821"/>
      <c r="K1914" s="110" t="s">
        <v>4579</v>
      </c>
    </row>
    <row r="1915" spans="1:11" x14ac:dyDescent="0.25">
      <c r="A1915" s="293">
        <v>15</v>
      </c>
      <c r="B1915" s="222" t="s">
        <v>4338</v>
      </c>
      <c r="C1915" s="110" t="s">
        <v>4337</v>
      </c>
      <c r="D1915" s="110" t="s">
        <v>4526</v>
      </c>
      <c r="F1915" s="293">
        <v>15</v>
      </c>
      <c r="G1915" s="293" t="s">
        <v>4575</v>
      </c>
      <c r="H1915" s="293">
        <v>6</v>
      </c>
      <c r="I1915" s="822"/>
      <c r="J1915" s="822"/>
      <c r="K1915" s="110" t="s">
        <v>4579</v>
      </c>
    </row>
    <row r="1916" spans="1:11" x14ac:dyDescent="0.25">
      <c r="A1916" s="293">
        <v>16</v>
      </c>
      <c r="B1916" s="222" t="s">
        <v>4339</v>
      </c>
      <c r="C1916" s="110" t="s">
        <v>4337</v>
      </c>
      <c r="D1916" s="110" t="s">
        <v>4527</v>
      </c>
      <c r="F1916" s="110">
        <v>16</v>
      </c>
      <c r="G1916" s="438" t="s">
        <v>4547</v>
      </c>
      <c r="H1916" s="425">
        <v>2</v>
      </c>
      <c r="I1916" s="820">
        <v>4</v>
      </c>
      <c r="J1916" s="820" t="s">
        <v>4581</v>
      </c>
      <c r="K1916" s="425" t="s">
        <v>4586</v>
      </c>
    </row>
    <row r="1917" spans="1:11" x14ac:dyDescent="0.25">
      <c r="A1917" s="293">
        <v>17</v>
      </c>
      <c r="B1917" s="222" t="s">
        <v>4340</v>
      </c>
      <c r="C1917" s="110" t="s">
        <v>4337</v>
      </c>
      <c r="D1917" s="110" t="s">
        <v>4528</v>
      </c>
      <c r="F1917" s="110">
        <v>17</v>
      </c>
      <c r="G1917" s="438" t="s">
        <v>4580</v>
      </c>
      <c r="H1917" s="110">
        <v>6</v>
      </c>
      <c r="I1917" s="821"/>
      <c r="J1917" s="821"/>
      <c r="K1917" s="110" t="s">
        <v>4582</v>
      </c>
    </row>
    <row r="1918" spans="1:11" x14ac:dyDescent="0.25">
      <c r="A1918" s="293">
        <v>18</v>
      </c>
      <c r="B1918" s="222" t="s">
        <v>4549</v>
      </c>
      <c r="C1918" s="110" t="s">
        <v>4337</v>
      </c>
      <c r="D1918" s="110" t="s">
        <v>4528</v>
      </c>
      <c r="F1918" s="110">
        <v>18</v>
      </c>
      <c r="G1918" s="110" t="s">
        <v>4346</v>
      </c>
      <c r="H1918" s="110">
        <v>8</v>
      </c>
      <c r="I1918" s="821"/>
      <c r="J1918" s="821"/>
      <c r="K1918" s="110" t="s">
        <v>4583</v>
      </c>
    </row>
    <row r="1919" spans="1:11" x14ac:dyDescent="0.25">
      <c r="A1919" s="293">
        <v>19</v>
      </c>
      <c r="B1919" s="222" t="s">
        <v>4546</v>
      </c>
      <c r="C1919" s="110" t="s">
        <v>4337</v>
      </c>
      <c r="D1919" s="110" t="s">
        <v>4528</v>
      </c>
      <c r="F1919" s="110">
        <v>19</v>
      </c>
      <c r="G1919" s="110" t="s">
        <v>4584</v>
      </c>
      <c r="H1919" s="110">
        <v>2</v>
      </c>
      <c r="I1919" s="821"/>
      <c r="J1919" s="821"/>
      <c r="K1919" s="110" t="s">
        <v>4585</v>
      </c>
    </row>
    <row r="1920" spans="1:11" x14ac:dyDescent="0.25">
      <c r="A1920" s="293">
        <v>20</v>
      </c>
      <c r="B1920" s="222" t="s">
        <v>4346</v>
      </c>
      <c r="C1920" s="110" t="s">
        <v>4337</v>
      </c>
      <c r="D1920" s="110" t="s">
        <v>4530</v>
      </c>
      <c r="F1920" s="293">
        <v>20</v>
      </c>
      <c r="G1920" s="438" t="s">
        <v>4352</v>
      </c>
      <c r="H1920" s="293">
        <v>6</v>
      </c>
      <c r="I1920" s="821"/>
      <c r="J1920" s="821"/>
      <c r="K1920" s="110" t="s">
        <v>4579</v>
      </c>
    </row>
    <row r="1921" spans="1:11" x14ac:dyDescent="0.25">
      <c r="A1921" s="293">
        <v>21</v>
      </c>
      <c r="B1921" s="222" t="s">
        <v>4350</v>
      </c>
      <c r="C1921" s="110" t="s">
        <v>4337</v>
      </c>
      <c r="D1921" s="110" t="s">
        <v>4531</v>
      </c>
      <c r="F1921" s="110">
        <v>21</v>
      </c>
      <c r="G1921" s="438" t="s">
        <v>4587</v>
      </c>
      <c r="H1921" s="110">
        <v>2</v>
      </c>
      <c r="I1921" s="821"/>
      <c r="J1921" s="821"/>
      <c r="K1921" s="110" t="s">
        <v>4588</v>
      </c>
    </row>
    <row r="1922" spans="1:11" x14ac:dyDescent="0.25">
      <c r="A1922" s="110">
        <v>22</v>
      </c>
      <c r="B1922" s="222" t="s">
        <v>3699</v>
      </c>
      <c r="C1922" s="110" t="s">
        <v>4337</v>
      </c>
      <c r="D1922" s="110" t="s">
        <v>2582</v>
      </c>
      <c r="F1922" s="110">
        <v>22</v>
      </c>
      <c r="G1922" s="110" t="s">
        <v>4343</v>
      </c>
      <c r="H1922" s="110">
        <v>2</v>
      </c>
      <c r="I1922" s="821"/>
      <c r="J1922" s="821"/>
      <c r="K1922" s="110" t="s">
        <v>4589</v>
      </c>
    </row>
    <row r="1923" spans="1:11" x14ac:dyDescent="0.25">
      <c r="A1923" s="110">
        <v>23</v>
      </c>
      <c r="B1923" s="222" t="s">
        <v>4547</v>
      </c>
      <c r="C1923" s="110" t="s">
        <v>4337</v>
      </c>
      <c r="D1923" s="110" t="s">
        <v>4532</v>
      </c>
      <c r="F1923" s="110">
        <v>23</v>
      </c>
      <c r="G1923" s="110" t="s">
        <v>4353</v>
      </c>
      <c r="H1923" s="110">
        <v>2</v>
      </c>
      <c r="I1923" s="821"/>
      <c r="J1923" s="821"/>
      <c r="K1923" s="110" t="s">
        <v>4589</v>
      </c>
    </row>
    <row r="1924" spans="1:11" x14ac:dyDescent="0.25">
      <c r="A1924" s="110">
        <v>24</v>
      </c>
      <c r="B1924" s="214" t="s">
        <v>4343</v>
      </c>
      <c r="C1924" s="293" t="s">
        <v>4337</v>
      </c>
      <c r="D1924" s="293" t="s">
        <v>4534</v>
      </c>
      <c r="F1924" s="110">
        <v>24</v>
      </c>
      <c r="G1924" s="438" t="s">
        <v>4354</v>
      </c>
      <c r="H1924" s="110">
        <v>2</v>
      </c>
      <c r="I1924" s="822"/>
      <c r="J1924" s="822"/>
      <c r="K1924" s="110" t="s">
        <v>4591</v>
      </c>
    </row>
    <row r="1925" spans="1:11" x14ac:dyDescent="0.25">
      <c r="A1925" s="110">
        <v>25</v>
      </c>
      <c r="B1925" s="222" t="s">
        <v>4345</v>
      </c>
      <c r="C1925" s="110" t="s">
        <v>4337</v>
      </c>
      <c r="D1925" s="110" t="s">
        <v>4535</v>
      </c>
      <c r="F1925" s="110"/>
      <c r="G1925" s="110"/>
      <c r="H1925" s="110"/>
      <c r="I1925" s="110"/>
      <c r="J1925" s="110"/>
      <c r="K1925" s="110"/>
    </row>
    <row r="1926" spans="1:11" x14ac:dyDescent="0.25">
      <c r="A1926" s="293">
        <v>26</v>
      </c>
      <c r="B1926" s="222" t="s">
        <v>4352</v>
      </c>
      <c r="C1926" s="110" t="s">
        <v>4337</v>
      </c>
      <c r="D1926" s="110" t="s">
        <v>4538</v>
      </c>
    </row>
    <row r="1927" spans="1:11" x14ac:dyDescent="0.25">
      <c r="A1927" s="293">
        <v>27</v>
      </c>
      <c r="B1927" s="214" t="s">
        <v>4353</v>
      </c>
      <c r="C1927" s="110" t="s">
        <v>4337</v>
      </c>
      <c r="D1927" s="110" t="s">
        <v>4541</v>
      </c>
    </row>
    <row r="1928" spans="1:11" x14ac:dyDescent="0.25">
      <c r="A1928" s="110"/>
      <c r="B1928" s="110"/>
      <c r="C1928" s="110"/>
      <c r="D1928" s="110"/>
    </row>
    <row r="1931" spans="1:11" x14ac:dyDescent="0.25">
      <c r="A1931" s="701" t="s">
        <v>4610</v>
      </c>
    </row>
    <row r="1932" spans="1:11" x14ac:dyDescent="0.25">
      <c r="A1932" s="147" t="s">
        <v>266</v>
      </c>
      <c r="B1932" s="147" t="s">
        <v>4331</v>
      </c>
      <c r="C1932" s="147" t="s">
        <v>4611</v>
      </c>
      <c r="D1932" s="147" t="s">
        <v>4520</v>
      </c>
    </row>
    <row r="1933" spans="1:11" x14ac:dyDescent="0.25">
      <c r="A1933" s="110">
        <v>1</v>
      </c>
      <c r="B1933" s="222" t="s">
        <v>4333</v>
      </c>
      <c r="C1933" s="110" t="s">
        <v>4609</v>
      </c>
      <c r="D1933" s="110" t="s">
        <v>4521</v>
      </c>
    </row>
    <row r="1934" spans="1:11" x14ac:dyDescent="0.25">
      <c r="A1934" s="110">
        <v>2</v>
      </c>
      <c r="B1934" s="222" t="s">
        <v>4335</v>
      </c>
      <c r="C1934" s="110" t="s">
        <v>4609</v>
      </c>
      <c r="D1934" s="110" t="s">
        <v>4522</v>
      </c>
    </row>
    <row r="1935" spans="1:11" x14ac:dyDescent="0.25">
      <c r="A1935" s="110">
        <v>3</v>
      </c>
      <c r="B1935" s="222" t="s">
        <v>4545</v>
      </c>
      <c r="C1935" s="110" t="s">
        <v>4609</v>
      </c>
      <c r="D1935" s="110" t="s">
        <v>4523</v>
      </c>
    </row>
    <row r="1936" spans="1:11" x14ac:dyDescent="0.25">
      <c r="A1936" s="110">
        <v>4</v>
      </c>
      <c r="B1936" s="222" t="s">
        <v>4347</v>
      </c>
      <c r="C1936" s="110" t="s">
        <v>4609</v>
      </c>
      <c r="D1936" s="110" t="s">
        <v>4529</v>
      </c>
    </row>
    <row r="1937" spans="1:4" x14ac:dyDescent="0.25">
      <c r="A1937" s="110">
        <v>5</v>
      </c>
      <c r="B1937" s="214" t="s">
        <v>4548</v>
      </c>
      <c r="C1937" s="110" t="s">
        <v>4609</v>
      </c>
      <c r="D1937" s="293" t="s">
        <v>4533</v>
      </c>
    </row>
    <row r="1938" spans="1:4" x14ac:dyDescent="0.25">
      <c r="A1938" s="110">
        <v>6</v>
      </c>
      <c r="B1938" s="222" t="s">
        <v>4344</v>
      </c>
      <c r="C1938" s="110" t="s">
        <v>4612</v>
      </c>
      <c r="D1938" s="293" t="s">
        <v>4534</v>
      </c>
    </row>
    <row r="1939" spans="1:4" x14ac:dyDescent="0.25">
      <c r="A1939" s="110">
        <v>7</v>
      </c>
      <c r="B1939" s="222" t="s">
        <v>4342</v>
      </c>
      <c r="C1939" s="110" t="s">
        <v>4613</v>
      </c>
      <c r="D1939" s="110" t="s">
        <v>4536</v>
      </c>
    </row>
    <row r="1940" spans="1:4" x14ac:dyDescent="0.25">
      <c r="A1940" s="110">
        <v>8</v>
      </c>
      <c r="B1940" s="222" t="s">
        <v>4351</v>
      </c>
      <c r="C1940" s="110" t="s">
        <v>4613</v>
      </c>
      <c r="D1940" s="110" t="s">
        <v>4537</v>
      </c>
    </row>
    <row r="1941" spans="1:4" x14ac:dyDescent="0.25">
      <c r="A1941" s="425">
        <v>9</v>
      </c>
      <c r="B1941" s="222" t="s">
        <v>4348</v>
      </c>
      <c r="C1941" s="110" t="s">
        <v>4615</v>
      </c>
      <c r="D1941" s="110" t="s">
        <v>4539</v>
      </c>
    </row>
    <row r="1942" spans="1:4" x14ac:dyDescent="0.25">
      <c r="A1942" s="110">
        <v>10</v>
      </c>
      <c r="B1942" s="222" t="s">
        <v>4349</v>
      </c>
      <c r="C1942" s="110" t="s">
        <v>4609</v>
      </c>
      <c r="D1942" s="110" t="s">
        <v>4540</v>
      </c>
    </row>
    <row r="1943" spans="1:4" x14ac:dyDescent="0.25">
      <c r="A1943" s="110">
        <v>11</v>
      </c>
      <c r="B1943" s="222" t="s">
        <v>4354</v>
      </c>
      <c r="C1943" s="110" t="s">
        <v>3153</v>
      </c>
      <c r="D1943" s="110" t="s">
        <v>4536</v>
      </c>
    </row>
    <row r="1944" spans="1:4" x14ac:dyDescent="0.25">
      <c r="A1944" s="110">
        <v>12</v>
      </c>
      <c r="B1944" s="222" t="s">
        <v>4550</v>
      </c>
      <c r="C1944" s="110" t="s">
        <v>4609</v>
      </c>
      <c r="D1944" s="110" t="s">
        <v>4551</v>
      </c>
    </row>
    <row r="1945" spans="1:4" x14ac:dyDescent="0.25">
      <c r="A1945" s="110">
        <v>13</v>
      </c>
      <c r="B1945" s="222" t="s">
        <v>4341</v>
      </c>
      <c r="C1945" s="110" t="s">
        <v>4616</v>
      </c>
      <c r="D1945" s="110" t="s">
        <v>4524</v>
      </c>
    </row>
    <row r="1946" spans="1:4" x14ac:dyDescent="0.25">
      <c r="A1946" s="293">
        <v>14</v>
      </c>
      <c r="B1946" s="222" t="s">
        <v>4336</v>
      </c>
      <c r="C1946" s="110" t="s">
        <v>4614</v>
      </c>
      <c r="D1946" s="110" t="s">
        <v>4525</v>
      </c>
    </row>
    <row r="1947" spans="1:4" x14ac:dyDescent="0.25">
      <c r="A1947" s="293">
        <v>15</v>
      </c>
      <c r="B1947" s="222" t="s">
        <v>4338</v>
      </c>
      <c r="C1947" s="110" t="s">
        <v>4614</v>
      </c>
      <c r="D1947" s="110" t="s">
        <v>4526</v>
      </c>
    </row>
    <row r="1948" spans="1:4" x14ac:dyDescent="0.25">
      <c r="A1948" s="293">
        <v>16</v>
      </c>
      <c r="B1948" s="222" t="s">
        <v>4339</v>
      </c>
      <c r="C1948" s="110" t="s">
        <v>4614</v>
      </c>
      <c r="D1948" s="110" t="s">
        <v>4527</v>
      </c>
    </row>
    <row r="1949" spans="1:4" x14ac:dyDescent="0.25">
      <c r="A1949" s="293">
        <v>17</v>
      </c>
      <c r="B1949" s="222" t="s">
        <v>4340</v>
      </c>
      <c r="C1949" s="110" t="s">
        <v>4614</v>
      </c>
      <c r="D1949" s="110" t="s">
        <v>4528</v>
      </c>
    </row>
    <row r="1950" spans="1:4" x14ac:dyDescent="0.25">
      <c r="A1950" s="293">
        <v>18</v>
      </c>
      <c r="B1950" s="222" t="s">
        <v>4549</v>
      </c>
      <c r="C1950" s="110" t="s">
        <v>4614</v>
      </c>
      <c r="D1950" s="110" t="s">
        <v>4528</v>
      </c>
    </row>
    <row r="1951" spans="1:4" x14ac:dyDescent="0.25">
      <c r="A1951" s="293">
        <v>19</v>
      </c>
      <c r="B1951" s="222" t="s">
        <v>4546</v>
      </c>
      <c r="C1951" s="110" t="s">
        <v>4614</v>
      </c>
      <c r="D1951" s="110" t="s">
        <v>4528</v>
      </c>
    </row>
    <row r="1952" spans="1:4" x14ac:dyDescent="0.25">
      <c r="A1952" s="293">
        <v>20</v>
      </c>
      <c r="B1952" s="222" t="s">
        <v>4346</v>
      </c>
      <c r="C1952" s="110" t="s">
        <v>4617</v>
      </c>
      <c r="D1952" s="110" t="s">
        <v>4530</v>
      </c>
    </row>
    <row r="1953" spans="1:4" x14ac:dyDescent="0.25">
      <c r="A1953" s="293">
        <v>21</v>
      </c>
      <c r="B1953" s="222" t="s">
        <v>4350</v>
      </c>
      <c r="C1953" s="110" t="s">
        <v>4617</v>
      </c>
      <c r="D1953" s="110" t="s">
        <v>4531</v>
      </c>
    </row>
    <row r="1954" spans="1:4" x14ac:dyDescent="0.25">
      <c r="A1954" s="110">
        <v>22</v>
      </c>
      <c r="B1954" s="222" t="s">
        <v>3699</v>
      </c>
      <c r="C1954" s="110" t="s">
        <v>4617</v>
      </c>
      <c r="D1954" s="110" t="s">
        <v>2582</v>
      </c>
    </row>
    <row r="1955" spans="1:4" x14ac:dyDescent="0.25">
      <c r="A1955" s="110">
        <v>23</v>
      </c>
      <c r="B1955" s="222" t="s">
        <v>4547</v>
      </c>
      <c r="C1955" s="110" t="s">
        <v>4617</v>
      </c>
      <c r="D1955" s="110" t="s">
        <v>4532</v>
      </c>
    </row>
    <row r="1956" spans="1:4" x14ac:dyDescent="0.25">
      <c r="A1956" s="110">
        <v>24</v>
      </c>
      <c r="B1956" s="214" t="s">
        <v>4343</v>
      </c>
      <c r="C1956" s="110" t="s">
        <v>4612</v>
      </c>
      <c r="D1956" s="293" t="s">
        <v>4534</v>
      </c>
    </row>
    <row r="1957" spans="1:4" x14ac:dyDescent="0.25">
      <c r="A1957" s="110">
        <v>25</v>
      </c>
      <c r="B1957" s="222" t="s">
        <v>4345</v>
      </c>
      <c r="C1957" s="110" t="s">
        <v>4617</v>
      </c>
      <c r="D1957" s="110" t="s">
        <v>4535</v>
      </c>
    </row>
    <row r="1958" spans="1:4" x14ac:dyDescent="0.25">
      <c r="A1958" s="293">
        <v>26</v>
      </c>
      <c r="B1958" s="222" t="s">
        <v>4352</v>
      </c>
      <c r="C1958" s="110" t="s">
        <v>4618</v>
      </c>
      <c r="D1958" s="110" t="s">
        <v>4538</v>
      </c>
    </row>
    <row r="1959" spans="1:4" x14ac:dyDescent="0.25">
      <c r="A1959" s="293">
        <v>27</v>
      </c>
      <c r="B1959" s="214" t="s">
        <v>4353</v>
      </c>
      <c r="C1959" s="110" t="s">
        <v>4618</v>
      </c>
      <c r="D1959" s="110" t="s">
        <v>4541</v>
      </c>
    </row>
    <row r="1971" spans="1:9" x14ac:dyDescent="0.25">
      <c r="A1971" s="727" t="s">
        <v>4360</v>
      </c>
      <c r="B1971" s="266"/>
      <c r="C1971" s="266"/>
      <c r="D1971" s="266"/>
    </row>
    <row r="1973" spans="1:9" x14ac:dyDescent="0.25">
      <c r="A1973" s="728" t="s">
        <v>4361</v>
      </c>
      <c r="B1973" s="333" t="s">
        <v>4362</v>
      </c>
      <c r="C1973" s="333" t="s">
        <v>4364</v>
      </c>
      <c r="D1973" s="333" t="s">
        <v>4363</v>
      </c>
      <c r="E1973" s="333" t="s">
        <v>485</v>
      </c>
      <c r="F1973" s="333" t="s">
        <v>1631</v>
      </c>
      <c r="G1973" s="333" t="s">
        <v>1510</v>
      </c>
      <c r="H1973" s="729" t="s">
        <v>4365</v>
      </c>
      <c r="I1973" s="729" t="s">
        <v>4373</v>
      </c>
    </row>
    <row r="1974" spans="1:9" x14ac:dyDescent="0.25">
      <c r="A1974" s="728">
        <v>0.02</v>
      </c>
      <c r="B1974" s="333" t="s">
        <v>37</v>
      </c>
      <c r="C1974" s="222" t="s">
        <v>4371</v>
      </c>
      <c r="D1974" s="214" t="s">
        <v>80</v>
      </c>
      <c r="E1974" s="214" t="s">
        <v>4328</v>
      </c>
      <c r="F1974" s="217">
        <v>42247</v>
      </c>
      <c r="G1974" s="217">
        <v>42335</v>
      </c>
      <c r="H1974" s="524">
        <v>30003</v>
      </c>
      <c r="I1974" s="524">
        <v>612</v>
      </c>
    </row>
    <row r="1975" spans="1:9" x14ac:dyDescent="0.25">
      <c r="A1975" s="333"/>
      <c r="B1975" s="333"/>
      <c r="C1975" s="222"/>
      <c r="D1975" s="214" t="s">
        <v>4196</v>
      </c>
      <c r="E1975" s="214" t="s">
        <v>4197</v>
      </c>
      <c r="F1975" s="217">
        <v>42240</v>
      </c>
      <c r="G1975" s="431">
        <v>42335</v>
      </c>
      <c r="H1975" s="524">
        <v>37173</v>
      </c>
      <c r="I1975" s="524">
        <v>1957</v>
      </c>
    </row>
    <row r="1976" spans="1:9" x14ac:dyDescent="0.25">
      <c r="A1976" s="333"/>
      <c r="B1976" s="333"/>
      <c r="C1976" s="222"/>
      <c r="D1976" s="214" t="s">
        <v>4323</v>
      </c>
      <c r="E1976" s="214" t="s">
        <v>4324</v>
      </c>
      <c r="F1976" s="217">
        <v>42226</v>
      </c>
      <c r="G1976" s="431">
        <v>42307</v>
      </c>
      <c r="H1976" s="524">
        <v>46128</v>
      </c>
      <c r="I1976" s="524">
        <v>942</v>
      </c>
    </row>
    <row r="1977" spans="1:9" x14ac:dyDescent="0.25">
      <c r="A1977" s="333"/>
      <c r="B1977" s="333"/>
      <c r="C1977" s="222"/>
      <c r="D1977" s="214" t="s">
        <v>4366</v>
      </c>
      <c r="E1977" s="214" t="s">
        <v>4330</v>
      </c>
      <c r="F1977" s="431">
        <v>42212</v>
      </c>
      <c r="G1977" s="431">
        <v>42300</v>
      </c>
      <c r="H1977" s="524">
        <v>15812</v>
      </c>
      <c r="I1977" s="524">
        <v>323</v>
      </c>
    </row>
    <row r="1978" spans="1:9" x14ac:dyDescent="0.25">
      <c r="A1978" s="333"/>
      <c r="B1978" s="333"/>
      <c r="C1978" s="222"/>
      <c r="D1978" s="726" t="s">
        <v>4368</v>
      </c>
      <c r="E1978" s="214" t="s">
        <v>4369</v>
      </c>
      <c r="F1978" s="217">
        <v>42219</v>
      </c>
      <c r="G1978" s="431">
        <v>42307</v>
      </c>
      <c r="H1978" s="524">
        <v>11402</v>
      </c>
      <c r="I1978" s="524">
        <v>233</v>
      </c>
    </row>
    <row r="1979" spans="1:9" x14ac:dyDescent="0.25">
      <c r="A1979" s="333"/>
      <c r="B1979" s="333"/>
      <c r="C1979" s="222"/>
      <c r="D1979" s="214" t="s">
        <v>3877</v>
      </c>
      <c r="E1979" s="214" t="s">
        <v>4370</v>
      </c>
      <c r="F1979" s="217">
        <v>42233</v>
      </c>
      <c r="G1979" s="217">
        <v>42321</v>
      </c>
      <c r="H1979" s="524">
        <v>30003</v>
      </c>
      <c r="I1979" s="524">
        <v>612</v>
      </c>
    </row>
    <row r="1980" spans="1:9" x14ac:dyDescent="0.25">
      <c r="A1980" s="333"/>
      <c r="B1980" s="333"/>
      <c r="C1980" s="222"/>
      <c r="D1980" s="214"/>
      <c r="E1980" s="214"/>
      <c r="F1980" s="431"/>
      <c r="G1980" s="431"/>
      <c r="H1980" s="524"/>
      <c r="I1980" s="524"/>
    </row>
    <row r="1981" spans="1:9" x14ac:dyDescent="0.25">
      <c r="A1981" s="728">
        <v>0.05</v>
      </c>
      <c r="B1981" s="333" t="s">
        <v>37</v>
      </c>
      <c r="C1981" s="222" t="s">
        <v>4372</v>
      </c>
      <c r="D1981" s="214" t="s">
        <v>56</v>
      </c>
      <c r="E1981" s="214" t="s">
        <v>4357</v>
      </c>
      <c r="F1981" s="217">
        <v>42240</v>
      </c>
      <c r="G1981" s="431">
        <v>42426</v>
      </c>
      <c r="H1981" s="524">
        <v>58910</v>
      </c>
      <c r="I1981" s="524">
        <v>3100</v>
      </c>
    </row>
    <row r="1982" spans="1:9" x14ac:dyDescent="0.25">
      <c r="A1982" s="333"/>
      <c r="B1982" s="333"/>
      <c r="C1982" s="222"/>
      <c r="D1982" s="214" t="s">
        <v>4325</v>
      </c>
      <c r="E1982" s="214" t="s">
        <v>4173</v>
      </c>
      <c r="F1982" s="217">
        <v>42219</v>
      </c>
      <c r="G1982" s="431">
        <v>42398</v>
      </c>
      <c r="H1982" s="524">
        <v>69036</v>
      </c>
      <c r="I1982" s="524">
        <v>3634</v>
      </c>
    </row>
    <row r="1983" spans="1:9" x14ac:dyDescent="0.25">
      <c r="A1983" s="333"/>
      <c r="B1983" s="333"/>
      <c r="C1983" s="222"/>
      <c r="D1983" s="214" t="s">
        <v>4326</v>
      </c>
      <c r="E1983" s="214" t="s">
        <v>4174</v>
      </c>
      <c r="F1983" s="217">
        <v>42226</v>
      </c>
      <c r="G1983" s="431">
        <v>42405</v>
      </c>
      <c r="H1983" s="524">
        <v>66566</v>
      </c>
      <c r="I1983" s="524">
        <v>3504</v>
      </c>
    </row>
    <row r="1984" spans="1:9" x14ac:dyDescent="0.25">
      <c r="A1984" s="333"/>
      <c r="B1984" s="333"/>
      <c r="C1984" s="222"/>
      <c r="D1984" s="214" t="s">
        <v>4327</v>
      </c>
      <c r="E1984" s="214" t="s">
        <v>4175</v>
      </c>
      <c r="F1984" s="217">
        <v>42226</v>
      </c>
      <c r="G1984" s="431">
        <v>42405</v>
      </c>
      <c r="H1984" s="524">
        <v>69036</v>
      </c>
      <c r="I1984" s="524">
        <v>3634</v>
      </c>
    </row>
    <row r="1985" spans="1:15" x14ac:dyDescent="0.25">
      <c r="A1985" s="333"/>
      <c r="B1985" s="333"/>
      <c r="C1985" s="222"/>
      <c r="D1985" s="214" t="s">
        <v>4215</v>
      </c>
      <c r="E1985" s="214" t="s">
        <v>4216</v>
      </c>
      <c r="F1985" s="217">
        <v>42227</v>
      </c>
      <c r="G1985" s="217">
        <v>42398</v>
      </c>
      <c r="H1985" s="524">
        <v>55483</v>
      </c>
      <c r="I1985" s="524">
        <v>2921</v>
      </c>
    </row>
    <row r="1986" spans="1:15" x14ac:dyDescent="0.25">
      <c r="A1986" s="333"/>
      <c r="B1986" s="333"/>
      <c r="C1986" s="222"/>
      <c r="D1986" s="214"/>
      <c r="E1986" s="214"/>
      <c r="F1986" s="217"/>
      <c r="G1986" s="217"/>
      <c r="H1986" s="524"/>
      <c r="I1986" s="524"/>
    </row>
    <row r="1987" spans="1:15" x14ac:dyDescent="0.25">
      <c r="A1987" s="728">
        <v>0.05</v>
      </c>
      <c r="B1987" s="333" t="s">
        <v>4359</v>
      </c>
      <c r="C1987" s="222" t="s">
        <v>4358</v>
      </c>
      <c r="D1987" s="222" t="s">
        <v>2858</v>
      </c>
      <c r="E1987" s="214" t="s">
        <v>4329</v>
      </c>
      <c r="F1987" s="219">
        <v>42247</v>
      </c>
      <c r="G1987" s="431">
        <v>42426</v>
      </c>
      <c r="H1987" s="557">
        <v>168404.6</v>
      </c>
      <c r="I1987" s="557">
        <v>8863.4</v>
      </c>
    </row>
    <row r="1992" spans="1:15" ht="15.75" x14ac:dyDescent="0.25">
      <c r="A1992" s="708" t="s">
        <v>4376</v>
      </c>
      <c r="E1992" s="734" t="s">
        <v>4387</v>
      </c>
    </row>
    <row r="1993" spans="1:15" ht="102" x14ac:dyDescent="0.25">
      <c r="A1993" s="730" t="s">
        <v>129</v>
      </c>
      <c r="B1993" s="730" t="s">
        <v>2287</v>
      </c>
      <c r="C1993" s="730" t="s">
        <v>2288</v>
      </c>
      <c r="D1993" s="730" t="s">
        <v>1630</v>
      </c>
      <c r="E1993" s="40" t="s">
        <v>3759</v>
      </c>
      <c r="F1993" s="40" t="s">
        <v>2332</v>
      </c>
      <c r="G1993" s="730" t="s">
        <v>4383</v>
      </c>
      <c r="H1993" s="730" t="s">
        <v>4384</v>
      </c>
      <c r="I1993" s="730" t="s">
        <v>4385</v>
      </c>
      <c r="J1993" s="40" t="s">
        <v>4378</v>
      </c>
      <c r="K1993" s="40" t="s">
        <v>4379</v>
      </c>
      <c r="L1993" s="40" t="s">
        <v>4380</v>
      </c>
      <c r="M1993" s="40" t="s">
        <v>3461</v>
      </c>
      <c r="N1993" s="41" t="s">
        <v>4170</v>
      </c>
    </row>
    <row r="1994" spans="1:15" x14ac:dyDescent="0.25">
      <c r="A1994" s="817">
        <v>1000105043</v>
      </c>
      <c r="B1994" s="818" t="s">
        <v>1261</v>
      </c>
      <c r="C1994" s="731" t="s">
        <v>4377</v>
      </c>
      <c r="D1994" s="18" t="s">
        <v>4329</v>
      </c>
      <c r="E1994" s="670" t="s">
        <v>4171</v>
      </c>
      <c r="F1994" s="716">
        <v>0</v>
      </c>
      <c r="G1994" s="716">
        <v>27272</v>
      </c>
      <c r="H1994" s="716">
        <v>27272</v>
      </c>
      <c r="I1994" s="716">
        <v>34090</v>
      </c>
      <c r="J1994" s="716">
        <v>27272</v>
      </c>
      <c r="K1994" s="716">
        <v>27272</v>
      </c>
      <c r="L1994" s="716">
        <v>34090</v>
      </c>
      <c r="M1994" s="733">
        <f>SUM(F1994:L1994)</f>
        <v>177268</v>
      </c>
      <c r="N1994" s="959">
        <f>SUM(M1994:M1996)</f>
        <v>293504</v>
      </c>
    </row>
    <row r="1995" spans="1:15" x14ac:dyDescent="0.25">
      <c r="A1995" s="817"/>
      <c r="B1995" s="818"/>
      <c r="C1995" s="186" t="s">
        <v>4381</v>
      </c>
      <c r="D1995" s="18" t="s">
        <v>4356</v>
      </c>
      <c r="E1995" s="670" t="s">
        <v>4171</v>
      </c>
      <c r="F1995" s="716">
        <v>7380</v>
      </c>
      <c r="G1995" s="716">
        <v>8856</v>
      </c>
      <c r="H1995" s="716">
        <v>0</v>
      </c>
      <c r="I1995" s="716">
        <v>0</v>
      </c>
      <c r="J1995" s="716">
        <v>0</v>
      </c>
      <c r="K1995" s="716">
        <v>0</v>
      </c>
      <c r="L1995" s="716">
        <v>0</v>
      </c>
      <c r="M1995" s="733">
        <f>SUM(F1995:L1995)</f>
        <v>16236</v>
      </c>
      <c r="N1995" s="960"/>
    </row>
    <row r="1996" spans="1:15" x14ac:dyDescent="0.25">
      <c r="A1996" s="817"/>
      <c r="B1996" s="818"/>
      <c r="C1996" s="23" t="s">
        <v>4382</v>
      </c>
      <c r="D1996" s="23" t="s">
        <v>4375</v>
      </c>
      <c r="E1996" s="670" t="s">
        <v>4171</v>
      </c>
      <c r="F1996" s="716">
        <v>0</v>
      </c>
      <c r="G1996" s="716">
        <v>33050</v>
      </c>
      <c r="H1996" s="716">
        <v>36050</v>
      </c>
      <c r="I1996" s="716">
        <v>30900</v>
      </c>
      <c r="J1996" s="716">
        <v>0</v>
      </c>
      <c r="K1996" s="716">
        <v>0</v>
      </c>
      <c r="L1996" s="716">
        <v>0</v>
      </c>
      <c r="M1996" s="733">
        <f>SUM(F1996:L1996)</f>
        <v>100000</v>
      </c>
      <c r="N1996" s="961"/>
      <c r="O1996" s="165"/>
    </row>
    <row r="1998" spans="1:15" x14ac:dyDescent="0.25">
      <c r="F1998" s="106">
        <v>20</v>
      </c>
      <c r="G1998" s="106">
        <v>15</v>
      </c>
    </row>
    <row r="1999" spans="1:15" x14ac:dyDescent="0.25">
      <c r="F1999" t="s">
        <v>2060</v>
      </c>
      <c r="G1999" t="s">
        <v>2041</v>
      </c>
    </row>
    <row r="2000" spans="1:15" ht="31.5" x14ac:dyDescent="0.25">
      <c r="A2000" s="710" t="s">
        <v>4405</v>
      </c>
      <c r="B2000" s="110" t="s">
        <v>4411</v>
      </c>
      <c r="C2000" s="735" t="s">
        <v>1636</v>
      </c>
      <c r="D2000" s="735">
        <v>479</v>
      </c>
      <c r="E2000" s="110">
        <v>1</v>
      </c>
      <c r="F2000">
        <f>D2000*F1998</f>
        <v>9580</v>
      </c>
      <c r="G2000">
        <f>D2000*3</f>
        <v>1437</v>
      </c>
    </row>
    <row r="2001" spans="1:8" ht="31.5" x14ac:dyDescent="0.25">
      <c r="A2001" s="710" t="s">
        <v>4405</v>
      </c>
      <c r="B2001" s="110" t="s">
        <v>4411</v>
      </c>
      <c r="C2001" s="735" t="s">
        <v>4406</v>
      </c>
      <c r="D2001" s="735">
        <v>198</v>
      </c>
      <c r="E2001" s="110">
        <v>1</v>
      </c>
      <c r="F2001">
        <v>0</v>
      </c>
      <c r="G2001">
        <f>12*D2001</f>
        <v>2376</v>
      </c>
    </row>
    <row r="2002" spans="1:8" ht="15.75" x14ac:dyDescent="0.25">
      <c r="A2002" s="710" t="s">
        <v>4407</v>
      </c>
      <c r="B2002" s="110" t="s">
        <v>4414</v>
      </c>
      <c r="C2002" s="735" t="s">
        <v>4408</v>
      </c>
      <c r="D2002" s="735">
        <v>168</v>
      </c>
      <c r="E2002" s="110">
        <v>4</v>
      </c>
      <c r="F2002">
        <f>D2002*E2002*F1998</f>
        <v>13440</v>
      </c>
      <c r="G2002">
        <f>D2002*E2002*G1998</f>
        <v>10080</v>
      </c>
    </row>
    <row r="2003" spans="1:8" ht="15.75" x14ac:dyDescent="0.25">
      <c r="A2003" s="710" t="s">
        <v>4409</v>
      </c>
      <c r="B2003" s="110" t="s">
        <v>4412</v>
      </c>
      <c r="C2003" s="735" t="s">
        <v>4406</v>
      </c>
      <c r="D2003" s="735">
        <v>156</v>
      </c>
      <c r="E2003" s="110">
        <v>1</v>
      </c>
      <c r="F2003">
        <f>D2003*F1998</f>
        <v>3120</v>
      </c>
      <c r="G2003">
        <f>D2003*G1998</f>
        <v>2340</v>
      </c>
    </row>
    <row r="2004" spans="1:8" ht="15.75" x14ac:dyDescent="0.25">
      <c r="A2004" s="710" t="s">
        <v>4410</v>
      </c>
      <c r="B2004" s="110" t="s">
        <v>4413</v>
      </c>
      <c r="C2004" s="735" t="s">
        <v>1635</v>
      </c>
      <c r="D2004" s="735">
        <v>140</v>
      </c>
      <c r="E2004" s="110">
        <v>1</v>
      </c>
      <c r="F2004">
        <f>D2004*F1998</f>
        <v>2800</v>
      </c>
      <c r="G2004">
        <f>D2004*G1998</f>
        <v>2100</v>
      </c>
    </row>
    <row r="2005" spans="1:8" x14ac:dyDescent="0.25">
      <c r="D2005" s="188"/>
      <c r="F2005">
        <f>SUM(F2000:F2004)</f>
        <v>28940</v>
      </c>
      <c r="G2005">
        <f>SUM(G2000:G2004)</f>
        <v>18333</v>
      </c>
      <c r="H2005">
        <f>F2005+G2005</f>
        <v>47273</v>
      </c>
    </row>
    <row r="2006" spans="1:8" x14ac:dyDescent="0.25">
      <c r="D2006" s="188"/>
    </row>
    <row r="2007" spans="1:8" x14ac:dyDescent="0.25">
      <c r="D2007" s="188"/>
    </row>
    <row r="2008" spans="1:8" x14ac:dyDescent="0.25">
      <c r="D2008" s="188"/>
    </row>
    <row r="2009" spans="1:8" x14ac:dyDescent="0.25">
      <c r="D2009" s="188"/>
    </row>
    <row r="2010" spans="1:8" x14ac:dyDescent="0.25">
      <c r="D2010" s="188"/>
    </row>
    <row r="2011" spans="1:8" x14ac:dyDescent="0.25">
      <c r="C2011" s="188"/>
      <c r="D2011" s="188"/>
    </row>
    <row r="2019" spans="1:15" ht="15.75" x14ac:dyDescent="0.25">
      <c r="A2019" s="696" t="s">
        <v>4623</v>
      </c>
      <c r="C2019" s="734" t="s">
        <v>4198</v>
      </c>
      <c r="E2019" s="734"/>
    </row>
    <row r="2020" spans="1:15" ht="25.5" x14ac:dyDescent="0.25">
      <c r="A2020" s="744" t="s">
        <v>129</v>
      </c>
      <c r="B2020" s="744" t="s">
        <v>2287</v>
      </c>
      <c r="C2020" s="744" t="s">
        <v>2288</v>
      </c>
      <c r="D2020" s="744" t="s">
        <v>1630</v>
      </c>
      <c r="E2020" s="40" t="s">
        <v>3759</v>
      </c>
      <c r="F2020" s="743" t="s">
        <v>4383</v>
      </c>
      <c r="G2020" s="743" t="s">
        <v>4384</v>
      </c>
      <c r="H2020" s="743" t="s">
        <v>4385</v>
      </c>
      <c r="I2020" s="41" t="s">
        <v>3766</v>
      </c>
      <c r="J2020" s="41" t="s">
        <v>4170</v>
      </c>
      <c r="N2020" s="5"/>
      <c r="O2020" s="40" t="s">
        <v>4178</v>
      </c>
    </row>
    <row r="2021" spans="1:15" ht="15" customHeight="1" x14ac:dyDescent="0.25">
      <c r="A2021" s="817">
        <v>1000105043</v>
      </c>
      <c r="B2021" s="818" t="s">
        <v>1261</v>
      </c>
      <c r="C2021" s="747" t="s">
        <v>4030</v>
      </c>
      <c r="D2021" s="18" t="s">
        <v>4048</v>
      </c>
      <c r="E2021" s="670" t="s">
        <v>4624</v>
      </c>
      <c r="F2021" s="742">
        <v>27100.799999999999</v>
      </c>
      <c r="G2021" s="716">
        <v>0</v>
      </c>
      <c r="H2021" s="716">
        <v>0</v>
      </c>
      <c r="I2021" s="742">
        <v>-3011.2</v>
      </c>
      <c r="J2021" s="965">
        <f>SUM(I2021:I2024)</f>
        <v>-114594.4</v>
      </c>
      <c r="K2021" s="968"/>
      <c r="N2021" s="5"/>
      <c r="O2021" s="660">
        <v>30112</v>
      </c>
    </row>
    <row r="2022" spans="1:15" ht="15.75" customHeight="1" x14ac:dyDescent="0.25">
      <c r="A2022" s="817"/>
      <c r="B2022" s="818"/>
      <c r="C2022" s="186" t="s">
        <v>4377</v>
      </c>
      <c r="D2022" s="18" t="s">
        <v>4329</v>
      </c>
      <c r="E2022" s="670" t="s">
        <v>4625</v>
      </c>
      <c r="F2022" s="742">
        <v>24544.799999999999</v>
      </c>
      <c r="G2022" s="716">
        <v>0</v>
      </c>
      <c r="H2022" s="716">
        <v>0</v>
      </c>
      <c r="I2022" s="742">
        <v>-2727.2</v>
      </c>
      <c r="J2022" s="966"/>
      <c r="K2022" s="968"/>
      <c r="N2022" s="5"/>
      <c r="O2022" s="660">
        <v>27272</v>
      </c>
    </row>
    <row r="2023" spans="1:15" x14ac:dyDescent="0.25">
      <c r="A2023" s="817"/>
      <c r="B2023" s="818"/>
      <c r="C2023" s="186" t="s">
        <v>4381</v>
      </c>
      <c r="D2023" s="18" t="s">
        <v>4356</v>
      </c>
      <c r="E2023" s="670" t="s">
        <v>4626</v>
      </c>
      <c r="F2023" s="716">
        <v>0</v>
      </c>
      <c r="G2023" s="716">
        <v>0</v>
      </c>
      <c r="H2023" s="716">
        <v>0</v>
      </c>
      <c r="I2023" s="742">
        <v>-8856</v>
      </c>
      <c r="J2023" s="966"/>
      <c r="K2023" s="968"/>
      <c r="N2023" s="5"/>
      <c r="O2023" s="660">
        <v>8856</v>
      </c>
    </row>
    <row r="2024" spans="1:15" ht="25.5" x14ac:dyDescent="0.25">
      <c r="A2024" s="817"/>
      <c r="B2024" s="818"/>
      <c r="C2024" s="747" t="s">
        <v>4627</v>
      </c>
      <c r="D2024" s="18" t="s">
        <v>4375</v>
      </c>
      <c r="E2024" s="670" t="s">
        <v>4628</v>
      </c>
      <c r="F2024" s="716">
        <v>0</v>
      </c>
      <c r="G2024" s="716">
        <v>0</v>
      </c>
      <c r="H2024" s="716">
        <v>0</v>
      </c>
      <c r="I2024" s="742">
        <v>-100000</v>
      </c>
      <c r="J2024" s="967"/>
      <c r="K2024" s="968"/>
      <c r="N2024" s="5"/>
      <c r="O2024" s="14">
        <f>33050+ 36050+30900</f>
        <v>100000</v>
      </c>
    </row>
    <row r="2025" spans="1:15" ht="46.5" customHeight="1" x14ac:dyDescent="0.25">
      <c r="A2025" s="745">
        <v>1000109733</v>
      </c>
      <c r="B2025" s="746" t="s">
        <v>3527</v>
      </c>
      <c r="C2025" s="655" t="s">
        <v>1377</v>
      </c>
      <c r="D2025" s="655" t="s">
        <v>3883</v>
      </c>
      <c r="E2025" s="670" t="s">
        <v>4629</v>
      </c>
      <c r="F2025" s="742">
        <v>18334.8</v>
      </c>
      <c r="G2025" s="716">
        <v>0</v>
      </c>
      <c r="H2025" s="716">
        <v>0</v>
      </c>
      <c r="I2025" s="742">
        <v>-2037.2</v>
      </c>
      <c r="J2025" s="742">
        <f>I2025</f>
        <v>-2037.2</v>
      </c>
      <c r="K2025" s="749"/>
      <c r="L2025" s="5"/>
      <c r="M2025" s="5"/>
      <c r="N2025" s="5"/>
      <c r="O2025" s="748">
        <v>20372</v>
      </c>
    </row>
    <row r="2026" spans="1:15" x14ac:dyDescent="0.25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01"/>
    </row>
    <row r="2027" spans="1:15" x14ac:dyDescent="0.25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435"/>
      <c r="N2027" s="5"/>
      <c r="O2027" s="435"/>
    </row>
    <row r="2028" spans="1:15" x14ac:dyDescent="0.25">
      <c r="M2028" s="401"/>
    </row>
    <row r="2091" spans="4:13" x14ac:dyDescent="0.25">
      <c r="D2091" s="956">
        <v>1000141058</v>
      </c>
      <c r="E2091" s="957" t="s">
        <v>4160</v>
      </c>
      <c r="F2091" s="737" t="s">
        <v>3752</v>
      </c>
      <c r="G2091" s="214" t="s">
        <v>3879</v>
      </c>
      <c r="H2091" s="208" t="s">
        <v>2</v>
      </c>
      <c r="I2091" s="218">
        <v>60155352</v>
      </c>
      <c r="J2091" s="219">
        <v>42191</v>
      </c>
      <c r="K2091" s="219">
        <v>42244</v>
      </c>
      <c r="L2091" s="430"/>
      <c r="M2091" s="429">
        <v>99032</v>
      </c>
    </row>
    <row r="2092" spans="4:13" x14ac:dyDescent="0.25">
      <c r="D2092" s="956"/>
      <c r="E2092" s="957"/>
      <c r="F2092" s="214" t="s">
        <v>3752</v>
      </c>
      <c r="G2092" s="214" t="s">
        <v>4033</v>
      </c>
      <c r="H2092" s="208" t="s">
        <v>880</v>
      </c>
      <c r="I2092" s="218" t="s">
        <v>1266</v>
      </c>
      <c r="J2092" s="219">
        <v>42247</v>
      </c>
      <c r="K2092" s="431">
        <v>42398</v>
      </c>
      <c r="L2092" s="214"/>
      <c r="M2092" s="732">
        <v>167178</v>
      </c>
    </row>
    <row r="2093" spans="4:13" ht="29.25" customHeight="1" x14ac:dyDescent="0.25">
      <c r="D2093" s="110"/>
      <c r="E2093" s="110"/>
      <c r="F2093" s="958" t="s">
        <v>3752</v>
      </c>
      <c r="G2093" s="738" t="s">
        <v>2885</v>
      </c>
      <c r="H2093" s="738" t="s">
        <v>2</v>
      </c>
      <c r="I2093" s="738">
        <v>60145364</v>
      </c>
      <c r="J2093" s="739">
        <v>41953</v>
      </c>
      <c r="K2093" s="739">
        <v>42069</v>
      </c>
      <c r="L2093" s="740"/>
      <c r="M2093" s="741">
        <v>213248</v>
      </c>
    </row>
    <row r="2094" spans="4:13" x14ac:dyDescent="0.25">
      <c r="D2094" s="110"/>
      <c r="E2094" s="110"/>
      <c r="F2094" s="958"/>
      <c r="G2094" s="738" t="s">
        <v>3381</v>
      </c>
      <c r="H2094" s="738" t="s">
        <v>2</v>
      </c>
      <c r="I2094" s="738">
        <v>60152024</v>
      </c>
      <c r="J2094" s="739">
        <v>42072</v>
      </c>
      <c r="K2094" s="739">
        <v>42188</v>
      </c>
      <c r="L2094" s="740"/>
      <c r="M2094" s="741">
        <v>210443</v>
      </c>
    </row>
    <row r="2096" spans="4:13" x14ac:dyDescent="0.25">
      <c r="M2096" s="165">
        <f>SUM(M2091:M2094)</f>
        <v>689901</v>
      </c>
    </row>
    <row r="2098" spans="6:8" x14ac:dyDescent="0.25">
      <c r="F2098" s="23" t="s">
        <v>1494</v>
      </c>
      <c r="G2098" s="39">
        <v>45158.400000000001</v>
      </c>
      <c r="H2098">
        <f>G2098/1.2</f>
        <v>37632</v>
      </c>
    </row>
    <row r="2099" spans="6:8" x14ac:dyDescent="0.25">
      <c r="F2099" s="23" t="s">
        <v>1495</v>
      </c>
      <c r="G2099" s="39">
        <v>55267.44</v>
      </c>
      <c r="H2099">
        <f t="shared" ref="H2099:H2109" si="29">G2099/1.2</f>
        <v>46056.200000000004</v>
      </c>
    </row>
    <row r="2100" spans="6:8" x14ac:dyDescent="0.25">
      <c r="F2100" s="23" t="s">
        <v>2282</v>
      </c>
      <c r="G2100" s="39">
        <v>52749.84</v>
      </c>
      <c r="H2100">
        <f t="shared" si="29"/>
        <v>43958.2</v>
      </c>
    </row>
    <row r="2101" spans="6:8" x14ac:dyDescent="0.25">
      <c r="F2101" s="23" t="s">
        <v>2329</v>
      </c>
      <c r="G2101" s="39">
        <v>71487.839999999997</v>
      </c>
      <c r="H2101">
        <f t="shared" si="29"/>
        <v>59573.2</v>
      </c>
    </row>
    <row r="2102" spans="6:8" x14ac:dyDescent="0.25">
      <c r="F2102" s="23" t="s">
        <v>1548</v>
      </c>
      <c r="G2102" s="39">
        <v>13154.64</v>
      </c>
      <c r="H2102">
        <f t="shared" si="29"/>
        <v>10962.2</v>
      </c>
    </row>
    <row r="2103" spans="6:8" x14ac:dyDescent="0.25">
      <c r="F2103" s="23" t="s">
        <v>1548</v>
      </c>
      <c r="G2103" s="39">
        <v>43978.8</v>
      </c>
      <c r="H2103">
        <f t="shared" si="29"/>
        <v>36649.000000000007</v>
      </c>
    </row>
    <row r="2104" spans="6:8" x14ac:dyDescent="0.25">
      <c r="F2104" s="23" t="s">
        <v>2330</v>
      </c>
      <c r="G2104" s="39">
        <v>57098.400000000001</v>
      </c>
      <c r="H2104">
        <f t="shared" si="29"/>
        <v>47582</v>
      </c>
    </row>
    <row r="2105" spans="6:8" x14ac:dyDescent="0.25">
      <c r="F2105" s="29" t="s">
        <v>2331</v>
      </c>
      <c r="G2105" s="86">
        <v>67935.839999999997</v>
      </c>
      <c r="H2105">
        <f t="shared" si="29"/>
        <v>56613.2</v>
      </c>
    </row>
    <row r="2106" spans="6:8" x14ac:dyDescent="0.25">
      <c r="F2106" s="23" t="s">
        <v>3459</v>
      </c>
      <c r="G2106" s="39">
        <v>59419.199999999997</v>
      </c>
      <c r="H2106">
        <f t="shared" si="29"/>
        <v>49516</v>
      </c>
    </row>
    <row r="2107" spans="6:8" x14ac:dyDescent="0.25">
      <c r="F2107" s="29" t="s">
        <v>3460</v>
      </c>
      <c r="G2107" s="86">
        <v>13054.8</v>
      </c>
      <c r="H2107">
        <f t="shared" si="29"/>
        <v>10879</v>
      </c>
    </row>
    <row r="2108" spans="6:8" x14ac:dyDescent="0.25">
      <c r="F2108" s="10" t="s">
        <v>3460</v>
      </c>
      <c r="G2108" s="13">
        <v>42452.4</v>
      </c>
      <c r="H2108">
        <f t="shared" si="29"/>
        <v>35377</v>
      </c>
    </row>
    <row r="2109" spans="6:8" x14ac:dyDescent="0.25">
      <c r="F2109" s="29" t="s">
        <v>2332</v>
      </c>
      <c r="G2109" s="13">
        <v>73824</v>
      </c>
      <c r="H2109">
        <f t="shared" si="29"/>
        <v>61520</v>
      </c>
    </row>
    <row r="2110" spans="6:8" x14ac:dyDescent="0.25">
      <c r="H2110">
        <f>SUM(H2098:H2109)</f>
        <v>496318.00000000006</v>
      </c>
    </row>
  </sheetData>
  <mergeCells count="315">
    <mergeCell ref="D2091:D2092"/>
    <mergeCell ref="E2091:E2092"/>
    <mergeCell ref="F2093:F2094"/>
    <mergeCell ref="N1994:N1996"/>
    <mergeCell ref="M1871:M1872"/>
    <mergeCell ref="M1869:M1870"/>
    <mergeCell ref="L1869:L1870"/>
    <mergeCell ref="A1871:A1872"/>
    <mergeCell ref="B1871:B1872"/>
    <mergeCell ref="C1871:C1872"/>
    <mergeCell ref="L1871:L1872"/>
    <mergeCell ref="A1869:A1870"/>
    <mergeCell ref="B1869:B1870"/>
    <mergeCell ref="I1909:I1915"/>
    <mergeCell ref="J1909:J1915"/>
    <mergeCell ref="I1916:I1924"/>
    <mergeCell ref="J1916:J1924"/>
    <mergeCell ref="A1994:A1996"/>
    <mergeCell ref="B1994:B1996"/>
    <mergeCell ref="A2021:A2024"/>
    <mergeCell ref="B2021:B2024"/>
    <mergeCell ref="J2021:J2024"/>
    <mergeCell ref="K2021:K2024"/>
    <mergeCell ref="N1628:N1629"/>
    <mergeCell ref="M1630:M1632"/>
    <mergeCell ref="N1630:N1632"/>
    <mergeCell ref="C1634:C1635"/>
    <mergeCell ref="K1628:K1629"/>
    <mergeCell ref="M1628:M1629"/>
    <mergeCell ref="J1630:J1632"/>
    <mergeCell ref="M1633:M1634"/>
    <mergeCell ref="J1635:J1636"/>
    <mergeCell ref="K1635:K1636"/>
    <mergeCell ref="L1635:L1636"/>
    <mergeCell ref="M1635:M1636"/>
    <mergeCell ref="A1628:A1629"/>
    <mergeCell ref="B1628:B1629"/>
    <mergeCell ref="C1628:C1629"/>
    <mergeCell ref="D1628:D1629"/>
    <mergeCell ref="E1628:E1629"/>
    <mergeCell ref="L1628:L1629"/>
    <mergeCell ref="H1630:H1636"/>
    <mergeCell ref="K1630:K1632"/>
    <mergeCell ref="L1630:L1632"/>
    <mergeCell ref="J1633:J1634"/>
    <mergeCell ref="K1633:K1634"/>
    <mergeCell ref="L1633:L1634"/>
    <mergeCell ref="C1630:C1631"/>
    <mergeCell ref="I1630:I1638"/>
    <mergeCell ref="N1600:N1601"/>
    <mergeCell ref="A1600:A1601"/>
    <mergeCell ref="B1600:B1601"/>
    <mergeCell ref="M1600:M1601"/>
    <mergeCell ref="N1522:N1523"/>
    <mergeCell ref="A1524:A1527"/>
    <mergeCell ref="B1524:B1527"/>
    <mergeCell ref="A1598:A1599"/>
    <mergeCell ref="B1598:B1599"/>
    <mergeCell ref="C1598:C1599"/>
    <mergeCell ref="D1598:D1599"/>
    <mergeCell ref="E1598:E1599"/>
    <mergeCell ref="N1598:N1599"/>
    <mergeCell ref="F1598:K1598"/>
    <mergeCell ref="L1598:L1599"/>
    <mergeCell ref="N1524:N1527"/>
    <mergeCell ref="N1535:N1536"/>
    <mergeCell ref="A1537:A1543"/>
    <mergeCell ref="B1537:B1543"/>
    <mergeCell ref="J1537:J1543"/>
    <mergeCell ref="N1537:N1543"/>
    <mergeCell ref="C1537:C1540"/>
    <mergeCell ref="D1539:D1540"/>
    <mergeCell ref="F1535:G1535"/>
    <mergeCell ref="B1439:B1440"/>
    <mergeCell ref="C1439:C1440"/>
    <mergeCell ref="A1433:A1434"/>
    <mergeCell ref="B1433:B1434"/>
    <mergeCell ref="C1433:C1434"/>
    <mergeCell ref="D1433:D1434"/>
    <mergeCell ref="I1522:I1523"/>
    <mergeCell ref="J1522:J1523"/>
    <mergeCell ref="J1524:J1527"/>
    <mergeCell ref="A1522:A1523"/>
    <mergeCell ref="B1522:B1523"/>
    <mergeCell ref="C1522:C1523"/>
    <mergeCell ref="D1522:D1523"/>
    <mergeCell ref="E1522:E1523"/>
    <mergeCell ref="O1353:O1357"/>
    <mergeCell ref="A1350:A1352"/>
    <mergeCell ref="B1350:B1352"/>
    <mergeCell ref="C1350:C1352"/>
    <mergeCell ref="D1350:D1352"/>
    <mergeCell ref="E1350:E1352"/>
    <mergeCell ref="N1350:N1352"/>
    <mergeCell ref="O1350:O1352"/>
    <mergeCell ref="F1351:F1352"/>
    <mergeCell ref="I1351:I1352"/>
    <mergeCell ref="J1351:J1352"/>
    <mergeCell ref="A1353:A1357"/>
    <mergeCell ref="B1353:B1357"/>
    <mergeCell ref="D1197:D1199"/>
    <mergeCell ref="O1206:O1211"/>
    <mergeCell ref="A1197:A1199"/>
    <mergeCell ref="B1197:B1199"/>
    <mergeCell ref="C1197:C1199"/>
    <mergeCell ref="A1206:A1211"/>
    <mergeCell ref="B1206:B1211"/>
    <mergeCell ref="E1197:E1199"/>
    <mergeCell ref="C1141:C1147"/>
    <mergeCell ref="J1200:J1202"/>
    <mergeCell ref="A1200:A1204"/>
    <mergeCell ref="D1168:E1168"/>
    <mergeCell ref="B1168:C1168"/>
    <mergeCell ref="N1208:N1209"/>
    <mergeCell ref="I1210:I1211"/>
    <mergeCell ref="J1210:J1211"/>
    <mergeCell ref="J1206:J1207"/>
    <mergeCell ref="N1206:N1207"/>
    <mergeCell ref="F1206:F1207"/>
    <mergeCell ref="I1206:I1207"/>
    <mergeCell ref="D1210:D1211"/>
    <mergeCell ref="N1210:N1211"/>
    <mergeCell ref="J1208:J1209"/>
    <mergeCell ref="B1200:B1204"/>
    <mergeCell ref="X289:X290"/>
    <mergeCell ref="V289:V290"/>
    <mergeCell ref="A289:A290"/>
    <mergeCell ref="C289:C290"/>
    <mergeCell ref="D289:D290"/>
    <mergeCell ref="E289:E290"/>
    <mergeCell ref="B289:B290"/>
    <mergeCell ref="A305:D305"/>
    <mergeCell ref="A306:D306"/>
    <mergeCell ref="W289:W290"/>
    <mergeCell ref="A923:A928"/>
    <mergeCell ref="B923:B928"/>
    <mergeCell ref="B1148:B1149"/>
    <mergeCell ref="C1148:C1149"/>
    <mergeCell ref="B1133:B1137"/>
    <mergeCell ref="C1111:C1137"/>
    <mergeCell ref="B1138:B1140"/>
    <mergeCell ref="C1138:C1140"/>
    <mergeCell ref="B1141:B1147"/>
    <mergeCell ref="B1098:B1099"/>
    <mergeCell ref="C1089:C1099"/>
    <mergeCell ref="B1100:B1102"/>
    <mergeCell ref="B1103:B1104"/>
    <mergeCell ref="B1105:B1107"/>
    <mergeCell ref="B1108:B1110"/>
    <mergeCell ref="C1100:C1110"/>
    <mergeCell ref="B1095:B1097"/>
    <mergeCell ref="B1111:B1118"/>
    <mergeCell ref="B1119:B1125"/>
    <mergeCell ref="B1126:B1132"/>
    <mergeCell ref="J288:U288"/>
    <mergeCell ref="J289:J290"/>
    <mergeCell ref="N289:N290"/>
    <mergeCell ref="O289:O290"/>
    <mergeCell ref="Q289:Q290"/>
    <mergeCell ref="R289:R290"/>
    <mergeCell ref="T289:T290"/>
    <mergeCell ref="U289:U290"/>
    <mergeCell ref="I1200:I1202"/>
    <mergeCell ref="F916:T916"/>
    <mergeCell ref="O554:O555"/>
    <mergeCell ref="I809:I810"/>
    <mergeCell ref="O1200:O1204"/>
    <mergeCell ref="N1200:N1202"/>
    <mergeCell ref="F1197:J1197"/>
    <mergeCell ref="F1198:F1199"/>
    <mergeCell ref="I1198:I1199"/>
    <mergeCell ref="F1200:F1202"/>
    <mergeCell ref="O1197:O1199"/>
    <mergeCell ref="N1197:N1199"/>
    <mergeCell ref="J1198:J1199"/>
    <mergeCell ref="A307:D307"/>
    <mergeCell ref="C512:C513"/>
    <mergeCell ref="D512:D513"/>
    <mergeCell ref="B864:B870"/>
    <mergeCell ref="A906:A908"/>
    <mergeCell ref="A516:A518"/>
    <mergeCell ref="B686:B697"/>
    <mergeCell ref="A918:A919"/>
    <mergeCell ref="B918:B919"/>
    <mergeCell ref="A809:A810"/>
    <mergeCell ref="B809:B810"/>
    <mergeCell ref="C809:C810"/>
    <mergeCell ref="D516:D518"/>
    <mergeCell ref="D809:D810"/>
    <mergeCell ref="B699:B713"/>
    <mergeCell ref="C554:C555"/>
    <mergeCell ref="C1200:C1202"/>
    <mergeCell ref="D1200:D1202"/>
    <mergeCell ref="A1275:A1276"/>
    <mergeCell ref="B1227:B1234"/>
    <mergeCell ref="C1227:C1234"/>
    <mergeCell ref="C1235:C1239"/>
    <mergeCell ref="B1257:B1261"/>
    <mergeCell ref="C1257:C1261"/>
    <mergeCell ref="C1240:C1243"/>
    <mergeCell ref="B1245:B1246"/>
    <mergeCell ref="C1245:C1246"/>
    <mergeCell ref="B1247:B1252"/>
    <mergeCell ref="C1247:C1252"/>
    <mergeCell ref="B1240:B1243"/>
    <mergeCell ref="C1203:C1204"/>
    <mergeCell ref="B1235:B1239"/>
    <mergeCell ref="C1208:C1209"/>
    <mergeCell ref="D1208:D1209"/>
    <mergeCell ref="C1206:C1207"/>
    <mergeCell ref="C1210:C1211"/>
    <mergeCell ref="D1206:D1207"/>
    <mergeCell ref="D1203:D1204"/>
    <mergeCell ref="F1208:F1209"/>
    <mergeCell ref="I1208:I1209"/>
    <mergeCell ref="F1210:F1211"/>
    <mergeCell ref="F1350:M1350"/>
    <mergeCell ref="K1351:K1352"/>
    <mergeCell ref="M1351:M1352"/>
    <mergeCell ref="N1439:N1440"/>
    <mergeCell ref="A1391:A1394"/>
    <mergeCell ref="B1391:B1394"/>
    <mergeCell ref="N1391:N1394"/>
    <mergeCell ref="A1389:A1390"/>
    <mergeCell ref="B1389:B1390"/>
    <mergeCell ref="C1389:C1390"/>
    <mergeCell ref="D1389:D1390"/>
    <mergeCell ref="E1389:E1390"/>
    <mergeCell ref="F1389:L1389"/>
    <mergeCell ref="N1389:N1390"/>
    <mergeCell ref="N1433:N1434"/>
    <mergeCell ref="N1435:N1437"/>
    <mergeCell ref="A1435:A1437"/>
    <mergeCell ref="B1435:B1437"/>
    <mergeCell ref="E1433:E1434"/>
    <mergeCell ref="F1433:L1433"/>
    <mergeCell ref="A1439:A1440"/>
    <mergeCell ref="B1671:C1671"/>
    <mergeCell ref="C1545:C1547"/>
    <mergeCell ref="A1544:A1547"/>
    <mergeCell ref="B1544:B1547"/>
    <mergeCell ref="J1544:J1547"/>
    <mergeCell ref="D1545:D1547"/>
    <mergeCell ref="A1535:A1536"/>
    <mergeCell ref="B1535:B1536"/>
    <mergeCell ref="C1535:C1536"/>
    <mergeCell ref="D1535:D1536"/>
    <mergeCell ref="E1535:E1536"/>
    <mergeCell ref="I1535:I1536"/>
    <mergeCell ref="J1535:J1536"/>
    <mergeCell ref="A1608:A1610"/>
    <mergeCell ref="A1637:A1638"/>
    <mergeCell ref="H1637:H1638"/>
    <mergeCell ref="B1637:B1638"/>
    <mergeCell ref="A1645:D1645"/>
    <mergeCell ref="H1628:H1629"/>
    <mergeCell ref="A1630:A1636"/>
    <mergeCell ref="B1630:B1636"/>
    <mergeCell ref="G1628:G1629"/>
    <mergeCell ref="I1628:I1629"/>
    <mergeCell ref="J1628:J1629"/>
    <mergeCell ref="E1721:E1722"/>
    <mergeCell ref="J1721:J1722"/>
    <mergeCell ref="K1721:K1722"/>
    <mergeCell ref="L1721:L1722"/>
    <mergeCell ref="A1721:A1722"/>
    <mergeCell ref="B1721:B1722"/>
    <mergeCell ref="M1721:M1722"/>
    <mergeCell ref="N1721:N1722"/>
    <mergeCell ref="C1691:C1698"/>
    <mergeCell ref="C1699:C1701"/>
    <mergeCell ref="C1703:C1705"/>
    <mergeCell ref="C1708:C1712"/>
    <mergeCell ref="D1692:D1698"/>
    <mergeCell ref="D1699:D1701"/>
    <mergeCell ref="D1702:D1712"/>
    <mergeCell ref="C1721:C1722"/>
    <mergeCell ref="D1721:D1722"/>
    <mergeCell ref="F1721:I1721"/>
    <mergeCell ref="G1748:G1749"/>
    <mergeCell ref="A1750:A1751"/>
    <mergeCell ref="G1750:G1751"/>
    <mergeCell ref="N1723:N1724"/>
    <mergeCell ref="A1723:A1725"/>
    <mergeCell ref="B1723:B1725"/>
    <mergeCell ref="C1723:C1724"/>
    <mergeCell ref="K1723:K1725"/>
    <mergeCell ref="M1723:M1724"/>
    <mergeCell ref="A1726:A1727"/>
    <mergeCell ref="B1726:B1727"/>
    <mergeCell ref="K1726:K1727"/>
    <mergeCell ref="A1826:A1827"/>
    <mergeCell ref="A1828:A1829"/>
    <mergeCell ref="A1830:A1831"/>
    <mergeCell ref="A1832:A1833"/>
    <mergeCell ref="A1734:A1736"/>
    <mergeCell ref="B1734:B1736"/>
    <mergeCell ref="G1732:G1733"/>
    <mergeCell ref="J1901:J1903"/>
    <mergeCell ref="J1904:J1908"/>
    <mergeCell ref="I1901:I1903"/>
    <mergeCell ref="I1904:I1908"/>
    <mergeCell ref="I1732:I1733"/>
    <mergeCell ref="H1734:H1736"/>
    <mergeCell ref="F1732:F1733"/>
    <mergeCell ref="A1784:A1787"/>
    <mergeCell ref="A1755:A1756"/>
    <mergeCell ref="G1755:G1756"/>
    <mergeCell ref="A1732:A1733"/>
    <mergeCell ref="B1732:B1733"/>
    <mergeCell ref="C1732:C1733"/>
    <mergeCell ref="D1732:D1733"/>
    <mergeCell ref="E1732:E1733"/>
    <mergeCell ref="H1732:H1733"/>
    <mergeCell ref="A1748:A1749"/>
  </mergeCells>
  <pageMargins left="0.7" right="0.7" top="0.75" bottom="0.75" header="0.3" footer="0.3"/>
  <pageSetup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G25"/>
  <sheetViews>
    <sheetView topLeftCell="D1" zoomScaleNormal="100" workbookViewId="0">
      <selection activeCell="H20" sqref="H20"/>
    </sheetView>
  </sheetViews>
  <sheetFormatPr defaultRowHeight="15" x14ac:dyDescent="0.25"/>
  <cols>
    <col min="1" max="1" width="17.85546875" hidden="1" customWidth="1"/>
    <col min="2" max="2" width="11" hidden="1" customWidth="1"/>
    <col min="3" max="3" width="8.7109375" hidden="1" customWidth="1"/>
    <col min="4" max="4" width="21.28515625" bestFit="1" customWidth="1"/>
    <col min="5" max="5" width="18.42578125" bestFit="1" customWidth="1"/>
    <col min="6" max="6" width="86.140625" hidden="1" customWidth="1"/>
    <col min="7" max="7" width="20.42578125" bestFit="1" customWidth="1"/>
    <col min="8" max="8" width="20.5703125" customWidth="1"/>
    <col min="9" max="9" width="24.42578125" bestFit="1" customWidth="1"/>
    <col min="10" max="10" width="20.7109375" bestFit="1" customWidth="1"/>
    <col min="11" max="11" width="13.7109375" bestFit="1" customWidth="1"/>
    <col min="12" max="12" width="8.5703125" bestFit="1" customWidth="1"/>
  </cols>
  <sheetData>
    <row r="1" spans="1:7" s="596" customFormat="1" ht="38.25" x14ac:dyDescent="0.25">
      <c r="A1" s="595" t="s">
        <v>40</v>
      </c>
      <c r="B1" s="595" t="s">
        <v>15</v>
      </c>
      <c r="C1" s="595" t="s">
        <v>41</v>
      </c>
      <c r="D1" s="595" t="s">
        <v>3242</v>
      </c>
      <c r="E1" s="595" t="s">
        <v>3243</v>
      </c>
      <c r="F1" s="595" t="s">
        <v>1</v>
      </c>
      <c r="G1" s="595" t="s">
        <v>3259</v>
      </c>
    </row>
    <row r="2" spans="1:7" x14ac:dyDescent="0.25">
      <c r="A2" s="29" t="s">
        <v>2664</v>
      </c>
      <c r="B2" s="10">
        <v>1000109237</v>
      </c>
      <c r="C2" s="10" t="s">
        <v>1490</v>
      </c>
      <c r="D2" s="10" t="s">
        <v>3245</v>
      </c>
      <c r="E2" s="846">
        <v>1000097669</v>
      </c>
      <c r="F2" s="17" t="s">
        <v>2665</v>
      </c>
      <c r="G2" s="13">
        <v>2190.15</v>
      </c>
    </row>
    <row r="3" spans="1:7" x14ac:dyDescent="0.25">
      <c r="A3" s="17" t="s">
        <v>2668</v>
      </c>
      <c r="B3" s="10">
        <v>1000109237</v>
      </c>
      <c r="C3" s="10" t="s">
        <v>1490</v>
      </c>
      <c r="D3" s="10" t="s">
        <v>3246</v>
      </c>
      <c r="E3" s="846"/>
      <c r="F3" s="17" t="s">
        <v>2669</v>
      </c>
      <c r="G3" s="13">
        <v>2269.2000000000003</v>
      </c>
    </row>
    <row r="4" spans="1:7" x14ac:dyDescent="0.25">
      <c r="A4" s="17" t="s">
        <v>2666</v>
      </c>
      <c r="B4" s="10">
        <v>1000109237</v>
      </c>
      <c r="C4" s="10" t="s">
        <v>1491</v>
      </c>
      <c r="D4" s="10" t="s">
        <v>3244</v>
      </c>
      <c r="E4" s="846"/>
      <c r="F4" s="17" t="s">
        <v>2667</v>
      </c>
      <c r="G4" s="13">
        <v>10950.75</v>
      </c>
    </row>
    <row r="5" spans="1:7" x14ac:dyDescent="0.25">
      <c r="A5" s="17" t="s">
        <v>2670</v>
      </c>
      <c r="B5" s="10">
        <v>1000109237</v>
      </c>
      <c r="C5" s="10" t="s">
        <v>1491</v>
      </c>
      <c r="D5" s="10" t="s">
        <v>3247</v>
      </c>
      <c r="E5" s="846"/>
      <c r="F5" s="86" t="s">
        <v>2671</v>
      </c>
      <c r="G5" s="13">
        <v>11346.000000000002</v>
      </c>
    </row>
    <row r="6" spans="1:7" x14ac:dyDescent="0.25">
      <c r="A6" s="17" t="s">
        <v>2708</v>
      </c>
      <c r="B6" s="17">
        <v>1000109237</v>
      </c>
      <c r="C6" s="29" t="s">
        <v>1492</v>
      </c>
      <c r="D6" s="29" t="s">
        <v>3248</v>
      </c>
      <c r="E6" s="846"/>
      <c r="F6" s="449" t="s">
        <v>2715</v>
      </c>
      <c r="G6" s="85">
        <v>9076.8000000000011</v>
      </c>
    </row>
    <row r="7" spans="1:7" x14ac:dyDescent="0.25">
      <c r="A7" s="17" t="s">
        <v>2711</v>
      </c>
      <c r="B7" s="10">
        <v>1000109237</v>
      </c>
      <c r="C7" s="23" t="s">
        <v>1492</v>
      </c>
      <c r="D7" s="23" t="s">
        <v>3249</v>
      </c>
      <c r="E7" s="846"/>
      <c r="F7" s="10" t="s">
        <v>2718</v>
      </c>
      <c r="G7" s="13">
        <v>8760.6</v>
      </c>
    </row>
    <row r="8" spans="1:7" x14ac:dyDescent="0.25">
      <c r="A8" s="17" t="s">
        <v>2956</v>
      </c>
      <c r="B8" s="10">
        <v>1000109237</v>
      </c>
      <c r="C8" s="23" t="s">
        <v>1493</v>
      </c>
      <c r="D8" s="23" t="s">
        <v>3250</v>
      </c>
      <c r="E8" s="846"/>
      <c r="F8" s="10" t="s">
        <v>2967</v>
      </c>
      <c r="G8" s="13">
        <v>9076.8000000000011</v>
      </c>
    </row>
    <row r="9" spans="1:7" x14ac:dyDescent="0.25">
      <c r="A9" s="17" t="s">
        <v>2958</v>
      </c>
      <c r="B9" s="10">
        <v>1000109237</v>
      </c>
      <c r="C9" s="23" t="s">
        <v>1493</v>
      </c>
      <c r="D9" s="23" t="s">
        <v>3251</v>
      </c>
      <c r="E9" s="846"/>
      <c r="F9" s="10" t="s">
        <v>2969</v>
      </c>
      <c r="G9" s="13">
        <v>8760.6</v>
      </c>
    </row>
    <row r="10" spans="1:7" x14ac:dyDescent="0.25">
      <c r="A10" s="29" t="s">
        <v>3037</v>
      </c>
      <c r="B10" s="23">
        <v>1000079359</v>
      </c>
      <c r="C10" s="23" t="s">
        <v>1494</v>
      </c>
      <c r="D10" s="23" t="s">
        <v>3252</v>
      </c>
      <c r="E10" s="846"/>
      <c r="F10" s="23" t="s">
        <v>3049</v>
      </c>
      <c r="G10" s="39">
        <v>7900</v>
      </c>
    </row>
    <row r="11" spans="1:7" x14ac:dyDescent="0.25">
      <c r="A11" s="29" t="s">
        <v>3024</v>
      </c>
      <c r="B11" s="23">
        <v>1000105043</v>
      </c>
      <c r="C11" s="23" t="s">
        <v>1494</v>
      </c>
      <c r="D11" s="23" t="s">
        <v>3253</v>
      </c>
      <c r="E11" s="846"/>
      <c r="F11" s="29" t="s">
        <v>3032</v>
      </c>
      <c r="G11" s="39">
        <v>33842.5</v>
      </c>
    </row>
    <row r="12" spans="1:7" x14ac:dyDescent="0.25">
      <c r="A12" s="17" t="s">
        <v>3077</v>
      </c>
      <c r="B12" s="10">
        <v>1000109237</v>
      </c>
      <c r="C12" s="23" t="s">
        <v>1494</v>
      </c>
      <c r="D12" s="23" t="s">
        <v>3254</v>
      </c>
      <c r="E12" s="846"/>
      <c r="F12" s="10" t="s">
        <v>3083</v>
      </c>
      <c r="G12" s="13">
        <v>10950.75</v>
      </c>
    </row>
    <row r="13" spans="1:7" x14ac:dyDescent="0.25">
      <c r="A13" s="17" t="s">
        <v>3078</v>
      </c>
      <c r="B13" s="10">
        <v>1000109237</v>
      </c>
      <c r="C13" s="23" t="s">
        <v>1494</v>
      </c>
      <c r="D13" s="23" t="s">
        <v>3255</v>
      </c>
      <c r="E13" s="846"/>
      <c r="F13" s="10" t="s">
        <v>3084</v>
      </c>
      <c r="G13" s="13">
        <v>11346.000000000002</v>
      </c>
    </row>
    <row r="14" spans="1:7" x14ac:dyDescent="0.25">
      <c r="A14" s="23" t="s">
        <v>3180</v>
      </c>
      <c r="B14" s="23">
        <v>1000105043</v>
      </c>
      <c r="C14" s="23" t="s">
        <v>1495</v>
      </c>
      <c r="D14" s="23" t="s">
        <v>3256</v>
      </c>
      <c r="E14" s="846"/>
      <c r="F14" s="29" t="s">
        <v>3181</v>
      </c>
      <c r="G14" s="39">
        <v>25720.300000000003</v>
      </c>
    </row>
    <row r="15" spans="1:7" x14ac:dyDescent="0.25">
      <c r="A15" s="23" t="s">
        <v>3190</v>
      </c>
      <c r="B15" s="23">
        <v>1000109733</v>
      </c>
      <c r="C15" s="23" t="s">
        <v>1495</v>
      </c>
      <c r="D15" s="23" t="s">
        <v>3257</v>
      </c>
      <c r="E15" s="846"/>
      <c r="F15" s="29" t="s">
        <v>3191</v>
      </c>
      <c r="G15" s="39">
        <v>22378.2</v>
      </c>
    </row>
    <row r="16" spans="1:7" x14ac:dyDescent="0.25">
      <c r="A16" s="10" t="s">
        <v>3200</v>
      </c>
      <c r="B16" s="10">
        <v>1000079359</v>
      </c>
      <c r="C16" s="23" t="s">
        <v>1495</v>
      </c>
      <c r="D16" s="23" t="s">
        <v>3258</v>
      </c>
      <c r="E16" s="846"/>
      <c r="F16" s="10" t="s">
        <v>3194</v>
      </c>
      <c r="G16" s="13">
        <v>5838.0000000000009</v>
      </c>
    </row>
    <row r="17" spans="4:7" x14ac:dyDescent="0.25">
      <c r="E17" s="597" t="s">
        <v>3151</v>
      </c>
      <c r="F17" s="598" t="s">
        <v>3151</v>
      </c>
      <c r="G17" s="599">
        <v>180406.65000000002</v>
      </c>
    </row>
    <row r="24" spans="4:7" x14ac:dyDescent="0.25">
      <c r="D24" s="255"/>
    </row>
    <row r="25" spans="4:7" x14ac:dyDescent="0.25">
      <c r="D25" s="255"/>
    </row>
  </sheetData>
  <autoFilter ref="A1:G17"/>
  <mergeCells count="1">
    <mergeCell ref="E2:E1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Projects Info</vt:lpstr>
      <vt:lpstr>SOW-PO Tracker 2016</vt:lpstr>
      <vt:lpstr>Sheet1</vt:lpstr>
      <vt:lpstr>Invoice Tracker</vt:lpstr>
      <vt:lpstr>Sheet2</vt:lpstr>
      <vt:lpstr>ASOS Holiday Tracker</vt:lpstr>
      <vt:lpstr>ASOS_Rates_ext</vt:lpstr>
      <vt:lpstr>Misc data</vt:lpstr>
      <vt:lpstr>2014 Discount Invoices</vt:lpstr>
      <vt:lpstr>SOW Tracker</vt:lpstr>
      <vt:lpstr>Umesh Data</vt:lpstr>
      <vt:lpstr>Sheet3</vt:lpstr>
      <vt:lpstr>Forecast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2016-05-05T06:28:28Z</dcterms:modified>
</cp:coreProperties>
</file>