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drawing+xml" PartName="/xl/drawings/drawing2.xml"/>
  <Override ContentType="application/vnd.openxmlformats-officedocument.spreadsheetml.worksheet+xml" PartName="/xl/worksheets/sheet7.xml"/>
  <Override ContentType="application/vnd.openxmlformats-officedocument.drawing+xml" PartName="/xl/drawings/drawing3.xml"/>
  <Override ContentType="application/vnd.openxmlformats-officedocument.spreadsheetml.worksheet+xml" PartName="/xl/worksheets/sheet8.xml"/>
  <Override ContentType="application/vnd.openxmlformats-officedocument.drawing+xml" PartName="/xl/drawings/drawing4.xml"/>
  <Override ContentType="application/vnd.openxmlformats-officedocument.spreadsheetml.worksheet+xml" PartName="/xl/worksheets/sheet9.xml"/>
  <Override ContentType="application/vnd.openxmlformats-officedocument.drawing+xml" PartName="/xl/drawings/drawing5.xml"/>
  <Override ContentType="application/vnd.openxmlformats-officedocument.spreadsheetml.worksheet+xml" PartName="/xl/worksheets/sheet10.xml"/>
  <Override ContentType="application/vnd.openxmlformats-officedocument.drawing+xml" PartName="/xl/drawings/drawing6.xml"/>
  <Override ContentType="application/vnd.openxmlformats-officedocument.spreadsheetml.worksheet+xml" PartName="/xl/worksheets/sheet11.xml"/>
  <Override ContentType="application/vnd.openxmlformats-officedocument.drawing+xml" PartName="/xl/drawings/drawing7.xml"/>
  <Override ContentType="application/vnd.openxmlformats-officedocument.spreadsheetml.worksheet+xml" PartName="/xl/worksheets/sheet12.xml"/>
  <Override ContentType="application/vnd.openxmlformats-officedocument.drawing+xml" PartName="/xl/drawings/drawing8.xml"/>
  <Override ContentType="application/vnd.openxmlformats-officedocument.spreadsheetml.worksheet+xml" PartName="/xl/worksheets/sheet13.xml"/>
  <Override ContentType="application/vnd.openxmlformats-officedocument.drawing+xml" PartName="/xl/drawings/drawing9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5" autoFilterDateGrouping="1" firstSheet="3" minimized="0" showHorizontalScroll="1" showSheetTabs="1" showVerticalScroll="1" tabRatio="763" visibility="visible" windowHeight="15840" windowWidth="29040" xWindow="-28920" yWindow="-120"/>
  </bookViews>
  <sheets>
    <sheet name="입주현황" sheetId="1" state="visible" r:id="rId1"/>
    <sheet name="월장부" sheetId="2" state="visible" r:id="rId2"/>
    <sheet name="월세입금현황" sheetId="3" state="visible" r:id="rId3"/>
    <sheet name="전기검침" sheetId="4" state="visible" r:id="rId4"/>
    <sheet name="수도검침" sheetId="5" state="visible" r:id="rId5"/>
    <sheet name="전기수도요금" sheetId="6" state="visible" r:id="rId6"/>
    <sheet name="정육점" sheetId="7" state="visible" r:id="rId7"/>
    <sheet name="하모니마트" sheetId="8" state="visible" r:id="rId8"/>
    <sheet name="치과" sheetId="9" state="visible" r:id="rId9"/>
    <sheet name="법률사무소 백야" sheetId="10" state="visible" r:id="rId10"/>
    <sheet name="법무법인 주한 (3층)" sheetId="11" state="visible" r:id="rId11"/>
    <sheet name="사무실 (4층)" sheetId="12" state="visible" r:id="rId12"/>
    <sheet name="지니컵" sheetId="13" state="visible" r:id="rId13"/>
    <sheet name="전자세금계산서용1" sheetId="14" state="visible" r:id="rId14"/>
    <sheet name="전자세금계산서용2" sheetId="15" state="visible" r:id="rId15"/>
  </sheets>
  <definedNames>
    <definedName localSheetId="1" name="_xlnm.Print_Area">'월장부'!$A$1:$E$66</definedName>
    <definedName localSheetId="4" name="_xlnm.Print_Titles">'수도검침'!$3:$4</definedName>
    <definedName localSheetId="5" name="_xlnm.Print_Area">'전기수도요금'!$A$1:$H$57</definedName>
    <definedName localSheetId="6" name="_xlnm.Print_Area">'정육점'!$A$1:$AF$66</definedName>
    <definedName localSheetId="7" name="_xlnm.Print_Area">'하모니마트'!$A$1:$AF$73</definedName>
    <definedName localSheetId="8" name="_xlnm.Print_Area">'치과'!$A$1:$AF$92</definedName>
    <definedName localSheetId="9" name="_xlnm.Print_Area">'법률사무소 백야'!$A$1:$AF$65</definedName>
    <definedName localSheetId="10" name="_xlnm.Print_Area">'법무법인 주한 (3층)'!$A$1:$AF$65</definedName>
    <definedName localSheetId="11" name="_xlnm.Print_Area">'사무실 (4층)'!$A$1:$AF$65</definedName>
    <definedName localSheetId="12" name="_xlnm.Print_Area">'지니컵'!$A$1:$AF$117</definedName>
  </definedNames>
  <calcPr calcId="191029" fullCalcOnLoad="1"/>
</workbook>
</file>

<file path=xl/styles.xml><?xml version="1.0" encoding="utf-8"?>
<styleSheet xmlns="http://schemas.openxmlformats.org/spreadsheetml/2006/main">
  <numFmts count="14">
    <numFmt formatCode="#,##0_);[Red]&quot;₩&quot;\!\(#,##0&quot;₩&quot;\!\)" numFmtId="164"/>
    <numFmt formatCode="#,##0_ " numFmtId="165"/>
    <numFmt formatCode="_-* #,##0_-;\-* #,##0_-;_-* &quot;-&quot;_-;_-@_-" numFmtId="166"/>
    <numFmt formatCode="0_);[Red]&quot;₩&quot;\!\(0&quot;₩&quot;\!\)" numFmtId="167"/>
    <numFmt formatCode="mm&quot;월&quot;&quot;₩&quot;\!\ dd&quot;일&quot;" numFmtId="168"/>
    <numFmt formatCode="0_ " numFmtId="169"/>
    <numFmt formatCode="#,##0.0_);[Red]\(#,##0.0\)" numFmtId="170"/>
    <numFmt formatCode="0.0_ " numFmtId="171"/>
    <numFmt formatCode="_-* #,##0.00_-;\-* #,##0.00_-;_-* &quot;-&quot;??_-;_-@_-" numFmtId="172"/>
    <numFmt formatCode="#,###\ " numFmtId="173"/>
    <numFmt formatCode="_-* #,##0.0_-;\-* #,##0.0_-;_-* &quot;-&quot;_-;_-@_-" numFmtId="174"/>
    <numFmt formatCode="_-* #,##0.000_-;\-* #,##0.000_-;_-* &quot;-&quot;_-;_-@_-" numFmtId="175"/>
    <numFmt formatCode="0;[Red]0" numFmtId="176"/>
    <numFmt formatCode="#,###" numFmtId="177"/>
  </numFmts>
  <fonts count="48">
    <font>
      <name val="돋움"/>
      <charset val="129"/>
      <family val="3"/>
      <sz val="11"/>
    </font>
    <font>
      <name val="맑은 고딕"/>
      <charset val="129"/>
      <family val="2"/>
      <color theme="1"/>
      <sz val="11"/>
      <scheme val="minor"/>
    </font>
    <font>
      <name val="돋움"/>
      <charset val="129"/>
      <family val="3"/>
      <sz val="11"/>
    </font>
    <font>
      <name val="굴림체"/>
      <charset val="129"/>
      <family val="3"/>
      <b val="1"/>
      <sz val="10"/>
    </font>
    <font>
      <name val="돋움"/>
      <charset val="129"/>
      <family val="3"/>
      <sz val="8"/>
    </font>
    <font>
      <name val="굴림체"/>
      <charset val="129"/>
      <family val="3"/>
      <sz val="10"/>
    </font>
    <font>
      <name val="굴림체"/>
      <charset val="129"/>
      <family val="3"/>
      <b val="1"/>
      <sz val="12"/>
    </font>
    <font>
      <name val="굴림체"/>
      <charset val="129"/>
      <family val="3"/>
      <b val="1"/>
      <sz val="8"/>
    </font>
    <font>
      <name val="굴림체"/>
      <charset val="129"/>
      <family val="3"/>
      <sz val="8"/>
    </font>
    <font>
      <name val="돋움"/>
      <charset val="129"/>
      <family val="3"/>
      <b val="1"/>
      <sz val="12"/>
      <u val="single"/>
    </font>
    <font>
      <name val="돋움"/>
      <charset val="129"/>
      <family val="3"/>
      <b val="1"/>
      <sz val="8"/>
    </font>
    <font>
      <name val="돋움"/>
      <charset val="129"/>
      <family val="3"/>
      <b val="1"/>
      <sz val="12"/>
    </font>
    <font>
      <name val="돋움"/>
      <charset val="129"/>
      <family val="3"/>
      <b val="1"/>
      <sz val="10"/>
      <u val="single"/>
    </font>
    <font>
      <name val="돋움"/>
      <charset val="129"/>
      <family val="3"/>
      <sz val="10"/>
    </font>
    <font>
      <name val="돋움"/>
      <charset val="129"/>
      <family val="3"/>
      <b val="1"/>
      <sz val="10"/>
    </font>
    <font>
      <name val="돋움"/>
      <charset val="129"/>
      <family val="3"/>
      <sz val="12"/>
    </font>
    <font>
      <name val="돋움"/>
      <charset val="129"/>
      <family val="3"/>
      <b val="1"/>
      <sz val="11"/>
    </font>
    <font>
      <name val="돋움"/>
      <charset val="129"/>
      <family val="3"/>
      <color indexed="14"/>
      <sz val="10"/>
    </font>
    <font>
      <name val="돋움"/>
      <charset val="129"/>
      <family val="3"/>
      <color indexed="47"/>
      <sz val="10"/>
    </font>
    <font>
      <name val="돋움"/>
      <charset val="129"/>
      <family val="3"/>
      <sz val="9"/>
    </font>
    <font>
      <name val="굴림"/>
      <charset val="129"/>
      <family val="3"/>
      <color indexed="12"/>
      <sz val="8"/>
    </font>
    <font>
      <name val="굴림"/>
      <charset val="129"/>
      <family val="3"/>
      <color indexed="12"/>
      <sz val="10"/>
    </font>
    <font>
      <name val="굴림"/>
      <charset val="129"/>
      <family val="3"/>
      <sz val="10"/>
    </font>
    <font>
      <name val="굴림"/>
      <charset val="129"/>
      <family val="3"/>
      <color indexed="9"/>
      <sz val="10"/>
    </font>
    <font>
      <name val="굴림"/>
      <charset val="129"/>
      <family val="3"/>
      <b val="1"/>
      <color indexed="12"/>
      <sz val="22"/>
    </font>
    <font>
      <name val="굴림"/>
      <charset val="129"/>
      <family val="3"/>
      <b val="1"/>
      <color indexed="12"/>
      <sz val="10"/>
    </font>
    <font>
      <name val="굴림"/>
      <charset val="129"/>
      <family val="3"/>
      <color indexed="12"/>
      <sz val="9"/>
    </font>
    <font>
      <name val="굴림"/>
      <charset val="129"/>
      <family val="3"/>
      <color indexed="12"/>
      <sz val="11"/>
    </font>
    <font>
      <name val="굴림"/>
      <charset val="129"/>
      <family val="3"/>
      <b val="1"/>
      <sz val="12"/>
    </font>
    <font>
      <name val="굴림"/>
      <charset val="129"/>
      <family val="3"/>
      <sz val="9"/>
    </font>
    <font>
      <name val="굴림"/>
      <charset val="129"/>
      <family val="3"/>
      <color indexed="48"/>
      <sz val="8"/>
    </font>
    <font>
      <name val="굴림"/>
      <charset val="129"/>
      <family val="3"/>
      <sz val="8"/>
    </font>
    <font>
      <name val="굴림"/>
      <charset val="129"/>
      <family val="3"/>
      <b val="1"/>
      <sz val="10"/>
    </font>
    <font>
      <name val="굴림"/>
      <charset val="129"/>
      <family val="3"/>
      <color indexed="10"/>
      <sz val="8"/>
    </font>
    <font>
      <name val="굴림"/>
      <charset val="129"/>
      <family val="3"/>
      <color indexed="10"/>
      <sz val="10"/>
    </font>
    <font>
      <name val="굴림"/>
      <charset val="129"/>
      <family val="3"/>
      <b val="1"/>
      <color indexed="10"/>
      <sz val="22"/>
    </font>
    <font>
      <name val="굴림"/>
      <charset val="129"/>
      <family val="3"/>
      <b val="1"/>
      <color indexed="10"/>
      <sz val="10"/>
    </font>
    <font>
      <name val="굴림"/>
      <charset val="129"/>
      <family val="3"/>
      <color indexed="10"/>
      <sz val="9"/>
    </font>
    <font>
      <name val="굴림"/>
      <charset val="129"/>
      <family val="3"/>
      <color indexed="10"/>
      <sz val="11"/>
    </font>
    <font>
      <name val="굴림체"/>
      <charset val="129"/>
      <family val="3"/>
      <b val="1"/>
      <sz val="10"/>
      <u val="single"/>
    </font>
    <font>
      <name val="맑은 고딕"/>
      <charset val="129"/>
      <family val="2"/>
      <color theme="0"/>
      <sz val="11"/>
      <scheme val="minor"/>
    </font>
    <font>
      <name val="맑은 고딕"/>
      <charset val="129"/>
      <family val="3"/>
      <b val="1"/>
      <color theme="0"/>
      <sz val="20"/>
      <scheme val="minor"/>
    </font>
    <font>
      <name val="돋움"/>
      <charset val="129"/>
      <family val="3"/>
      <b val="1"/>
      <sz val="8"/>
      <u val="single"/>
    </font>
    <font>
      <name val="맑은 고딕"/>
      <charset val="129"/>
      <family val="2"/>
      <sz val="9"/>
      <scheme val="minor"/>
    </font>
    <font>
      <name val="굴림"/>
      <charset val="129"/>
      <family val="3"/>
      <sz val="7"/>
    </font>
    <font>
      <name val="문체부 제목 돋음체"/>
      <charset val="129"/>
      <family val="3"/>
      <b val="1"/>
      <sz val="12"/>
      <u val="single"/>
    </font>
    <font>
      <name val="돋움"/>
      <charset val="129"/>
      <family val="3"/>
      <b val="1"/>
      <sz val="9"/>
    </font>
    <font>
      <name val="맑은 고딕"/>
      <charset val="129"/>
      <family val="3"/>
      <b val="1"/>
      <sz val="20"/>
      <scheme val="minor"/>
    </font>
  </fonts>
  <fills count="21">
    <fill>
      <patternFill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3" tint="0.79998168889431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6" tint="0.5999938962981048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5"/>
      </patternFill>
    </fill>
    <fill>
      <patternFill patternType="solid">
        <fgColor theme="9" tint="0.7999816888943144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0" tint="-0.1499984740745262"/>
        <bgColor indexed="64"/>
      </patternFill>
    </fill>
  </fills>
  <borders count="154">
    <border>
      <left/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indexed="12"/>
      </right>
      <top style="medium">
        <color indexed="12"/>
      </top>
      <bottom style="thin">
        <color indexed="12"/>
      </bottom>
      <diagonal/>
    </border>
    <border>
      <left/>
      <right style="medium">
        <color indexed="12"/>
      </right>
      <top style="medium">
        <color indexed="12"/>
      </top>
      <bottom style="thin">
        <color indexed="12"/>
      </bottom>
      <diagonal/>
    </border>
    <border>
      <left style="medium">
        <color indexed="12"/>
      </left>
      <right style="thin">
        <color indexed="12"/>
      </right>
      <top/>
      <bottom style="thin">
        <color indexed="12"/>
      </bottom>
      <diagonal/>
    </border>
    <border>
      <left style="thin">
        <color indexed="12"/>
      </left>
      <right style="thin">
        <color indexed="12"/>
      </right>
      <top/>
      <bottom style="thin">
        <color indexed="12"/>
      </bottom>
      <diagonal/>
    </border>
    <border>
      <left/>
      <right/>
      <top style="dotted">
        <color auto="1"/>
      </top>
      <bottom/>
      <diagonal/>
    </border>
    <border>
      <left/>
      <right style="thin">
        <color indexed="10"/>
      </right>
      <top style="medium">
        <color indexed="10"/>
      </top>
      <bottom style="thin">
        <color indexed="10"/>
      </bottom>
      <diagonal/>
    </border>
    <border>
      <left/>
      <right style="medium">
        <color indexed="10"/>
      </right>
      <top style="medium">
        <color indexed="10"/>
      </top>
      <bottom style="thin">
        <color indexed="10"/>
      </bottom>
      <diagonal/>
    </border>
    <border>
      <left style="medium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12"/>
      </top>
      <bottom/>
      <diagonal/>
    </border>
    <border>
      <left/>
      <right/>
      <top/>
      <bottom style="medium">
        <color indexed="12"/>
      </bottom>
      <diagonal/>
    </border>
    <border>
      <left style="thin">
        <color indexed="12"/>
      </left>
      <right style="medium">
        <color indexed="12"/>
      </right>
      <top/>
      <bottom style="thin">
        <color indexed="12"/>
      </bottom>
      <diagonal/>
    </border>
    <border>
      <left style="thin">
        <color indexed="12"/>
      </left>
      <right/>
      <top style="medium">
        <color indexed="12"/>
      </top>
      <bottom style="thin">
        <color indexed="12"/>
      </bottom>
      <diagonal/>
    </border>
    <border>
      <left/>
      <right/>
      <top style="medium">
        <color indexed="12"/>
      </top>
      <bottom style="thin">
        <color indexed="12"/>
      </bottom>
      <diagonal/>
    </border>
    <border>
      <left style="thin">
        <color indexed="12"/>
      </left>
      <right/>
      <top/>
      <bottom style="medium">
        <color indexed="12"/>
      </bottom>
      <diagonal/>
    </border>
    <border>
      <left/>
      <right style="medium">
        <color indexed="12"/>
      </right>
      <top/>
      <bottom style="medium">
        <color indexed="12"/>
      </bottom>
      <diagonal/>
    </border>
    <border>
      <left style="medium">
        <color indexed="12"/>
      </left>
      <right style="thin">
        <color indexed="12"/>
      </right>
      <top style="medium">
        <color indexed="12"/>
      </top>
      <bottom style="thin">
        <color indexed="12"/>
      </bottom>
      <diagonal/>
    </border>
    <border>
      <left style="thin">
        <color indexed="12"/>
      </left>
      <right style="thin">
        <color indexed="12"/>
      </right>
      <top style="medium">
        <color indexed="12"/>
      </top>
      <bottom style="thin">
        <color indexed="12"/>
      </bottom>
      <diagonal/>
    </border>
    <border>
      <left style="thin">
        <color indexed="12"/>
      </left>
      <right style="medium">
        <color indexed="12"/>
      </right>
      <top style="medium">
        <color indexed="12"/>
      </top>
      <bottom style="thin">
        <color indexed="12"/>
      </bottom>
      <diagonal/>
    </border>
    <border>
      <left/>
      <right style="thin">
        <color indexed="12"/>
      </right>
      <top/>
      <bottom style="medium">
        <color indexed="12"/>
      </bottom>
      <diagonal/>
    </border>
    <border>
      <left style="thin">
        <color indexed="12"/>
      </left>
      <right/>
      <top/>
      <bottom style="thin">
        <color indexed="12"/>
      </bottom>
      <diagonal/>
    </border>
    <border>
      <left/>
      <right/>
      <top/>
      <bottom style="thin">
        <color indexed="12"/>
      </bottom>
      <diagonal/>
    </border>
    <border>
      <left/>
      <right style="medium">
        <color indexed="12"/>
      </right>
      <top/>
      <bottom style="thin">
        <color indexed="12"/>
      </bottom>
      <diagonal/>
    </border>
    <border>
      <left style="medium">
        <color indexed="12"/>
      </left>
      <right/>
      <top/>
      <bottom style="medium">
        <color indexed="12"/>
      </bottom>
      <diagonal/>
    </border>
    <border>
      <left/>
      <right style="thin">
        <color indexed="12"/>
      </right>
      <top style="medium">
        <color indexed="12"/>
      </top>
      <bottom/>
      <diagonal/>
    </border>
    <border>
      <left/>
      <right style="thin">
        <color indexed="12"/>
      </right>
      <top/>
      <bottom style="thin">
        <color indexed="12"/>
      </bottom>
      <diagonal/>
    </border>
    <border>
      <left style="thin">
        <color indexed="12"/>
      </left>
      <right style="medium">
        <color indexed="12"/>
      </right>
      <top/>
      <bottom style="medium">
        <color indexed="12"/>
      </bottom>
      <diagonal/>
    </border>
    <border>
      <left style="medium">
        <color indexed="12"/>
      </left>
      <right/>
      <top style="medium">
        <color indexed="12"/>
      </top>
      <bottom/>
      <diagonal/>
    </border>
    <border>
      <left style="thin">
        <color indexed="10"/>
      </left>
      <right/>
      <top/>
      <bottom style="medium">
        <color indexed="10"/>
      </bottom>
      <diagonal/>
    </border>
    <border>
      <left/>
      <right/>
      <top/>
      <bottom style="medium">
        <color indexed="10"/>
      </bottom>
      <diagonal/>
    </border>
    <border>
      <left/>
      <right style="thin">
        <color indexed="10"/>
      </right>
      <top/>
      <bottom style="medium">
        <color indexed="10"/>
      </bottom>
      <diagonal/>
    </border>
    <border>
      <left/>
      <right style="thin">
        <color indexed="10"/>
      </right>
      <top/>
      <bottom/>
      <diagonal/>
    </border>
    <border>
      <left style="thin">
        <color indexed="10"/>
      </left>
      <right/>
      <top/>
      <bottom style="thin">
        <color indexed="10"/>
      </bottom>
      <diagonal/>
    </border>
    <border>
      <left/>
      <right/>
      <top/>
      <bottom style="thin">
        <color indexed="10"/>
      </bottom>
      <diagonal/>
    </border>
    <border>
      <left/>
      <right style="medium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medium">
        <color indexed="10"/>
      </bottom>
      <diagonal/>
    </border>
    <border>
      <left style="thin">
        <color indexed="10"/>
      </left>
      <right/>
      <top style="medium">
        <color indexed="10"/>
      </top>
      <bottom style="thin">
        <color indexed="10"/>
      </bottom>
      <diagonal/>
    </border>
    <border>
      <left/>
      <right/>
      <top style="medium">
        <color indexed="10"/>
      </top>
      <bottom style="thin">
        <color indexed="10"/>
      </bottom>
      <diagonal/>
    </border>
    <border>
      <left/>
      <right/>
      <top style="medium">
        <color indexed="10"/>
      </top>
      <bottom/>
      <diagonal/>
    </border>
    <border>
      <left style="medium">
        <color indexed="10"/>
      </left>
      <right style="thin">
        <color indexed="10"/>
      </right>
      <top/>
      <bottom/>
      <diagonal/>
    </border>
    <border>
      <left style="medium">
        <color indexed="10"/>
      </left>
      <right style="thin">
        <color indexed="10"/>
      </right>
      <top/>
      <bottom style="medium">
        <color indexed="10"/>
      </bottom>
      <diagonal/>
    </border>
    <border>
      <left/>
      <right style="medium">
        <color indexed="10"/>
      </right>
      <top/>
      <bottom style="medium">
        <color indexed="10"/>
      </bottom>
      <diagonal/>
    </border>
    <border>
      <left style="medium">
        <color indexed="10"/>
      </left>
      <right/>
      <top style="medium">
        <color indexed="10"/>
      </top>
      <bottom/>
      <diagonal/>
    </border>
    <border>
      <left/>
      <right style="thin">
        <color indexed="10"/>
      </right>
      <top style="medium">
        <color indexed="10"/>
      </top>
      <bottom/>
      <diagonal/>
    </border>
    <border>
      <left/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medium">
        <color indexed="10"/>
      </right>
      <top/>
      <bottom style="thin">
        <color indexed="10"/>
      </bottom>
      <diagonal/>
    </border>
    <border>
      <left style="thin">
        <color indexed="10"/>
      </left>
      <right style="medium">
        <color indexed="10"/>
      </right>
      <top/>
      <bottom style="medium">
        <color indexed="10"/>
      </bottom>
      <diagonal/>
    </border>
    <border>
      <left style="medium">
        <color indexed="10"/>
      </left>
      <right/>
      <top/>
      <bottom style="medium">
        <color indexed="1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thin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thin">
        <color auto="1"/>
      </right>
      <top/>
      <bottom/>
      <diagonal/>
    </border>
    <border>
      <left style="thin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/>
      <right style="hair">
        <color auto="1"/>
      </right>
      <top/>
      <bottom style="thin">
        <color auto="1"/>
      </bottom>
      <diagonal/>
    </border>
    <border>
      <left style="hair">
        <color auto="1"/>
      </left>
      <right/>
      <top/>
      <bottom style="thin">
        <color auto="1"/>
      </bottom>
      <diagonal/>
    </border>
    <border>
      <left/>
      <right style="hair">
        <color auto="1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12"/>
      </top>
      <bottom style="medium">
        <color indexed="12"/>
      </bottom>
      <diagonal/>
    </border>
    <border>
      <left/>
      <right style="thin">
        <color indexed="12"/>
      </right>
      <top style="thin">
        <color indexed="12"/>
      </top>
      <bottom style="medium">
        <color indexed="12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/>
      <diagonal/>
    </border>
    <border>
      <left style="thin">
        <color indexed="12"/>
      </left>
      <right style="medium">
        <color indexed="12"/>
      </right>
      <top style="thin">
        <color indexed="12"/>
      </top>
      <bottom/>
      <diagonal/>
    </border>
    <border>
      <left style="medium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/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medium">
        <color indexed="12"/>
      </left>
      <right style="thin">
        <color indexed="12"/>
      </right>
      <top style="thin">
        <color indexed="12"/>
      </top>
      <bottom style="medium">
        <color indexed="12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medium">
        <color indexed="12"/>
      </bottom>
      <diagonal/>
    </border>
    <border>
      <left/>
      <right/>
      <top style="thin">
        <color indexed="12"/>
      </top>
      <bottom/>
      <diagonal/>
    </border>
    <border>
      <left/>
      <right style="thin">
        <color indexed="12"/>
      </right>
      <top style="thin">
        <color indexed="12"/>
      </top>
      <bottom/>
      <diagonal/>
    </border>
    <border>
      <left/>
      <right style="medium">
        <color indexed="12"/>
      </right>
      <top style="thin">
        <color indexed="12"/>
      </top>
      <bottom style="thin">
        <color indexed="12"/>
      </bottom>
      <diagonal/>
    </border>
    <border>
      <left/>
      <right style="medium">
        <color indexed="12"/>
      </right>
      <top style="thin">
        <color indexed="12"/>
      </top>
      <bottom/>
      <diagonal/>
    </border>
    <border>
      <left style="medium">
        <color indexed="12"/>
      </left>
      <right/>
      <top style="thin">
        <color indexed="12"/>
      </top>
      <bottom style="medium">
        <color indexed="12"/>
      </bottom>
      <diagonal/>
    </border>
    <border>
      <left style="thin">
        <color indexed="12"/>
      </left>
      <right style="medium">
        <color indexed="12"/>
      </right>
      <top style="thin">
        <color indexed="12"/>
      </top>
      <bottom style="medium">
        <color indexed="12"/>
      </bottom>
      <diagonal/>
    </border>
    <border>
      <left/>
      <right/>
      <top style="thin">
        <color indexed="12"/>
      </top>
      <bottom style="thin">
        <color indexed="12"/>
      </bottom>
      <diagonal/>
    </border>
    <border>
      <left style="thin">
        <color indexed="10"/>
      </left>
      <right/>
      <top style="thin">
        <color indexed="10"/>
      </top>
      <bottom style="medium">
        <color indexed="10"/>
      </bottom>
      <diagonal/>
    </border>
    <border>
      <left/>
      <right/>
      <top style="thin">
        <color indexed="10"/>
      </top>
      <bottom style="medium">
        <color indexed="10"/>
      </bottom>
      <diagonal/>
    </border>
    <border>
      <left/>
      <right style="thin">
        <color indexed="10"/>
      </right>
      <top style="thin">
        <color indexed="10"/>
      </top>
      <bottom style="medium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medium">
        <color indexed="10"/>
      </right>
      <top style="thin">
        <color indexed="10"/>
      </top>
      <bottom/>
      <diagonal/>
    </border>
    <border>
      <left/>
      <right/>
      <top style="thin">
        <color indexed="10"/>
      </top>
      <bottom/>
      <diagonal/>
    </border>
    <border>
      <left/>
      <right style="medium">
        <color indexed="10"/>
      </right>
      <top style="thin">
        <color indexed="10"/>
      </top>
      <bottom/>
      <diagonal/>
    </border>
    <border>
      <left/>
      <right style="thin">
        <color indexed="10"/>
      </right>
      <top style="thin">
        <color indexed="10"/>
      </top>
      <bottom/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medium">
        <color indexed="10"/>
      </bottom>
      <diagonal/>
    </border>
    <border>
      <left style="medium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10"/>
      </top>
      <bottom style="thin">
        <color indexed="10"/>
      </bottom>
      <diagonal/>
    </border>
    <border>
      <left/>
      <right style="medium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indexed="12"/>
      </right>
      <top/>
      <bottom/>
      <diagonal/>
    </border>
    <border>
      <left style="medium">
        <color indexed="12"/>
      </left>
      <right/>
      <top/>
      <bottom/>
      <diagonal/>
    </border>
    <border>
      <left style="thin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 style="medium">
        <color indexed="12"/>
      </left>
      <right style="thin">
        <color indexed="12"/>
      </right>
      <top/>
      <bottom/>
      <diagonal/>
    </border>
    <border>
      <left style="thin">
        <color indexed="10"/>
      </left>
      <right style="thin">
        <color indexed="10"/>
      </right>
      <top style="medium">
        <color indexed="10"/>
      </top>
      <bottom style="thin">
        <color indexed="10"/>
      </bottom>
      <diagonal/>
    </border>
    <border>
      <left style="thin">
        <color indexed="10"/>
      </left>
      <right style="medium">
        <color indexed="10"/>
      </right>
      <top style="thin">
        <color indexed="10"/>
      </top>
      <bottom style="thin">
        <color indexed="10"/>
      </bottom>
      <diagonal/>
    </border>
    <border>
      <left style="medium">
        <color indexed="10"/>
      </left>
      <right style="thin">
        <color indexed="10"/>
      </right>
      <top style="medium">
        <color indexed="10"/>
      </top>
      <bottom style="thin">
        <color indexed="10"/>
      </bottom>
      <diagonal/>
    </border>
    <border>
      <left style="medium">
        <color indexed="10"/>
      </left>
      <right/>
      <top/>
      <bottom/>
      <diagonal/>
    </border>
    <border>
      <left style="thin">
        <color indexed="10"/>
      </left>
      <right style="thin">
        <color indexed="10"/>
      </right>
      <top style="medium">
        <color indexed="10"/>
      </top>
      <bottom style="medium">
        <color indexed="10"/>
      </bottom>
      <diagonal/>
    </border>
    <border>
      <left style="medium">
        <color indexed="10"/>
      </left>
      <right style="thin">
        <color indexed="10"/>
      </right>
      <top style="thin">
        <color indexed="10"/>
      </top>
      <bottom style="medium">
        <color indexed="10"/>
      </bottom>
      <diagonal/>
    </border>
    <border>
      <left/>
      <right style="medium">
        <color indexed="10"/>
      </right>
      <top style="thin">
        <color indexed="10"/>
      </top>
      <bottom style="medium">
        <color indexed="10"/>
      </bottom>
      <diagonal/>
    </border>
    <border>
      <left style="thin">
        <color indexed="10"/>
      </left>
      <right style="medium">
        <color indexed="10"/>
      </right>
      <top style="medium">
        <color indexed="10"/>
      </top>
      <bottom style="thin">
        <color indexed="10"/>
      </bottom>
      <diagonal/>
    </border>
    <border>
      <left style="thin">
        <color indexed="10"/>
      </left>
      <right style="medium">
        <color indexed="10"/>
      </right>
      <top style="thin">
        <color indexed="10"/>
      </top>
      <bottom style="medium">
        <color indexed="10"/>
      </bottom>
      <diagonal/>
    </border>
    <border>
      <left style="medium">
        <color indexed="10"/>
      </left>
      <right style="thin">
        <color indexed="10"/>
      </right>
      <top style="medium">
        <color indexed="10"/>
      </top>
      <bottom style="medium">
        <color indexed="10"/>
      </bottom>
      <diagonal/>
    </border>
    <border>
      <left style="thin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 style="thin">
        <color indexed="12"/>
      </left>
      <right style="thin">
        <color indexed="12"/>
      </right>
      <top style="medium">
        <color indexed="12"/>
      </top>
      <bottom style="medium">
        <color indexed="12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/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/>
      <diagonal/>
    </border>
    <border>
      <left style="thin">
        <color indexed="10"/>
      </left>
      <right/>
      <top/>
      <bottom/>
      <diagonal/>
    </border>
    <border>
      <left/>
      <right style="medium">
        <color indexed="10"/>
      </right>
      <top/>
      <bottom/>
      <diagonal/>
    </border>
    <border>
      <left/>
      <right style="medium">
        <color indexed="10"/>
      </right>
      <top style="medium">
        <color indexed="10"/>
      </top>
      <bottom/>
      <diagonal/>
    </border>
    <border>
      <left style="thin">
        <color indexed="10"/>
      </left>
      <right style="medium">
        <color indexed="10"/>
      </right>
      <top/>
      <bottom/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indexed="12"/>
      </left>
      <right/>
      <top/>
      <bottom/>
      <diagonal/>
    </border>
    <border>
      <left style="thin">
        <color indexed="12"/>
      </left>
      <right style="thin">
        <color indexed="12"/>
      </right>
      <top/>
      <bottom/>
      <diagonal/>
    </border>
    <border>
      <left style="thin">
        <color indexed="12"/>
      </left>
      <right style="medium">
        <color indexed="12"/>
      </right>
      <top/>
      <bottom/>
      <diagonal/>
    </border>
    <border>
      <left/>
      <right style="medium">
        <color indexed="12"/>
      </right>
      <top/>
      <bottom/>
      <diagonal/>
    </border>
  </borders>
  <cellStyleXfs count="15">
    <xf borderId="0" fillId="0" fontId="2" numFmtId="0"/>
    <xf borderId="0" fillId="0" fontId="2" numFmtId="41"/>
    <xf applyAlignment="1" borderId="0" fillId="0" fontId="2" numFmtId="0">
      <alignment vertical="center"/>
    </xf>
    <xf borderId="0" fillId="0" fontId="2" numFmtId="0"/>
    <xf applyAlignment="1" borderId="0" fillId="0" fontId="2" numFmtId="0">
      <alignment vertical="center"/>
    </xf>
    <xf borderId="0" fillId="0" fontId="2" numFmtId="0"/>
    <xf borderId="0" fillId="0" fontId="5" numFmtId="0"/>
    <xf borderId="0" fillId="0" fontId="5" numFmtId="41"/>
    <xf applyAlignment="1" borderId="0" fillId="0" fontId="1" numFmtId="0">
      <alignment vertical="center"/>
    </xf>
    <xf applyAlignment="1" borderId="0" fillId="0" fontId="1" numFmtId="41">
      <alignment vertical="center"/>
    </xf>
    <xf applyAlignment="1" borderId="0" fillId="16" fontId="40" numFmtId="0">
      <alignment vertical="center"/>
    </xf>
    <xf borderId="0" fillId="0" fontId="2" numFmtId="41"/>
    <xf borderId="0" fillId="0" fontId="5" numFmtId="41"/>
    <xf applyAlignment="1" borderId="0" fillId="0" fontId="1" numFmtId="0">
      <alignment vertical="center"/>
    </xf>
    <xf applyAlignment="1" borderId="0" fillId="0" fontId="1" numFmtId="41">
      <alignment vertical="center"/>
    </xf>
  </cellStyleXfs>
  <cellXfs count="726">
    <xf borderId="0" fillId="0" fontId="0" numFmtId="0" pivotButton="0" quotePrefix="0" xfId="0"/>
    <xf borderId="0" fillId="0" fontId="4" numFmtId="0" pivotButton="0" quotePrefix="0" xfId="0"/>
    <xf borderId="1" fillId="0" fontId="0" numFmtId="0" pivotButton="0" quotePrefix="0" xfId="0"/>
    <xf borderId="1" fillId="0" fontId="6" numFmtId="0" pivotButton="0" quotePrefix="0" xfId="0"/>
    <xf applyAlignment="1" borderId="0" fillId="0" fontId="0" numFmtId="0" pivotButton="0" quotePrefix="0" xfId="0">
      <alignment vertical="center"/>
    </xf>
    <xf borderId="0" fillId="0" fontId="13" numFmtId="0" pivotButton="0" quotePrefix="0" xfId="0"/>
    <xf applyAlignment="1" borderId="0" fillId="0" fontId="13" numFmtId="0" pivotButton="0" quotePrefix="0" xfId="0">
      <alignment vertical="center"/>
    </xf>
    <xf applyAlignment="1" borderId="0" fillId="0" fontId="0" numFmtId="0" pivotButton="0" quotePrefix="0" xfId="0">
      <alignment horizontal="center" vertical="center"/>
    </xf>
    <xf borderId="4" fillId="0" fontId="16" numFmtId="0" pivotButton="0" quotePrefix="0" xfId="0"/>
    <xf borderId="0" fillId="0" fontId="11" numFmtId="0" pivotButton="0" quotePrefix="0" xfId="0"/>
    <xf borderId="0" fillId="0" fontId="15" numFmtId="0" pivotButton="0" quotePrefix="0" xfId="0"/>
    <xf borderId="0" fillId="0" fontId="16" numFmtId="0" pivotButton="0" quotePrefix="0" xfId="0"/>
    <xf borderId="4" fillId="0" fontId="3" numFmtId="0" pivotButton="0" quotePrefix="0" xfId="0"/>
    <xf borderId="4" fillId="0" fontId="3" numFmtId="3" pivotButton="0" quotePrefix="0" xfId="0"/>
    <xf applyAlignment="1" borderId="5" fillId="0" fontId="3" numFmtId="0" pivotButton="0" quotePrefix="0" xfId="0">
      <alignment horizontal="center" vertical="center"/>
    </xf>
    <xf applyAlignment="1" borderId="3" fillId="0" fontId="5" numFmtId="0" pivotButton="0" quotePrefix="0" xfId="0">
      <alignment vertical="center"/>
    </xf>
    <xf applyAlignment="1" borderId="3" fillId="0" fontId="5" numFmtId="164" pivotButton="0" quotePrefix="0" xfId="0">
      <alignment vertical="center"/>
    </xf>
    <xf applyAlignment="1" borderId="6" fillId="0" fontId="3" numFmtId="3" pivotButton="0" quotePrefix="0" xfId="0">
      <alignment horizontal="right" vertical="center"/>
    </xf>
    <xf borderId="0" fillId="0" fontId="0" numFmtId="3" pivotButton="0" quotePrefix="0" xfId="0"/>
    <xf borderId="0" fillId="0" fontId="4" numFmtId="164" pivotButton="0" quotePrefix="0" xfId="0"/>
    <xf borderId="0" fillId="0" fontId="13" numFmtId="3" pivotButton="0" quotePrefix="0" xfId="0"/>
    <xf borderId="0" fillId="0" fontId="12" numFmtId="0" pivotButton="0" quotePrefix="0" xfId="0"/>
    <xf applyAlignment="1" borderId="6" fillId="0" fontId="13" numFmtId="165" pivotButton="0" quotePrefix="0" xfId="0">
      <alignment vertical="center"/>
    </xf>
    <xf applyAlignment="1" borderId="5" fillId="0" fontId="13" numFmtId="165" pivotButton="0" quotePrefix="0" xfId="0">
      <alignment horizontal="left" vertical="center"/>
    </xf>
    <xf applyAlignment="1" borderId="0" fillId="0" fontId="14" numFmtId="0" pivotButton="0" quotePrefix="0" xfId="0">
      <alignment vertical="center"/>
    </xf>
    <xf borderId="0" fillId="0" fontId="14" numFmtId="0" pivotButton="0" quotePrefix="0" xfId="0"/>
    <xf applyAlignment="1" borderId="0" fillId="0" fontId="13" numFmtId="14" pivotButton="0" quotePrefix="0" xfId="0">
      <alignment vertical="center"/>
    </xf>
    <xf applyAlignment="1" borderId="0" fillId="0" fontId="13" numFmtId="166" pivotButton="0" quotePrefix="0" xfId="1">
      <alignment vertical="center"/>
    </xf>
    <xf borderId="0" fillId="0" fontId="13" numFmtId="166" pivotButton="0" quotePrefix="0" xfId="1"/>
    <xf borderId="0" fillId="0" fontId="0" numFmtId="166" pivotButton="0" quotePrefix="0" xfId="1"/>
    <xf borderId="0" fillId="0" fontId="18" numFmtId="0" pivotButton="0" quotePrefix="0" xfId="0"/>
    <xf applyAlignment="1" borderId="0" fillId="0" fontId="20" numFmtId="0" pivotButton="0" quotePrefix="0" xfId="0">
      <alignment horizontal="left" vertical="center"/>
    </xf>
    <xf applyAlignment="1" borderId="0" fillId="0" fontId="21" numFmtId="0" pivotButton="0" quotePrefix="0" xfId="0">
      <alignment horizontal="left" vertical="center"/>
    </xf>
    <xf applyAlignment="1" borderId="0" fillId="0" fontId="22" numFmtId="0" pivotButton="0" quotePrefix="0" xfId="0">
      <alignment horizontal="left" vertical="center"/>
    </xf>
    <xf applyAlignment="1" borderId="7" fillId="0" fontId="21" numFmtId="0" pivotButton="0" quotePrefix="0" xfId="0">
      <alignment horizontal="center" vertical="center"/>
    </xf>
    <xf applyAlignment="1" borderId="8" fillId="0" fontId="21" numFmtId="0" pivotButton="0" quotePrefix="0" xfId="0">
      <alignment horizontal="right" vertical="center"/>
    </xf>
    <xf applyAlignment="1" borderId="9" fillId="0" fontId="21" numFmtId="0" pivotButton="0" quotePrefix="0" xfId="0">
      <alignment horizontal="left" vertical="center"/>
    </xf>
    <xf applyAlignment="1" borderId="10" fillId="0" fontId="21" numFmtId="0" pivotButton="0" quotePrefix="0" xfId="0">
      <alignment horizontal="left" vertical="center"/>
    </xf>
    <xf borderId="0" fillId="0" fontId="13" numFmtId="167" pivotButton="0" quotePrefix="0" xfId="0"/>
    <xf applyAlignment="1" borderId="1" fillId="0" fontId="9" numFmtId="0" pivotButton="0" quotePrefix="0" xfId="3">
      <alignment vertical="center"/>
    </xf>
    <xf applyAlignment="1" borderId="1" fillId="0" fontId="11" numFmtId="0" pivotButton="0" quotePrefix="0" xfId="3">
      <alignment vertical="center"/>
    </xf>
    <xf applyAlignment="1" borderId="1" fillId="0" fontId="0" numFmtId="0" pivotButton="0" quotePrefix="0" xfId="0">
      <alignment vertical="center"/>
    </xf>
    <xf applyAlignment="1" borderId="0" fillId="0" fontId="2" numFmtId="0" pivotButton="0" quotePrefix="0" xfId="2">
      <alignment vertical="center"/>
    </xf>
    <xf applyAlignment="1" borderId="0" fillId="5" fontId="10" numFmtId="0" pivotButton="0" quotePrefix="0" xfId="3">
      <alignment vertical="center"/>
    </xf>
    <xf applyAlignment="1" borderId="0" fillId="5" fontId="2" numFmtId="0" pivotButton="0" quotePrefix="0" xfId="3">
      <alignment vertical="center"/>
    </xf>
    <xf applyAlignment="1" borderId="0" fillId="5" fontId="4" numFmtId="0" pivotButton="0" quotePrefix="0" xfId="3">
      <alignment vertical="center"/>
    </xf>
    <xf applyAlignment="1" borderId="0" fillId="5" fontId="0" numFmtId="0" pivotButton="0" quotePrefix="0" xfId="0">
      <alignment vertical="center"/>
    </xf>
    <xf applyAlignment="1" borderId="0" fillId="5" fontId="7" numFmtId="0" pivotButton="0" quotePrefix="0" xfId="3">
      <alignment vertical="center"/>
    </xf>
    <xf applyAlignment="1" borderId="11" fillId="0" fontId="0" numFmtId="0" pivotButton="0" quotePrefix="0" xfId="0">
      <alignment vertical="center"/>
    </xf>
    <xf applyAlignment="1" borderId="0" fillId="0" fontId="7" numFmtId="0" pivotButton="0" quotePrefix="0" xfId="0">
      <alignment horizontal="center" vertical="center"/>
    </xf>
    <xf applyAlignment="1" borderId="0" fillId="0" fontId="10" numFmtId="165" pivotButton="0" quotePrefix="0" xfId="1">
      <alignment horizontal="right" vertical="center"/>
    </xf>
    <xf applyAlignment="1" borderId="0" fillId="0" fontId="10" numFmtId="166" pivotButton="0" quotePrefix="0" xfId="1">
      <alignment horizontal="center" vertical="center"/>
    </xf>
    <xf applyAlignment="1" borderId="0" fillId="0" fontId="0" numFmtId="166" pivotButton="0" quotePrefix="0" xfId="1">
      <alignment vertical="center"/>
    </xf>
    <xf applyAlignment="1" borderId="1" fillId="0" fontId="6" numFmtId="0" pivotButton="0" quotePrefix="0" xfId="0">
      <alignment vertical="center"/>
    </xf>
    <xf applyAlignment="1" borderId="0" fillId="0" fontId="7" numFmtId="0" pivotButton="0" quotePrefix="0" xfId="3">
      <alignment vertical="center"/>
    </xf>
    <xf applyAlignment="1" borderId="0" fillId="0" fontId="2" numFmtId="0" pivotButton="0" quotePrefix="0" xfId="3">
      <alignment vertical="center"/>
    </xf>
    <xf applyAlignment="1" borderId="0" fillId="0" fontId="4" numFmtId="0" pivotButton="0" quotePrefix="0" xfId="3">
      <alignment vertical="center"/>
    </xf>
    <xf applyAlignment="1" borderId="0" fillId="0" fontId="33" numFmtId="0" pivotButton="0" quotePrefix="0" xfId="0">
      <alignment horizontal="left" vertical="center"/>
    </xf>
    <xf applyAlignment="1" borderId="0" fillId="0" fontId="34" numFmtId="0" pivotButton="0" quotePrefix="0" xfId="0">
      <alignment horizontal="left" vertical="center"/>
    </xf>
    <xf applyAlignment="1" borderId="12" fillId="0" fontId="34" numFmtId="0" pivotButton="0" quotePrefix="0" xfId="0">
      <alignment horizontal="center" vertical="center"/>
    </xf>
    <xf applyAlignment="1" borderId="13" fillId="0" fontId="34" numFmtId="0" pivotButton="0" quotePrefix="0" xfId="0">
      <alignment horizontal="right" vertical="center"/>
    </xf>
    <xf applyAlignment="1" borderId="14" fillId="0" fontId="34" numFmtId="0" pivotButton="0" quotePrefix="0" xfId="0">
      <alignment horizontal="left" vertical="center"/>
    </xf>
    <xf applyAlignment="1" borderId="15" fillId="0" fontId="34" numFmtId="0" pivotButton="0" quotePrefix="0" xfId="0">
      <alignment horizontal="left" vertical="center"/>
    </xf>
    <xf applyAlignment="1" borderId="5" fillId="0" fontId="10" numFmtId="166" pivotButton="0" quotePrefix="0" xfId="1">
      <alignment horizontal="right" vertical="center"/>
    </xf>
    <xf applyAlignment="1" borderId="5" fillId="0" fontId="4" numFmtId="166" pivotButton="0" quotePrefix="0" xfId="1">
      <alignment horizontal="right" vertical="center"/>
    </xf>
    <xf applyAlignment="1" borderId="16" fillId="0" fontId="4" numFmtId="166" pivotButton="0" quotePrefix="0" xfId="1">
      <alignment horizontal="right" vertical="center"/>
    </xf>
    <xf applyAlignment="1" borderId="1" fillId="0" fontId="7" numFmtId="0" pivotButton="0" quotePrefix="0" xfId="0">
      <alignment vertical="center"/>
    </xf>
    <xf applyAlignment="1" borderId="1" fillId="0" fontId="4" numFmtId="0" pivotButton="0" quotePrefix="0" xfId="0">
      <alignment vertical="center"/>
    </xf>
    <xf applyAlignment="1" borderId="0" fillId="0" fontId="7" numFmtId="0" pivotButton="0" quotePrefix="0" xfId="0">
      <alignment vertical="center"/>
    </xf>
    <xf applyAlignment="1" borderId="0" fillId="0" fontId="4" numFmtId="0" pivotButton="0" quotePrefix="0" xfId="0">
      <alignment vertical="center"/>
    </xf>
    <xf applyAlignment="1" borderId="0" fillId="0" fontId="4" numFmtId="168" pivotButton="0" quotePrefix="0" xfId="0">
      <alignment vertical="center"/>
    </xf>
    <xf applyAlignment="1" borderId="0" fillId="0" fontId="4" numFmtId="164" pivotButton="0" quotePrefix="0" xfId="0">
      <alignment vertical="center"/>
    </xf>
    <xf applyAlignment="1" borderId="0" fillId="0" fontId="4" numFmtId="0" pivotButton="0" quotePrefix="0" xfId="0">
      <alignment horizontal="center" vertical="center"/>
    </xf>
    <xf applyAlignment="1" borderId="17" fillId="0" fontId="4" numFmtId="0" pivotButton="0" quotePrefix="0" xfId="0">
      <alignment horizontal="center" vertical="center"/>
    </xf>
    <xf applyAlignment="1" borderId="0" fillId="0" fontId="4" numFmtId="169" pivotButton="0" quotePrefix="0" xfId="0">
      <alignment vertical="center"/>
    </xf>
    <xf applyAlignment="1" borderId="0" fillId="0" fontId="8" numFmtId="164" pivotButton="0" quotePrefix="0" xfId="0">
      <alignment vertical="center"/>
    </xf>
    <xf applyAlignment="1" borderId="0" fillId="0" fontId="4" numFmtId="164" pivotButton="0" quotePrefix="0" xfId="0">
      <alignment horizontal="center" vertical="center"/>
    </xf>
    <xf applyAlignment="1" borderId="0" fillId="0" fontId="8" numFmtId="0" pivotButton="0" quotePrefix="0" xfId="0">
      <alignment horizontal="center" vertical="center" wrapText="1"/>
    </xf>
    <xf applyAlignment="1" borderId="17" fillId="0" fontId="4" numFmtId="165" pivotButton="0" quotePrefix="0" xfId="0">
      <alignment vertical="center"/>
    </xf>
    <xf applyAlignment="1" borderId="17" fillId="0" fontId="4" numFmtId="170" pivotButton="0" quotePrefix="0" xfId="0">
      <alignment vertical="center"/>
    </xf>
    <xf applyAlignment="1" borderId="17" fillId="0" fontId="4" numFmtId="166" pivotButton="0" quotePrefix="0" xfId="1">
      <alignment vertical="center"/>
    </xf>
    <xf applyAlignment="1" borderId="17" fillId="0" fontId="8" numFmtId="166" pivotButton="0" quotePrefix="0" xfId="1">
      <alignment vertical="center"/>
    </xf>
    <xf applyAlignment="1" borderId="17" fillId="0" fontId="4" numFmtId="38" pivotButton="0" quotePrefix="0" xfId="0">
      <alignment vertical="center"/>
    </xf>
    <xf applyAlignment="1" borderId="1" fillId="0" fontId="3" numFmtId="0" pivotButton="0" quotePrefix="0" xfId="0">
      <alignment vertical="center"/>
    </xf>
    <xf applyAlignment="1" borderId="0" fillId="0" fontId="0" numFmtId="166" pivotButton="0" quotePrefix="0" xfId="0">
      <alignment vertical="center"/>
    </xf>
    <xf applyAlignment="1" borderId="0" fillId="0" fontId="4" numFmtId="38" pivotButton="0" quotePrefix="0" xfId="0">
      <alignment vertical="center"/>
    </xf>
    <xf applyAlignment="1" borderId="0" fillId="0" fontId="4" numFmtId="171" pivotButton="0" quotePrefix="0" xfId="0">
      <alignment horizontal="right" vertical="center"/>
    </xf>
    <xf applyAlignment="1" borderId="0" fillId="0" fontId="4" numFmtId="166" pivotButton="0" quotePrefix="0" xfId="1">
      <alignment horizontal="center" vertical="center"/>
    </xf>
    <xf borderId="0" fillId="0" fontId="0" numFmtId="172" pivotButton="0" quotePrefix="0" xfId="0"/>
    <xf borderId="0" fillId="0" fontId="19" numFmtId="166" pivotButton="0" quotePrefix="0" xfId="1"/>
    <xf applyAlignment="1" borderId="0" fillId="0" fontId="19" numFmtId="166" pivotButton="0" quotePrefix="0" xfId="1">
      <alignment horizontal="center" vertical="center"/>
    </xf>
    <xf applyAlignment="1" borderId="0" fillId="0" fontId="0" numFmtId="172" pivotButton="0" quotePrefix="0" xfId="1">
      <alignment vertical="center"/>
    </xf>
    <xf applyAlignment="1" borderId="0" fillId="0" fontId="8" numFmtId="0" pivotButton="0" quotePrefix="0" xfId="0">
      <alignment vertical="center"/>
    </xf>
    <xf applyAlignment="1" borderId="0" fillId="0" fontId="8" numFmtId="0" pivotButton="0" quotePrefix="0" xfId="0">
      <alignment vertical="center" wrapText="1"/>
    </xf>
    <xf borderId="0" fillId="0" fontId="4" numFmtId="173" pivotButton="0" quotePrefix="0" xfId="0"/>
    <xf applyAlignment="1" borderId="4" fillId="0" fontId="4" numFmtId="0" pivotButton="0" quotePrefix="0" xfId="0">
      <alignment horizontal="center"/>
    </xf>
    <xf borderId="19" fillId="0" fontId="4" numFmtId="173" pivotButton="0" quotePrefix="0" xfId="0"/>
    <xf borderId="19" fillId="0" fontId="10" numFmtId="173" pivotButton="0" quotePrefix="0" xfId="0"/>
    <xf borderId="0" fillId="0" fontId="13" numFmtId="169" pivotButton="0" quotePrefix="0" xfId="0"/>
    <xf applyAlignment="1" borderId="0" fillId="0" fontId="16" numFmtId="0" pivotButton="0" quotePrefix="0" xfId="0">
      <alignment vertical="center"/>
    </xf>
    <xf applyAlignment="1" borderId="0" fillId="0" fontId="12" numFmtId="0" pivotButton="0" quotePrefix="0" xfId="0">
      <alignment vertical="center"/>
    </xf>
    <xf borderId="1" fillId="0" fontId="6" numFmtId="0" pivotButton="0" quotePrefix="0" xfId="6"/>
    <xf borderId="1" fillId="0" fontId="5" numFmtId="0" pivotButton="0" quotePrefix="0" xfId="6"/>
    <xf borderId="0" fillId="0" fontId="5" numFmtId="0" pivotButton="0" quotePrefix="0" xfId="6"/>
    <xf applyAlignment="1" borderId="0" fillId="0" fontId="5" numFmtId="0" pivotButton="0" quotePrefix="0" xfId="6">
      <alignment horizontal="center" vertical="center"/>
    </xf>
    <xf applyAlignment="1" borderId="0" fillId="0" fontId="13" numFmtId="0" pivotButton="0" quotePrefix="0" xfId="6">
      <alignment horizontal="center" vertical="center"/>
    </xf>
    <xf applyAlignment="1" borderId="0" fillId="0" fontId="13" numFmtId="0" pivotButton="0" quotePrefix="0" xfId="6">
      <alignment vertical="center"/>
    </xf>
    <xf applyAlignment="1" borderId="0" fillId="0" fontId="5" numFmtId="0" pivotButton="0" quotePrefix="0" xfId="6">
      <alignment vertical="center"/>
    </xf>
    <xf applyAlignment="1" borderId="0" fillId="0" fontId="8" numFmtId="0" pivotButton="0" quotePrefix="0" xfId="6">
      <alignment horizontal="center" vertical="center"/>
    </xf>
    <xf applyAlignment="1" borderId="0" fillId="0" fontId="4" numFmtId="0" pivotButton="0" quotePrefix="0" xfId="6">
      <alignment horizontal="center" vertical="center"/>
    </xf>
    <xf borderId="0" fillId="0" fontId="8" numFmtId="0" pivotButton="0" quotePrefix="0" xfId="6"/>
    <xf borderId="0" fillId="0" fontId="13" numFmtId="0" pivotButton="0" quotePrefix="0" xfId="6"/>
    <xf applyAlignment="1" borderId="0" fillId="0" fontId="3" numFmtId="0" pivotButton="0" quotePrefix="0" xfId="6">
      <alignment horizontal="center" vertical="center"/>
    </xf>
    <xf applyAlignment="1" borderId="0" fillId="0" fontId="5" numFmtId="0" pivotButton="0" quotePrefix="0" xfId="6">
      <alignment wrapText="1"/>
    </xf>
    <xf applyAlignment="1" borderId="0" fillId="0" fontId="5" numFmtId="0" pivotButton="0" quotePrefix="0" xfId="6">
      <alignment horizontal="center"/>
    </xf>
    <xf applyAlignment="1" borderId="0" fillId="0" fontId="8" numFmtId="0" pivotButton="0" quotePrefix="0" xfId="6">
      <alignment vertical="center"/>
    </xf>
    <xf applyAlignment="1" borderId="0" fillId="0" fontId="39" numFmtId="0" pivotButton="0" quotePrefix="0" xfId="6">
      <alignment vertical="center"/>
    </xf>
    <xf applyAlignment="1" borderId="0" fillId="0" fontId="8" numFmtId="0" pivotButton="0" quotePrefix="0" xfId="6">
      <alignment vertical="center" wrapText="1"/>
    </xf>
    <xf applyAlignment="1" borderId="61" fillId="0" fontId="7" numFmtId="0" pivotButton="0" quotePrefix="0" xfId="6">
      <alignment horizontal="center" vertical="center"/>
    </xf>
    <xf applyAlignment="1" borderId="62" fillId="0" fontId="7" numFmtId="0" pivotButton="0" quotePrefix="0" xfId="6">
      <alignment horizontal="center" vertical="center"/>
    </xf>
    <xf applyAlignment="1" borderId="62" fillId="0" fontId="7" numFmtId="0" pivotButton="0" quotePrefix="0" xfId="6">
      <alignment horizontal="center" vertical="center" wrapText="1"/>
    </xf>
    <xf applyAlignment="1" borderId="63" fillId="0" fontId="7" numFmtId="0" pivotButton="0" quotePrefix="0" xfId="6">
      <alignment horizontal="center" vertical="center"/>
    </xf>
    <xf applyAlignment="1" borderId="0" fillId="0" fontId="7" numFmtId="0" pivotButton="0" quotePrefix="0" xfId="6">
      <alignment horizontal="center" vertical="center"/>
    </xf>
    <xf applyAlignment="1" borderId="64" fillId="0" fontId="8" numFmtId="0" pivotButton="0" quotePrefix="0" xfId="6">
      <alignment vertical="center"/>
    </xf>
    <xf applyAlignment="1" borderId="65" fillId="0" fontId="8" numFmtId="0" pivotButton="0" quotePrefix="0" xfId="6">
      <alignment vertical="center"/>
    </xf>
    <xf applyAlignment="1" borderId="65" fillId="0" fontId="8" numFmtId="0" pivotButton="0" quotePrefix="0" xfId="6">
      <alignment vertical="center" wrapText="1"/>
    </xf>
    <xf applyAlignment="1" borderId="65" fillId="0" fontId="8" numFmtId="14" pivotButton="0" quotePrefix="0" xfId="6">
      <alignment horizontal="center" vertical="center"/>
    </xf>
    <xf applyAlignment="1" borderId="65" fillId="0" fontId="8" numFmtId="0" pivotButton="0" quotePrefix="0" xfId="6">
      <alignment horizontal="center" vertical="center"/>
    </xf>
    <xf applyAlignment="1" borderId="65" fillId="0" fontId="8" numFmtId="3" pivotButton="0" quotePrefix="0" xfId="6">
      <alignment vertical="center"/>
    </xf>
    <xf applyAlignment="1" borderId="66" fillId="0" fontId="8" numFmtId="3" pivotButton="0" quotePrefix="0" xfId="6">
      <alignment vertical="center"/>
    </xf>
    <xf applyAlignment="1" borderId="60" fillId="0" fontId="8" numFmtId="0" pivotButton="0" quotePrefix="0" xfId="6">
      <alignment vertical="center"/>
    </xf>
    <xf applyAlignment="1" borderId="67" fillId="0" fontId="8" numFmtId="0" pivotButton="0" quotePrefix="0" xfId="6">
      <alignment vertical="center"/>
    </xf>
    <xf applyAlignment="1" borderId="67" fillId="0" fontId="8" numFmtId="14" pivotButton="0" quotePrefix="0" xfId="6">
      <alignment horizontal="center" vertical="center"/>
    </xf>
    <xf applyAlignment="1" borderId="67" fillId="0" fontId="8" numFmtId="0" pivotButton="0" quotePrefix="0" xfId="6">
      <alignment horizontal="center" vertical="center"/>
    </xf>
    <xf applyAlignment="1" borderId="67" fillId="0" fontId="8" numFmtId="3" pivotButton="0" quotePrefix="0" xfId="6">
      <alignment vertical="center"/>
    </xf>
    <xf applyAlignment="1" borderId="68" fillId="0" fontId="8" numFmtId="3" pivotButton="0" quotePrefix="0" xfId="6">
      <alignment vertical="center"/>
    </xf>
    <xf applyAlignment="1" borderId="20" fillId="0" fontId="8" numFmtId="0" pivotButton="0" quotePrefix="0" xfId="6">
      <alignment vertical="center"/>
    </xf>
    <xf applyAlignment="1" borderId="69" fillId="0" fontId="8" numFmtId="0" pivotButton="0" quotePrefix="0" xfId="6">
      <alignment vertical="center"/>
    </xf>
    <xf applyAlignment="1" borderId="70" fillId="0" fontId="8" numFmtId="0" pivotButton="0" quotePrefix="0" xfId="6">
      <alignment vertical="center"/>
    </xf>
    <xf applyAlignment="1" borderId="70" fillId="5" fontId="8" numFmtId="0" pivotButton="0" quotePrefix="0" xfId="6">
      <alignment vertical="center" wrapText="1"/>
    </xf>
    <xf applyAlignment="1" borderId="70" fillId="0" fontId="8" numFmtId="14" pivotButton="0" quotePrefix="0" xfId="6">
      <alignment horizontal="center" vertical="center"/>
    </xf>
    <xf applyAlignment="1" borderId="70" fillId="0" fontId="8" numFmtId="0" pivotButton="0" quotePrefix="0" xfId="6">
      <alignment horizontal="center" vertical="center"/>
    </xf>
    <xf applyAlignment="1" borderId="70" fillId="0" fontId="8" numFmtId="3" pivotButton="0" quotePrefix="0" xfId="6">
      <alignment vertical="center"/>
    </xf>
    <xf applyAlignment="1" borderId="71" fillId="0" fontId="8" numFmtId="3" pivotButton="0" quotePrefix="0" xfId="6">
      <alignment vertical="center"/>
    </xf>
    <xf applyAlignment="1" borderId="72" fillId="0" fontId="8" numFmtId="0" pivotButton="0" quotePrefix="0" xfId="6">
      <alignment vertical="center"/>
    </xf>
    <xf applyAlignment="1" borderId="73" fillId="0" fontId="8" numFmtId="0" pivotButton="0" quotePrefix="0" xfId="6">
      <alignment vertical="center"/>
    </xf>
    <xf applyAlignment="1" borderId="70" fillId="5" fontId="4" numFmtId="0" pivotButton="0" quotePrefix="0" xfId="6">
      <alignment vertical="center"/>
    </xf>
    <xf applyAlignment="1" borderId="74" fillId="0" fontId="8" numFmtId="0" pivotButton="0" quotePrefix="0" xfId="6">
      <alignment vertical="center"/>
    </xf>
    <xf applyAlignment="1" borderId="67" fillId="0" fontId="8" numFmtId="0" pivotButton="0" quotePrefix="0" xfId="6">
      <alignment vertical="center" wrapText="1"/>
    </xf>
    <xf applyAlignment="1" borderId="61" fillId="2" fontId="8" numFmtId="38" pivotButton="0" quotePrefix="0" xfId="6">
      <alignment horizontal="right" vertical="center"/>
    </xf>
    <xf applyAlignment="1" borderId="0" fillId="0" fontId="8" numFmtId="0" pivotButton="0" quotePrefix="0" xfId="6">
      <alignment wrapText="1"/>
    </xf>
    <xf applyAlignment="1" borderId="0" fillId="0" fontId="8" numFmtId="0" pivotButton="0" quotePrefix="0" xfId="6">
      <alignment horizontal="center"/>
    </xf>
    <xf borderId="0" fillId="0" fontId="8" numFmtId="14" pivotButton="0" quotePrefix="0" xfId="6"/>
    <xf borderId="0" fillId="0" fontId="8" numFmtId="166" pivotButton="0" quotePrefix="0" xfId="7"/>
    <xf applyAlignment="1" borderId="17" fillId="0" fontId="13" numFmtId="14" pivotButton="0" quotePrefix="0" xfId="6">
      <alignment horizontal="center" vertical="center"/>
    </xf>
    <xf applyAlignment="1" borderId="17" fillId="0" fontId="13" numFmtId="0" pivotButton="0" quotePrefix="0" xfId="6">
      <alignment vertical="center"/>
    </xf>
    <xf applyAlignment="1" borderId="0" fillId="0" fontId="14" numFmtId="166" pivotButton="0" quotePrefix="0" xfId="1">
      <alignment vertical="center"/>
    </xf>
    <xf applyAlignment="1" borderId="0" fillId="0" fontId="8" numFmtId="166" pivotButton="0" quotePrefix="0" xfId="1">
      <alignment vertical="center"/>
    </xf>
    <xf applyAlignment="1" borderId="2" fillId="0" fontId="5" numFmtId="49" pivotButton="0" quotePrefix="0" xfId="0">
      <alignment horizontal="center" vertical="center"/>
    </xf>
    <xf applyAlignment="1" borderId="0" fillId="0" fontId="16" numFmtId="165" pivotButton="0" quotePrefix="0" xfId="0">
      <alignment vertical="center"/>
    </xf>
    <xf applyAlignment="1" borderId="0" fillId="0" fontId="0" numFmtId="165" pivotButton="0" quotePrefix="0" xfId="0">
      <alignment vertical="center"/>
    </xf>
    <xf applyAlignment="1" borderId="0" fillId="0" fontId="4" numFmtId="3" pivotButton="0" quotePrefix="0" xfId="0">
      <alignment vertical="center"/>
    </xf>
    <xf applyAlignment="1" borderId="0" fillId="0" fontId="4" numFmtId="166" pivotButton="0" quotePrefix="0" xfId="1">
      <alignment vertical="center"/>
    </xf>
    <xf borderId="0" fillId="0" fontId="17" numFmtId="0" pivotButton="0" quotePrefix="0" xfId="0"/>
    <xf applyAlignment="1" borderId="0" fillId="0" fontId="19" numFmtId="0" pivotButton="0" quotePrefix="0" xfId="0">
      <alignment vertical="center"/>
    </xf>
    <xf borderId="0" fillId="0" fontId="4" numFmtId="3" pivotButton="0" quotePrefix="0" xfId="0"/>
    <xf borderId="0" fillId="0" fontId="4" numFmtId="166" pivotButton="0" quotePrefix="0" xfId="1"/>
    <xf applyAlignment="1" borderId="6" fillId="0" fontId="19" numFmtId="0" pivotButton="0" quotePrefix="0" xfId="0">
      <alignment vertical="center"/>
    </xf>
    <xf applyAlignment="1" borderId="0" fillId="0" fontId="13" numFmtId="0" pivotButton="0" quotePrefix="0" xfId="0">
      <alignment horizontal="left"/>
    </xf>
    <xf applyAlignment="1" borderId="0" fillId="0" fontId="14" numFmtId="0" pivotButton="0" quotePrefix="0" xfId="0">
      <alignment horizontal="left" vertical="center"/>
    </xf>
    <xf applyAlignment="1" borderId="0" fillId="0" fontId="13" numFmtId="0" pivotButton="0" quotePrefix="0" xfId="0">
      <alignment horizontal="left" vertical="center"/>
    </xf>
    <xf borderId="0" fillId="0" fontId="0" numFmtId="174" pivotButton="0" quotePrefix="0" xfId="1"/>
    <xf applyAlignment="1" borderId="0" fillId="0" fontId="8" numFmtId="165" pivotButton="0" quotePrefix="0" xfId="6">
      <alignment vertical="center"/>
    </xf>
    <xf borderId="0" fillId="0" fontId="0" numFmtId="166" pivotButton="0" quotePrefix="0" xfId="0"/>
    <xf applyAlignment="1" borderId="6" fillId="0" fontId="4" numFmtId="0" pivotButton="0" quotePrefix="0" xfId="0">
      <alignment horizontal="center" vertical="center"/>
    </xf>
    <xf applyAlignment="1" borderId="6" fillId="0" fontId="4" numFmtId="3" pivotButton="0" quotePrefix="0" xfId="0">
      <alignment vertical="center"/>
    </xf>
    <xf applyAlignment="1" borderId="0" fillId="0" fontId="4" numFmtId="0" pivotButton="0" quotePrefix="0" xfId="0">
      <alignment horizontal="center"/>
    </xf>
    <xf applyAlignment="1" borderId="0" fillId="0" fontId="31" numFmtId="166" pivotButton="0" quotePrefix="0" xfId="1">
      <alignment horizontal="center" vertical="center"/>
    </xf>
    <xf applyAlignment="1" borderId="0" fillId="0" fontId="19" numFmtId="175" pivotButton="0" quotePrefix="0" xfId="1">
      <alignment horizontal="center" vertical="center"/>
    </xf>
    <xf applyAlignment="1" borderId="0" fillId="0" fontId="13" numFmtId="3" pivotButton="0" quotePrefix="0" xfId="0">
      <alignment vertical="center"/>
    </xf>
    <xf applyAlignment="1" borderId="0" fillId="0" fontId="0" numFmtId="0" pivotButton="0" quotePrefix="0" xfId="0">
      <alignment horizontal="center"/>
    </xf>
    <xf applyAlignment="1" borderId="0" fillId="0" fontId="8" numFmtId="38" pivotButton="0" quotePrefix="0" xfId="6">
      <alignment vertical="center"/>
    </xf>
    <xf applyAlignment="1" borderId="0" fillId="0" fontId="13" numFmtId="14" pivotButton="0" quotePrefix="0" xfId="6">
      <alignment horizontal="center" vertical="center"/>
    </xf>
    <xf applyAlignment="1" borderId="0" fillId="7" fontId="13" numFmtId="0" pivotButton="0" quotePrefix="0" xfId="6">
      <alignment vertical="center"/>
    </xf>
    <xf applyAlignment="1" borderId="0" fillId="0" fontId="13" numFmtId="38" pivotButton="0" quotePrefix="0" xfId="1">
      <alignment horizontal="left" vertical="center"/>
    </xf>
    <xf borderId="0" fillId="0" fontId="8" numFmtId="166" pivotButton="0" quotePrefix="0" xfId="6"/>
    <xf applyAlignment="1" borderId="0" fillId="8" fontId="8" numFmtId="0" pivotButton="0" quotePrefix="0" xfId="0">
      <alignment horizontal="center" vertical="center" wrapText="1"/>
    </xf>
    <xf applyAlignment="1" borderId="0" fillId="8" fontId="4" numFmtId="0" pivotButton="0" quotePrefix="0" xfId="0">
      <alignment horizontal="center" wrapText="1"/>
    </xf>
    <xf borderId="0" fillId="8" fontId="4" numFmtId="0" pivotButton="0" quotePrefix="0" xfId="0"/>
    <xf borderId="0" fillId="8" fontId="4" numFmtId="166" pivotButton="0" quotePrefix="0" xfId="1"/>
    <xf borderId="0" fillId="8" fontId="10" numFmtId="166" pivotButton="0" quotePrefix="0" xfId="1"/>
    <xf borderId="0" fillId="8" fontId="4" numFmtId="166" pivotButton="0" quotePrefix="0" xfId="0"/>
    <xf borderId="4" fillId="8" fontId="4" numFmtId="166" pivotButton="0" quotePrefix="0" xfId="1"/>
    <xf applyAlignment="1" borderId="4" fillId="8" fontId="10" numFmtId="0" pivotButton="0" quotePrefix="0" xfId="0">
      <alignment horizontal="center"/>
    </xf>
    <xf applyAlignment="1" borderId="0" fillId="8" fontId="4" numFmtId="166" pivotButton="0" quotePrefix="0" xfId="0">
      <alignment horizontal="center"/>
    </xf>
    <xf borderId="0" fillId="8" fontId="42" numFmtId="0" pivotButton="0" quotePrefix="0" xfId="0"/>
    <xf borderId="0" fillId="8" fontId="0" numFmtId="0" pivotButton="0" quotePrefix="0" xfId="0"/>
    <xf borderId="0" fillId="8" fontId="19" numFmtId="174" pivotButton="0" quotePrefix="0" xfId="1"/>
    <xf borderId="0" fillId="8" fontId="19" numFmtId="166" pivotButton="0" quotePrefix="0" xfId="1"/>
    <xf applyAlignment="1" borderId="76" fillId="19" fontId="4" numFmtId="0" pivotButton="0" quotePrefix="0" xfId="0">
      <alignment vertical="center"/>
    </xf>
    <xf applyAlignment="1" borderId="76" fillId="19" fontId="4" numFmtId="3" pivotButton="0" quotePrefix="0" xfId="0">
      <alignment horizontal="right" vertical="center"/>
    </xf>
    <xf applyAlignment="1" borderId="76" fillId="19" fontId="4" numFmtId="3" pivotButton="0" quotePrefix="0" xfId="0">
      <alignment vertical="center"/>
    </xf>
    <xf applyAlignment="1" borderId="76" fillId="19" fontId="4" numFmtId="4" pivotButton="0" quotePrefix="0" xfId="0">
      <alignment vertical="center"/>
    </xf>
    <xf applyAlignment="1" borderId="76" fillId="19" fontId="8" numFmtId="0" pivotButton="0" quotePrefix="0" xfId="0">
      <alignment vertical="center"/>
    </xf>
    <xf applyAlignment="1" borderId="76" fillId="19" fontId="4" numFmtId="0" pivotButton="0" quotePrefix="0" xfId="0">
      <alignment horizontal="center" vertical="center"/>
    </xf>
    <xf borderId="76" fillId="19" fontId="4" numFmtId="0" pivotButton="0" quotePrefix="0" xfId="0"/>
    <xf applyAlignment="1" borderId="76" fillId="19" fontId="4" numFmtId="0" pivotButton="0" quotePrefix="0" xfId="0">
      <alignment horizontal="center"/>
    </xf>
    <xf applyAlignment="1" borderId="17" fillId="0" fontId="13" numFmtId="167" pivotButton="0" quotePrefix="0" xfId="6">
      <alignment horizontal="right" vertical="center"/>
    </xf>
    <xf applyAlignment="1" borderId="17" fillId="0" fontId="13" numFmtId="169" pivotButton="0" quotePrefix="0" xfId="6">
      <alignment horizontal="right" vertical="center"/>
    </xf>
    <xf applyAlignment="1" borderId="0" fillId="0" fontId="4" numFmtId="0" pivotButton="0" quotePrefix="0" xfId="6">
      <alignment vertical="center"/>
    </xf>
    <xf applyAlignment="1" borderId="17" fillId="0" fontId="4" numFmtId="0" pivotButton="0" quotePrefix="0" xfId="6">
      <alignment vertical="center"/>
    </xf>
    <xf applyAlignment="1" borderId="0" fillId="0" fontId="41" numFmtId="166" pivotButton="0" quotePrefix="0" xfId="10">
      <alignment horizontal="center" vertical="center"/>
    </xf>
    <xf applyAlignment="1" borderId="76" fillId="0" fontId="4" numFmtId="0" pivotButton="0" quotePrefix="0" xfId="0">
      <alignment vertical="center"/>
    </xf>
    <xf borderId="0" fillId="0" fontId="0" numFmtId="169" pivotButton="0" quotePrefix="0" xfId="0"/>
    <xf applyAlignment="1" borderId="0" fillId="0" fontId="13" numFmtId="167" pivotButton="0" quotePrefix="0" xfId="6">
      <alignment vertical="center"/>
    </xf>
    <xf borderId="0" fillId="0" fontId="11" numFmtId="3" pivotButton="0" quotePrefix="0" xfId="0"/>
    <xf applyAlignment="1" borderId="0" fillId="0" fontId="0" numFmtId="172" pivotButton="0" quotePrefix="0" xfId="0">
      <alignment vertical="center"/>
    </xf>
    <xf applyAlignment="1" borderId="0" fillId="0" fontId="10" numFmtId="0" pivotButton="0" quotePrefix="0" xfId="0">
      <alignment vertical="center"/>
    </xf>
    <xf applyAlignment="1" borderId="0" fillId="0" fontId="10" numFmtId="3" pivotButton="0" quotePrefix="0" xfId="0">
      <alignment vertical="center"/>
    </xf>
    <xf applyAlignment="1" borderId="0" fillId="0" fontId="19" numFmtId="172" pivotButton="0" quotePrefix="0" xfId="0">
      <alignment vertical="center"/>
    </xf>
    <xf applyAlignment="1" borderId="0" fillId="0" fontId="43" numFmtId="166" pivotButton="0" quotePrefix="0" xfId="10">
      <alignment vertical="center"/>
    </xf>
    <xf applyAlignment="1" borderId="1" fillId="0" fontId="10" numFmtId="0" pivotButton="0" quotePrefix="0" xfId="0">
      <alignment vertical="center"/>
    </xf>
    <xf applyAlignment="1" borderId="1" fillId="0" fontId="10" numFmtId="0" pivotButton="0" quotePrefix="0" xfId="0">
      <alignment horizontal="left" vertical="center"/>
    </xf>
    <xf applyAlignment="1" borderId="0" fillId="8" fontId="4" numFmtId="166" pivotButton="0" quotePrefix="0" xfId="1">
      <alignment vertical="center"/>
    </xf>
    <xf applyAlignment="1" borderId="0" fillId="8" fontId="4" numFmtId="166" pivotButton="0" quotePrefix="0" xfId="1">
      <alignment horizontal="center" vertical="center"/>
    </xf>
    <xf applyAlignment="1" borderId="0" fillId="8" fontId="10" numFmtId="166" pivotButton="0" quotePrefix="0" xfId="1">
      <alignment vertical="center"/>
    </xf>
    <xf applyAlignment="1" borderId="0" fillId="8" fontId="4" numFmtId="0" pivotButton="0" quotePrefix="0" xfId="1">
      <alignment horizontal="center" vertical="center"/>
    </xf>
    <xf applyAlignment="1" borderId="0" fillId="8" fontId="4" numFmtId="0" pivotButton="0" quotePrefix="0" xfId="0">
      <alignment horizontal="center" vertical="center"/>
    </xf>
    <xf applyAlignment="1" borderId="0" fillId="8" fontId="4" numFmtId="166" pivotButton="0" quotePrefix="0" xfId="1">
      <alignment horizontal="center"/>
    </xf>
    <xf applyAlignment="1" borderId="76" fillId="0" fontId="7" numFmtId="0" pivotButton="0" quotePrefix="0" xfId="6">
      <alignment horizontal="center" vertical="center"/>
    </xf>
    <xf applyAlignment="1" borderId="77" fillId="0" fontId="8" numFmtId="0" pivotButton="0" quotePrefix="0" xfId="6">
      <alignment vertical="center"/>
    </xf>
    <xf applyAlignment="1" borderId="76" fillId="15" fontId="8" numFmtId="0" pivotButton="0" quotePrefix="0" xfId="6">
      <alignment vertical="center" wrapText="1"/>
    </xf>
    <xf applyAlignment="1" borderId="76" fillId="15" fontId="8" numFmtId="165" pivotButton="0" quotePrefix="0" xfId="6">
      <alignment vertical="center"/>
    </xf>
    <xf applyAlignment="1" borderId="76" fillId="0" fontId="3" numFmtId="0" pivotButton="0" quotePrefix="0" xfId="0">
      <alignment horizontal="center" vertical="center"/>
    </xf>
    <xf applyAlignment="1" borderId="76" fillId="0" fontId="3" numFmtId="3" pivotButton="0" quotePrefix="0" xfId="0">
      <alignment horizontal="center" vertical="center"/>
    </xf>
    <xf applyAlignment="1" borderId="75" fillId="0" fontId="3" numFmtId="0" pivotButton="0" quotePrefix="0" xfId="0">
      <alignment horizontal="left" vertical="center"/>
    </xf>
    <xf applyAlignment="1" borderId="75" fillId="0" fontId="3" numFmtId="0" pivotButton="0" quotePrefix="0" xfId="0">
      <alignment horizontal="center" vertical="center"/>
    </xf>
    <xf applyAlignment="1" borderId="76" fillId="3" fontId="14" numFmtId="0" pivotButton="0" quotePrefix="0" xfId="0">
      <alignment horizontal="center" vertical="center"/>
    </xf>
    <xf applyAlignment="1" borderId="76" fillId="2" fontId="10" numFmtId="0" pivotButton="0" quotePrefix="0" xfId="0">
      <alignment horizontal="center" vertical="center"/>
    </xf>
    <xf applyAlignment="1" borderId="76" fillId="0" fontId="8" numFmtId="14" pivotButton="0" quotePrefix="0" xfId="5">
      <alignment horizontal="center" vertical="center"/>
    </xf>
    <xf applyAlignment="1" borderId="76" fillId="0" fontId="8" numFmtId="164" pivotButton="0" quotePrefix="0" xfId="5">
      <alignment vertical="center"/>
    </xf>
    <xf applyAlignment="1" borderId="76" fillId="0" fontId="10" numFmtId="0" pivotButton="0" quotePrefix="0" xfId="0">
      <alignment horizontal="center" vertical="center"/>
    </xf>
    <xf applyAlignment="1" borderId="76" fillId="0" fontId="10" numFmtId="164" pivotButton="0" quotePrefix="0" xfId="0">
      <alignment vertical="center"/>
    </xf>
    <xf applyAlignment="1" borderId="76" fillId="2" fontId="4" numFmtId="0" pivotButton="0" quotePrefix="0" xfId="6">
      <alignment horizontal="center" vertical="center"/>
    </xf>
    <xf applyAlignment="1" borderId="76" fillId="0" fontId="19" numFmtId="14" pivotButton="0" quotePrefix="0" xfId="6">
      <alignment horizontal="center" vertical="center"/>
    </xf>
    <xf applyAlignment="1" borderId="76" fillId="0" fontId="19" numFmtId="0" pivotButton="0" quotePrefix="0" xfId="6">
      <alignment vertical="center"/>
    </xf>
    <xf applyAlignment="1" borderId="76" fillId="7" fontId="19" numFmtId="0" pivotButton="0" quotePrefix="0" xfId="6">
      <alignment vertical="center"/>
    </xf>
    <xf applyAlignment="1" borderId="76" fillId="0" fontId="19" numFmtId="38" pivotButton="0" quotePrefix="0" xfId="1">
      <alignment horizontal="left" vertical="center"/>
    </xf>
    <xf applyAlignment="1" borderId="76" fillId="18" fontId="19" numFmtId="0" pivotButton="0" quotePrefix="0" xfId="6">
      <alignment vertical="center"/>
    </xf>
    <xf applyAlignment="1" borderId="76" fillId="10" fontId="19" numFmtId="0" pivotButton="0" quotePrefix="0" xfId="6">
      <alignment vertical="center"/>
    </xf>
    <xf applyAlignment="1" borderId="76" fillId="9" fontId="19" numFmtId="0" pivotButton="0" quotePrefix="0" xfId="6">
      <alignment vertical="center"/>
    </xf>
    <xf applyAlignment="1" borderId="76" fillId="0" fontId="19" numFmtId="0" pivotButton="0" quotePrefix="0" xfId="6">
      <alignment horizontal="right" vertical="center"/>
    </xf>
    <xf applyAlignment="1" borderId="76" fillId="0" fontId="13" numFmtId="14" pivotButton="0" quotePrefix="0" xfId="6">
      <alignment horizontal="center" vertical="center"/>
    </xf>
    <xf applyAlignment="1" borderId="76" fillId="0" fontId="13" numFmtId="0" pivotButton="0" quotePrefix="0" xfId="6">
      <alignment vertical="center"/>
    </xf>
    <xf applyAlignment="1" borderId="76" fillId="7" fontId="13" numFmtId="0" pivotButton="0" quotePrefix="0" xfId="6">
      <alignment vertical="center"/>
    </xf>
    <xf applyAlignment="1" borderId="76" fillId="7" fontId="13" numFmtId="167" pivotButton="0" quotePrefix="0" xfId="6">
      <alignment horizontal="right" vertical="center"/>
    </xf>
    <xf applyAlignment="1" borderId="76" fillId="8" fontId="13" numFmtId="169" pivotButton="0" quotePrefix="0" xfId="6">
      <alignment horizontal="right" vertical="center"/>
    </xf>
    <xf applyAlignment="1" borderId="76" fillId="0" fontId="4" numFmtId="0" pivotButton="0" quotePrefix="0" xfId="6">
      <alignment vertical="center"/>
    </xf>
    <xf applyAlignment="1" borderId="76" fillId="17" fontId="13" numFmtId="0" pivotButton="0" quotePrefix="0" xfId="6">
      <alignment vertical="center"/>
    </xf>
    <xf applyAlignment="1" borderId="76" fillId="14" fontId="13" numFmtId="0" pivotButton="0" quotePrefix="0" xfId="6">
      <alignment vertical="center"/>
    </xf>
    <xf applyAlignment="1" borderId="76" fillId="14" fontId="13" numFmtId="167" pivotButton="0" quotePrefix="0" xfId="6">
      <alignment horizontal="right" vertical="center"/>
    </xf>
    <xf applyAlignment="1" borderId="76" fillId="0" fontId="13" numFmtId="167" pivotButton="0" quotePrefix="0" xfId="6">
      <alignment horizontal="right" vertical="center"/>
    </xf>
    <xf applyAlignment="1" borderId="76" fillId="13" fontId="13" numFmtId="0" pivotButton="0" quotePrefix="0" xfId="6">
      <alignment vertical="center"/>
    </xf>
    <xf applyAlignment="1" borderId="76" fillId="7" fontId="13" numFmtId="169" pivotButton="0" quotePrefix="0" xfId="6">
      <alignment horizontal="right" vertical="center"/>
    </xf>
    <xf applyAlignment="1" borderId="76" fillId="12" fontId="13" numFmtId="169" pivotButton="0" quotePrefix="0" xfId="6">
      <alignment horizontal="right" vertical="center"/>
    </xf>
    <xf applyAlignment="1" borderId="76" fillId="0" fontId="13" numFmtId="169" pivotButton="0" quotePrefix="0" xfId="6">
      <alignment horizontal="right" vertical="center"/>
    </xf>
    <xf applyAlignment="1" borderId="77" fillId="11" fontId="13" numFmtId="14" pivotButton="0" quotePrefix="0" xfId="6">
      <alignment horizontal="center" vertical="center"/>
    </xf>
    <xf applyAlignment="1" borderId="77" fillId="11" fontId="13" numFmtId="0" pivotButton="0" quotePrefix="0" xfId="6">
      <alignment vertical="center"/>
    </xf>
    <xf applyAlignment="1" borderId="77" fillId="0" fontId="13" numFmtId="167" pivotButton="0" quotePrefix="0" xfId="6">
      <alignment horizontal="right" vertical="center"/>
    </xf>
    <xf applyAlignment="1" borderId="77" fillId="11" fontId="13" numFmtId="169" pivotButton="0" quotePrefix="0" xfId="6">
      <alignment horizontal="right" vertical="center"/>
    </xf>
    <xf applyAlignment="1" borderId="77" fillId="11" fontId="4" numFmtId="0" pivotButton="0" quotePrefix="0" xfId="6">
      <alignment vertical="center"/>
    </xf>
    <xf applyAlignment="1" borderId="76" fillId="11" fontId="13" numFmtId="14" pivotButton="0" quotePrefix="0" xfId="6">
      <alignment horizontal="center" vertical="center"/>
    </xf>
    <xf applyAlignment="1" borderId="76" fillId="11" fontId="13" numFmtId="0" pivotButton="0" quotePrefix="0" xfId="6">
      <alignment vertical="center"/>
    </xf>
    <xf applyAlignment="1" borderId="76" fillId="11" fontId="13" numFmtId="167" pivotButton="0" quotePrefix="0" xfId="6">
      <alignment horizontal="right" vertical="center"/>
    </xf>
    <xf applyAlignment="1" borderId="76" fillId="11" fontId="13" numFmtId="169" pivotButton="0" quotePrefix="0" xfId="6">
      <alignment horizontal="right" vertical="center"/>
    </xf>
    <xf applyAlignment="1" borderId="76" fillId="11" fontId="4" numFmtId="0" pivotButton="0" quotePrefix="0" xfId="6">
      <alignment vertical="center"/>
    </xf>
    <xf applyAlignment="1" borderId="76" fillId="4" fontId="4" numFmtId="0" pivotButton="0" quotePrefix="0" xfId="6">
      <alignment vertical="center"/>
    </xf>
    <xf applyAlignment="1" borderId="76" fillId="0" fontId="13" numFmtId="49" pivotButton="0" quotePrefix="0" xfId="6">
      <alignment horizontal="right" vertical="center"/>
    </xf>
    <xf applyAlignment="1" borderId="76" fillId="0" fontId="4" numFmtId="0" pivotButton="0" quotePrefix="0" xfId="0">
      <alignment horizontal="center" vertical="center"/>
    </xf>
    <xf applyAlignment="1" borderId="76" fillId="8" fontId="4" numFmtId="0" pivotButton="0" quotePrefix="0" xfId="0">
      <alignment horizontal="center" vertical="center"/>
    </xf>
    <xf applyAlignment="1" borderId="76" fillId="13" fontId="4" numFmtId="3" pivotButton="0" quotePrefix="0" xfId="0">
      <alignment vertical="center"/>
    </xf>
    <xf borderId="76" fillId="8" fontId="4" numFmtId="166" pivotButton="0" quotePrefix="0" xfId="1"/>
    <xf applyAlignment="1" borderId="76" fillId="8" fontId="4" numFmtId="0" pivotButton="0" quotePrefix="0" xfId="0">
      <alignment horizontal="center"/>
    </xf>
    <xf borderId="76" fillId="8" fontId="4" numFmtId="166" pivotButton="0" quotePrefix="0" xfId="0"/>
    <xf applyAlignment="1" borderId="76" fillId="0" fontId="8" numFmtId="0" pivotButton="0" quotePrefix="0" xfId="0">
      <alignment horizontal="center" vertical="center" wrapText="1"/>
    </xf>
    <xf applyAlignment="1" borderId="76" fillId="0" fontId="8" numFmtId="166" pivotButton="0" quotePrefix="0" xfId="0">
      <alignment horizontal="center" vertical="center" wrapText="1"/>
    </xf>
    <xf applyAlignment="1" borderId="76" fillId="0" fontId="4" numFmtId="0" pivotButton="0" quotePrefix="0" xfId="0">
      <alignment horizontal="left" vertical="center"/>
    </xf>
    <xf applyAlignment="1" borderId="76" fillId="0" fontId="4" numFmtId="165" pivotButton="0" quotePrefix="0" xfId="0">
      <alignment vertical="center"/>
    </xf>
    <xf applyAlignment="1" borderId="76" fillId="0" fontId="4" numFmtId="170" pivotButton="0" quotePrefix="0" xfId="0">
      <alignment vertical="center"/>
    </xf>
    <xf applyAlignment="1" borderId="76" fillId="0" fontId="4" numFmtId="166" pivotButton="0" quotePrefix="0" xfId="1">
      <alignment vertical="center"/>
    </xf>
    <xf applyAlignment="1" borderId="76" fillId="0" fontId="8" numFmtId="166" pivotButton="0" quotePrefix="0" xfId="1">
      <alignment vertical="center"/>
    </xf>
    <xf applyAlignment="1" borderId="77" fillId="0" fontId="4" numFmtId="0" pivotButton="0" quotePrefix="0" xfId="0">
      <alignment horizontal="center" vertical="center"/>
    </xf>
    <xf applyAlignment="1" borderId="77" fillId="0" fontId="4" numFmtId="165" pivotButton="0" quotePrefix="0" xfId="0">
      <alignment vertical="center"/>
    </xf>
    <xf applyAlignment="1" borderId="77" fillId="0" fontId="4" numFmtId="170" pivotButton="0" quotePrefix="0" xfId="0">
      <alignment vertical="center"/>
    </xf>
    <xf applyAlignment="1" borderId="77" fillId="0" fontId="4" numFmtId="166" pivotButton="0" quotePrefix="0" xfId="1">
      <alignment vertical="center"/>
    </xf>
    <xf applyAlignment="1" borderId="76" fillId="0" fontId="4" numFmtId="38" pivotButton="0" quotePrefix="0" xfId="0">
      <alignment vertical="center"/>
    </xf>
    <xf applyAlignment="1" borderId="77" fillId="0" fontId="4" numFmtId="38" pivotButton="0" quotePrefix="0" xfId="0">
      <alignment vertical="center"/>
    </xf>
    <xf applyAlignment="1" borderId="76" fillId="2" fontId="4" numFmtId="0" pivotButton="0" quotePrefix="0" xfId="0">
      <alignment horizontal="center" vertical="center"/>
    </xf>
    <xf applyAlignment="1" borderId="76" fillId="0" fontId="13" numFmtId="169" pivotButton="0" quotePrefix="0" xfId="6">
      <alignment horizontal="center" vertical="center"/>
    </xf>
    <xf applyAlignment="1" borderId="76" fillId="0" fontId="13" numFmtId="0" pivotButton="0" quotePrefix="0" xfId="6">
      <alignment horizontal="center" vertical="center"/>
    </xf>
    <xf applyAlignment="1" borderId="76" fillId="8" fontId="13" numFmtId="169" pivotButton="0" quotePrefix="0" xfId="6">
      <alignment horizontal="center" vertical="center"/>
    </xf>
    <xf applyAlignment="1" borderId="76" fillId="0" fontId="13" numFmtId="0" pivotButton="0" quotePrefix="0" xfId="0">
      <alignment vertical="center"/>
    </xf>
    <xf applyAlignment="1" borderId="76" fillId="8" fontId="13" numFmtId="0" pivotButton="0" quotePrefix="0" xfId="6">
      <alignment horizontal="center" vertical="center"/>
    </xf>
    <xf applyAlignment="1" borderId="80" fillId="0" fontId="22" numFmtId="49" pivotButton="0" quotePrefix="0" xfId="0">
      <alignment horizontal="center" vertical="center"/>
    </xf>
    <xf applyAlignment="1" borderId="80" fillId="0" fontId="21" numFmtId="49" pivotButton="0" quotePrefix="0" xfId="0">
      <alignment horizontal="center" vertical="center"/>
    </xf>
    <xf applyAlignment="1" borderId="81" fillId="0" fontId="22" numFmtId="49" pivotButton="0" quotePrefix="0" xfId="0">
      <alignment horizontal="center" vertical="center"/>
    </xf>
    <xf applyAlignment="1" borderId="83" fillId="0" fontId="21" numFmtId="0" pivotButton="0" quotePrefix="0" xfId="0">
      <alignment horizontal="left" vertical="center"/>
    </xf>
    <xf applyAlignment="1" borderId="83" fillId="0" fontId="21" numFmtId="0" pivotButton="0" quotePrefix="0" xfId="0">
      <alignment horizontal="center" vertical="center"/>
    </xf>
    <xf applyAlignment="1" borderId="86" fillId="0" fontId="31" numFmtId="0" pivotButton="0" quotePrefix="0" xfId="0">
      <alignment horizontal="center" vertical="center"/>
    </xf>
    <xf applyAlignment="1" borderId="78" fillId="0" fontId="31" numFmtId="0" pivotButton="0" quotePrefix="0" xfId="0">
      <alignment horizontal="center" vertical="center"/>
    </xf>
    <xf applyAlignment="1" borderId="86" fillId="0" fontId="32" numFmtId="176" pivotButton="0" quotePrefix="0" xfId="0">
      <alignment horizontal="center" vertical="center"/>
    </xf>
    <xf applyAlignment="1" borderId="82" fillId="0" fontId="31" numFmtId="0" pivotButton="0" quotePrefix="0" xfId="0">
      <alignment horizontal="center" vertical="center"/>
    </xf>
    <xf applyAlignment="1" borderId="83" fillId="0" fontId="31" numFmtId="0" pivotButton="0" quotePrefix="0" xfId="0">
      <alignment horizontal="center" vertical="center"/>
    </xf>
    <xf applyAlignment="1" borderId="97" fillId="0" fontId="22" numFmtId="0" pivotButton="0" quotePrefix="0" xfId="0">
      <alignment horizontal="center" vertical="center"/>
    </xf>
    <xf applyAlignment="1" borderId="97" fillId="0" fontId="34" numFmtId="0" pivotButton="0" quotePrefix="0" xfId="0">
      <alignment horizontal="center" vertical="center"/>
    </xf>
    <xf applyAlignment="1" borderId="98" fillId="0" fontId="22" numFmtId="0" pivotButton="0" quotePrefix="0" xfId="0">
      <alignment horizontal="center" vertical="center"/>
    </xf>
    <xf applyAlignment="1" borderId="103" fillId="0" fontId="34" numFmtId="0" pivotButton="0" quotePrefix="0" xfId="0">
      <alignment horizontal="left" vertical="center"/>
    </xf>
    <xf applyAlignment="1" borderId="103" fillId="0" fontId="34" numFmtId="0" pivotButton="0" quotePrefix="0" xfId="0">
      <alignment horizontal="center" vertical="center"/>
    </xf>
    <xf applyAlignment="1" borderId="104" fillId="0" fontId="31" numFmtId="0" pivotButton="0" quotePrefix="0" xfId="0">
      <alignment horizontal="center" vertical="center"/>
    </xf>
    <xf applyAlignment="1" borderId="104" fillId="0" fontId="32" numFmtId="176" pivotButton="0" quotePrefix="0" xfId="0">
      <alignment horizontal="center" vertical="center"/>
    </xf>
    <xf applyAlignment="1" borderId="105" fillId="0" fontId="31" numFmtId="0" pivotButton="0" quotePrefix="0" xfId="0">
      <alignment horizontal="center" vertical="center"/>
    </xf>
    <xf applyAlignment="1" borderId="111" fillId="0" fontId="4" numFmtId="166" pivotButton="0" quotePrefix="0" xfId="1">
      <alignment horizontal="right" vertical="center"/>
    </xf>
    <xf applyAlignment="1" borderId="111" fillId="0" fontId="10" numFmtId="166" pivotButton="0" quotePrefix="0" xfId="1">
      <alignment horizontal="right" vertical="center"/>
    </xf>
    <xf applyAlignment="1" borderId="0" fillId="0" fontId="8" numFmtId="166" pivotButton="0" quotePrefix="0" xfId="1">
      <alignment horizontal="center" vertical="center"/>
    </xf>
    <xf applyAlignment="1" borderId="76" fillId="0" fontId="4" numFmtId="3" pivotButton="0" quotePrefix="0" xfId="0">
      <alignment vertical="center"/>
    </xf>
    <xf borderId="76" fillId="0" fontId="0" numFmtId="0" pivotButton="0" quotePrefix="0" xfId="0"/>
    <xf applyAlignment="1" borderId="76" fillId="0" fontId="19" numFmtId="0" pivotButton="0" quotePrefix="0" xfId="0">
      <alignment vertical="center"/>
    </xf>
    <xf applyAlignment="1" borderId="75" fillId="0" fontId="0" numFmtId="0" pivotButton="0" quotePrefix="0" xfId="0">
      <alignment vertical="center"/>
    </xf>
    <xf applyAlignment="1" borderId="5" fillId="0" fontId="0" numFmtId="0" pivotButton="0" quotePrefix="0" xfId="0">
      <alignment vertical="center"/>
    </xf>
    <xf applyAlignment="1" borderId="0" fillId="0" fontId="45" numFmtId="0" pivotButton="0" quotePrefix="0" xfId="0">
      <alignment vertical="center"/>
    </xf>
    <xf applyAlignment="1" borderId="0" fillId="20" fontId="10" numFmtId="0" pivotButton="0" quotePrefix="0" xfId="3">
      <alignment vertical="center"/>
    </xf>
    <xf applyAlignment="1" borderId="0" fillId="20" fontId="19" numFmtId="0" pivotButton="0" quotePrefix="0" xfId="0">
      <alignment vertical="center"/>
    </xf>
    <xf applyAlignment="1" borderId="0" fillId="20" fontId="0" numFmtId="0" pivotButton="0" quotePrefix="0" xfId="0">
      <alignment vertical="center"/>
    </xf>
    <xf applyAlignment="1" borderId="0" fillId="20" fontId="7" numFmtId="0" pivotButton="0" quotePrefix="0" xfId="3">
      <alignment vertical="center"/>
    </xf>
    <xf applyAlignment="1" borderId="76" fillId="0" fontId="10" numFmtId="0" pivotButton="0" quotePrefix="0" xfId="0">
      <alignment vertical="center"/>
    </xf>
    <xf applyAlignment="1" borderId="77" fillId="0" fontId="10" numFmtId="0" pivotButton="0" quotePrefix="0" xfId="0">
      <alignment vertical="center"/>
    </xf>
    <xf applyAlignment="1" borderId="0" fillId="0" fontId="42" numFmtId="0" pivotButton="0" quotePrefix="0" xfId="0">
      <alignment vertical="center"/>
    </xf>
    <xf applyAlignment="1" borderId="76" fillId="20" fontId="8" numFmtId="0" pivotButton="0" quotePrefix="0" xfId="0">
      <alignment horizontal="center" vertical="center" wrapText="1"/>
    </xf>
    <xf applyAlignment="1" borderId="76" fillId="20" fontId="8" numFmtId="166" pivotButton="0" quotePrefix="0" xfId="0">
      <alignment horizontal="center" vertical="center" wrapText="1"/>
    </xf>
    <xf applyAlignment="1" borderId="76" fillId="0" fontId="46" numFmtId="0" pivotButton="0" quotePrefix="0" xfId="0">
      <alignment vertical="center"/>
    </xf>
    <xf applyAlignment="1" borderId="76" fillId="0" fontId="19" numFmtId="0" pivotButton="0" quotePrefix="0" xfId="0">
      <alignment horizontal="center" vertical="center"/>
    </xf>
    <xf applyAlignment="1" borderId="0" fillId="0" fontId="47" numFmtId="166" pivotButton="0" quotePrefix="0" xfId="10">
      <alignment horizontal="center" vertical="center"/>
    </xf>
    <xf applyAlignment="1" borderId="0" fillId="0" fontId="32" numFmtId="0" pivotButton="0" quotePrefix="0" xfId="0">
      <alignment horizontal="center" vertical="center"/>
    </xf>
    <xf applyAlignment="1" borderId="0" fillId="0" fontId="20" numFmtId="0" pivotButton="0" quotePrefix="0" xfId="0">
      <alignment horizontal="right" vertical="center"/>
    </xf>
    <xf applyAlignment="1" borderId="112" fillId="0" fontId="5" numFmtId="0" pivotButton="0" quotePrefix="0" xfId="0">
      <alignment vertical="center"/>
    </xf>
    <xf applyAlignment="1" borderId="1" fillId="0" fontId="3" numFmtId="0" pivotButton="0" quotePrefix="0" xfId="6">
      <alignment horizontal="center" vertical="center"/>
    </xf>
    <xf borderId="1" fillId="0" fontId="0" numFmtId="0" pivotButton="0" quotePrefix="0" xfId="0"/>
    <xf applyAlignment="1" borderId="108" fillId="2" fontId="7" numFmtId="0" pivotButton="0" quotePrefix="0" xfId="6">
      <alignment horizontal="center" vertical="center"/>
    </xf>
    <xf borderId="111" fillId="0" fontId="0" numFmtId="0" pivotButton="0" quotePrefix="0" xfId="0"/>
    <xf applyAlignment="1" borderId="76" fillId="15" fontId="8" numFmtId="0" pivotButton="0" quotePrefix="0" xfId="6">
      <alignment horizontal="center" vertical="center"/>
    </xf>
    <xf borderId="114" fillId="0" fontId="0" numFmtId="0" pivotButton="0" quotePrefix="0" xfId="0"/>
    <xf applyAlignment="1" borderId="115" fillId="3" fontId="14" numFmtId="3" pivotButton="0" quotePrefix="0" xfId="0">
      <alignment horizontal="center" vertical="center"/>
    </xf>
    <xf borderId="16" fillId="0" fontId="0" numFmtId="0" pivotButton="0" quotePrefix="0" xfId="0"/>
    <xf applyAlignment="1" borderId="76" fillId="3" fontId="14" numFmtId="3" pivotButton="0" quotePrefix="0" xfId="0">
      <alignment horizontal="center" vertical="center"/>
    </xf>
    <xf applyAlignment="1" borderId="76" fillId="0" fontId="14" numFmtId="165" pivotButton="0" quotePrefix="0" xfId="0">
      <alignment horizontal="center" vertical="center"/>
    </xf>
    <xf borderId="113" fillId="0" fontId="0" numFmtId="0" pivotButton="0" quotePrefix="0" xfId="0"/>
    <xf borderId="116" fillId="0" fontId="0" numFmtId="0" pivotButton="0" quotePrefix="0" xfId="0"/>
    <xf borderId="117" fillId="0" fontId="0" numFmtId="0" pivotButton="0" quotePrefix="0" xfId="0"/>
    <xf borderId="118" fillId="0" fontId="0" numFmtId="0" pivotButton="0" quotePrefix="0" xfId="0"/>
    <xf borderId="119" fillId="0" fontId="0" numFmtId="0" pivotButton="0" quotePrefix="0" xfId="0"/>
    <xf applyAlignment="1" borderId="120" fillId="0" fontId="3" numFmtId="0" pivotButton="0" quotePrefix="0" xfId="0">
      <alignment horizontal="center" vertical="center"/>
    </xf>
    <xf borderId="122" fillId="0" fontId="0" numFmtId="0" pivotButton="0" quotePrefix="0" xfId="0"/>
    <xf applyAlignment="1" borderId="108" fillId="0" fontId="3" numFmtId="0" pivotButton="0" quotePrefix="0" xfId="0">
      <alignment horizontal="center" vertical="center"/>
    </xf>
    <xf applyAlignment="1" borderId="120" fillId="0" fontId="8" numFmtId="164" pivotButton="0" quotePrefix="0" xfId="5">
      <alignment horizontal="center" vertical="center"/>
    </xf>
    <xf borderId="121" fillId="0" fontId="0" numFmtId="0" pivotButton="0" quotePrefix="0" xfId="0"/>
    <xf applyAlignment="1" borderId="76" fillId="0" fontId="8" numFmtId="164" pivotButton="0" quotePrefix="0" xfId="5">
      <alignment horizontal="center" vertical="center"/>
    </xf>
    <xf borderId="123" fillId="0" fontId="0" numFmtId="0" pivotButton="0" quotePrefix="0" xfId="0"/>
    <xf applyAlignment="1" borderId="20" fillId="0" fontId="8" numFmtId="164" pivotButton="0" quotePrefix="0" xfId="5">
      <alignment horizontal="center" vertical="center"/>
    </xf>
    <xf borderId="60" fillId="0" fontId="0" numFmtId="0" pivotButton="0" quotePrefix="0" xfId="0"/>
    <xf borderId="20" fillId="0" fontId="0" numFmtId="0" pivotButton="0" quotePrefix="0" xfId="0"/>
    <xf applyAlignment="1" borderId="120" fillId="2" fontId="10" numFmtId="0" pivotButton="0" quotePrefix="0" xfId="0">
      <alignment horizontal="center" vertical="center"/>
    </xf>
    <xf applyAlignment="1" borderId="108" fillId="2" fontId="10" numFmtId="0" pivotButton="0" quotePrefix="0" xfId="0">
      <alignment horizontal="center" vertical="center"/>
    </xf>
    <xf applyAlignment="1" borderId="108" fillId="0" fontId="19" numFmtId="0" pivotButton="0" quotePrefix="0" xfId="6">
      <alignment horizontal="center" vertical="center"/>
    </xf>
    <xf applyAlignment="1" borderId="76" fillId="2" fontId="4" numFmtId="0" pivotButton="0" quotePrefix="0" xfId="6">
      <alignment horizontal="center" vertical="center"/>
    </xf>
    <xf applyAlignment="1" borderId="108" fillId="2" fontId="4" numFmtId="0" pivotButton="0" quotePrefix="0" xfId="6">
      <alignment horizontal="center" vertical="center"/>
    </xf>
    <xf applyAlignment="1" borderId="108" fillId="0" fontId="13" numFmtId="0" pivotButton="0" quotePrefix="0" xfId="6">
      <alignment horizontal="center" vertical="center"/>
    </xf>
    <xf applyAlignment="1" borderId="120" fillId="2" fontId="4" numFmtId="0" pivotButton="0" quotePrefix="0" xfId="6">
      <alignment horizontal="center" vertical="center"/>
    </xf>
    <xf applyAlignment="1" borderId="115" fillId="2" fontId="4" numFmtId="0" pivotButton="0" quotePrefix="0" xfId="6">
      <alignment horizontal="center" vertical="center"/>
    </xf>
    <xf borderId="19" fillId="0" fontId="0" numFmtId="0" pivotButton="0" quotePrefix="0" xfId="0"/>
    <xf applyAlignment="1" borderId="120" fillId="2" fontId="4" numFmtId="0" pivotButton="0" quotePrefix="0" xfId="0">
      <alignment horizontal="center" vertical="center"/>
    </xf>
    <xf applyAlignment="1" borderId="76" fillId="2" fontId="4" numFmtId="0" pivotButton="0" quotePrefix="0" xfId="0">
      <alignment horizontal="center" vertical="center"/>
    </xf>
    <xf applyAlignment="1" borderId="108" fillId="2" fontId="4" numFmtId="0" pivotButton="0" quotePrefix="0" xfId="0">
      <alignment horizontal="center" vertical="center"/>
    </xf>
    <xf borderId="110" fillId="0" fontId="0" numFmtId="0" pivotButton="0" quotePrefix="0" xfId="0"/>
    <xf applyAlignment="1" borderId="76" fillId="0" fontId="4" numFmtId="0" pivotButton="0" quotePrefix="0" xfId="0">
      <alignment horizontal="center" vertical="center"/>
    </xf>
    <xf applyAlignment="1" borderId="108" fillId="0" fontId="4" numFmtId="166" pivotButton="0" quotePrefix="0" xfId="1">
      <alignment horizontal="right" vertical="center"/>
    </xf>
    <xf applyAlignment="1" borderId="76" fillId="0" fontId="8" numFmtId="0" pivotButton="0" quotePrefix="0" xfId="0">
      <alignment horizontal="center" vertical="center"/>
    </xf>
    <xf applyAlignment="1" borderId="76" fillId="0" fontId="4" numFmtId="166" pivotButton="0" quotePrefix="0" xfId="1">
      <alignment horizontal="right" vertical="center"/>
    </xf>
    <xf applyAlignment="1" borderId="76" fillId="13" fontId="4" numFmtId="166" pivotButton="0" quotePrefix="0" xfId="1">
      <alignment horizontal="right" vertical="center"/>
    </xf>
    <xf applyAlignment="1" borderId="76" fillId="0" fontId="4" numFmtId="3" pivotButton="0" quotePrefix="0" xfId="0">
      <alignment horizontal="left" vertical="center"/>
    </xf>
    <xf borderId="75" fillId="0" fontId="0" numFmtId="0" pivotButton="0" quotePrefix="0" xfId="0"/>
    <xf applyAlignment="1" borderId="0" fillId="0" fontId="4" numFmtId="3" pivotButton="0" quotePrefix="0" xfId="0">
      <alignment horizontal="center" vertical="center"/>
    </xf>
    <xf borderId="0" fillId="0" fontId="0" numFmtId="0" pivotButton="0" quotePrefix="0" xfId="0"/>
    <xf applyAlignment="1" borderId="76" fillId="0" fontId="4" numFmtId="3" pivotButton="0" quotePrefix="0" xfId="0">
      <alignment horizontal="center" vertical="center"/>
    </xf>
    <xf applyAlignment="1" borderId="120" fillId="19" fontId="4" numFmtId="0" pivotButton="0" quotePrefix="0" xfId="0">
      <alignment horizontal="center" vertical="center" wrapText="1"/>
    </xf>
    <xf applyAlignment="1" borderId="76" fillId="0" fontId="4" numFmtId="166" pivotButton="0" quotePrefix="0" xfId="1">
      <alignment horizontal="center" vertical="center"/>
    </xf>
    <xf applyAlignment="1" borderId="76" fillId="0" fontId="8" numFmtId="0" pivotButton="0" quotePrefix="0" xfId="0">
      <alignment horizontal="center" vertical="center" wrapText="1"/>
    </xf>
    <xf applyAlignment="1" borderId="76" fillId="0" fontId="4" numFmtId="171" pivotButton="0" quotePrefix="0" xfId="0">
      <alignment horizontal="right" vertical="center"/>
    </xf>
    <xf applyAlignment="1" borderId="76" fillId="8" fontId="10" numFmtId="0" pivotButton="0" quotePrefix="0" xfId="0">
      <alignment horizontal="center"/>
    </xf>
    <xf applyAlignment="1" borderId="77" fillId="0" fontId="4" numFmtId="171" pivotButton="0" quotePrefix="0" xfId="0">
      <alignment horizontal="right" vertical="center"/>
    </xf>
    <xf applyAlignment="1" borderId="17" fillId="0" fontId="4" numFmtId="171" pivotButton="0" quotePrefix="0" xfId="0">
      <alignment horizontal="right" vertical="center"/>
    </xf>
    <xf borderId="124" fillId="0" fontId="0" numFmtId="0" pivotButton="0" quotePrefix="0" xfId="0"/>
    <xf applyAlignment="1" borderId="77" fillId="0" fontId="4" numFmtId="166" pivotButton="0" quotePrefix="0" xfId="1">
      <alignment horizontal="center" vertical="center"/>
    </xf>
    <xf applyAlignment="1" borderId="17" fillId="0" fontId="4" numFmtId="166" pivotButton="0" quotePrefix="0" xfId="1">
      <alignment horizontal="center" vertical="center"/>
    </xf>
    <xf applyAlignment="1" borderId="21" fillId="0" fontId="20" numFmtId="0" pivotButton="0" quotePrefix="0" xfId="0">
      <alignment horizontal="right" vertical="center"/>
    </xf>
    <xf borderId="21" fillId="0" fontId="0" numFmtId="0" pivotButton="0" quotePrefix="0" xfId="0"/>
    <xf applyAlignment="1" borderId="89" fillId="0" fontId="21" numFmtId="0" pivotButton="0" quotePrefix="0" xfId="0">
      <alignment horizontal="center" vertical="center"/>
    </xf>
    <xf borderId="34" fillId="0" fontId="0" numFmtId="0" pivotButton="0" quotePrefix="0" xfId="0"/>
    <xf applyAlignment="1" borderId="85" fillId="0" fontId="32" numFmtId="177" pivotButton="0" quotePrefix="0" xfId="1">
      <alignment horizontal="center" vertical="center"/>
    </xf>
    <xf borderId="78" fillId="0" fontId="0" numFmtId="0" pivotButton="0" quotePrefix="0" xfId="0"/>
    <xf borderId="79" fillId="0" fontId="0" numFmtId="0" pivotButton="0" quotePrefix="0" xfId="0"/>
    <xf applyAlignment="1" borderId="86" fillId="0" fontId="22" numFmtId="177" pivotButton="0" quotePrefix="0" xfId="1">
      <alignment horizontal="right" vertical="center"/>
    </xf>
    <xf applyAlignment="1" borderId="83" fillId="0" fontId="22" numFmtId="0" pivotButton="0" quotePrefix="0" xfId="0">
      <alignment horizontal="center" vertical="center"/>
    </xf>
    <xf borderId="84" fillId="0" fontId="0" numFmtId="0" pivotButton="0" quotePrefix="0" xfId="0"/>
    <xf applyAlignment="1" borderId="82" fillId="0" fontId="21" numFmtId="0" pivotButton="0" quotePrefix="0" xfId="0">
      <alignment horizontal="center" vertical="center"/>
    </xf>
    <xf borderId="93" fillId="0" fontId="0" numFmtId="0" pivotButton="0" quotePrefix="0" xfId="0"/>
    <xf applyAlignment="1" borderId="83" fillId="0" fontId="21" numFmtId="0" pivotButton="0" quotePrefix="0" xfId="0">
      <alignment horizontal="center" vertical="center"/>
    </xf>
    <xf borderId="87" fillId="0" fontId="0" numFmtId="0" pivotButton="0" quotePrefix="0" xfId="0"/>
    <xf borderId="88" fillId="0" fontId="0" numFmtId="0" pivotButton="0" quotePrefix="0" xfId="0"/>
    <xf borderId="32" fillId="0" fontId="0" numFmtId="0" pivotButton="0" quotePrefix="0" xfId="0"/>
    <xf borderId="33" fillId="0" fontId="0" numFmtId="0" pivotButton="0" quotePrefix="0" xfId="0"/>
    <xf borderId="37" fillId="0" fontId="0" numFmtId="0" pivotButton="0" quotePrefix="0" xfId="0"/>
    <xf applyAlignment="1" applyProtection="1" borderId="78" fillId="0" fontId="25" numFmtId="0" pivotButton="0" quotePrefix="0" xfId="0">
      <alignment horizontal="center" vertical="center" wrapText="1"/>
      <protection hidden="1" locked="1"/>
    </xf>
    <xf applyProtection="1" borderId="87" fillId="0" fontId="0" numFmtId="0" pivotButton="0" quotePrefix="0" xfId="0">
      <protection hidden="1" locked="1"/>
    </xf>
    <xf applyProtection="1" borderId="22" fillId="0" fontId="0" numFmtId="0" pivotButton="0" quotePrefix="0" xfId="0">
      <protection hidden="1" locked="1"/>
    </xf>
    <xf applyAlignment="1" borderId="83" fillId="0" fontId="22" numFmtId="0" pivotButton="0" quotePrefix="0" xfId="0">
      <alignment horizontal="center" shrinkToFit="1" vertical="center"/>
    </xf>
    <xf applyAlignment="1" borderId="83" fillId="0" fontId="22" numFmtId="49" pivotButton="0" quotePrefix="0" xfId="0">
      <alignment horizontal="center" vertical="center"/>
    </xf>
    <xf applyAlignment="1" borderId="83" fillId="0" fontId="22" numFmtId="177" pivotButton="0" quotePrefix="0" xfId="0">
      <alignment horizontal="center" vertical="center"/>
    </xf>
    <xf applyAlignment="1" borderId="83" fillId="0" fontId="22" numFmtId="173" pivotButton="0" quotePrefix="0" xfId="0">
      <alignment shrinkToFit="1" vertical="center"/>
    </xf>
    <xf applyAlignment="1" borderId="10" fillId="0" fontId="21" numFmtId="0" pivotButton="0" quotePrefix="0" xfId="0">
      <alignment horizontal="center" vertical="center"/>
    </xf>
    <xf applyAlignment="1" borderId="29" fillId="0" fontId="21" numFmtId="0" pivotButton="0" quotePrefix="0" xfId="0">
      <alignment horizontal="center" vertical="center"/>
    </xf>
    <xf borderId="25" fillId="0" fontId="0" numFmtId="0" pivotButton="0" quotePrefix="0" xfId="0"/>
    <xf borderId="7" fillId="0" fontId="0" numFmtId="0" pivotButton="0" quotePrefix="0" xfId="0"/>
    <xf applyAlignment="1" borderId="28" fillId="0" fontId="21" numFmtId="0" pivotButton="0" quotePrefix="0" xfId="0">
      <alignment horizontal="center" vertical="center"/>
    </xf>
    <xf applyAlignment="1" borderId="83" fillId="0" fontId="26" numFmtId="0" pivotButton="0" quotePrefix="0" xfId="0">
      <alignment horizontal="center" vertical="center"/>
    </xf>
    <xf applyAlignment="1" borderId="86" fillId="0" fontId="29" numFmtId="0" pivotButton="0" quotePrefix="0" xfId="0">
      <alignment horizontal="center" vertical="center" wrapText="1"/>
    </xf>
    <xf borderId="26" fillId="0" fontId="0" numFmtId="0" pivotButton="0" quotePrefix="0" xfId="0"/>
    <xf borderId="22" fillId="0" fontId="0" numFmtId="0" pivotButton="0" quotePrefix="0" xfId="0"/>
    <xf borderId="31" fillId="0" fontId="0" numFmtId="0" pivotButton="0" quotePrefix="0" xfId="0"/>
    <xf applyAlignment="1" borderId="83" fillId="0" fontId="21" numFmtId="0" pivotButton="0" quotePrefix="0" xfId="0">
      <alignment horizontal="center" textRotation="255" vertical="center"/>
    </xf>
    <xf borderId="10" fillId="0" fontId="0" numFmtId="0" pivotButton="0" quotePrefix="0" xfId="0"/>
    <xf applyAlignment="1" borderId="83" fillId="0" fontId="22" numFmtId="0" pivotButton="0" quotePrefix="0" xfId="0">
      <alignment horizontal="center" vertical="center" wrapText="1"/>
    </xf>
    <xf applyAlignment="1" borderId="91" fillId="0" fontId="31" numFmtId="0" pivotButton="0" quotePrefix="0" xfId="0">
      <alignment horizontal="center" vertical="center"/>
    </xf>
    <xf applyAlignment="1" borderId="86" fillId="0" fontId="22" numFmtId="176" pivotButton="0" quotePrefix="0" xfId="0">
      <alignment horizontal="center" vertical="center"/>
    </xf>
    <xf applyAlignment="1" borderId="10" fillId="0" fontId="26" numFmtId="0" pivotButton="0" quotePrefix="0" xfId="0">
      <alignment horizontal="center" vertical="center"/>
    </xf>
    <xf applyAlignment="1" borderId="80" fillId="0" fontId="26" numFmtId="0" pivotButton="0" quotePrefix="0" xfId="0">
      <alignment horizontal="center" vertical="center"/>
    </xf>
    <xf applyAlignment="1" borderId="85" fillId="0" fontId="29" numFmtId="0" pivotButton="0" quotePrefix="0" xfId="0">
      <alignment horizontal="center" shrinkToFit="1" vertical="center"/>
    </xf>
    <xf borderId="35" fillId="0" fontId="0" numFmtId="0" pivotButton="0" quotePrefix="0" xfId="0"/>
    <xf applyAlignment="1" borderId="83" fillId="0" fontId="29" numFmtId="0" pivotButton="0" quotePrefix="0" xfId="0">
      <alignment horizontal="center" vertical="center"/>
    </xf>
    <xf applyAlignment="1" borderId="89" fillId="0" fontId="30" numFmtId="0" pivotButton="0" quotePrefix="0" xfId="0">
      <alignment horizontal="center" vertical="center"/>
    </xf>
    <xf applyAlignment="1" borderId="92" fillId="0" fontId="29" numFmtId="0" pivotButton="0" quotePrefix="0" xfId="0">
      <alignment horizontal="center" vertical="center" wrapText="1"/>
    </xf>
    <xf borderId="90" fillId="0" fontId="0" numFmtId="0" pivotButton="0" quotePrefix="0" xfId="0"/>
    <xf borderId="27" fillId="0" fontId="0" numFmtId="0" pivotButton="0" quotePrefix="0" xfId="0"/>
    <xf applyAlignment="1" borderId="29" fillId="0" fontId="28" numFmtId="0" pivotButton="0" quotePrefix="0" xfId="0">
      <alignment horizontal="center" vertical="center"/>
    </xf>
    <xf applyAlignment="1" borderId="127" fillId="0" fontId="28" numFmtId="0" pivotButton="0" quotePrefix="0" xfId="0">
      <alignment horizontal="center" vertical="center"/>
    </xf>
    <xf borderId="38" fillId="0" fontId="0" numFmtId="0" pivotButton="0" quotePrefix="0" xfId="0"/>
    <xf applyAlignment="1" borderId="29" fillId="0" fontId="29" numFmtId="0" pivotButton="0" quotePrefix="0" xfId="0">
      <alignment horizontal="center" shrinkToFit="1" vertical="center"/>
    </xf>
    <xf borderId="36" fillId="0" fontId="0" numFmtId="0" pivotButton="0" quotePrefix="0" xfId="0"/>
    <xf applyAlignment="1" borderId="10" fillId="0" fontId="21" numFmtId="0" pivotButton="0" quotePrefix="0" xfId="0">
      <alignment horizontal="center" textRotation="255" vertical="center"/>
    </xf>
    <xf applyAlignment="1" borderId="28" fillId="0" fontId="28" numFmtId="0" pivotButton="0" quotePrefix="0" xfId="0">
      <alignment horizontal="center" vertical="center"/>
    </xf>
    <xf borderId="9" fillId="0" fontId="0" numFmtId="0" pivotButton="0" quotePrefix="0" xfId="0"/>
    <xf applyAlignment="1" borderId="24" fillId="0" fontId="29" numFmtId="0" pivotButton="0" quotePrefix="0" xfId="0">
      <alignment horizontal="center" vertical="center"/>
    </xf>
    <xf applyAlignment="1" borderId="34" fillId="0" fontId="30" numFmtId="0" pivotButton="0" quotePrefix="0" xfId="0">
      <alignment horizontal="center" vertical="center"/>
    </xf>
    <xf applyAlignment="1" borderId="86" fillId="0" fontId="26" numFmtId="0" pivotButton="0" quotePrefix="0" xfId="0">
      <alignment horizontal="center" vertical="center"/>
    </xf>
    <xf applyAlignment="1" borderId="82" fillId="0" fontId="27" numFmtId="0" pivotButton="0" quotePrefix="0" xfId="0">
      <alignment horizontal="center" textRotation="255" vertical="center"/>
    </xf>
    <xf borderId="128" fillId="0" fontId="0" numFmtId="0" pivotButton="0" quotePrefix="0" xfId="0"/>
    <xf applyAlignment="1" borderId="30" fillId="0" fontId="28" numFmtId="0" pivotButton="0" quotePrefix="0" xfId="0">
      <alignment horizontal="center" vertical="center"/>
    </xf>
    <xf borderId="23" fillId="0" fontId="0" numFmtId="0" pivotButton="0" quotePrefix="0" xfId="0"/>
    <xf applyAlignment="1" borderId="84" fillId="0" fontId="27" numFmtId="0" pivotButton="0" quotePrefix="0" xfId="0">
      <alignment horizontal="center" textRotation="255" vertical="center"/>
    </xf>
    <xf borderId="125" fillId="0" fontId="0" numFmtId="0" pivotButton="0" quotePrefix="0" xfId="0"/>
    <xf applyAlignment="1" borderId="29" fillId="0" fontId="29" numFmtId="0" pivotButton="0" quotePrefix="0" xfId="0">
      <alignment horizontal="center" vertical="center" wrapText="1"/>
    </xf>
    <xf applyAlignment="1" borderId="0" fillId="0" fontId="23" numFmtId="38" pivotButton="0" quotePrefix="0" xfId="0">
      <alignment vertical="center"/>
    </xf>
    <xf applyAlignment="1" borderId="129" fillId="0" fontId="37" numFmtId="0" pivotButton="0" quotePrefix="0" xfId="0">
      <alignment horizontal="center" vertical="center"/>
    </xf>
    <xf borderId="49" fillId="0" fontId="0" numFmtId="0" pivotButton="0" quotePrefix="0" xfId="0"/>
    <xf borderId="12" fillId="0" fontId="0" numFmtId="0" pivotButton="0" quotePrefix="0" xfId="0"/>
    <xf applyAlignment="1" borderId="50" fillId="0" fontId="36" numFmtId="0" pivotButton="0" quotePrefix="0" xfId="0">
      <alignment horizontal="distributed" vertical="center"/>
    </xf>
    <xf borderId="50" fillId="0" fontId="0" numFmtId="0" pivotButton="0" quotePrefix="0" xfId="0"/>
    <xf applyAlignment="1" borderId="108" fillId="0" fontId="7" numFmtId="0" pivotButton="0" quotePrefix="0" xfId="0">
      <alignment horizontal="center" vertical="center"/>
    </xf>
    <xf applyAlignment="1" borderId="109" fillId="0" fontId="10" numFmtId="165" pivotButton="0" quotePrefix="0" xfId="1">
      <alignment horizontal="right" vertical="center"/>
    </xf>
    <xf applyAlignment="1" borderId="104" fillId="0" fontId="29" numFmtId="0" pivotButton="0" quotePrefix="0" xfId="0">
      <alignment horizontal="center" vertical="center" wrapText="1"/>
    </xf>
    <xf borderId="99" fillId="0" fontId="0" numFmtId="0" pivotButton="0" quotePrefix="0" xfId="0"/>
    <xf borderId="101" fillId="0" fontId="0" numFmtId="0" pivotButton="0" quotePrefix="0" xfId="0"/>
    <xf borderId="40" fillId="0" fontId="0" numFmtId="0" pivotButton="0" quotePrefix="0" xfId="0"/>
    <xf borderId="41" fillId="0" fontId="0" numFmtId="0" pivotButton="0" quotePrefix="0" xfId="0"/>
    <xf borderId="42" fillId="0" fontId="0" numFmtId="0" pivotButton="0" quotePrefix="0" xfId="0"/>
    <xf applyAlignment="1" borderId="104" fillId="0" fontId="37" numFmtId="0" pivotButton="0" quotePrefix="0" xfId="0">
      <alignment horizontal="center" vertical="center"/>
    </xf>
    <xf applyAlignment="1" borderId="96" fillId="0" fontId="38" numFmtId="0" pivotButton="0" quotePrefix="0" xfId="0">
      <alignment horizontal="center" textRotation="255" vertical="center"/>
    </xf>
    <xf borderId="43" fillId="0" fontId="0" numFmtId="0" pivotButton="0" quotePrefix="0" xfId="0"/>
    <xf applyAlignment="1" borderId="130" fillId="0" fontId="37" numFmtId="0" pivotButton="0" quotePrefix="0" xfId="0">
      <alignment horizontal="center" vertical="center"/>
    </xf>
    <xf borderId="100" fillId="0" fontId="0" numFmtId="0" pivotButton="0" quotePrefix="0" xfId="0"/>
    <xf borderId="44" fillId="0" fontId="0" numFmtId="0" pivotButton="0" quotePrefix="0" xfId="0"/>
    <xf borderId="45" fillId="0" fontId="0" numFmtId="0" pivotButton="0" quotePrefix="0" xfId="0"/>
    <xf borderId="46" fillId="0" fontId="0" numFmtId="0" pivotButton="0" quotePrefix="0" xfId="0"/>
    <xf applyAlignment="1" borderId="104" fillId="0" fontId="34" numFmtId="0" pivotButton="0" quotePrefix="0" xfId="0">
      <alignment horizontal="center" textRotation="255" vertical="center"/>
    </xf>
    <xf borderId="47" fillId="0" fontId="0" numFmtId="0" pivotButton="0" quotePrefix="0" xfId="0"/>
    <xf applyAlignment="1" borderId="131" fillId="0" fontId="28" numFmtId="0" pivotButton="0" quotePrefix="0" xfId="0">
      <alignment horizontal="center" vertical="center"/>
    </xf>
    <xf borderId="14" fillId="0" fontId="0" numFmtId="0" pivotButton="0" quotePrefix="0" xfId="0"/>
    <xf applyAlignment="1" borderId="15" fillId="0" fontId="37" numFmtId="0" pivotButton="0" quotePrefix="0" xfId="0">
      <alignment horizontal="center" vertical="center"/>
    </xf>
    <xf borderId="56" fillId="0" fontId="0" numFmtId="0" pivotButton="0" quotePrefix="0" xfId="0"/>
    <xf applyAlignment="1" borderId="129" fillId="0" fontId="28" numFmtId="0" pivotButton="0" quotePrefix="0" xfId="0">
      <alignment horizontal="center" vertical="center"/>
    </xf>
    <xf borderId="15" fillId="0" fontId="0" numFmtId="0" pivotButton="0" quotePrefix="0" xfId="0"/>
    <xf applyAlignment="1" borderId="39" fillId="0" fontId="24" numFmtId="0" pivotButton="0" quotePrefix="0" xfId="0">
      <alignment horizontal="center" vertical="center"/>
    </xf>
    <xf borderId="126" fillId="0" fontId="0" numFmtId="0" pivotButton="0" quotePrefix="0" xfId="0"/>
    <xf applyAlignment="1" borderId="21" fillId="0" fontId="25" numFmtId="0" pivotButton="0" quotePrefix="0" xfId="0">
      <alignment horizontal="center" vertical="center"/>
    </xf>
    <xf applyAlignment="1" borderId="21" fillId="0" fontId="25" numFmtId="0" pivotButton="0" quotePrefix="0" xfId="0">
      <alignment horizontal="distributed" vertical="center"/>
    </xf>
    <xf applyAlignment="1" borderId="29" fillId="0" fontId="26" numFmtId="0" pivotButton="0" quotePrefix="0" xfId="0">
      <alignment horizontal="center" vertical="center"/>
    </xf>
    <xf applyAlignment="1" borderId="24" fillId="0" fontId="22" numFmtId="0" pivotButton="0" quotePrefix="0" xfId="0">
      <alignment horizontal="center" vertical="center"/>
    </xf>
    <xf applyAlignment="1" borderId="33" fillId="0" fontId="25" numFmtId="0" pivotButton="0" quotePrefix="0" xfId="0">
      <alignment horizontal="distributed" vertical="center"/>
    </xf>
    <xf applyAlignment="1" borderId="133" fillId="0" fontId="28" numFmtId="0" pivotButton="0" quotePrefix="0" xfId="0">
      <alignment horizontal="center" vertical="center"/>
    </xf>
    <xf applyAlignment="1" borderId="76" fillId="5" fontId="7" numFmtId="0" pivotButton="0" quotePrefix="0" xfId="3">
      <alignment horizontal="center" vertical="center"/>
    </xf>
    <xf applyAlignment="1" borderId="76" fillId="0" fontId="8" numFmtId="166" pivotButton="0" quotePrefix="0" xfId="1">
      <alignment horizontal="right" vertical="center"/>
    </xf>
    <xf applyAlignment="1" borderId="109" fillId="0" fontId="4" numFmtId="165" pivotButton="0" quotePrefix="0" xfId="1">
      <alignment horizontal="right" vertical="center"/>
    </xf>
    <xf applyAlignment="1" borderId="108" fillId="0" fontId="8" numFmtId="0" pivotButton="0" quotePrefix="0" xfId="0">
      <alignment horizontal="center" vertical="center"/>
    </xf>
    <xf applyAlignment="1" borderId="76" fillId="0" fontId="8" numFmtId="0" pivotButton="0" quotePrefix="0" xfId="3">
      <alignment horizontal="left" vertical="center"/>
    </xf>
    <xf applyAlignment="1" borderId="76" fillId="0" fontId="8" numFmtId="0" pivotButton="0" quotePrefix="0" xfId="3">
      <alignment horizontal="center" vertical="center"/>
    </xf>
    <xf applyAlignment="1" borderId="108" fillId="6" fontId="10" numFmtId="0" pivotButton="0" quotePrefix="0" xfId="0">
      <alignment horizontal="center" vertical="center"/>
    </xf>
    <xf applyAlignment="1" borderId="76" fillId="0" fontId="10" numFmtId="0" pivotButton="0" quotePrefix="0" xfId="3">
      <alignment horizontal="left" vertical="center"/>
    </xf>
    <xf applyAlignment="1" borderId="1" fillId="0" fontId="6" numFmtId="0" pivotButton="0" quotePrefix="0" xfId="0">
      <alignment horizontal="center" vertical="center"/>
    </xf>
    <xf applyAlignment="1" borderId="134" fillId="0" fontId="38" numFmtId="0" pivotButton="0" quotePrefix="0" xfId="0">
      <alignment horizontal="center" textRotation="255" vertical="center"/>
    </xf>
    <xf borderId="51" fillId="0" fontId="0" numFmtId="0" pivotButton="0" quotePrefix="0" xfId="0"/>
    <xf borderId="52" fillId="0" fontId="0" numFmtId="0" pivotButton="0" quotePrefix="0" xfId="0"/>
    <xf applyAlignment="1" borderId="76" fillId="0" fontId="7" numFmtId="0" pivotButton="0" quotePrefix="0" xfId="3">
      <alignment horizontal="left" vertical="center"/>
    </xf>
    <xf applyAlignment="1" borderId="76" fillId="5" fontId="7" numFmtId="166" pivotButton="0" quotePrefix="0" xfId="1">
      <alignment horizontal="right" vertical="center"/>
    </xf>
    <xf applyAlignment="1" borderId="76" fillId="5" fontId="8" numFmtId="0" pivotButton="0" quotePrefix="0" xfId="3">
      <alignment horizontal="left" vertical="center"/>
    </xf>
    <xf applyAlignment="1" borderId="94" fillId="0" fontId="29" numFmtId="0" pivotButton="0" quotePrefix="0" xfId="0">
      <alignment horizontal="center" vertical="center"/>
    </xf>
    <xf applyAlignment="1" borderId="135" fillId="0" fontId="33" numFmtId="0" pivotButton="0" quotePrefix="0" xfId="0">
      <alignment horizontal="center" vertical="center"/>
    </xf>
    <xf borderId="53" fillId="0" fontId="0" numFmtId="0" pivotButton="0" quotePrefix="0" xfId="0"/>
    <xf applyAlignment="1" borderId="97" fillId="0" fontId="37" numFmtId="0" pivotButton="0" quotePrefix="0" xfId="0">
      <alignment horizontal="center" vertical="center"/>
    </xf>
    <xf applyAlignment="1" borderId="129" fillId="0" fontId="29" numFmtId="0" pivotButton="0" quotePrefix="0" xfId="0">
      <alignment horizontal="center" shrinkToFit="1" vertical="center"/>
    </xf>
    <xf borderId="55" fillId="0" fontId="0" numFmtId="0" pivotButton="0" quotePrefix="0" xfId="0"/>
    <xf applyAlignment="1" borderId="136" fillId="0" fontId="28" numFmtId="0" pivotButton="0" quotePrefix="0" xfId="0">
      <alignment horizontal="center" vertical="center"/>
    </xf>
    <xf borderId="57" fillId="0" fontId="0" numFmtId="0" pivotButton="0" quotePrefix="0" xfId="0"/>
    <xf applyAlignment="1" borderId="130" fillId="0" fontId="29" numFmtId="0" pivotButton="0" quotePrefix="0" xfId="0">
      <alignment horizontal="center" vertical="center" wrapText="1"/>
    </xf>
    <xf applyAlignment="1" borderId="136" fillId="0" fontId="34" numFmtId="0" pivotButton="0" quotePrefix="0" xfId="0">
      <alignment horizontal="center" vertical="center"/>
    </xf>
    <xf borderId="13" fillId="0" fontId="0" numFmtId="0" pivotButton="0" quotePrefix="0" xfId="0"/>
    <xf applyAlignment="1" borderId="137" fillId="0" fontId="29" numFmtId="0" pivotButton="0" quotePrefix="0" xfId="0">
      <alignment horizontal="center" vertical="center" wrapText="1"/>
    </xf>
    <xf applyAlignment="1" borderId="48" fillId="0" fontId="22" numFmtId="0" pivotButton="0" quotePrefix="0" xfId="0">
      <alignment horizontal="center" vertical="center"/>
    </xf>
    <xf applyAlignment="1" borderId="45" fillId="0" fontId="36" numFmtId="0" pivotButton="0" quotePrefix="0" xfId="0">
      <alignment horizontal="distributed" vertical="center"/>
    </xf>
    <xf borderId="95" fillId="0" fontId="0" numFmtId="0" pivotButton="0" quotePrefix="0" xfId="0"/>
    <xf borderId="96" fillId="0" fontId="0" numFmtId="0" pivotButton="0" quotePrefix="0" xfId="0"/>
    <xf applyAlignment="1" borderId="54" fillId="0" fontId="35" numFmtId="0" pivotButton="0" quotePrefix="0" xfId="0">
      <alignment horizontal="center" vertical="center"/>
    </xf>
    <xf borderId="132" fillId="0" fontId="0" numFmtId="0" pivotButton="0" quotePrefix="0" xfId="0"/>
    <xf applyAlignment="1" borderId="50" fillId="0" fontId="36" numFmtId="0" pivotButton="0" quotePrefix="0" xfId="0">
      <alignment horizontal="center" vertical="center"/>
    </xf>
    <xf applyAlignment="1" borderId="138" fillId="0" fontId="28" numFmtId="0" pivotButton="0" quotePrefix="0" xfId="0">
      <alignment horizontal="center" vertical="center"/>
    </xf>
    <xf applyAlignment="1" borderId="129" fillId="0" fontId="34" numFmtId="0" pivotButton="0" quotePrefix="0" xfId="0">
      <alignment horizontal="center" textRotation="255" vertical="center"/>
    </xf>
    <xf applyAlignment="1" borderId="48" fillId="0" fontId="29" numFmtId="0" pivotButton="0" quotePrefix="0" xfId="0">
      <alignment horizontal="center" vertical="center"/>
    </xf>
    <xf applyAlignment="1" borderId="13" fillId="0" fontId="33" numFmtId="0" pivotButton="0" quotePrefix="0" xfId="0">
      <alignment horizontal="center" vertical="center"/>
    </xf>
    <xf applyAlignment="1" borderId="57" fillId="0" fontId="37" numFmtId="0" pivotButton="0" quotePrefix="0" xfId="0">
      <alignment horizontal="center" vertical="center"/>
    </xf>
    <xf applyAlignment="1" borderId="103" fillId="0" fontId="22" numFmtId="49" pivotButton="0" quotePrefix="0" xfId="0">
      <alignment horizontal="center" vertical="center"/>
    </xf>
    <xf borderId="106" fillId="0" fontId="0" numFmtId="0" pivotButton="0" quotePrefix="0" xfId="0"/>
    <xf borderId="102" fillId="0" fontId="0" numFmtId="0" pivotButton="0" quotePrefix="0" xfId="0"/>
    <xf applyAlignment="1" borderId="103" fillId="0" fontId="22" numFmtId="177" pivotButton="0" quotePrefix="0" xfId="0">
      <alignment horizontal="center" vertical="center"/>
    </xf>
    <xf applyAlignment="1" borderId="103" fillId="0" fontId="22" numFmtId="173" pivotButton="0" quotePrefix="0" xfId="1">
      <alignment shrinkToFit="1" vertical="center"/>
    </xf>
    <xf applyAlignment="1" borderId="130" fillId="0" fontId="22" numFmtId="0" pivotButton="0" quotePrefix="0" xfId="0">
      <alignment horizontal="center" vertical="center"/>
    </xf>
    <xf borderId="107" fillId="0" fontId="0" numFmtId="0" pivotButton="0" quotePrefix="0" xfId="0"/>
    <xf applyAlignment="1" borderId="139" fillId="0" fontId="28" numFmtId="0" pivotButton="0" quotePrefix="0" xfId="0">
      <alignment horizontal="center" vertical="center"/>
    </xf>
    <xf borderId="58" fillId="0" fontId="0" numFmtId="0" pivotButton="0" quotePrefix="0" xfId="0"/>
    <xf applyAlignment="1" borderId="98" fillId="0" fontId="37" numFmtId="0" pivotButton="0" quotePrefix="0" xfId="0">
      <alignment horizontal="center" vertical="center"/>
    </xf>
    <xf applyAlignment="1" borderId="134" fillId="0" fontId="29" numFmtId="0" pivotButton="0" quotePrefix="0" xfId="0">
      <alignment horizontal="center" shrinkToFit="1" vertical="center"/>
    </xf>
    <xf borderId="59" fillId="0" fontId="0" numFmtId="0" pivotButton="0" quotePrefix="0" xfId="0"/>
    <xf applyAlignment="1" borderId="129" fillId="0" fontId="29" numFmtId="0" pivotButton="0" quotePrefix="0" xfId="0">
      <alignment horizontal="center" vertical="center" wrapText="1"/>
    </xf>
    <xf applyAlignment="1" borderId="105" fillId="0" fontId="34" numFmtId="0" pivotButton="0" quotePrefix="0" xfId="0">
      <alignment horizontal="center" vertical="center"/>
    </xf>
    <xf applyAlignment="1" borderId="129" fillId="0" fontId="34" numFmtId="0" pivotButton="0" quotePrefix="0" xfId="0">
      <alignment horizontal="center" vertical="center"/>
    </xf>
    <xf applyAlignment="1" borderId="103" fillId="0" fontId="34" numFmtId="0" pivotButton="0" quotePrefix="0" xfId="0">
      <alignment horizontal="center" vertical="center"/>
    </xf>
    <xf applyAlignment="1" borderId="134" fillId="0" fontId="31" numFmtId="0" pivotButton="0" quotePrefix="0" xfId="0">
      <alignment horizontal="center" vertical="center"/>
    </xf>
    <xf applyAlignment="1" borderId="104" fillId="0" fontId="22" numFmtId="176" pivotButton="0" quotePrefix="0" xfId="0">
      <alignment horizontal="center" vertical="center"/>
    </xf>
    <xf applyAlignment="1" borderId="131" fillId="0" fontId="34" numFmtId="0" pivotButton="0" quotePrefix="0" xfId="0">
      <alignment horizontal="center" vertical="center"/>
    </xf>
    <xf applyAlignment="1" borderId="137" fillId="0" fontId="22" numFmtId="0" pivotButton="0" quotePrefix="0" xfId="0">
      <alignment horizontal="center" vertical="center" wrapText="1"/>
    </xf>
    <xf applyAlignment="1" borderId="103" fillId="0" fontId="22" numFmtId="0" pivotButton="0" quotePrefix="0" xfId="0">
      <alignment horizontal="center" shrinkToFit="1" vertical="center"/>
    </xf>
    <xf applyAlignment="1" borderId="134" fillId="0" fontId="32" numFmtId="177" pivotButton="0" quotePrefix="0" xfId="1">
      <alignment horizontal="center" vertical="center"/>
    </xf>
    <xf applyAlignment="1" borderId="104" fillId="0" fontId="22" numFmtId="177" pivotButton="0" quotePrefix="0" xfId="1">
      <alignment horizontal="right" vertical="center"/>
    </xf>
    <xf applyAlignment="1" borderId="50" fillId="0" fontId="33" numFmtId="0" pivotButton="0" quotePrefix="0" xfId="0">
      <alignment horizontal="right" vertical="center"/>
    </xf>
    <xf applyAlignment="1" borderId="94" fillId="0" fontId="34" numFmtId="0" pivotButton="0" quotePrefix="0" xfId="0">
      <alignment horizontal="center" vertical="center"/>
    </xf>
    <xf applyAlignment="1" borderId="95" fillId="0" fontId="36" numFmtId="0" pivotButton="0" quotePrefix="0" xfId="0">
      <alignment horizontal="center" vertical="center" wrapText="1"/>
    </xf>
    <xf applyAlignment="1" borderId="135" fillId="0" fontId="34" numFmtId="0" pivotButton="0" quotePrefix="0" xfId="0">
      <alignment horizontal="center" vertical="center"/>
    </xf>
    <xf applyAlignment="1" borderId="109" fillId="0" fontId="7" numFmtId="0" pivotButton="0" quotePrefix="0" xfId="0">
      <alignment horizontal="center" vertical="center"/>
    </xf>
    <xf applyAlignment="1" borderId="18" fillId="0" fontId="4" numFmtId="165" pivotButton="0" quotePrefix="0" xfId="1">
      <alignment horizontal="right" vertical="center"/>
    </xf>
    <xf applyAlignment="1" borderId="108" fillId="0" fontId="8" numFmtId="0" pivotButton="0" quotePrefix="0" xfId="3">
      <alignment horizontal="left" vertical="center"/>
    </xf>
    <xf applyAlignment="1" borderId="108" fillId="0" fontId="7" numFmtId="0" pivotButton="0" quotePrefix="0" xfId="3">
      <alignment horizontal="left" vertical="center"/>
    </xf>
    <xf applyAlignment="1" borderId="108" fillId="0" fontId="8" numFmtId="166" pivotButton="0" quotePrefix="0" xfId="1">
      <alignment horizontal="right" vertical="center"/>
    </xf>
    <xf applyAlignment="1" borderId="108" fillId="0" fontId="8" numFmtId="0" pivotButton="0" quotePrefix="0" xfId="3">
      <alignment horizontal="center" vertical="center"/>
    </xf>
    <xf applyAlignment="1" borderId="108" fillId="0" fontId="10" numFmtId="0" pivotButton="0" quotePrefix="0" xfId="3">
      <alignment horizontal="left" vertical="center"/>
    </xf>
    <xf applyAlignment="1" borderId="108" fillId="5" fontId="7" numFmtId="166" pivotButton="0" quotePrefix="0" xfId="1">
      <alignment horizontal="right" vertical="center"/>
    </xf>
    <xf applyAlignment="1" borderId="108" fillId="5" fontId="7" numFmtId="0" pivotButton="0" quotePrefix="0" xfId="3">
      <alignment horizontal="center" vertical="center"/>
    </xf>
    <xf applyAlignment="1" borderId="108" fillId="5" fontId="8" numFmtId="0" pivotButton="0" quotePrefix="0" xfId="3">
      <alignment horizontal="left" vertical="center"/>
    </xf>
    <xf applyAlignment="1" borderId="108" fillId="0" fontId="4" numFmtId="0" pivotButton="0" quotePrefix="0" xfId="3">
      <alignment horizontal="left" vertical="center"/>
    </xf>
    <xf applyAlignment="1" borderId="140" fillId="0" fontId="29" numFmtId="0" pivotButton="0" quotePrefix="0" xfId="0">
      <alignment horizontal="center" shrinkToFit="1" vertical="center" wrapText="1"/>
    </xf>
    <xf applyAlignment="1" borderId="129" fillId="0" fontId="29" numFmtId="0" pivotButton="0" quotePrefix="0" xfId="0">
      <alignment horizontal="center" shrinkToFit="1" vertical="center" wrapText="1"/>
    </xf>
    <xf applyAlignment="1" borderId="29" fillId="0" fontId="31" numFmtId="0" pivotButton="0" quotePrefix="0" xfId="0">
      <alignment horizontal="center" vertical="center" wrapText="1"/>
    </xf>
    <xf applyAlignment="1" borderId="129" fillId="0" fontId="31" numFmtId="0" pivotButton="0" quotePrefix="0" xfId="0">
      <alignment horizontal="center" shrinkToFit="1" vertical="center" wrapText="1"/>
    </xf>
    <xf applyAlignment="1" borderId="130" fillId="0" fontId="31" numFmtId="0" pivotButton="0" quotePrefix="0" xfId="0">
      <alignment horizontal="center" vertical="center" wrapText="1"/>
    </xf>
    <xf applyAlignment="1" borderId="86" fillId="0" fontId="44" numFmtId="0" pivotButton="0" quotePrefix="0" xfId="0">
      <alignment horizontal="center" vertical="center" wrapText="1"/>
    </xf>
    <xf applyAlignment="1" borderId="92" fillId="0" fontId="44" numFmtId="0" pivotButton="0" quotePrefix="0" xfId="0">
      <alignment horizontal="center" vertical="center" wrapText="1"/>
    </xf>
    <xf applyAlignment="1" borderId="24" fillId="0" fontId="29" numFmtId="0" pivotButton="0" quotePrefix="0" xfId="0">
      <alignment horizontal="center" vertical="center" wrapText="1"/>
    </xf>
    <xf applyAlignment="1" borderId="104" fillId="0" fontId="44" numFmtId="0" pivotButton="0" quotePrefix="0" xfId="0">
      <alignment horizontal="center" vertical="center" wrapText="1"/>
    </xf>
    <xf applyAlignment="1" borderId="137" fillId="0" fontId="44" numFmtId="0" pivotButton="0" quotePrefix="0" xfId="0">
      <alignment horizontal="center" vertical="center" wrapText="1"/>
    </xf>
    <xf applyAlignment="1" borderId="48" fillId="0" fontId="29" numFmtId="0" pivotButton="0" quotePrefix="0" xfId="0">
      <alignment horizontal="center" vertical="center" wrapText="1"/>
    </xf>
    <xf applyAlignment="1" borderId="76" fillId="18" fontId="46" numFmtId="0" pivotButton="0" quotePrefix="0" xfId="0">
      <alignment horizontal="center" vertical="center"/>
    </xf>
    <xf applyAlignment="1" borderId="76" fillId="15" fontId="8" numFmtId="165" pivotButton="0" quotePrefix="0" xfId="6">
      <alignment vertical="center"/>
    </xf>
    <xf applyAlignment="1" borderId="0" fillId="0" fontId="8" numFmtId="166" pivotButton="0" quotePrefix="0" xfId="1">
      <alignment horizontal="center" vertical="center"/>
    </xf>
    <xf applyAlignment="1" borderId="0" fillId="0" fontId="8" numFmtId="165" pivotButton="0" quotePrefix="0" xfId="6">
      <alignment vertical="center"/>
    </xf>
    <xf applyAlignment="1" borderId="0" fillId="0" fontId="8" numFmtId="166" pivotButton="0" quotePrefix="0" xfId="1">
      <alignment vertical="center"/>
    </xf>
    <xf borderId="0" fillId="0" fontId="8" numFmtId="166" pivotButton="0" quotePrefix="0" xfId="6"/>
    <xf borderId="0" fillId="0" fontId="8" numFmtId="166" pivotButton="0" quotePrefix="0" xfId="7"/>
    <xf borderId="0" fillId="0" fontId="13" numFmtId="166" pivotButton="0" quotePrefix="0" xfId="1"/>
    <xf applyAlignment="1" borderId="3" fillId="0" fontId="5" numFmtId="164" pivotButton="0" quotePrefix="0" xfId="0">
      <alignment vertical="center"/>
    </xf>
    <xf borderId="0" fillId="0" fontId="4" numFmtId="164" pivotButton="0" quotePrefix="0" xfId="0"/>
    <xf applyAlignment="1" borderId="0" fillId="0" fontId="14" numFmtId="166" pivotButton="0" quotePrefix="0" xfId="1">
      <alignment vertical="center"/>
    </xf>
    <xf applyAlignment="1" borderId="6" fillId="0" fontId="13" numFmtId="165" pivotButton="0" quotePrefix="0" xfId="0">
      <alignment vertical="center"/>
    </xf>
    <xf applyAlignment="1" borderId="5" fillId="0" fontId="13" numFmtId="165" pivotButton="0" quotePrefix="0" xfId="0">
      <alignment horizontal="left" vertical="center"/>
    </xf>
    <xf applyAlignment="1" borderId="76" fillId="0" fontId="14" numFmtId="165" pivotButton="0" quotePrefix="0" xfId="0">
      <alignment horizontal="center" vertical="center"/>
    </xf>
    <xf applyAlignment="1" borderId="0" fillId="0" fontId="13" numFmtId="166" pivotButton="0" quotePrefix="0" xfId="1">
      <alignment vertical="center"/>
    </xf>
    <xf borderId="0" fillId="0" fontId="0" numFmtId="166" pivotButton="0" quotePrefix="0" xfId="1"/>
    <xf applyAlignment="1" borderId="76" fillId="0" fontId="8" numFmtId="164" pivotButton="0" quotePrefix="0" xfId="5">
      <alignment vertical="center"/>
    </xf>
    <xf applyAlignment="1" borderId="120" fillId="0" fontId="8" numFmtId="164" pivotButton="0" quotePrefix="0" xfId="5">
      <alignment horizontal="center" vertical="center"/>
    </xf>
    <xf applyAlignment="1" borderId="76" fillId="0" fontId="8" numFmtId="164" pivotButton="0" quotePrefix="0" xfId="5">
      <alignment horizontal="center" vertical="center"/>
    </xf>
    <xf applyAlignment="1" borderId="20" fillId="0" fontId="8" numFmtId="164" pivotButton="0" quotePrefix="0" xfId="5">
      <alignment horizontal="center" vertical="center"/>
    </xf>
    <xf borderId="0" fillId="0" fontId="4" numFmtId="166" pivotButton="0" quotePrefix="0" xfId="1"/>
    <xf applyAlignment="1" borderId="76" fillId="0" fontId="10" numFmtId="164" pivotButton="0" quotePrefix="0" xfId="0">
      <alignment vertical="center"/>
    </xf>
    <xf applyAlignment="1" borderId="76" fillId="7" fontId="13" numFmtId="167" pivotButton="0" quotePrefix="0" xfId="6">
      <alignment horizontal="right" vertical="center"/>
    </xf>
    <xf applyAlignment="1" borderId="76" fillId="8" fontId="13" numFmtId="169" pivotButton="0" quotePrefix="0" xfId="6">
      <alignment horizontal="right" vertical="center"/>
    </xf>
    <xf applyAlignment="1" borderId="0" fillId="0" fontId="13" numFmtId="167" pivotButton="0" quotePrefix="0" xfId="6">
      <alignment vertical="center"/>
    </xf>
    <xf applyAlignment="1" borderId="76" fillId="14" fontId="13" numFmtId="167" pivotButton="0" quotePrefix="0" xfId="6">
      <alignment horizontal="right" vertical="center"/>
    </xf>
    <xf applyAlignment="1" borderId="76" fillId="0" fontId="13" numFmtId="167" pivotButton="0" quotePrefix="0" xfId="6">
      <alignment horizontal="right" vertical="center"/>
    </xf>
    <xf applyAlignment="1" borderId="76" fillId="7" fontId="13" numFmtId="169" pivotButton="0" quotePrefix="0" xfId="6">
      <alignment horizontal="right" vertical="center"/>
    </xf>
    <xf applyAlignment="1" borderId="76" fillId="12" fontId="13" numFmtId="169" pivotButton="0" quotePrefix="0" xfId="6">
      <alignment horizontal="right" vertical="center"/>
    </xf>
    <xf applyAlignment="1" borderId="76" fillId="0" fontId="13" numFmtId="169" pivotButton="0" quotePrefix="0" xfId="6">
      <alignment horizontal="right" vertical="center"/>
    </xf>
    <xf applyAlignment="1" borderId="77" fillId="0" fontId="13" numFmtId="167" pivotButton="0" quotePrefix="0" xfId="6">
      <alignment horizontal="right" vertical="center"/>
    </xf>
    <xf applyAlignment="1" borderId="77" fillId="11" fontId="13" numFmtId="169" pivotButton="0" quotePrefix="0" xfId="6">
      <alignment horizontal="right" vertical="center"/>
    </xf>
    <xf applyAlignment="1" borderId="17" fillId="0" fontId="13" numFmtId="167" pivotButton="0" quotePrefix="0" xfId="6">
      <alignment horizontal="right" vertical="center"/>
    </xf>
    <xf applyAlignment="1" borderId="17" fillId="0" fontId="13" numFmtId="169" pivotButton="0" quotePrefix="0" xfId="6">
      <alignment horizontal="right" vertical="center"/>
    </xf>
    <xf applyAlignment="1" borderId="76" fillId="11" fontId="13" numFmtId="167" pivotButton="0" quotePrefix="0" xfId="6">
      <alignment horizontal="right" vertical="center"/>
    </xf>
    <xf applyAlignment="1" borderId="76" fillId="11" fontId="13" numFmtId="169" pivotButton="0" quotePrefix="0" xfId="6">
      <alignment horizontal="right" vertical="center"/>
    </xf>
    <xf applyAlignment="1" borderId="0" fillId="0" fontId="4" numFmtId="168" pivotButton="0" quotePrefix="0" xfId="0">
      <alignment vertical="center"/>
    </xf>
    <xf applyAlignment="1" borderId="108" fillId="0" fontId="4" numFmtId="166" pivotButton="0" quotePrefix="0" xfId="1">
      <alignment horizontal="right" vertical="center"/>
    </xf>
    <xf borderId="76" fillId="8" fontId="4" numFmtId="166" pivotButton="0" quotePrefix="0" xfId="1"/>
    <xf applyAlignment="1" borderId="76" fillId="13" fontId="4" numFmtId="166" pivotButton="0" quotePrefix="0" xfId="1">
      <alignment horizontal="right" vertical="center"/>
    </xf>
    <xf borderId="76" fillId="8" fontId="4" numFmtId="166" pivotButton="0" quotePrefix="0" xfId="0"/>
    <xf applyAlignment="1" borderId="76" fillId="0" fontId="4" numFmtId="166" pivotButton="0" quotePrefix="0" xfId="1">
      <alignment horizontal="right" vertical="center"/>
    </xf>
    <xf applyAlignment="1" borderId="0" fillId="0" fontId="4" numFmtId="164" pivotButton="0" quotePrefix="0" xfId="0">
      <alignment vertical="center"/>
    </xf>
    <xf borderId="0" fillId="0" fontId="0" numFmtId="166" pivotButton="0" quotePrefix="0" xfId="0"/>
    <xf applyAlignment="1" borderId="76" fillId="0" fontId="8" numFmtId="166" pivotButton="0" quotePrefix="0" xfId="0">
      <alignment horizontal="center" vertical="center" wrapText="1"/>
    </xf>
    <xf applyAlignment="1" borderId="76" fillId="0" fontId="4" numFmtId="165" pivotButton="0" quotePrefix="0" xfId="0">
      <alignment vertical="center"/>
    </xf>
    <xf applyAlignment="1" borderId="76" fillId="0" fontId="4" numFmtId="170" pivotButton="0" quotePrefix="0" xfId="0">
      <alignment vertical="center"/>
    </xf>
    <xf applyAlignment="1" borderId="76" fillId="0" fontId="4" numFmtId="166" pivotButton="0" quotePrefix="0" xfId="1">
      <alignment vertical="center"/>
    </xf>
    <xf applyAlignment="1" borderId="76" fillId="0" fontId="8" numFmtId="166" pivotButton="0" quotePrefix="0" xfId="1">
      <alignment vertical="center"/>
    </xf>
    <xf borderId="0" fillId="8" fontId="4" numFmtId="166" pivotButton="0" quotePrefix="0" xfId="1"/>
    <xf borderId="0" fillId="8" fontId="10" numFmtId="166" pivotButton="0" quotePrefix="0" xfId="1"/>
    <xf applyAlignment="1" borderId="0" fillId="0" fontId="41" numFmtId="166" pivotButton="0" quotePrefix="0" xfId="10">
      <alignment horizontal="center" vertical="center"/>
    </xf>
    <xf applyAlignment="1" borderId="0" fillId="0" fontId="47" numFmtId="166" pivotButton="0" quotePrefix="0" xfId="10">
      <alignment horizontal="center" vertical="center"/>
    </xf>
    <xf applyAlignment="1" borderId="0" fillId="0" fontId="4" numFmtId="166" pivotButton="0" quotePrefix="0" xfId="1">
      <alignment horizontal="center" vertical="center"/>
    </xf>
    <xf applyAlignment="1" borderId="0" fillId="0" fontId="31" numFmtId="166" pivotButton="0" quotePrefix="0" xfId="1">
      <alignment horizontal="center" vertical="center"/>
    </xf>
    <xf applyAlignment="1" borderId="0" fillId="0" fontId="4" numFmtId="166" pivotButton="0" quotePrefix="0" xfId="1">
      <alignment vertical="center"/>
    </xf>
    <xf applyAlignment="1" borderId="0" fillId="8" fontId="10" numFmtId="166" pivotButton="0" quotePrefix="0" xfId="1">
      <alignment vertical="center"/>
    </xf>
    <xf applyAlignment="1" borderId="0" fillId="8" fontId="4" numFmtId="166" pivotButton="0" quotePrefix="0" xfId="1">
      <alignment vertical="center"/>
    </xf>
    <xf applyAlignment="1" borderId="0" fillId="8" fontId="4" numFmtId="166" pivotButton="0" quotePrefix="0" xfId="1">
      <alignment horizontal="center" vertical="center"/>
    </xf>
    <xf applyAlignment="1" borderId="77" fillId="0" fontId="4" numFmtId="165" pivotButton="0" quotePrefix="0" xfId="0">
      <alignment vertical="center"/>
    </xf>
    <xf applyAlignment="1" borderId="77" fillId="0" fontId="4" numFmtId="170" pivotButton="0" quotePrefix="0" xfId="0">
      <alignment vertical="center"/>
    </xf>
    <xf applyAlignment="1" borderId="77" fillId="0" fontId="4" numFmtId="166" pivotButton="0" quotePrefix="0" xfId="1">
      <alignment vertical="center"/>
    </xf>
    <xf borderId="0" fillId="8" fontId="4" numFmtId="166" pivotButton="0" quotePrefix="0" xfId="0"/>
    <xf applyAlignment="1" borderId="17" fillId="0" fontId="4" numFmtId="165" pivotButton="0" quotePrefix="0" xfId="0">
      <alignment vertical="center"/>
    </xf>
    <xf applyAlignment="1" borderId="17" fillId="0" fontId="4" numFmtId="170" pivotButton="0" quotePrefix="0" xfId="0">
      <alignment vertical="center"/>
    </xf>
    <xf applyAlignment="1" borderId="17" fillId="0" fontId="4" numFmtId="166" pivotButton="0" quotePrefix="0" xfId="1">
      <alignment vertical="center"/>
    </xf>
    <xf applyAlignment="1" borderId="17" fillId="0" fontId="8" numFmtId="166" pivotButton="0" quotePrefix="0" xfId="1">
      <alignment vertical="center"/>
    </xf>
    <xf applyAlignment="1" borderId="0" fillId="8" fontId="4" numFmtId="166" pivotButton="0" quotePrefix="0" xfId="1">
      <alignment horizontal="center"/>
    </xf>
    <xf applyAlignment="1" borderId="0" fillId="0" fontId="4" numFmtId="169" pivotButton="0" quotePrefix="0" xfId="0">
      <alignment vertical="center"/>
    </xf>
    <xf applyAlignment="1" borderId="0" fillId="0" fontId="8" numFmtId="164" pivotButton="0" quotePrefix="0" xfId="0">
      <alignment vertical="center"/>
    </xf>
    <xf borderId="4" fillId="8" fontId="4" numFmtId="166" pivotButton="0" quotePrefix="0" xfId="1"/>
    <xf applyAlignment="1" borderId="0" fillId="8" fontId="4" numFmtId="166" pivotButton="0" quotePrefix="0" xfId="0">
      <alignment horizontal="center"/>
    </xf>
    <xf applyAlignment="1" borderId="0" fillId="0" fontId="4" numFmtId="164" pivotButton="0" quotePrefix="0" xfId="0">
      <alignment horizontal="center" vertical="center"/>
    </xf>
    <xf applyAlignment="1" borderId="76" fillId="0" fontId="4" numFmtId="171" pivotButton="0" quotePrefix="0" xfId="0">
      <alignment horizontal="right" vertical="center"/>
    </xf>
    <xf applyAlignment="1" borderId="76" fillId="0" fontId="4" numFmtId="166" pivotButton="0" quotePrefix="0" xfId="1">
      <alignment horizontal="center" vertical="center"/>
    </xf>
    <xf borderId="0" fillId="0" fontId="19" numFmtId="166" pivotButton="0" quotePrefix="0" xfId="1"/>
    <xf borderId="0" fillId="8" fontId="19" numFmtId="174" pivotButton="0" quotePrefix="0" xfId="1"/>
    <xf borderId="0" fillId="8" fontId="19" numFmtId="166" pivotButton="0" quotePrefix="0" xfId="1"/>
    <xf applyAlignment="1" borderId="0" fillId="0" fontId="19" numFmtId="166" pivotButton="0" quotePrefix="0" xfId="1">
      <alignment horizontal="center" vertical="center"/>
    </xf>
    <xf applyAlignment="1" borderId="0" fillId="0" fontId="19" numFmtId="175" pivotButton="0" quotePrefix="0" xfId="1">
      <alignment horizontal="center" vertical="center"/>
    </xf>
    <xf applyAlignment="1" borderId="77" fillId="0" fontId="4" numFmtId="171" pivotButton="0" quotePrefix="0" xfId="0">
      <alignment horizontal="right" vertical="center"/>
    </xf>
    <xf applyAlignment="1" borderId="77" fillId="0" fontId="4" numFmtId="166" pivotButton="0" quotePrefix="0" xfId="1">
      <alignment horizontal="center" vertical="center"/>
    </xf>
    <xf applyAlignment="1" borderId="17" fillId="0" fontId="4" numFmtId="171" pivotButton="0" quotePrefix="0" xfId="0">
      <alignment horizontal="right" vertical="center"/>
    </xf>
    <xf applyAlignment="1" borderId="17" fillId="0" fontId="4" numFmtId="166" pivotButton="0" quotePrefix="0" xfId="1">
      <alignment horizontal="center" vertical="center"/>
    </xf>
    <xf applyAlignment="1" borderId="0" fillId="0" fontId="4" numFmtId="171" pivotButton="0" quotePrefix="0" xfId="0">
      <alignment horizontal="right" vertical="center"/>
    </xf>
    <xf borderId="0" fillId="0" fontId="0" numFmtId="169" pivotButton="0" quotePrefix="0" xfId="0"/>
    <xf applyAlignment="1" borderId="76" fillId="0" fontId="13" numFmtId="169" pivotButton="0" quotePrefix="0" xfId="6">
      <alignment horizontal="center" vertical="center"/>
    </xf>
    <xf applyAlignment="1" borderId="76" fillId="8" fontId="13" numFmtId="169" pivotButton="0" quotePrefix="0" xfId="6">
      <alignment horizontal="center" vertical="center"/>
    </xf>
    <xf borderId="0" fillId="0" fontId="13" numFmtId="167" pivotButton="0" quotePrefix="0" xfId="0"/>
    <xf borderId="0" fillId="0" fontId="13" numFmtId="169" pivotButton="0" quotePrefix="0" xfId="0"/>
    <xf applyAlignment="1" borderId="0" fillId="0" fontId="0" numFmtId="166" pivotButton="0" quotePrefix="0" xfId="1">
      <alignment vertical="center"/>
    </xf>
    <xf applyAlignment="1" borderId="0" fillId="0" fontId="43" numFmtId="166" pivotButton="0" quotePrefix="0" xfId="10">
      <alignment vertical="center"/>
    </xf>
    <xf applyAlignment="1" borderId="76" fillId="0" fontId="8" numFmtId="166" pivotButton="0" quotePrefix="0" xfId="1">
      <alignment horizontal="right" vertical="center"/>
    </xf>
    <xf applyAlignment="1" borderId="109" fillId="0" fontId="4" numFmtId="165" pivotButton="0" quotePrefix="0" xfId="1">
      <alignment horizontal="right" vertical="center"/>
    </xf>
    <xf applyAlignment="1" borderId="5" fillId="0" fontId="4" numFmtId="166" pivotButton="0" quotePrefix="0" xfId="1">
      <alignment horizontal="right" vertical="center"/>
    </xf>
    <xf applyAlignment="1" borderId="0" fillId="0" fontId="0" numFmtId="166" pivotButton="0" quotePrefix="0" xfId="0">
      <alignment vertical="center"/>
    </xf>
    <xf applyAlignment="1" borderId="0" fillId="0" fontId="0" numFmtId="165" pivotButton="0" quotePrefix="0" xfId="0">
      <alignment vertical="center"/>
    </xf>
    <xf applyAlignment="1" borderId="76" fillId="5" fontId="7" numFmtId="166" pivotButton="0" quotePrefix="0" xfId="1">
      <alignment horizontal="right" vertical="center"/>
    </xf>
    <xf applyAlignment="1" borderId="109" fillId="0" fontId="10" numFmtId="165" pivotButton="0" quotePrefix="0" xfId="1">
      <alignment horizontal="right" vertical="center"/>
    </xf>
    <xf applyAlignment="1" borderId="5" fillId="0" fontId="10" numFmtId="166" pivotButton="0" quotePrefix="0" xfId="1">
      <alignment horizontal="right" vertical="center"/>
    </xf>
    <xf applyAlignment="1" borderId="0" fillId="0" fontId="10" numFmtId="165" pivotButton="0" quotePrefix="0" xfId="1">
      <alignment horizontal="right" vertical="center"/>
    </xf>
    <xf applyAlignment="1" borderId="0" fillId="0" fontId="10" numFmtId="166" pivotButton="0" quotePrefix="0" xfId="1">
      <alignment horizontal="center" vertical="center"/>
    </xf>
    <xf borderId="0" fillId="0" fontId="4" numFmtId="173" pivotButton="0" quotePrefix="0" xfId="0"/>
    <xf borderId="19" fillId="0" fontId="10" numFmtId="173" pivotButton="0" quotePrefix="0" xfId="0"/>
    <xf borderId="19" fillId="0" fontId="4" numFmtId="173" pivotButton="0" quotePrefix="0" xfId="0"/>
    <xf applyAlignment="1" borderId="86" fillId="0" fontId="22" numFmtId="176" pivotButton="0" quotePrefix="0" xfId="0">
      <alignment horizontal="center" vertical="center"/>
    </xf>
    <xf applyAlignment="1" borderId="86" fillId="0" fontId="32" numFmtId="176" pivotButton="0" quotePrefix="0" xfId="0">
      <alignment horizontal="center" vertical="center"/>
    </xf>
    <xf applyAlignment="1" borderId="83" fillId="0" fontId="22" numFmtId="177" pivotButton="0" quotePrefix="0" xfId="0">
      <alignment horizontal="center" vertical="center"/>
    </xf>
    <xf applyAlignment="1" borderId="83" fillId="0" fontId="22" numFmtId="173" pivotButton="0" quotePrefix="0" xfId="0">
      <alignment shrinkToFit="1" vertical="center"/>
    </xf>
    <xf borderId="0" fillId="0" fontId="0" numFmtId="174" pivotButton="0" quotePrefix="0" xfId="1"/>
    <xf applyAlignment="1" borderId="85" fillId="0" fontId="32" numFmtId="177" pivotButton="0" quotePrefix="0" xfId="1">
      <alignment horizontal="center" vertical="center"/>
    </xf>
    <xf applyAlignment="1" borderId="86" fillId="0" fontId="22" numFmtId="177" pivotButton="0" quotePrefix="0" xfId="1">
      <alignment horizontal="right" vertical="center"/>
    </xf>
    <xf applyAlignment="1" borderId="104" fillId="0" fontId="22" numFmtId="176" pivotButton="0" quotePrefix="0" xfId="0">
      <alignment horizontal="center" vertical="center"/>
    </xf>
    <xf applyAlignment="1" borderId="104" fillId="0" fontId="32" numFmtId="176" pivotButton="0" quotePrefix="0" xfId="0">
      <alignment horizontal="center" vertical="center"/>
    </xf>
    <xf applyAlignment="1" borderId="103" fillId="0" fontId="22" numFmtId="177" pivotButton="0" quotePrefix="0" xfId="0">
      <alignment horizontal="center" vertical="center"/>
    </xf>
    <xf applyAlignment="1" borderId="103" fillId="0" fontId="22" numFmtId="173" pivotButton="0" quotePrefix="0" xfId="1">
      <alignment shrinkToFit="1" vertical="center"/>
    </xf>
    <xf applyAlignment="1" borderId="134" fillId="0" fontId="32" numFmtId="177" pivotButton="0" quotePrefix="0" xfId="1">
      <alignment horizontal="center" vertical="center"/>
    </xf>
    <xf applyAlignment="1" borderId="104" fillId="0" fontId="22" numFmtId="177" pivotButton="0" quotePrefix="0" xfId="1">
      <alignment horizontal="right" vertical="center"/>
    </xf>
    <xf applyAlignment="1" borderId="108" fillId="0" fontId="8" numFmtId="166" pivotButton="0" quotePrefix="0" xfId="1">
      <alignment horizontal="right" vertical="center"/>
    </xf>
    <xf applyAlignment="1" borderId="111" fillId="0" fontId="4" numFmtId="166" pivotButton="0" quotePrefix="0" xfId="1">
      <alignment horizontal="right" vertical="center"/>
    </xf>
    <xf applyAlignment="1" borderId="108" fillId="5" fontId="7" numFmtId="166" pivotButton="0" quotePrefix="0" xfId="1">
      <alignment horizontal="right" vertical="center"/>
    </xf>
    <xf applyAlignment="1" borderId="0" fillId="0" fontId="0" numFmtId="172" pivotButton="0" quotePrefix="0" xfId="1">
      <alignment vertical="center"/>
    </xf>
    <xf applyAlignment="1" borderId="18" fillId="0" fontId="4" numFmtId="165" pivotButton="0" quotePrefix="0" xfId="1">
      <alignment horizontal="right" vertical="center"/>
    </xf>
    <xf applyAlignment="1" borderId="16" fillId="0" fontId="4" numFmtId="166" pivotButton="0" quotePrefix="0" xfId="1">
      <alignment horizontal="right" vertical="center"/>
    </xf>
    <xf applyAlignment="1" borderId="111" fillId="0" fontId="10" numFmtId="166" pivotButton="0" quotePrefix="0" xfId="1">
      <alignment horizontal="right" vertical="center"/>
    </xf>
    <xf borderId="0" fillId="0" fontId="0" numFmtId="172" pivotButton="0" quotePrefix="0" xfId="0"/>
    <xf applyAlignment="1" borderId="0" fillId="0" fontId="16" numFmtId="165" pivotButton="0" quotePrefix="0" xfId="0">
      <alignment vertical="center"/>
    </xf>
    <xf applyAlignment="1" borderId="0" fillId="0" fontId="0" numFmtId="172" pivotButton="0" quotePrefix="0" xfId="0">
      <alignment vertical="center"/>
    </xf>
    <xf applyAlignment="1" borderId="0" fillId="0" fontId="19" numFmtId="172" pivotButton="0" quotePrefix="0" xfId="0">
      <alignment vertical="center"/>
    </xf>
    <xf applyAlignment="1" borderId="76" fillId="20" fontId="8" numFmtId="166" pivotButton="0" quotePrefix="0" xfId="0">
      <alignment horizontal="center" vertical="center" wrapText="1"/>
    </xf>
  </cellXfs>
  <cellStyles count="15">
    <cellStyle builtinId="0" name="표준" xfId="0"/>
    <cellStyle builtinId="6" name="쉼표 [0]" xfId="1"/>
    <cellStyle name="표준_Sheet1" xfId="2"/>
    <cellStyle name="표준_Sheet1_1" xfId="3"/>
    <cellStyle name="표준 2" xfId="4"/>
    <cellStyle name="표준_Sheet1 2" xfId="5"/>
    <cellStyle name="표준 3" xfId="6"/>
    <cellStyle name="쉼표 [0] 2" xfId="7"/>
    <cellStyle name="표준 4" xfId="8"/>
    <cellStyle name="쉼표 [0] 3" xfId="9"/>
    <cellStyle builtinId="33" name="강조색2" xfId="10"/>
    <cellStyle name="쉼표 [0] 4" xfId="11"/>
    <cellStyle name="쉼표 [0] 2 2" xfId="12"/>
    <cellStyle name="표준 4 2" xfId="13"/>
    <cellStyle name="쉼표 [0] 3 2" xfId="14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styles.xml" Type="http://schemas.openxmlformats.org/officeDocument/2006/relationships/styles" /><Relationship Id="rId17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_rels/drawing4.xml.rels><Relationships xmlns="http://schemas.openxmlformats.org/package/2006/relationships"><Relationship Id="rId1" Target="/xl/media/image6.png" Type="http://schemas.openxmlformats.org/officeDocument/2006/relationships/image" /><Relationship Id="rId2" Target="/xl/media/image7.png" Type="http://schemas.openxmlformats.org/officeDocument/2006/relationships/image" /></Relationships>
</file>

<file path=xl/drawings/_rels/drawing5.xml.rels><Relationships xmlns="http://schemas.openxmlformats.org/package/2006/relationships"><Relationship Id="rId1" Target="/xl/media/image8.png" Type="http://schemas.openxmlformats.org/officeDocument/2006/relationships/image" /><Relationship Id="rId2" Target="/xl/media/image9.png" Type="http://schemas.openxmlformats.org/officeDocument/2006/relationships/image" /></Relationships>
</file>

<file path=xl/drawings/_rels/drawing6.xml.rels><Relationships xmlns="http://schemas.openxmlformats.org/package/2006/relationships"><Relationship Id="rId1" Target="/xl/media/image10.png" Type="http://schemas.openxmlformats.org/officeDocument/2006/relationships/image" /><Relationship Id="rId2" Target="/xl/media/image11.png" Type="http://schemas.openxmlformats.org/officeDocument/2006/relationships/image" /></Relationships>
</file>

<file path=xl/drawings/_rels/drawing7.xml.rels><Relationships xmlns="http://schemas.openxmlformats.org/package/2006/relationships"><Relationship Id="rId1" Target="/xl/media/image12.png" Type="http://schemas.openxmlformats.org/officeDocument/2006/relationships/image" /><Relationship Id="rId2" Target="/xl/media/image13.png" Type="http://schemas.openxmlformats.org/officeDocument/2006/relationships/image" /></Relationships>
</file>

<file path=xl/drawings/_rels/drawing8.xml.rels><Relationships xmlns="http://schemas.openxmlformats.org/package/2006/relationships"><Relationship Id="rId1" Target="/xl/media/image14.png" Type="http://schemas.openxmlformats.org/officeDocument/2006/relationships/image" /><Relationship Id="rId2" Target="/xl/media/image15.png" Type="http://schemas.openxmlformats.org/officeDocument/2006/relationships/image" /></Relationships>
</file>

<file path=xl/drawings/_rels/drawing9.xml.rels><Relationships xmlns="http://schemas.openxmlformats.org/package/2006/relationships"><Relationship Id="rId1" Target="/xl/media/image16.png" Type="http://schemas.openxmlformats.org/officeDocument/2006/relationships/image" /><Relationship Id="rId2" Target="/xl/media/image17.png" Type="http://schemas.openxmlformats.org/officeDocument/2006/relationships/image" /><Relationship Id="rId3" Target="/xl/media/image18.png" Type="http://schemas.openxmlformats.org/officeDocument/2006/relationships/image" /><Relationship Id="rId4" Target="/xl/media/image19.png" Type="http://schemas.openxmlformats.org/officeDocument/2006/relationships/image" /><Relationship Id="rId5" Target="/xl/media/image20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12</col>
      <colOff>0</colOff>
      <row>7</row>
      <rowOff>0</rowOff>
    </from>
    <to>
      <col>12</col>
      <colOff>715061</colOff>
      <row>9</row>
      <rowOff>192404</rowOff>
    </to>
    <pic>
      <nvPicPr>
        <cNvPr id="2" name="그림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2630150" y="1381125"/>
          <a:ext cx="715061" cy="687704"/>
        </a:xfrm>
        <a:prstGeom prst="rect">
          <avLst/>
        </a:prstGeom>
        <a:ln>
          <a:prstDash val="solid"/>
        </a:ln>
      </spPr>
    </pic>
    <clientData/>
  </two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40</row>
      <rowOff>0</rowOff>
    </from>
    <ext cx="2952750" cy="1905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</row>
      <rowOff>0</rowOff>
    </from>
    <ext cx="2952750" cy="1905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173355</colOff>
      <row>21</row>
      <rowOff>36195</rowOff>
    </from>
    <to>
      <col>17</col>
      <colOff>88316</colOff>
      <row>25</row>
      <rowOff>19049</rowOff>
    </to>
    <pic>
      <nvPicPr>
        <cNvPr id="2" name="그림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2773680" y="4027170"/>
          <a:ext cx="715061" cy="68770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190500</colOff>
      <row>47</row>
      <rowOff>19050</rowOff>
    </from>
    <to>
      <col>17</col>
      <colOff>105461</colOff>
      <row>51</row>
      <rowOff>1904</rowOff>
    </to>
    <pic>
      <nvPicPr>
        <cNvPr id="6" name="그림 5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790825" y="8534400"/>
          <a:ext cx="715061" cy="687704"/>
        </a:xfrm>
        <a:prstGeom prst="rect">
          <avLst/>
        </a:prstGeom>
        <a:ln>
          <a:prstDash val="solid"/>
        </a:ln>
      </spPr>
    </pic>
    <clientData/>
  </two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171450</colOff>
      <row>21</row>
      <rowOff>19050</rowOff>
    </from>
    <to>
      <col>17</col>
      <colOff>86411</colOff>
      <row>25</row>
      <rowOff>1904</rowOff>
    </to>
    <pic>
      <nvPicPr>
        <cNvPr id="2" name="그림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2771775" y="4010025"/>
          <a:ext cx="715061" cy="68770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171450</colOff>
      <row>47</row>
      <rowOff>28575</rowOff>
    </from>
    <to>
      <col>17</col>
      <colOff>86411</colOff>
      <row>51</row>
      <rowOff>11429</rowOff>
    </to>
    <pic>
      <nvPicPr>
        <cNvPr id="3" name="그림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771775" y="8543925"/>
          <a:ext cx="715061" cy="687704"/>
        </a:xfrm>
        <a:prstGeom prst="rect">
          <avLst/>
        </a:prstGeom>
        <a:ln>
          <a:prstDash val="solid"/>
        </a:ln>
      </spPr>
    </pic>
    <clientData/>
  </two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14</col>
      <colOff>0</colOff>
      <row>21</row>
      <rowOff>28575</rowOff>
    </from>
    <to>
      <col>17</col>
      <colOff>114986</colOff>
      <row>25</row>
      <rowOff>11429</rowOff>
    </to>
    <pic>
      <nvPicPr>
        <cNvPr id="2" name="그림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2800350" y="4019550"/>
          <a:ext cx="715061" cy="68770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14</col>
      <colOff>19050</colOff>
      <row>47</row>
      <rowOff>38100</rowOff>
    </from>
    <to>
      <col>17</col>
      <colOff>134036</colOff>
      <row>51</row>
      <rowOff>20954</rowOff>
    </to>
    <pic>
      <nvPicPr>
        <cNvPr id="3" name="그림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19400" y="8553450"/>
          <a:ext cx="715061" cy="687704"/>
        </a:xfrm>
        <a:prstGeom prst="rect">
          <avLst/>
        </a:prstGeom>
        <a:ln>
          <a:prstDash val="solid"/>
        </a:ln>
      </spPr>
    </pic>
    <clientData/>
  </two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142875</colOff>
      <row>21</row>
      <rowOff>9525</rowOff>
    </from>
    <to>
      <col>17</col>
      <colOff>57836</colOff>
      <row>24</row>
      <rowOff>163829</rowOff>
    </to>
    <pic>
      <nvPicPr>
        <cNvPr id="2" name="그림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2743200" y="4000500"/>
          <a:ext cx="715061" cy="68770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180975</colOff>
      <row>47</row>
      <rowOff>9525</rowOff>
    </from>
    <to>
      <col>17</col>
      <colOff>95936</colOff>
      <row>50</row>
      <rowOff>163829</rowOff>
    </to>
    <pic>
      <nvPicPr>
        <cNvPr id="3" name="그림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781300" y="8524875"/>
          <a:ext cx="715061" cy="687704"/>
        </a:xfrm>
        <a:prstGeom prst="rect">
          <avLst/>
        </a:prstGeom>
        <a:ln>
          <a:prstDash val="solid"/>
        </a:ln>
      </spPr>
    </pic>
    <clientData/>
  </two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190500</colOff>
      <row>21</row>
      <rowOff>9525</rowOff>
    </from>
    <to>
      <col>17</col>
      <colOff>105461</colOff>
      <row>24</row>
      <rowOff>163829</rowOff>
    </to>
    <pic>
      <nvPicPr>
        <cNvPr id="2" name="그림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2790825" y="4000500"/>
          <a:ext cx="715061" cy="68770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190500</colOff>
      <row>47</row>
      <rowOff>19050</rowOff>
    </from>
    <to>
      <col>17</col>
      <colOff>105461</colOff>
      <row>51</row>
      <rowOff>1904</rowOff>
    </to>
    <pic>
      <nvPicPr>
        <cNvPr id="3" name="그림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790825" y="8534400"/>
          <a:ext cx="715061" cy="687704"/>
        </a:xfrm>
        <a:prstGeom prst="rect">
          <avLst/>
        </a:prstGeom>
        <a:ln>
          <a:prstDash val="solid"/>
        </a:ln>
      </spPr>
    </pic>
    <clientData/>
  </two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171450</colOff>
      <row>21</row>
      <rowOff>38100</rowOff>
    </from>
    <to>
      <col>17</col>
      <colOff>86411</colOff>
      <row>25</row>
      <rowOff>20954</rowOff>
    </to>
    <pic>
      <nvPicPr>
        <cNvPr id="2" name="그림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2771775" y="4029075"/>
          <a:ext cx="715061" cy="68770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14</col>
      <colOff>28575</colOff>
      <row>47</row>
      <rowOff>28575</rowOff>
    </from>
    <to>
      <col>17</col>
      <colOff>143561</colOff>
      <row>51</row>
      <rowOff>11429</rowOff>
    </to>
    <pic>
      <nvPicPr>
        <cNvPr id="3" name="그림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28925" y="8543925"/>
          <a:ext cx="715061" cy="687704"/>
        </a:xfrm>
        <a:prstGeom prst="rect">
          <avLst/>
        </a:prstGeom>
        <a:ln>
          <a:prstDash val="solid"/>
        </a:ln>
      </spPr>
    </pic>
    <clientData/>
  </two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14</col>
      <colOff>0</colOff>
      <row>21</row>
      <rowOff>28575</rowOff>
    </from>
    <to>
      <col>17</col>
      <colOff>114986</colOff>
      <row>25</row>
      <rowOff>11429</rowOff>
    </to>
    <pic>
      <nvPicPr>
        <cNvPr id="2" name="그림 1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2800350" y="4019550"/>
          <a:ext cx="715061" cy="687704"/>
        </a:xfrm>
        <a:prstGeom prst="rect">
          <avLst/>
        </a:prstGeom>
        <a:ln>
          <a:prstDash val="solid"/>
        </a:ln>
      </spPr>
    </pic>
    <clientData/>
  </twoCellAnchor>
  <oneCellAnchor>
    <from>
      <col>13</col>
      <colOff>152400</colOff>
      <row>97</row>
      <rowOff>28575</rowOff>
    </from>
    <ext cx="715061" cy="687704"/>
    <pic>
      <nvPicPr>
        <cNvPr id="6" name="그림 5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2752725" y="17592675"/>
          <a:ext cx="715061" cy="687704"/>
        </a:xfrm>
        <a:prstGeom prst="rect">
          <avLst/>
        </a:prstGeom>
        <a:ln>
          <a:prstDash val="solid"/>
        </a:ln>
      </spPr>
    </pic>
    <clientData/>
  </oneCellAnchor>
  <oneCellAnchor>
    <from>
      <col>13</col>
      <colOff>152400</colOff>
      <row>97</row>
      <rowOff>28575</rowOff>
    </from>
    <ext cx="715061" cy="687704"/>
    <pic>
      <nvPicPr>
        <cNvPr id="7" name="그림 6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752725" y="17592675"/>
          <a:ext cx="715061" cy="687704"/>
        </a:xfrm>
        <a:prstGeom prst="rect">
          <avLst/>
        </a:prstGeom>
        <a:ln>
          <a:prstDash val="solid"/>
        </a:ln>
      </spPr>
    </pic>
    <clientData/>
  </oneCellAnchor>
  <oneCellAnchor>
    <from>
      <col>14</col>
      <colOff>0</colOff>
      <row>46</row>
      <rowOff>28575</rowOff>
    </from>
    <ext cx="715061" cy="687704"/>
    <pic>
      <nvPicPr>
        <cNvPr id="8" name="그림 7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2800350" y="4019550"/>
          <a:ext cx="715061" cy="687704"/>
        </a:xfrm>
        <a:prstGeom prst="rect">
          <avLst/>
        </a:prstGeom>
        <a:ln>
          <a:prstDash val="solid"/>
        </a:ln>
      </spPr>
    </pic>
    <clientData/>
  </oneCellAnchor>
  <oneCellAnchor>
    <from>
      <col>14</col>
      <colOff>0</colOff>
      <row>72</row>
      <rowOff>28575</rowOff>
    </from>
    <ext cx="715061" cy="687704"/>
    <pic>
      <nvPicPr>
        <cNvPr id="10" name="그림 9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2800350" y="8372475"/>
          <a:ext cx="715061" cy="687704"/>
        </a:xfrm>
        <a:prstGeom prst="rect">
          <avLst/>
        </a:prstGeom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6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7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8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_rels/sheet9.xml.rels><Relationships xmlns="http://schemas.openxmlformats.org/package/2006/relationships"><Relationship Id="rId1" Target="/xl/drawings/drawing5.xml" Type="http://schemas.openxmlformats.org/officeDocument/2006/relationships/drawing" /></Relationships>
</file>

<file path=xl/worksheets/_rels/sheet10.xml.rels><Relationships xmlns="http://schemas.openxmlformats.org/package/2006/relationships"><Relationship Id="rId1" Target="/xl/drawings/drawing6.xml" Type="http://schemas.openxmlformats.org/officeDocument/2006/relationships/drawing" /></Relationships>
</file>

<file path=xl/worksheets/_rels/sheet11.xml.rels><Relationships xmlns="http://schemas.openxmlformats.org/package/2006/relationships"><Relationship Id="rId1" Target="/xl/drawings/drawing7.xml" Type="http://schemas.openxmlformats.org/officeDocument/2006/relationships/drawing" /></Relationships>
</file>

<file path=xl/worksheets/_rels/sheet12.xml.rels><Relationships xmlns="http://schemas.openxmlformats.org/package/2006/relationships"><Relationship Id="rId1" Target="/xl/drawings/drawing8.xml" Type="http://schemas.openxmlformats.org/officeDocument/2006/relationships/drawing" /></Relationships>
</file>

<file path=xl/worksheets/_rels/sheet13.xml.rels><Relationships xmlns="http://schemas.openxmlformats.org/package/2006/relationships"><Relationship Id="rId1" Target="/xl/drawings/drawing9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R35"/>
  <sheetViews>
    <sheetView topLeftCell="A5" workbookViewId="0">
      <selection activeCell="M18" sqref="M18"/>
    </sheetView>
  </sheetViews>
  <sheetFormatPr baseColWidth="8" defaultColWidth="8.77734375" defaultRowHeight="12"/>
  <cols>
    <col customWidth="1" max="1" min="1" style="103" width="17.109375"/>
    <col customWidth="1" max="2" min="2" style="103" width="10.77734375"/>
    <col customWidth="1" max="3" min="3" style="103" width="5.33203125"/>
    <col customWidth="1" max="4" min="4" style="103" width="10.44140625"/>
    <col customWidth="1" max="5" min="5" style="113" width="37.109375"/>
    <col customWidth="1" max="6" min="6" style="103" width="14.77734375"/>
    <col customWidth="1" max="7" min="7" style="103" width="10.6640625"/>
    <col customWidth="1" max="8" min="8" style="114" width="3.77734375"/>
    <col customWidth="1" max="9" min="9" style="103" width="9.77734375"/>
    <col customWidth="1" max="10" min="10" style="103" width="8.77734375"/>
    <col bestFit="1" customWidth="1" max="11" min="11" style="103" width="9.44140625"/>
    <col bestFit="1" customWidth="1" max="12" min="12" style="103" width="9.33203125"/>
    <col bestFit="1" customWidth="1" max="13" min="13" style="103" width="9.21875"/>
    <col customWidth="1" max="255" min="14" style="103" width="8.77734375"/>
    <col customWidth="1" max="256" min="256" style="103" width="17.109375"/>
    <col customWidth="1" max="257" min="257" style="103" width="9.44140625"/>
    <col customWidth="1" max="258" min="258" style="103" width="5.33203125"/>
    <col customWidth="1" max="259" min="259" style="103" width="10.44140625"/>
    <col customWidth="1" max="260" min="260" style="103" width="37.109375"/>
    <col customWidth="1" max="261" min="261" style="103" width="12.77734375"/>
    <col customWidth="1" max="262" min="262" style="103" width="10.6640625"/>
    <col customWidth="1" max="263" min="263" style="103" width="3.77734375"/>
    <col customWidth="1" max="264" min="264" style="103" width="9.109375"/>
    <col customWidth="1" max="265" min="265" style="103" width="8.77734375"/>
    <col customWidth="1" max="266" min="266" style="103" width="9"/>
    <col customWidth="1" max="511" min="267" style="103" width="8.77734375"/>
    <col customWidth="1" max="512" min="512" style="103" width="17.109375"/>
    <col customWidth="1" max="513" min="513" style="103" width="9.44140625"/>
    <col customWidth="1" max="514" min="514" style="103" width="5.33203125"/>
    <col customWidth="1" max="515" min="515" style="103" width="10.44140625"/>
    <col customWidth="1" max="516" min="516" style="103" width="37.109375"/>
    <col customWidth="1" max="517" min="517" style="103" width="12.77734375"/>
    <col customWidth="1" max="518" min="518" style="103" width="10.6640625"/>
    <col customWidth="1" max="519" min="519" style="103" width="3.77734375"/>
    <col customWidth="1" max="520" min="520" style="103" width="9.109375"/>
    <col customWidth="1" max="521" min="521" style="103" width="8.77734375"/>
    <col customWidth="1" max="522" min="522" style="103" width="9"/>
    <col customWidth="1" max="767" min="523" style="103" width="8.77734375"/>
    <col customWidth="1" max="768" min="768" style="103" width="17.109375"/>
    <col customWidth="1" max="769" min="769" style="103" width="9.44140625"/>
    <col customWidth="1" max="770" min="770" style="103" width="5.33203125"/>
    <col customWidth="1" max="771" min="771" style="103" width="10.44140625"/>
    <col customWidth="1" max="772" min="772" style="103" width="37.109375"/>
    <col customWidth="1" max="773" min="773" style="103" width="12.77734375"/>
    <col customWidth="1" max="774" min="774" style="103" width="10.6640625"/>
    <col customWidth="1" max="775" min="775" style="103" width="3.77734375"/>
    <col customWidth="1" max="776" min="776" style="103" width="9.109375"/>
    <col customWidth="1" max="777" min="777" style="103" width="8.77734375"/>
    <col customWidth="1" max="778" min="778" style="103" width="9"/>
    <col customWidth="1" max="1023" min="779" style="103" width="8.77734375"/>
    <col customWidth="1" max="1024" min="1024" style="103" width="17.109375"/>
    <col customWidth="1" max="1025" min="1025" style="103" width="9.44140625"/>
    <col customWidth="1" max="1026" min="1026" style="103" width="5.33203125"/>
    <col customWidth="1" max="1027" min="1027" style="103" width="10.44140625"/>
    <col customWidth="1" max="1028" min="1028" style="103" width="37.109375"/>
    <col customWidth="1" max="1029" min="1029" style="103" width="12.77734375"/>
    <col customWidth="1" max="1030" min="1030" style="103" width="10.6640625"/>
    <col customWidth="1" max="1031" min="1031" style="103" width="3.77734375"/>
    <col customWidth="1" max="1032" min="1032" style="103" width="9.109375"/>
    <col customWidth="1" max="1033" min="1033" style="103" width="8.77734375"/>
    <col customWidth="1" max="1034" min="1034" style="103" width="9"/>
    <col customWidth="1" max="1279" min="1035" style="103" width="8.77734375"/>
    <col customWidth="1" max="1280" min="1280" style="103" width="17.109375"/>
    <col customWidth="1" max="1281" min="1281" style="103" width="9.44140625"/>
    <col customWidth="1" max="1282" min="1282" style="103" width="5.33203125"/>
    <col customWidth="1" max="1283" min="1283" style="103" width="10.44140625"/>
    <col customWidth="1" max="1284" min="1284" style="103" width="37.109375"/>
    <col customWidth="1" max="1285" min="1285" style="103" width="12.77734375"/>
    <col customWidth="1" max="1286" min="1286" style="103" width="10.6640625"/>
    <col customWidth="1" max="1287" min="1287" style="103" width="3.77734375"/>
    <col customWidth="1" max="1288" min="1288" style="103" width="9.109375"/>
    <col customWidth="1" max="1289" min="1289" style="103" width="8.77734375"/>
    <col customWidth="1" max="1290" min="1290" style="103" width="9"/>
    <col customWidth="1" max="1535" min="1291" style="103" width="8.77734375"/>
    <col customWidth="1" max="1536" min="1536" style="103" width="17.109375"/>
    <col customWidth="1" max="1537" min="1537" style="103" width="9.44140625"/>
    <col customWidth="1" max="1538" min="1538" style="103" width="5.33203125"/>
    <col customWidth="1" max="1539" min="1539" style="103" width="10.44140625"/>
    <col customWidth="1" max="1540" min="1540" style="103" width="37.109375"/>
    <col customWidth="1" max="1541" min="1541" style="103" width="12.77734375"/>
    <col customWidth="1" max="1542" min="1542" style="103" width="10.6640625"/>
    <col customWidth="1" max="1543" min="1543" style="103" width="3.77734375"/>
    <col customWidth="1" max="1544" min="1544" style="103" width="9.109375"/>
    <col customWidth="1" max="1545" min="1545" style="103" width="8.77734375"/>
    <col customWidth="1" max="1546" min="1546" style="103" width="9"/>
    <col customWidth="1" max="1791" min="1547" style="103" width="8.77734375"/>
    <col customWidth="1" max="1792" min="1792" style="103" width="17.109375"/>
    <col customWidth="1" max="1793" min="1793" style="103" width="9.44140625"/>
    <col customWidth="1" max="1794" min="1794" style="103" width="5.33203125"/>
    <col customWidth="1" max="1795" min="1795" style="103" width="10.44140625"/>
    <col customWidth="1" max="1796" min="1796" style="103" width="37.109375"/>
    <col customWidth="1" max="1797" min="1797" style="103" width="12.77734375"/>
    <col customWidth="1" max="1798" min="1798" style="103" width="10.6640625"/>
    <col customWidth="1" max="1799" min="1799" style="103" width="3.77734375"/>
    <col customWidth="1" max="1800" min="1800" style="103" width="9.109375"/>
    <col customWidth="1" max="1801" min="1801" style="103" width="8.77734375"/>
    <col customWidth="1" max="1802" min="1802" style="103" width="9"/>
    <col customWidth="1" max="2047" min="1803" style="103" width="8.77734375"/>
    <col customWidth="1" max="2048" min="2048" style="103" width="17.109375"/>
    <col customWidth="1" max="2049" min="2049" style="103" width="9.44140625"/>
    <col customWidth="1" max="2050" min="2050" style="103" width="5.33203125"/>
    <col customWidth="1" max="2051" min="2051" style="103" width="10.44140625"/>
    <col customWidth="1" max="2052" min="2052" style="103" width="37.109375"/>
    <col customWidth="1" max="2053" min="2053" style="103" width="12.77734375"/>
    <col customWidth="1" max="2054" min="2054" style="103" width="10.6640625"/>
    <col customWidth="1" max="2055" min="2055" style="103" width="3.77734375"/>
    <col customWidth="1" max="2056" min="2056" style="103" width="9.109375"/>
    <col customWidth="1" max="2057" min="2057" style="103" width="8.77734375"/>
    <col customWidth="1" max="2058" min="2058" style="103" width="9"/>
    <col customWidth="1" max="2303" min="2059" style="103" width="8.77734375"/>
    <col customWidth="1" max="2304" min="2304" style="103" width="17.109375"/>
    <col customWidth="1" max="2305" min="2305" style="103" width="9.44140625"/>
    <col customWidth="1" max="2306" min="2306" style="103" width="5.33203125"/>
    <col customWidth="1" max="2307" min="2307" style="103" width="10.44140625"/>
    <col customWidth="1" max="2308" min="2308" style="103" width="37.109375"/>
    <col customWidth="1" max="2309" min="2309" style="103" width="12.77734375"/>
    <col customWidth="1" max="2310" min="2310" style="103" width="10.6640625"/>
    <col customWidth="1" max="2311" min="2311" style="103" width="3.77734375"/>
    <col customWidth="1" max="2312" min="2312" style="103" width="9.109375"/>
    <col customWidth="1" max="2313" min="2313" style="103" width="8.77734375"/>
    <col customWidth="1" max="2314" min="2314" style="103" width="9"/>
    <col customWidth="1" max="2559" min="2315" style="103" width="8.77734375"/>
    <col customWidth="1" max="2560" min="2560" style="103" width="17.109375"/>
    <col customWidth="1" max="2561" min="2561" style="103" width="9.44140625"/>
    <col customWidth="1" max="2562" min="2562" style="103" width="5.33203125"/>
    <col customWidth="1" max="2563" min="2563" style="103" width="10.44140625"/>
    <col customWidth="1" max="2564" min="2564" style="103" width="37.109375"/>
    <col customWidth="1" max="2565" min="2565" style="103" width="12.77734375"/>
    <col customWidth="1" max="2566" min="2566" style="103" width="10.6640625"/>
    <col customWidth="1" max="2567" min="2567" style="103" width="3.77734375"/>
    <col customWidth="1" max="2568" min="2568" style="103" width="9.109375"/>
    <col customWidth="1" max="2569" min="2569" style="103" width="8.77734375"/>
    <col customWidth="1" max="2570" min="2570" style="103" width="9"/>
    <col customWidth="1" max="2815" min="2571" style="103" width="8.77734375"/>
    <col customWidth="1" max="2816" min="2816" style="103" width="17.109375"/>
    <col customWidth="1" max="2817" min="2817" style="103" width="9.44140625"/>
    <col customWidth="1" max="2818" min="2818" style="103" width="5.33203125"/>
    <col customWidth="1" max="2819" min="2819" style="103" width="10.44140625"/>
    <col customWidth="1" max="2820" min="2820" style="103" width="37.109375"/>
    <col customWidth="1" max="2821" min="2821" style="103" width="12.77734375"/>
    <col customWidth="1" max="2822" min="2822" style="103" width="10.6640625"/>
    <col customWidth="1" max="2823" min="2823" style="103" width="3.77734375"/>
    <col customWidth="1" max="2824" min="2824" style="103" width="9.109375"/>
    <col customWidth="1" max="2825" min="2825" style="103" width="8.77734375"/>
    <col customWidth="1" max="2826" min="2826" style="103" width="9"/>
    <col customWidth="1" max="3071" min="2827" style="103" width="8.77734375"/>
    <col customWidth="1" max="3072" min="3072" style="103" width="17.109375"/>
    <col customWidth="1" max="3073" min="3073" style="103" width="9.44140625"/>
    <col customWidth="1" max="3074" min="3074" style="103" width="5.33203125"/>
    <col customWidth="1" max="3075" min="3075" style="103" width="10.44140625"/>
    <col customWidth="1" max="3076" min="3076" style="103" width="37.109375"/>
    <col customWidth="1" max="3077" min="3077" style="103" width="12.77734375"/>
    <col customWidth="1" max="3078" min="3078" style="103" width="10.6640625"/>
    <col customWidth="1" max="3079" min="3079" style="103" width="3.77734375"/>
    <col customWidth="1" max="3080" min="3080" style="103" width="9.109375"/>
    <col customWidth="1" max="3081" min="3081" style="103" width="8.77734375"/>
    <col customWidth="1" max="3082" min="3082" style="103" width="9"/>
    <col customWidth="1" max="3327" min="3083" style="103" width="8.77734375"/>
    <col customWidth="1" max="3328" min="3328" style="103" width="17.109375"/>
    <col customWidth="1" max="3329" min="3329" style="103" width="9.44140625"/>
    <col customWidth="1" max="3330" min="3330" style="103" width="5.33203125"/>
    <col customWidth="1" max="3331" min="3331" style="103" width="10.44140625"/>
    <col customWidth="1" max="3332" min="3332" style="103" width="37.109375"/>
    <col customWidth="1" max="3333" min="3333" style="103" width="12.77734375"/>
    <col customWidth="1" max="3334" min="3334" style="103" width="10.6640625"/>
    <col customWidth="1" max="3335" min="3335" style="103" width="3.77734375"/>
    <col customWidth="1" max="3336" min="3336" style="103" width="9.109375"/>
    <col customWidth="1" max="3337" min="3337" style="103" width="8.77734375"/>
    <col customWidth="1" max="3338" min="3338" style="103" width="9"/>
    <col customWidth="1" max="3583" min="3339" style="103" width="8.77734375"/>
    <col customWidth="1" max="3584" min="3584" style="103" width="17.109375"/>
    <col customWidth="1" max="3585" min="3585" style="103" width="9.44140625"/>
    <col customWidth="1" max="3586" min="3586" style="103" width="5.33203125"/>
    <col customWidth="1" max="3587" min="3587" style="103" width="10.44140625"/>
    <col customWidth="1" max="3588" min="3588" style="103" width="37.109375"/>
    <col customWidth="1" max="3589" min="3589" style="103" width="12.77734375"/>
    <col customWidth="1" max="3590" min="3590" style="103" width="10.6640625"/>
    <col customWidth="1" max="3591" min="3591" style="103" width="3.77734375"/>
    <col customWidth="1" max="3592" min="3592" style="103" width="9.109375"/>
    <col customWidth="1" max="3593" min="3593" style="103" width="8.77734375"/>
    <col customWidth="1" max="3594" min="3594" style="103" width="9"/>
    <col customWidth="1" max="3839" min="3595" style="103" width="8.77734375"/>
    <col customWidth="1" max="3840" min="3840" style="103" width="17.109375"/>
    <col customWidth="1" max="3841" min="3841" style="103" width="9.44140625"/>
    <col customWidth="1" max="3842" min="3842" style="103" width="5.33203125"/>
    <col customWidth="1" max="3843" min="3843" style="103" width="10.44140625"/>
    <col customWidth="1" max="3844" min="3844" style="103" width="37.109375"/>
    <col customWidth="1" max="3845" min="3845" style="103" width="12.77734375"/>
    <col customWidth="1" max="3846" min="3846" style="103" width="10.6640625"/>
    <col customWidth="1" max="3847" min="3847" style="103" width="3.77734375"/>
    <col customWidth="1" max="3848" min="3848" style="103" width="9.109375"/>
    <col customWidth="1" max="3849" min="3849" style="103" width="8.77734375"/>
    <col customWidth="1" max="3850" min="3850" style="103" width="9"/>
    <col customWidth="1" max="4095" min="3851" style="103" width="8.77734375"/>
    <col customWidth="1" max="4096" min="4096" style="103" width="17.109375"/>
    <col customWidth="1" max="4097" min="4097" style="103" width="9.44140625"/>
    <col customWidth="1" max="4098" min="4098" style="103" width="5.33203125"/>
    <col customWidth="1" max="4099" min="4099" style="103" width="10.44140625"/>
    <col customWidth="1" max="4100" min="4100" style="103" width="37.109375"/>
    <col customWidth="1" max="4101" min="4101" style="103" width="12.77734375"/>
    <col customWidth="1" max="4102" min="4102" style="103" width="10.6640625"/>
    <col customWidth="1" max="4103" min="4103" style="103" width="3.77734375"/>
    <col customWidth="1" max="4104" min="4104" style="103" width="9.109375"/>
    <col customWidth="1" max="4105" min="4105" style="103" width="8.77734375"/>
    <col customWidth="1" max="4106" min="4106" style="103" width="9"/>
    <col customWidth="1" max="4351" min="4107" style="103" width="8.77734375"/>
    <col customWidth="1" max="4352" min="4352" style="103" width="17.109375"/>
    <col customWidth="1" max="4353" min="4353" style="103" width="9.44140625"/>
    <col customWidth="1" max="4354" min="4354" style="103" width="5.33203125"/>
    <col customWidth="1" max="4355" min="4355" style="103" width="10.44140625"/>
    <col customWidth="1" max="4356" min="4356" style="103" width="37.109375"/>
    <col customWidth="1" max="4357" min="4357" style="103" width="12.77734375"/>
    <col customWidth="1" max="4358" min="4358" style="103" width="10.6640625"/>
    <col customWidth="1" max="4359" min="4359" style="103" width="3.77734375"/>
    <col customWidth="1" max="4360" min="4360" style="103" width="9.109375"/>
    <col customWidth="1" max="4361" min="4361" style="103" width="8.77734375"/>
    <col customWidth="1" max="4362" min="4362" style="103" width="9"/>
    <col customWidth="1" max="4607" min="4363" style="103" width="8.77734375"/>
    <col customWidth="1" max="4608" min="4608" style="103" width="17.109375"/>
    <col customWidth="1" max="4609" min="4609" style="103" width="9.44140625"/>
    <col customWidth="1" max="4610" min="4610" style="103" width="5.33203125"/>
    <col customWidth="1" max="4611" min="4611" style="103" width="10.44140625"/>
    <col customWidth="1" max="4612" min="4612" style="103" width="37.109375"/>
    <col customWidth="1" max="4613" min="4613" style="103" width="12.77734375"/>
    <col customWidth="1" max="4614" min="4614" style="103" width="10.6640625"/>
    <col customWidth="1" max="4615" min="4615" style="103" width="3.77734375"/>
    <col customWidth="1" max="4616" min="4616" style="103" width="9.109375"/>
    <col customWidth="1" max="4617" min="4617" style="103" width="8.77734375"/>
    <col customWidth="1" max="4618" min="4618" style="103" width="9"/>
    <col customWidth="1" max="4863" min="4619" style="103" width="8.77734375"/>
    <col customWidth="1" max="4864" min="4864" style="103" width="17.109375"/>
    <col customWidth="1" max="4865" min="4865" style="103" width="9.44140625"/>
    <col customWidth="1" max="4866" min="4866" style="103" width="5.33203125"/>
    <col customWidth="1" max="4867" min="4867" style="103" width="10.44140625"/>
    <col customWidth="1" max="4868" min="4868" style="103" width="37.109375"/>
    <col customWidth="1" max="4869" min="4869" style="103" width="12.77734375"/>
    <col customWidth="1" max="4870" min="4870" style="103" width="10.6640625"/>
    <col customWidth="1" max="4871" min="4871" style="103" width="3.77734375"/>
    <col customWidth="1" max="4872" min="4872" style="103" width="9.109375"/>
    <col customWidth="1" max="4873" min="4873" style="103" width="8.77734375"/>
    <col customWidth="1" max="4874" min="4874" style="103" width="9"/>
    <col customWidth="1" max="5119" min="4875" style="103" width="8.77734375"/>
    <col customWidth="1" max="5120" min="5120" style="103" width="17.109375"/>
    <col customWidth="1" max="5121" min="5121" style="103" width="9.44140625"/>
    <col customWidth="1" max="5122" min="5122" style="103" width="5.33203125"/>
    <col customWidth="1" max="5123" min="5123" style="103" width="10.44140625"/>
    <col customWidth="1" max="5124" min="5124" style="103" width="37.109375"/>
    <col customWidth="1" max="5125" min="5125" style="103" width="12.77734375"/>
    <col customWidth="1" max="5126" min="5126" style="103" width="10.6640625"/>
    <col customWidth="1" max="5127" min="5127" style="103" width="3.77734375"/>
    <col customWidth="1" max="5128" min="5128" style="103" width="9.109375"/>
    <col customWidth="1" max="5129" min="5129" style="103" width="8.77734375"/>
    <col customWidth="1" max="5130" min="5130" style="103" width="9"/>
    <col customWidth="1" max="5375" min="5131" style="103" width="8.77734375"/>
    <col customWidth="1" max="5376" min="5376" style="103" width="17.109375"/>
    <col customWidth="1" max="5377" min="5377" style="103" width="9.44140625"/>
    <col customWidth="1" max="5378" min="5378" style="103" width="5.33203125"/>
    <col customWidth="1" max="5379" min="5379" style="103" width="10.44140625"/>
    <col customWidth="1" max="5380" min="5380" style="103" width="37.109375"/>
    <col customWidth="1" max="5381" min="5381" style="103" width="12.77734375"/>
    <col customWidth="1" max="5382" min="5382" style="103" width="10.6640625"/>
    <col customWidth="1" max="5383" min="5383" style="103" width="3.77734375"/>
    <col customWidth="1" max="5384" min="5384" style="103" width="9.109375"/>
    <col customWidth="1" max="5385" min="5385" style="103" width="8.77734375"/>
    <col customWidth="1" max="5386" min="5386" style="103" width="9"/>
    <col customWidth="1" max="5631" min="5387" style="103" width="8.77734375"/>
    <col customWidth="1" max="5632" min="5632" style="103" width="17.109375"/>
    <col customWidth="1" max="5633" min="5633" style="103" width="9.44140625"/>
    <col customWidth="1" max="5634" min="5634" style="103" width="5.33203125"/>
    <col customWidth="1" max="5635" min="5635" style="103" width="10.44140625"/>
    <col customWidth="1" max="5636" min="5636" style="103" width="37.109375"/>
    <col customWidth="1" max="5637" min="5637" style="103" width="12.77734375"/>
    <col customWidth="1" max="5638" min="5638" style="103" width="10.6640625"/>
    <col customWidth="1" max="5639" min="5639" style="103" width="3.77734375"/>
    <col customWidth="1" max="5640" min="5640" style="103" width="9.109375"/>
    <col customWidth="1" max="5641" min="5641" style="103" width="8.77734375"/>
    <col customWidth="1" max="5642" min="5642" style="103" width="9"/>
    <col customWidth="1" max="5887" min="5643" style="103" width="8.77734375"/>
    <col customWidth="1" max="5888" min="5888" style="103" width="17.109375"/>
    <col customWidth="1" max="5889" min="5889" style="103" width="9.44140625"/>
    <col customWidth="1" max="5890" min="5890" style="103" width="5.33203125"/>
    <col customWidth="1" max="5891" min="5891" style="103" width="10.44140625"/>
    <col customWidth="1" max="5892" min="5892" style="103" width="37.109375"/>
    <col customWidth="1" max="5893" min="5893" style="103" width="12.77734375"/>
    <col customWidth="1" max="5894" min="5894" style="103" width="10.6640625"/>
    <col customWidth="1" max="5895" min="5895" style="103" width="3.77734375"/>
    <col customWidth="1" max="5896" min="5896" style="103" width="9.109375"/>
    <col customWidth="1" max="5897" min="5897" style="103" width="8.77734375"/>
    <col customWidth="1" max="5898" min="5898" style="103" width="9"/>
    <col customWidth="1" max="6143" min="5899" style="103" width="8.77734375"/>
    <col customWidth="1" max="6144" min="6144" style="103" width="17.109375"/>
    <col customWidth="1" max="6145" min="6145" style="103" width="9.44140625"/>
    <col customWidth="1" max="6146" min="6146" style="103" width="5.33203125"/>
    <col customWidth="1" max="6147" min="6147" style="103" width="10.44140625"/>
    <col customWidth="1" max="6148" min="6148" style="103" width="37.109375"/>
    <col customWidth="1" max="6149" min="6149" style="103" width="12.77734375"/>
    <col customWidth="1" max="6150" min="6150" style="103" width="10.6640625"/>
    <col customWidth="1" max="6151" min="6151" style="103" width="3.77734375"/>
    <col customWidth="1" max="6152" min="6152" style="103" width="9.109375"/>
    <col customWidth="1" max="6153" min="6153" style="103" width="8.77734375"/>
    <col customWidth="1" max="6154" min="6154" style="103" width="9"/>
    <col customWidth="1" max="6399" min="6155" style="103" width="8.77734375"/>
    <col customWidth="1" max="6400" min="6400" style="103" width="17.109375"/>
    <col customWidth="1" max="6401" min="6401" style="103" width="9.44140625"/>
    <col customWidth="1" max="6402" min="6402" style="103" width="5.33203125"/>
    <col customWidth="1" max="6403" min="6403" style="103" width="10.44140625"/>
    <col customWidth="1" max="6404" min="6404" style="103" width="37.109375"/>
    <col customWidth="1" max="6405" min="6405" style="103" width="12.77734375"/>
    <col customWidth="1" max="6406" min="6406" style="103" width="10.6640625"/>
    <col customWidth="1" max="6407" min="6407" style="103" width="3.77734375"/>
    <col customWidth="1" max="6408" min="6408" style="103" width="9.109375"/>
    <col customWidth="1" max="6409" min="6409" style="103" width="8.77734375"/>
    <col customWidth="1" max="6410" min="6410" style="103" width="9"/>
    <col customWidth="1" max="6655" min="6411" style="103" width="8.77734375"/>
    <col customWidth="1" max="6656" min="6656" style="103" width="17.109375"/>
    <col customWidth="1" max="6657" min="6657" style="103" width="9.44140625"/>
    <col customWidth="1" max="6658" min="6658" style="103" width="5.33203125"/>
    <col customWidth="1" max="6659" min="6659" style="103" width="10.44140625"/>
    <col customWidth="1" max="6660" min="6660" style="103" width="37.109375"/>
    <col customWidth="1" max="6661" min="6661" style="103" width="12.77734375"/>
    <col customWidth="1" max="6662" min="6662" style="103" width="10.6640625"/>
    <col customWidth="1" max="6663" min="6663" style="103" width="3.77734375"/>
    <col customWidth="1" max="6664" min="6664" style="103" width="9.109375"/>
    <col customWidth="1" max="6665" min="6665" style="103" width="8.77734375"/>
    <col customWidth="1" max="6666" min="6666" style="103" width="9"/>
    <col customWidth="1" max="6911" min="6667" style="103" width="8.77734375"/>
    <col customWidth="1" max="6912" min="6912" style="103" width="17.109375"/>
    <col customWidth="1" max="6913" min="6913" style="103" width="9.44140625"/>
    <col customWidth="1" max="6914" min="6914" style="103" width="5.33203125"/>
    <col customWidth="1" max="6915" min="6915" style="103" width="10.44140625"/>
    <col customWidth="1" max="6916" min="6916" style="103" width="37.109375"/>
    <col customWidth="1" max="6917" min="6917" style="103" width="12.77734375"/>
    <col customWidth="1" max="6918" min="6918" style="103" width="10.6640625"/>
    <col customWidth="1" max="6919" min="6919" style="103" width="3.77734375"/>
    <col customWidth="1" max="6920" min="6920" style="103" width="9.109375"/>
    <col customWidth="1" max="6921" min="6921" style="103" width="8.77734375"/>
    <col customWidth="1" max="6922" min="6922" style="103" width="9"/>
    <col customWidth="1" max="7167" min="6923" style="103" width="8.77734375"/>
    <col customWidth="1" max="7168" min="7168" style="103" width="17.109375"/>
    <col customWidth="1" max="7169" min="7169" style="103" width="9.44140625"/>
    <col customWidth="1" max="7170" min="7170" style="103" width="5.33203125"/>
    <col customWidth="1" max="7171" min="7171" style="103" width="10.44140625"/>
    <col customWidth="1" max="7172" min="7172" style="103" width="37.109375"/>
    <col customWidth="1" max="7173" min="7173" style="103" width="12.77734375"/>
    <col customWidth="1" max="7174" min="7174" style="103" width="10.6640625"/>
    <col customWidth="1" max="7175" min="7175" style="103" width="3.77734375"/>
    <col customWidth="1" max="7176" min="7176" style="103" width="9.109375"/>
    <col customWidth="1" max="7177" min="7177" style="103" width="8.77734375"/>
    <col customWidth="1" max="7178" min="7178" style="103" width="9"/>
    <col customWidth="1" max="7423" min="7179" style="103" width="8.77734375"/>
    <col customWidth="1" max="7424" min="7424" style="103" width="17.109375"/>
    <col customWidth="1" max="7425" min="7425" style="103" width="9.44140625"/>
    <col customWidth="1" max="7426" min="7426" style="103" width="5.33203125"/>
    <col customWidth="1" max="7427" min="7427" style="103" width="10.44140625"/>
    <col customWidth="1" max="7428" min="7428" style="103" width="37.109375"/>
    <col customWidth="1" max="7429" min="7429" style="103" width="12.77734375"/>
    <col customWidth="1" max="7430" min="7430" style="103" width="10.6640625"/>
    <col customWidth="1" max="7431" min="7431" style="103" width="3.77734375"/>
    <col customWidth="1" max="7432" min="7432" style="103" width="9.109375"/>
    <col customWidth="1" max="7433" min="7433" style="103" width="8.77734375"/>
    <col customWidth="1" max="7434" min="7434" style="103" width="9"/>
    <col customWidth="1" max="7679" min="7435" style="103" width="8.77734375"/>
    <col customWidth="1" max="7680" min="7680" style="103" width="17.109375"/>
    <col customWidth="1" max="7681" min="7681" style="103" width="9.44140625"/>
    <col customWidth="1" max="7682" min="7682" style="103" width="5.33203125"/>
    <col customWidth="1" max="7683" min="7683" style="103" width="10.44140625"/>
    <col customWidth="1" max="7684" min="7684" style="103" width="37.109375"/>
    <col customWidth="1" max="7685" min="7685" style="103" width="12.77734375"/>
    <col customWidth="1" max="7686" min="7686" style="103" width="10.6640625"/>
    <col customWidth="1" max="7687" min="7687" style="103" width="3.77734375"/>
    <col customWidth="1" max="7688" min="7688" style="103" width="9.109375"/>
    <col customWidth="1" max="7689" min="7689" style="103" width="8.77734375"/>
    <col customWidth="1" max="7690" min="7690" style="103" width="9"/>
    <col customWidth="1" max="7935" min="7691" style="103" width="8.77734375"/>
    <col customWidth="1" max="7936" min="7936" style="103" width="17.109375"/>
    <col customWidth="1" max="7937" min="7937" style="103" width="9.44140625"/>
    <col customWidth="1" max="7938" min="7938" style="103" width="5.33203125"/>
    <col customWidth="1" max="7939" min="7939" style="103" width="10.44140625"/>
    <col customWidth="1" max="7940" min="7940" style="103" width="37.109375"/>
    <col customWidth="1" max="7941" min="7941" style="103" width="12.77734375"/>
    <col customWidth="1" max="7942" min="7942" style="103" width="10.6640625"/>
    <col customWidth="1" max="7943" min="7943" style="103" width="3.77734375"/>
    <col customWidth="1" max="7944" min="7944" style="103" width="9.109375"/>
    <col customWidth="1" max="7945" min="7945" style="103" width="8.77734375"/>
    <col customWidth="1" max="7946" min="7946" style="103" width="9"/>
    <col customWidth="1" max="8191" min="7947" style="103" width="8.77734375"/>
    <col customWidth="1" max="8192" min="8192" style="103" width="17.109375"/>
    <col customWidth="1" max="8193" min="8193" style="103" width="9.44140625"/>
    <col customWidth="1" max="8194" min="8194" style="103" width="5.33203125"/>
    <col customWidth="1" max="8195" min="8195" style="103" width="10.44140625"/>
    <col customWidth="1" max="8196" min="8196" style="103" width="37.109375"/>
    <col customWidth="1" max="8197" min="8197" style="103" width="12.77734375"/>
    <col customWidth="1" max="8198" min="8198" style="103" width="10.6640625"/>
    <col customWidth="1" max="8199" min="8199" style="103" width="3.77734375"/>
    <col customWidth="1" max="8200" min="8200" style="103" width="9.109375"/>
    <col customWidth="1" max="8201" min="8201" style="103" width="8.77734375"/>
    <col customWidth="1" max="8202" min="8202" style="103" width="9"/>
    <col customWidth="1" max="8447" min="8203" style="103" width="8.77734375"/>
    <col customWidth="1" max="8448" min="8448" style="103" width="17.109375"/>
    <col customWidth="1" max="8449" min="8449" style="103" width="9.44140625"/>
    <col customWidth="1" max="8450" min="8450" style="103" width="5.33203125"/>
    <col customWidth="1" max="8451" min="8451" style="103" width="10.44140625"/>
    <col customWidth="1" max="8452" min="8452" style="103" width="37.109375"/>
    <col customWidth="1" max="8453" min="8453" style="103" width="12.77734375"/>
    <col customWidth="1" max="8454" min="8454" style="103" width="10.6640625"/>
    <col customWidth="1" max="8455" min="8455" style="103" width="3.77734375"/>
    <col customWidth="1" max="8456" min="8456" style="103" width="9.109375"/>
    <col customWidth="1" max="8457" min="8457" style="103" width="8.77734375"/>
    <col customWidth="1" max="8458" min="8458" style="103" width="9"/>
    <col customWidth="1" max="8703" min="8459" style="103" width="8.77734375"/>
    <col customWidth="1" max="8704" min="8704" style="103" width="17.109375"/>
    <col customWidth="1" max="8705" min="8705" style="103" width="9.44140625"/>
    <col customWidth="1" max="8706" min="8706" style="103" width="5.33203125"/>
    <col customWidth="1" max="8707" min="8707" style="103" width="10.44140625"/>
    <col customWidth="1" max="8708" min="8708" style="103" width="37.109375"/>
    <col customWidth="1" max="8709" min="8709" style="103" width="12.77734375"/>
    <col customWidth="1" max="8710" min="8710" style="103" width="10.6640625"/>
    <col customWidth="1" max="8711" min="8711" style="103" width="3.77734375"/>
    <col customWidth="1" max="8712" min="8712" style="103" width="9.109375"/>
    <col customWidth="1" max="8713" min="8713" style="103" width="8.77734375"/>
    <col customWidth="1" max="8714" min="8714" style="103" width="9"/>
    <col customWidth="1" max="8959" min="8715" style="103" width="8.77734375"/>
    <col customWidth="1" max="8960" min="8960" style="103" width="17.109375"/>
    <col customWidth="1" max="8961" min="8961" style="103" width="9.44140625"/>
    <col customWidth="1" max="8962" min="8962" style="103" width="5.33203125"/>
    <col customWidth="1" max="8963" min="8963" style="103" width="10.44140625"/>
    <col customWidth="1" max="8964" min="8964" style="103" width="37.109375"/>
    <col customWidth="1" max="8965" min="8965" style="103" width="12.77734375"/>
    <col customWidth="1" max="8966" min="8966" style="103" width="10.6640625"/>
    <col customWidth="1" max="8967" min="8967" style="103" width="3.77734375"/>
    <col customWidth="1" max="8968" min="8968" style="103" width="9.109375"/>
    <col customWidth="1" max="8969" min="8969" style="103" width="8.77734375"/>
    <col customWidth="1" max="8970" min="8970" style="103" width="9"/>
    <col customWidth="1" max="9215" min="8971" style="103" width="8.77734375"/>
    <col customWidth="1" max="9216" min="9216" style="103" width="17.109375"/>
    <col customWidth="1" max="9217" min="9217" style="103" width="9.44140625"/>
    <col customWidth="1" max="9218" min="9218" style="103" width="5.33203125"/>
    <col customWidth="1" max="9219" min="9219" style="103" width="10.44140625"/>
    <col customWidth="1" max="9220" min="9220" style="103" width="37.109375"/>
    <col customWidth="1" max="9221" min="9221" style="103" width="12.77734375"/>
    <col customWidth="1" max="9222" min="9222" style="103" width="10.6640625"/>
    <col customWidth="1" max="9223" min="9223" style="103" width="3.77734375"/>
    <col customWidth="1" max="9224" min="9224" style="103" width="9.109375"/>
    <col customWidth="1" max="9225" min="9225" style="103" width="8.77734375"/>
    <col customWidth="1" max="9226" min="9226" style="103" width="9"/>
    <col customWidth="1" max="9471" min="9227" style="103" width="8.77734375"/>
    <col customWidth="1" max="9472" min="9472" style="103" width="17.109375"/>
    <col customWidth="1" max="9473" min="9473" style="103" width="9.44140625"/>
    <col customWidth="1" max="9474" min="9474" style="103" width="5.33203125"/>
    <col customWidth="1" max="9475" min="9475" style="103" width="10.44140625"/>
    <col customWidth="1" max="9476" min="9476" style="103" width="37.109375"/>
    <col customWidth="1" max="9477" min="9477" style="103" width="12.77734375"/>
    <col customWidth="1" max="9478" min="9478" style="103" width="10.6640625"/>
    <col customWidth="1" max="9479" min="9479" style="103" width="3.77734375"/>
    <col customWidth="1" max="9480" min="9480" style="103" width="9.109375"/>
    <col customWidth="1" max="9481" min="9481" style="103" width="8.77734375"/>
    <col customWidth="1" max="9482" min="9482" style="103" width="9"/>
    <col customWidth="1" max="9727" min="9483" style="103" width="8.77734375"/>
    <col customWidth="1" max="9728" min="9728" style="103" width="17.109375"/>
    <col customWidth="1" max="9729" min="9729" style="103" width="9.44140625"/>
    <col customWidth="1" max="9730" min="9730" style="103" width="5.33203125"/>
    <col customWidth="1" max="9731" min="9731" style="103" width="10.44140625"/>
    <col customWidth="1" max="9732" min="9732" style="103" width="37.109375"/>
    <col customWidth="1" max="9733" min="9733" style="103" width="12.77734375"/>
    <col customWidth="1" max="9734" min="9734" style="103" width="10.6640625"/>
    <col customWidth="1" max="9735" min="9735" style="103" width="3.77734375"/>
    <col customWidth="1" max="9736" min="9736" style="103" width="9.109375"/>
    <col customWidth="1" max="9737" min="9737" style="103" width="8.77734375"/>
    <col customWidth="1" max="9738" min="9738" style="103" width="9"/>
    <col customWidth="1" max="9983" min="9739" style="103" width="8.77734375"/>
    <col customWidth="1" max="9984" min="9984" style="103" width="17.109375"/>
    <col customWidth="1" max="9985" min="9985" style="103" width="9.44140625"/>
    <col customWidth="1" max="9986" min="9986" style="103" width="5.33203125"/>
    <col customWidth="1" max="9987" min="9987" style="103" width="10.44140625"/>
    <col customWidth="1" max="9988" min="9988" style="103" width="37.109375"/>
    <col customWidth="1" max="9989" min="9989" style="103" width="12.77734375"/>
    <col customWidth="1" max="9990" min="9990" style="103" width="10.6640625"/>
    <col customWidth="1" max="9991" min="9991" style="103" width="3.77734375"/>
    <col customWidth="1" max="9992" min="9992" style="103" width="9.109375"/>
    <col customWidth="1" max="9993" min="9993" style="103" width="8.77734375"/>
    <col customWidth="1" max="9994" min="9994" style="103" width="9"/>
    <col customWidth="1" max="10239" min="9995" style="103" width="8.77734375"/>
    <col customWidth="1" max="10240" min="10240" style="103" width="17.109375"/>
    <col customWidth="1" max="10241" min="10241" style="103" width="9.44140625"/>
    <col customWidth="1" max="10242" min="10242" style="103" width="5.33203125"/>
    <col customWidth="1" max="10243" min="10243" style="103" width="10.44140625"/>
    <col customWidth="1" max="10244" min="10244" style="103" width="37.109375"/>
    <col customWidth="1" max="10245" min="10245" style="103" width="12.77734375"/>
    <col customWidth="1" max="10246" min="10246" style="103" width="10.6640625"/>
    <col customWidth="1" max="10247" min="10247" style="103" width="3.77734375"/>
    <col customWidth="1" max="10248" min="10248" style="103" width="9.109375"/>
    <col customWidth="1" max="10249" min="10249" style="103" width="8.77734375"/>
    <col customWidth="1" max="10250" min="10250" style="103" width="9"/>
    <col customWidth="1" max="10495" min="10251" style="103" width="8.77734375"/>
    <col customWidth="1" max="10496" min="10496" style="103" width="17.109375"/>
    <col customWidth="1" max="10497" min="10497" style="103" width="9.44140625"/>
    <col customWidth="1" max="10498" min="10498" style="103" width="5.33203125"/>
    <col customWidth="1" max="10499" min="10499" style="103" width="10.44140625"/>
    <col customWidth="1" max="10500" min="10500" style="103" width="37.109375"/>
    <col customWidth="1" max="10501" min="10501" style="103" width="12.77734375"/>
    <col customWidth="1" max="10502" min="10502" style="103" width="10.6640625"/>
    <col customWidth="1" max="10503" min="10503" style="103" width="3.77734375"/>
    <col customWidth="1" max="10504" min="10504" style="103" width="9.109375"/>
    <col customWidth="1" max="10505" min="10505" style="103" width="8.77734375"/>
    <col customWidth="1" max="10506" min="10506" style="103" width="9"/>
    <col customWidth="1" max="10751" min="10507" style="103" width="8.77734375"/>
    <col customWidth="1" max="10752" min="10752" style="103" width="17.109375"/>
    <col customWidth="1" max="10753" min="10753" style="103" width="9.44140625"/>
    <col customWidth="1" max="10754" min="10754" style="103" width="5.33203125"/>
    <col customWidth="1" max="10755" min="10755" style="103" width="10.44140625"/>
    <col customWidth="1" max="10756" min="10756" style="103" width="37.109375"/>
    <col customWidth="1" max="10757" min="10757" style="103" width="12.77734375"/>
    <col customWidth="1" max="10758" min="10758" style="103" width="10.6640625"/>
    <col customWidth="1" max="10759" min="10759" style="103" width="3.77734375"/>
    <col customWidth="1" max="10760" min="10760" style="103" width="9.109375"/>
    <col customWidth="1" max="10761" min="10761" style="103" width="8.77734375"/>
    <col customWidth="1" max="10762" min="10762" style="103" width="9"/>
    <col customWidth="1" max="11007" min="10763" style="103" width="8.77734375"/>
    <col customWidth="1" max="11008" min="11008" style="103" width="17.109375"/>
    <col customWidth="1" max="11009" min="11009" style="103" width="9.44140625"/>
    <col customWidth="1" max="11010" min="11010" style="103" width="5.33203125"/>
    <col customWidth="1" max="11011" min="11011" style="103" width="10.44140625"/>
    <col customWidth="1" max="11012" min="11012" style="103" width="37.109375"/>
    <col customWidth="1" max="11013" min="11013" style="103" width="12.77734375"/>
    <col customWidth="1" max="11014" min="11014" style="103" width="10.6640625"/>
    <col customWidth="1" max="11015" min="11015" style="103" width="3.77734375"/>
    <col customWidth="1" max="11016" min="11016" style="103" width="9.109375"/>
    <col customWidth="1" max="11017" min="11017" style="103" width="8.77734375"/>
    <col customWidth="1" max="11018" min="11018" style="103" width="9"/>
    <col customWidth="1" max="11263" min="11019" style="103" width="8.77734375"/>
    <col customWidth="1" max="11264" min="11264" style="103" width="17.109375"/>
    <col customWidth="1" max="11265" min="11265" style="103" width="9.44140625"/>
    <col customWidth="1" max="11266" min="11266" style="103" width="5.33203125"/>
    <col customWidth="1" max="11267" min="11267" style="103" width="10.44140625"/>
    <col customWidth="1" max="11268" min="11268" style="103" width="37.109375"/>
    <col customWidth="1" max="11269" min="11269" style="103" width="12.77734375"/>
    <col customWidth="1" max="11270" min="11270" style="103" width="10.6640625"/>
    <col customWidth="1" max="11271" min="11271" style="103" width="3.77734375"/>
    <col customWidth="1" max="11272" min="11272" style="103" width="9.109375"/>
    <col customWidth="1" max="11273" min="11273" style="103" width="8.77734375"/>
    <col customWidth="1" max="11274" min="11274" style="103" width="9"/>
    <col customWidth="1" max="11519" min="11275" style="103" width="8.77734375"/>
    <col customWidth="1" max="11520" min="11520" style="103" width="17.109375"/>
    <col customWidth="1" max="11521" min="11521" style="103" width="9.44140625"/>
    <col customWidth="1" max="11522" min="11522" style="103" width="5.33203125"/>
    <col customWidth="1" max="11523" min="11523" style="103" width="10.44140625"/>
    <col customWidth="1" max="11524" min="11524" style="103" width="37.109375"/>
    <col customWidth="1" max="11525" min="11525" style="103" width="12.77734375"/>
    <col customWidth="1" max="11526" min="11526" style="103" width="10.6640625"/>
    <col customWidth="1" max="11527" min="11527" style="103" width="3.77734375"/>
    <col customWidth="1" max="11528" min="11528" style="103" width="9.109375"/>
    <col customWidth="1" max="11529" min="11529" style="103" width="8.77734375"/>
    <col customWidth="1" max="11530" min="11530" style="103" width="9"/>
    <col customWidth="1" max="11775" min="11531" style="103" width="8.77734375"/>
    <col customWidth="1" max="11776" min="11776" style="103" width="17.109375"/>
    <col customWidth="1" max="11777" min="11777" style="103" width="9.44140625"/>
    <col customWidth="1" max="11778" min="11778" style="103" width="5.33203125"/>
    <col customWidth="1" max="11779" min="11779" style="103" width="10.44140625"/>
    <col customWidth="1" max="11780" min="11780" style="103" width="37.109375"/>
    <col customWidth="1" max="11781" min="11781" style="103" width="12.77734375"/>
    <col customWidth="1" max="11782" min="11782" style="103" width="10.6640625"/>
    <col customWidth="1" max="11783" min="11783" style="103" width="3.77734375"/>
    <col customWidth="1" max="11784" min="11784" style="103" width="9.109375"/>
    <col customWidth="1" max="11785" min="11785" style="103" width="8.77734375"/>
    <col customWidth="1" max="11786" min="11786" style="103" width="9"/>
    <col customWidth="1" max="12031" min="11787" style="103" width="8.77734375"/>
    <col customWidth="1" max="12032" min="12032" style="103" width="17.109375"/>
    <col customWidth="1" max="12033" min="12033" style="103" width="9.44140625"/>
    <col customWidth="1" max="12034" min="12034" style="103" width="5.33203125"/>
    <col customWidth="1" max="12035" min="12035" style="103" width="10.44140625"/>
    <col customWidth="1" max="12036" min="12036" style="103" width="37.109375"/>
    <col customWidth="1" max="12037" min="12037" style="103" width="12.77734375"/>
    <col customWidth="1" max="12038" min="12038" style="103" width="10.6640625"/>
    <col customWidth="1" max="12039" min="12039" style="103" width="3.77734375"/>
    <col customWidth="1" max="12040" min="12040" style="103" width="9.109375"/>
    <col customWidth="1" max="12041" min="12041" style="103" width="8.77734375"/>
    <col customWidth="1" max="12042" min="12042" style="103" width="9"/>
    <col customWidth="1" max="12287" min="12043" style="103" width="8.77734375"/>
    <col customWidth="1" max="12288" min="12288" style="103" width="17.109375"/>
    <col customWidth="1" max="12289" min="12289" style="103" width="9.44140625"/>
    <col customWidth="1" max="12290" min="12290" style="103" width="5.33203125"/>
    <col customWidth="1" max="12291" min="12291" style="103" width="10.44140625"/>
    <col customWidth="1" max="12292" min="12292" style="103" width="37.109375"/>
    <col customWidth="1" max="12293" min="12293" style="103" width="12.77734375"/>
    <col customWidth="1" max="12294" min="12294" style="103" width="10.6640625"/>
    <col customWidth="1" max="12295" min="12295" style="103" width="3.77734375"/>
    <col customWidth="1" max="12296" min="12296" style="103" width="9.109375"/>
    <col customWidth="1" max="12297" min="12297" style="103" width="8.77734375"/>
    <col customWidth="1" max="12298" min="12298" style="103" width="9"/>
    <col customWidth="1" max="12543" min="12299" style="103" width="8.77734375"/>
    <col customWidth="1" max="12544" min="12544" style="103" width="17.109375"/>
    <col customWidth="1" max="12545" min="12545" style="103" width="9.44140625"/>
    <col customWidth="1" max="12546" min="12546" style="103" width="5.33203125"/>
    <col customWidth="1" max="12547" min="12547" style="103" width="10.44140625"/>
    <col customWidth="1" max="12548" min="12548" style="103" width="37.109375"/>
    <col customWidth="1" max="12549" min="12549" style="103" width="12.77734375"/>
    <col customWidth="1" max="12550" min="12550" style="103" width="10.6640625"/>
    <col customWidth="1" max="12551" min="12551" style="103" width="3.77734375"/>
    <col customWidth="1" max="12552" min="12552" style="103" width="9.109375"/>
    <col customWidth="1" max="12553" min="12553" style="103" width="8.77734375"/>
    <col customWidth="1" max="12554" min="12554" style="103" width="9"/>
    <col customWidth="1" max="12799" min="12555" style="103" width="8.77734375"/>
    <col customWidth="1" max="12800" min="12800" style="103" width="17.109375"/>
    <col customWidth="1" max="12801" min="12801" style="103" width="9.44140625"/>
    <col customWidth="1" max="12802" min="12802" style="103" width="5.33203125"/>
    <col customWidth="1" max="12803" min="12803" style="103" width="10.44140625"/>
    <col customWidth="1" max="12804" min="12804" style="103" width="37.109375"/>
    <col customWidth="1" max="12805" min="12805" style="103" width="12.77734375"/>
    <col customWidth="1" max="12806" min="12806" style="103" width="10.6640625"/>
    <col customWidth="1" max="12807" min="12807" style="103" width="3.77734375"/>
    <col customWidth="1" max="12808" min="12808" style="103" width="9.109375"/>
    <col customWidth="1" max="12809" min="12809" style="103" width="8.77734375"/>
    <col customWidth="1" max="12810" min="12810" style="103" width="9"/>
    <col customWidth="1" max="13055" min="12811" style="103" width="8.77734375"/>
    <col customWidth="1" max="13056" min="13056" style="103" width="17.109375"/>
    <col customWidth="1" max="13057" min="13057" style="103" width="9.44140625"/>
    <col customWidth="1" max="13058" min="13058" style="103" width="5.33203125"/>
    <col customWidth="1" max="13059" min="13059" style="103" width="10.44140625"/>
    <col customWidth="1" max="13060" min="13060" style="103" width="37.109375"/>
    <col customWidth="1" max="13061" min="13061" style="103" width="12.77734375"/>
    <col customWidth="1" max="13062" min="13062" style="103" width="10.6640625"/>
    <col customWidth="1" max="13063" min="13063" style="103" width="3.77734375"/>
    <col customWidth="1" max="13064" min="13064" style="103" width="9.109375"/>
    <col customWidth="1" max="13065" min="13065" style="103" width="8.77734375"/>
    <col customWidth="1" max="13066" min="13066" style="103" width="9"/>
    <col customWidth="1" max="13311" min="13067" style="103" width="8.77734375"/>
    <col customWidth="1" max="13312" min="13312" style="103" width="17.109375"/>
    <col customWidth="1" max="13313" min="13313" style="103" width="9.44140625"/>
    <col customWidth="1" max="13314" min="13314" style="103" width="5.33203125"/>
    <col customWidth="1" max="13315" min="13315" style="103" width="10.44140625"/>
    <col customWidth="1" max="13316" min="13316" style="103" width="37.109375"/>
    <col customWidth="1" max="13317" min="13317" style="103" width="12.77734375"/>
    <col customWidth="1" max="13318" min="13318" style="103" width="10.6640625"/>
    <col customWidth="1" max="13319" min="13319" style="103" width="3.77734375"/>
    <col customWidth="1" max="13320" min="13320" style="103" width="9.109375"/>
    <col customWidth="1" max="13321" min="13321" style="103" width="8.77734375"/>
    <col customWidth="1" max="13322" min="13322" style="103" width="9"/>
    <col customWidth="1" max="13567" min="13323" style="103" width="8.77734375"/>
    <col customWidth="1" max="13568" min="13568" style="103" width="17.109375"/>
    <col customWidth="1" max="13569" min="13569" style="103" width="9.44140625"/>
    <col customWidth="1" max="13570" min="13570" style="103" width="5.33203125"/>
    <col customWidth="1" max="13571" min="13571" style="103" width="10.44140625"/>
    <col customWidth="1" max="13572" min="13572" style="103" width="37.109375"/>
    <col customWidth="1" max="13573" min="13573" style="103" width="12.77734375"/>
    <col customWidth="1" max="13574" min="13574" style="103" width="10.6640625"/>
    <col customWidth="1" max="13575" min="13575" style="103" width="3.77734375"/>
    <col customWidth="1" max="13576" min="13576" style="103" width="9.109375"/>
    <col customWidth="1" max="13577" min="13577" style="103" width="8.77734375"/>
    <col customWidth="1" max="13578" min="13578" style="103" width="9"/>
    <col customWidth="1" max="13823" min="13579" style="103" width="8.77734375"/>
    <col customWidth="1" max="13824" min="13824" style="103" width="17.109375"/>
    <col customWidth="1" max="13825" min="13825" style="103" width="9.44140625"/>
    <col customWidth="1" max="13826" min="13826" style="103" width="5.33203125"/>
    <col customWidth="1" max="13827" min="13827" style="103" width="10.44140625"/>
    <col customWidth="1" max="13828" min="13828" style="103" width="37.109375"/>
    <col customWidth="1" max="13829" min="13829" style="103" width="12.77734375"/>
    <col customWidth="1" max="13830" min="13830" style="103" width="10.6640625"/>
    <col customWidth="1" max="13831" min="13831" style="103" width="3.77734375"/>
    <col customWidth="1" max="13832" min="13832" style="103" width="9.109375"/>
    <col customWidth="1" max="13833" min="13833" style="103" width="8.77734375"/>
    <col customWidth="1" max="13834" min="13834" style="103" width="9"/>
    <col customWidth="1" max="14079" min="13835" style="103" width="8.77734375"/>
    <col customWidth="1" max="14080" min="14080" style="103" width="17.109375"/>
    <col customWidth="1" max="14081" min="14081" style="103" width="9.44140625"/>
    <col customWidth="1" max="14082" min="14082" style="103" width="5.33203125"/>
    <col customWidth="1" max="14083" min="14083" style="103" width="10.44140625"/>
    <col customWidth="1" max="14084" min="14084" style="103" width="37.109375"/>
    <col customWidth="1" max="14085" min="14085" style="103" width="12.77734375"/>
    <col customWidth="1" max="14086" min="14086" style="103" width="10.6640625"/>
    <col customWidth="1" max="14087" min="14087" style="103" width="3.77734375"/>
    <col customWidth="1" max="14088" min="14088" style="103" width="9.109375"/>
    <col customWidth="1" max="14089" min="14089" style="103" width="8.77734375"/>
    <col customWidth="1" max="14090" min="14090" style="103" width="9"/>
    <col customWidth="1" max="14335" min="14091" style="103" width="8.77734375"/>
    <col customWidth="1" max="14336" min="14336" style="103" width="17.109375"/>
    <col customWidth="1" max="14337" min="14337" style="103" width="9.44140625"/>
    <col customWidth="1" max="14338" min="14338" style="103" width="5.33203125"/>
    <col customWidth="1" max="14339" min="14339" style="103" width="10.44140625"/>
    <col customWidth="1" max="14340" min="14340" style="103" width="37.109375"/>
    <col customWidth="1" max="14341" min="14341" style="103" width="12.77734375"/>
    <col customWidth="1" max="14342" min="14342" style="103" width="10.6640625"/>
    <col customWidth="1" max="14343" min="14343" style="103" width="3.77734375"/>
    <col customWidth="1" max="14344" min="14344" style="103" width="9.109375"/>
    <col customWidth="1" max="14345" min="14345" style="103" width="8.77734375"/>
    <col customWidth="1" max="14346" min="14346" style="103" width="9"/>
    <col customWidth="1" max="14591" min="14347" style="103" width="8.77734375"/>
    <col customWidth="1" max="14592" min="14592" style="103" width="17.109375"/>
    <col customWidth="1" max="14593" min="14593" style="103" width="9.44140625"/>
    <col customWidth="1" max="14594" min="14594" style="103" width="5.33203125"/>
    <col customWidth="1" max="14595" min="14595" style="103" width="10.44140625"/>
    <col customWidth="1" max="14596" min="14596" style="103" width="37.109375"/>
    <col customWidth="1" max="14597" min="14597" style="103" width="12.77734375"/>
    <col customWidth="1" max="14598" min="14598" style="103" width="10.6640625"/>
    <col customWidth="1" max="14599" min="14599" style="103" width="3.77734375"/>
    <col customWidth="1" max="14600" min="14600" style="103" width="9.109375"/>
    <col customWidth="1" max="14601" min="14601" style="103" width="8.77734375"/>
    <col customWidth="1" max="14602" min="14602" style="103" width="9"/>
    <col customWidth="1" max="14847" min="14603" style="103" width="8.77734375"/>
    <col customWidth="1" max="14848" min="14848" style="103" width="17.109375"/>
    <col customWidth="1" max="14849" min="14849" style="103" width="9.44140625"/>
    <col customWidth="1" max="14850" min="14850" style="103" width="5.33203125"/>
    <col customWidth="1" max="14851" min="14851" style="103" width="10.44140625"/>
    <col customWidth="1" max="14852" min="14852" style="103" width="37.109375"/>
    <col customWidth="1" max="14853" min="14853" style="103" width="12.77734375"/>
    <col customWidth="1" max="14854" min="14854" style="103" width="10.6640625"/>
    <col customWidth="1" max="14855" min="14855" style="103" width="3.77734375"/>
    <col customWidth="1" max="14856" min="14856" style="103" width="9.109375"/>
    <col customWidth="1" max="14857" min="14857" style="103" width="8.77734375"/>
    <col customWidth="1" max="14858" min="14858" style="103" width="9"/>
    <col customWidth="1" max="15103" min="14859" style="103" width="8.77734375"/>
    <col customWidth="1" max="15104" min="15104" style="103" width="17.109375"/>
    <col customWidth="1" max="15105" min="15105" style="103" width="9.44140625"/>
    <col customWidth="1" max="15106" min="15106" style="103" width="5.33203125"/>
    <col customWidth="1" max="15107" min="15107" style="103" width="10.44140625"/>
    <col customWidth="1" max="15108" min="15108" style="103" width="37.109375"/>
    <col customWidth="1" max="15109" min="15109" style="103" width="12.77734375"/>
    <col customWidth="1" max="15110" min="15110" style="103" width="10.6640625"/>
    <col customWidth="1" max="15111" min="15111" style="103" width="3.77734375"/>
    <col customWidth="1" max="15112" min="15112" style="103" width="9.109375"/>
    <col customWidth="1" max="15113" min="15113" style="103" width="8.77734375"/>
    <col customWidth="1" max="15114" min="15114" style="103" width="9"/>
    <col customWidth="1" max="15359" min="15115" style="103" width="8.77734375"/>
    <col customWidth="1" max="15360" min="15360" style="103" width="17.109375"/>
    <col customWidth="1" max="15361" min="15361" style="103" width="9.44140625"/>
    <col customWidth="1" max="15362" min="15362" style="103" width="5.33203125"/>
    <col customWidth="1" max="15363" min="15363" style="103" width="10.44140625"/>
    <col customWidth="1" max="15364" min="15364" style="103" width="37.109375"/>
    <col customWidth="1" max="15365" min="15365" style="103" width="12.77734375"/>
    <col customWidth="1" max="15366" min="15366" style="103" width="10.6640625"/>
    <col customWidth="1" max="15367" min="15367" style="103" width="3.77734375"/>
    <col customWidth="1" max="15368" min="15368" style="103" width="9.109375"/>
    <col customWidth="1" max="15369" min="15369" style="103" width="8.77734375"/>
    <col customWidth="1" max="15370" min="15370" style="103" width="9"/>
    <col customWidth="1" max="15615" min="15371" style="103" width="8.77734375"/>
    <col customWidth="1" max="15616" min="15616" style="103" width="17.109375"/>
    <col customWidth="1" max="15617" min="15617" style="103" width="9.44140625"/>
    <col customWidth="1" max="15618" min="15618" style="103" width="5.33203125"/>
    <col customWidth="1" max="15619" min="15619" style="103" width="10.44140625"/>
    <col customWidth="1" max="15620" min="15620" style="103" width="37.109375"/>
    <col customWidth="1" max="15621" min="15621" style="103" width="12.77734375"/>
    <col customWidth="1" max="15622" min="15622" style="103" width="10.6640625"/>
    <col customWidth="1" max="15623" min="15623" style="103" width="3.77734375"/>
    <col customWidth="1" max="15624" min="15624" style="103" width="9.109375"/>
    <col customWidth="1" max="15625" min="15625" style="103" width="8.77734375"/>
    <col customWidth="1" max="15626" min="15626" style="103" width="9"/>
    <col customWidth="1" max="15871" min="15627" style="103" width="8.77734375"/>
    <col customWidth="1" max="15872" min="15872" style="103" width="17.109375"/>
    <col customWidth="1" max="15873" min="15873" style="103" width="9.44140625"/>
    <col customWidth="1" max="15874" min="15874" style="103" width="5.33203125"/>
    <col customWidth="1" max="15875" min="15875" style="103" width="10.44140625"/>
    <col customWidth="1" max="15876" min="15876" style="103" width="37.109375"/>
    <col customWidth="1" max="15877" min="15877" style="103" width="12.77734375"/>
    <col customWidth="1" max="15878" min="15878" style="103" width="10.6640625"/>
    <col customWidth="1" max="15879" min="15879" style="103" width="3.77734375"/>
    <col customWidth="1" max="15880" min="15880" style="103" width="9.109375"/>
    <col customWidth="1" max="15881" min="15881" style="103" width="8.77734375"/>
    <col customWidth="1" max="15882" min="15882" style="103" width="9"/>
    <col customWidth="1" max="16127" min="15883" style="103" width="8.77734375"/>
    <col customWidth="1" max="16128" min="16128" style="103" width="17.109375"/>
    <col customWidth="1" max="16129" min="16129" style="103" width="9.44140625"/>
    <col customWidth="1" max="16130" min="16130" style="103" width="5.33203125"/>
    <col customWidth="1" max="16131" min="16131" style="103" width="10.44140625"/>
    <col customWidth="1" max="16132" min="16132" style="103" width="37.109375"/>
    <col customWidth="1" max="16133" min="16133" style="103" width="12.77734375"/>
    <col customWidth="1" max="16134" min="16134" style="103" width="10.6640625"/>
    <col customWidth="1" max="16135" min="16135" style="103" width="3.77734375"/>
    <col customWidth="1" max="16136" min="16136" style="103" width="9.109375"/>
    <col customWidth="1" max="16137" min="16137" style="103" width="8.77734375"/>
    <col customWidth="1" max="16138" min="16138" style="103" width="9"/>
    <col customWidth="1" max="16384" min="16139" style="103" width="8.77734375"/>
  </cols>
  <sheetData>
    <row customHeight="1" ht="21.75" r="2" s="391" thickBot="1">
      <c r="A2" s="345" t="inlineStr">
        <is>
          <t>세림빌딩 입주자 현황</t>
        </is>
      </c>
      <c r="B2" s="346" t="n"/>
      <c r="C2" s="112" t="n"/>
    </row>
    <row customFormat="1" customHeight="1" ht="15" r="3" s="115" thickTop="1">
      <c r="B3" s="116" t="n"/>
      <c r="E3" s="117" t="n"/>
      <c r="H3" s="108" t="n"/>
    </row>
    <row customFormat="1" customHeight="1" ht="15" r="4" s="115">
      <c r="A4" s="115" t="inlineStr">
        <is>
          <t>경기도 수원시 영통구 매탄2동 102번지 (113/153) *3.35</t>
        </is>
      </c>
      <c r="C4" s="117" t="n"/>
      <c r="E4" s="117" t="n"/>
      <c r="H4" s="108" t="n"/>
    </row>
    <row customFormat="1" customHeight="1" ht="15" r="5" s="115">
      <c r="A5" s="115" t="inlineStr">
        <is>
          <t>경기도 수원시 영통구 동수원로 514</t>
        </is>
      </c>
      <c r="C5" s="117" t="n"/>
      <c r="E5" s="117" t="n"/>
      <c r="H5" s="108" t="n"/>
    </row>
    <row customFormat="1" customHeight="1" ht="15" r="6" s="115">
      <c r="A6" s="115" t="inlineStr">
        <is>
          <t>사업자 등록번호 124-20-26449</t>
        </is>
      </c>
      <c r="C6" s="117" t="n"/>
      <c r="E6" s="117" t="n"/>
      <c r="H6" s="108" t="n"/>
    </row>
    <row customFormat="1" customHeight="1" ht="15" r="7" s="115">
      <c r="E7" s="117" t="n"/>
      <c r="H7" s="108" t="n"/>
    </row>
    <row customFormat="1" customHeight="1" ht="19.5" r="8" s="122">
      <c r="A8" s="229" t="inlineStr">
        <is>
          <t>상호</t>
        </is>
      </c>
      <c r="B8" s="118" t="inlineStr">
        <is>
          <t>지역</t>
        </is>
      </c>
      <c r="C8" s="119" t="inlineStr">
        <is>
          <t>대표자</t>
        </is>
      </c>
      <c r="D8" s="119" t="inlineStr">
        <is>
          <t>주민등록번호</t>
        </is>
      </c>
      <c r="E8" s="120" t="inlineStr">
        <is>
          <t>대표자 주소/사업자등록증</t>
        </is>
      </c>
      <c r="F8" s="119" t="inlineStr">
        <is>
          <t>전화번호</t>
        </is>
      </c>
      <c r="G8" s="119" t="inlineStr">
        <is>
          <t>계약일</t>
        </is>
      </c>
      <c r="H8" s="119" t="inlineStr">
        <is>
          <t>기간</t>
        </is>
      </c>
      <c r="I8" s="119" t="inlineStr">
        <is>
          <t>보증금</t>
        </is>
      </c>
      <c r="J8" s="121" t="inlineStr">
        <is>
          <t>월세</t>
        </is>
      </c>
    </row>
    <row customFormat="1" customHeight="1" ht="20.1" r="9" s="115">
      <c r="A9" s="230" t="inlineStr">
        <is>
          <t>바른고기정육점</t>
        </is>
      </c>
      <c r="B9" s="123" t="inlineStr">
        <is>
          <t>1층(35평)</t>
        </is>
      </c>
      <c r="C9" s="124" t="inlineStr">
        <is>
          <t>양성철</t>
        </is>
      </c>
      <c r="D9" s="124" t="inlineStr">
        <is>
          <t>710809-1010114</t>
        </is>
      </c>
      <c r="E9" s="125" t="inlineStr">
        <is>
          <t>경기도 화성시 반송동 83 시범한빛 삼부르네상스 208-1602</t>
        </is>
      </c>
      <c r="F9" s="124" t="inlineStr">
        <is>
          <t>010-2266-9392</t>
        </is>
      </c>
      <c r="G9" s="126" t="n">
        <v>44566</v>
      </c>
      <c r="H9" s="127" t="inlineStr">
        <is>
          <t>2년</t>
        </is>
      </c>
      <c r="I9" s="128" t="n">
        <v>20000000</v>
      </c>
      <c r="J9" s="129" t="n">
        <v>1500000</v>
      </c>
    </row>
    <row customFormat="1" customHeight="1" ht="20.1" r="10" s="115">
      <c r="A10" s="136" t="n"/>
      <c r="B10" s="137" t="n"/>
      <c r="C10" s="138" t="n"/>
      <c r="D10" s="138" t="n"/>
      <c r="E10" s="139" t="inlineStr">
        <is>
          <t>116-06-38628, 양성철, 소매/식육판매</t>
        </is>
      </c>
      <c r="F10" s="138" t="n"/>
      <c r="G10" s="140" t="n"/>
      <c r="H10" s="141" t="n"/>
      <c r="I10" s="142" t="n"/>
      <c r="J10" s="143" t="n"/>
    </row>
    <row customFormat="1" customHeight="1" ht="20.1" r="11" s="115">
      <c r="A11" s="230" t="inlineStr">
        <is>
          <t>하모니마트</t>
        </is>
      </c>
      <c r="B11" s="123" t="inlineStr">
        <is>
          <t>1층(70평)</t>
        </is>
      </c>
      <c r="C11" s="124" t="inlineStr">
        <is>
          <t>김진식</t>
        </is>
      </c>
      <c r="D11" s="124" t="inlineStr">
        <is>
          <t>750113-1067430</t>
        </is>
      </c>
      <c r="E11" s="125" t="inlineStr">
        <is>
          <t>인천광역시 연수구 먼우금로123 208동 211호</t>
        </is>
      </c>
      <c r="F11" s="124" t="inlineStr">
        <is>
          <t>010-5162-5312</t>
        </is>
      </c>
      <c r="G11" s="126" t="n">
        <v>44732</v>
      </c>
      <c r="H11" s="127" t="inlineStr">
        <is>
          <t>2년</t>
        </is>
      </c>
      <c r="I11" s="128" t="n">
        <v>50000000</v>
      </c>
      <c r="J11" s="129" t="n">
        <v>2500000</v>
      </c>
    </row>
    <row customFormat="1" customHeight="1" ht="20.1" r="12" s="115">
      <c r="A12" s="136" t="n"/>
      <c r="B12" s="137" t="n"/>
      <c r="C12" s="138" t="n"/>
      <c r="D12" s="138" t="n"/>
      <c r="E12" s="139" t="inlineStr">
        <is>
          <t>499-74-00220, 김진식, 도소매,소매업/슈퍼마켓,담배</t>
        </is>
      </c>
      <c r="F12" s="138" t="n"/>
      <c r="G12" s="140" t="n"/>
      <c r="H12" s="141" t="n"/>
      <c r="I12" s="142" t="n"/>
      <c r="J12" s="143" t="n"/>
    </row>
    <row customFormat="1" customHeight="1" ht="20.1" r="13" s="115">
      <c r="A13" s="230" t="inlineStr">
        <is>
          <t>김영광 치과</t>
        </is>
      </c>
      <c r="B13" s="123" t="inlineStr">
        <is>
          <t>2층(58평)</t>
        </is>
      </c>
      <c r="C13" s="124" t="inlineStr">
        <is>
          <t>김영광</t>
        </is>
      </c>
      <c r="D13" s="124" t="inlineStr">
        <is>
          <t>680520-1162616</t>
        </is>
      </c>
      <c r="E13" s="125" t="n"/>
      <c r="F13" s="124" t="inlineStr">
        <is>
          <t>031-297-6611</t>
        </is>
      </c>
      <c r="G13" s="126" t="n">
        <v>44682</v>
      </c>
      <c r="H13" s="127" t="inlineStr">
        <is>
          <t>2년</t>
        </is>
      </c>
      <c r="I13" s="128" t="n">
        <v>50000000</v>
      </c>
      <c r="J13" s="129" t="n">
        <v>1200000</v>
      </c>
    </row>
    <row customFormat="1" customHeight="1" ht="20.1" r="14" s="115">
      <c r="A14" s="136" t="n"/>
      <c r="B14" s="144" t="n"/>
      <c r="C14" s="138" t="n"/>
      <c r="D14" s="145" t="n"/>
      <c r="E14" s="146" t="inlineStr">
        <is>
          <t>124-90-75579, 김영광, 보건업/치과의원</t>
        </is>
      </c>
      <c r="F14" s="144" t="inlineStr">
        <is>
          <t>010-4025-0719</t>
        </is>
      </c>
      <c r="G14" s="140" t="n"/>
      <c r="H14" s="141" t="n"/>
      <c r="I14" s="142" t="n"/>
      <c r="J14" s="143" t="n"/>
    </row>
    <row customFormat="1" customHeight="1" ht="20.1" r="15" s="115">
      <c r="A15" s="230" t="inlineStr">
        <is>
          <t>법률사무소 백야</t>
        </is>
      </c>
      <c r="B15" s="123" t="inlineStr">
        <is>
          <t>2층(58평)</t>
        </is>
      </c>
      <c r="C15" s="124" t="inlineStr">
        <is>
          <t>오동수</t>
        </is>
      </c>
      <c r="D15" s="124" t="inlineStr">
        <is>
          <t>840110-1079614</t>
        </is>
      </c>
      <c r="E15" s="125" t="inlineStr">
        <is>
          <t>서울 구로구 새말로9길 45 101-1005 (신도림 현대 Apt)</t>
        </is>
      </c>
      <c r="F15" s="124" t="n"/>
      <c r="G15" s="126" t="n">
        <v>44890</v>
      </c>
      <c r="H15" s="127" t="inlineStr">
        <is>
          <t>1년</t>
        </is>
      </c>
      <c r="I15" s="128" t="n">
        <v>20000000</v>
      </c>
      <c r="J15" s="129" t="n">
        <v>1200000</v>
      </c>
    </row>
    <row customFormat="1" customHeight="1" ht="20.1" r="16" s="115">
      <c r="A16" s="136" t="n"/>
      <c r="B16" s="144" t="n"/>
      <c r="C16" s="138" t="n"/>
      <c r="D16" s="145" t="n"/>
      <c r="E16" s="146" t="inlineStr">
        <is>
          <t>613-32-50573, 오동수, 서비스/법률서비스</t>
        </is>
      </c>
      <c r="F16" s="144" t="inlineStr">
        <is>
          <t>010-2104-0734</t>
        </is>
      </c>
      <c r="G16" s="140" t="n"/>
      <c r="H16" s="141" t="n"/>
      <c r="I16" s="142" t="n"/>
      <c r="J16" s="143" t="n"/>
    </row>
    <row customFormat="1" customHeight="1" ht="20.1" r="17" s="115">
      <c r="A17" s="130" t="inlineStr">
        <is>
          <t>법무법인 주한</t>
        </is>
      </c>
      <c r="B17" s="147" t="inlineStr">
        <is>
          <t>3층(116평)</t>
        </is>
      </c>
      <c r="C17" s="131" t="inlineStr">
        <is>
          <t>이창준</t>
        </is>
      </c>
      <c r="D17" s="131" t="inlineStr">
        <is>
          <t>750407-1177714</t>
        </is>
      </c>
      <c r="E17" s="148" t="inlineStr">
        <is>
          <t>성남시 분당구 구미동 하얀마을 주공5단지 507-1302</t>
        </is>
      </c>
      <c r="F17" s="131" t="inlineStr">
        <is>
          <t>010-5643-4133</t>
        </is>
      </c>
      <c r="G17" s="132" t="n">
        <v>44228</v>
      </c>
      <c r="H17" s="133" t="inlineStr">
        <is>
          <t>1년</t>
        </is>
      </c>
      <c r="I17" s="134" t="n">
        <v>30000000</v>
      </c>
      <c r="J17" s="135" t="n">
        <v>2400000</v>
      </c>
    </row>
    <row customFormat="1" customHeight="1" ht="20.1" r="18" s="115">
      <c r="A18" s="130" t="n"/>
      <c r="B18" s="147" t="n"/>
      <c r="C18" s="131" t="inlineStr">
        <is>
          <t>김극동</t>
        </is>
      </c>
      <c r="D18" s="131" t="inlineStr">
        <is>
          <t>750702-1110114</t>
        </is>
      </c>
      <c r="E18" s="148" t="inlineStr">
        <is>
          <t>성동구 마장동 820 금호어울림A 104-1902</t>
        </is>
      </c>
      <c r="F18" s="131" t="inlineStr">
        <is>
          <t>010-3630-2415</t>
        </is>
      </c>
      <c r="G18" s="132" t="n"/>
      <c r="H18" s="133" t="n"/>
      <c r="I18" s="134" t="n"/>
      <c r="J18" s="135" t="n"/>
    </row>
    <row customFormat="1" customHeight="1" ht="20.1" r="19" s="115">
      <c r="A19" s="130" t="n"/>
      <c r="B19" s="147" t="n"/>
      <c r="C19" s="131" t="inlineStr">
        <is>
          <t>유용관</t>
        </is>
      </c>
      <c r="D19" s="131" t="inlineStr">
        <is>
          <t>750817-1386619</t>
        </is>
      </c>
      <c r="E19" s="148" t="inlineStr">
        <is>
          <t>용인시 처인구 포곡읍 둔전리 안정멜로디A 101-1908</t>
        </is>
      </c>
      <c r="F19" s="131" t="inlineStr">
        <is>
          <t>010-2822-0232</t>
        </is>
      </c>
      <c r="G19" s="132" t="n"/>
      <c r="H19" s="133" t="n"/>
      <c r="I19" s="134" t="n"/>
      <c r="J19" s="135" t="n"/>
    </row>
    <row customFormat="1" customHeight="1" ht="20.1" r="20" s="115">
      <c r="A20" s="130" t="n"/>
      <c r="B20" s="147" t="n"/>
      <c r="C20" s="131" t="inlineStr">
        <is>
          <t>홍승훈</t>
        </is>
      </c>
      <c r="D20" s="131" t="inlineStr">
        <is>
          <t>750324-1239016</t>
        </is>
      </c>
      <c r="E20" s="148" t="inlineStr">
        <is>
          <t>오산시 양산동 세마 e편한세상 110-1201</t>
        </is>
      </c>
      <c r="F20" s="131" t="inlineStr">
        <is>
          <t>010-6345-6550</t>
        </is>
      </c>
      <c r="G20" s="132" t="n"/>
      <c r="H20" s="133" t="n"/>
      <c r="I20" s="134" t="n"/>
      <c r="J20" s="135" t="n"/>
    </row>
    <row customFormat="1" customHeight="1" ht="20.1" r="21" s="115">
      <c r="A21" s="136" t="n"/>
      <c r="B21" s="144" t="n"/>
      <c r="C21" s="138" t="n"/>
      <c r="D21" s="138" t="n"/>
      <c r="E21" s="139" t="inlineStr">
        <is>
          <t>353-88-00523, 한창우, 서비스업/변호사업</t>
        </is>
      </c>
      <c r="F21" s="138" t="n"/>
      <c r="G21" s="140" t="n"/>
      <c r="H21" s="141" t="n"/>
      <c r="I21" s="142" t="n"/>
      <c r="J21" s="143" t="n"/>
      <c r="M21" s="115" t="n">
        <v>116</v>
      </c>
    </row>
    <row customFormat="1" customHeight="1" ht="20.1" r="22" s="115">
      <c r="A22" s="130" t="n"/>
      <c r="B22" s="147" t="inlineStr">
        <is>
          <t>4층후면(57평)</t>
        </is>
      </c>
      <c r="C22" s="131" t="n"/>
      <c r="D22" s="131" t="n"/>
      <c r="E22" s="148" t="n"/>
      <c r="F22" s="131" t="n"/>
      <c r="G22" s="132" t="n"/>
      <c r="H22" s="133" t="n"/>
      <c r="I22" s="134" t="n"/>
      <c r="J22" s="135" t="n"/>
    </row>
    <row customFormat="1" customHeight="1" ht="20.1" r="23" s="115">
      <c r="A23" s="136" t="n"/>
      <c r="B23" s="144" t="n"/>
      <c r="C23" s="138" t="n"/>
      <c r="D23" s="138" t="n"/>
      <c r="E23" s="139" t="n"/>
      <c r="F23" s="138" t="n"/>
      <c r="G23" s="140" t="n"/>
      <c r="H23" s="141" t="n"/>
      <c r="I23" s="142" t="n"/>
      <c r="J23" s="143" t="n"/>
    </row>
    <row customFormat="1" customHeight="1" ht="30.75" r="24" s="115">
      <c r="A24" s="230" t="inlineStr">
        <is>
          <t>주식회사 지니컵</t>
        </is>
      </c>
      <c r="B24" s="123" t="inlineStr">
        <is>
          <t>5층(113.5평)</t>
        </is>
      </c>
      <c r="C24" s="124" t="inlineStr">
        <is>
          <t>양태양</t>
        </is>
      </c>
      <c r="D24" s="124" t="n"/>
      <c r="E24" s="125" t="inlineStr">
        <is>
          <t>울산광역시 중구 성안1길 19, 105호 지니컵              법인등록번호: 135811-0392282</t>
        </is>
      </c>
      <c r="F24" s="124" t="n"/>
      <c r="G24" s="126" t="n">
        <v>44718</v>
      </c>
      <c r="H24" s="127" t="inlineStr">
        <is>
          <t>2년</t>
        </is>
      </c>
      <c r="I24" s="128" t="n">
        <v>30000000</v>
      </c>
      <c r="J24" s="129" t="n">
        <v>2200000</v>
      </c>
      <c r="K24" s="115" t="inlineStr">
        <is>
          <t>1년후(23년6월)부터 240만원으로인상</t>
        </is>
      </c>
    </row>
    <row customFormat="1" customHeight="1" ht="20.1" r="25" s="115">
      <c r="A25" s="136" t="n"/>
      <c r="B25" s="137" t="inlineStr">
        <is>
          <t>계약담당 부장</t>
        </is>
      </c>
      <c r="C25" s="138" t="inlineStr">
        <is>
          <t>류태준</t>
        </is>
      </c>
      <c r="D25" s="138" t="inlineStr">
        <is>
          <t>010-3321-8816</t>
        </is>
      </c>
      <c r="E25" s="139" t="inlineStr">
        <is>
          <t>536-86-01763, 양태양, 서비스업/연구개발업</t>
        </is>
      </c>
      <c r="F25" s="138" t="n"/>
      <c r="G25" s="132" t="n"/>
      <c r="H25" s="141" t="n"/>
      <c r="I25" s="134" t="n"/>
      <c r="J25" s="143" t="n"/>
      <c r="L25" s="181" t="n"/>
      <c r="N25" s="181" t="n"/>
      <c r="P25" s="181" t="n"/>
    </row>
    <row customFormat="1" customHeight="1" ht="20.1" r="26" s="107">
      <c r="E26" s="231" t="inlineStr">
        <is>
          <t>월세입금: 곽순욱/신한 379-02-099892</t>
        </is>
      </c>
      <c r="G26" s="347" t="inlineStr">
        <is>
          <t>합계</t>
        </is>
      </c>
      <c r="H26" s="348" t="n"/>
      <c r="I26" s="149">
        <f>SUM(I9:I25)</f>
        <v/>
      </c>
      <c r="J26" s="149">
        <f>SUM(J9:J25)</f>
        <v/>
      </c>
      <c r="K26" s="108" t="inlineStr">
        <is>
          <t>대출</t>
        </is>
      </c>
      <c r="L26" s="108" t="inlineStr">
        <is>
          <t>220610 지급</t>
        </is>
      </c>
      <c r="M26" s="108" t="inlineStr">
        <is>
          <t>220908 지급</t>
        </is>
      </c>
      <c r="N26" s="108" t="inlineStr">
        <is>
          <t>잔금</t>
        </is>
      </c>
      <c r="O26" s="115" t="n"/>
      <c r="P26" s="115" t="n"/>
      <c r="Q26" s="115" t="n"/>
      <c r="R26" s="115" t="n"/>
    </row>
    <row customFormat="1" customHeight="1" ht="20.1" r="27" s="107">
      <c r="E27" s="231" t="inlineStr">
        <is>
          <t>곽순욱/신한 379-12-006884</t>
        </is>
      </c>
      <c r="G27" s="349" t="inlineStr">
        <is>
          <t>곽순욱</t>
        </is>
      </c>
      <c r="H27" s="350" t="n"/>
      <c r="I27" s="597">
        <f>I26*0.74</f>
        <v/>
      </c>
      <c r="J27" s="597">
        <f>J26*0.74</f>
        <v/>
      </c>
      <c r="K27" s="598" t="n">
        <v>50000000</v>
      </c>
      <c r="L27" s="598" t="n">
        <v>25000000</v>
      </c>
      <c r="M27" s="599" t="n">
        <v>10000000</v>
      </c>
      <c r="N27" s="599">
        <f>K27-L27-M27</f>
        <v/>
      </c>
      <c r="O27" s="115" t="n"/>
      <c r="P27" s="600" t="n"/>
      <c r="Q27" s="115" t="n"/>
      <c r="R27" s="115" t="n"/>
    </row>
    <row customFormat="1" customHeight="1" ht="20.1" r="28" s="107">
      <c r="E28" s="231" t="inlineStr">
        <is>
          <t>박종환/신한 110-150-294752</t>
        </is>
      </c>
      <c r="G28" s="349" t="inlineStr">
        <is>
          <t>박종환</t>
        </is>
      </c>
      <c r="H28" s="350" t="n"/>
      <c r="I28" s="597">
        <f>I26*0.26</f>
        <v/>
      </c>
      <c r="J28" s="597">
        <f>J26*0.26</f>
        <v/>
      </c>
      <c r="K28" s="598" t="n">
        <v>20000000</v>
      </c>
      <c r="L28" s="598" t="n">
        <v>10000000</v>
      </c>
      <c r="M28" s="599" t="n">
        <v>0</v>
      </c>
      <c r="N28" s="599">
        <f>K28-L28-M28</f>
        <v/>
      </c>
      <c r="O28" s="115" t="n"/>
      <c r="P28" s="600" t="n"/>
      <c r="Q28" s="115" t="n"/>
      <c r="R28" s="115" t="n"/>
    </row>
    <row customFormat="1" customHeight="1" ht="20.1" r="29" s="107">
      <c r="E29" s="117" t="n"/>
      <c r="H29" s="104" t="n"/>
      <c r="I29" s="108" t="n"/>
      <c r="J29" s="600" t="n"/>
      <c r="L29" s="115" t="n"/>
      <c r="M29" s="115" t="n"/>
      <c r="N29" s="115" t="n"/>
      <c r="O29" s="115" t="n"/>
      <c r="P29" s="115" t="n"/>
      <c r="Q29" s="115" t="n"/>
      <c r="R29" s="115" t="n"/>
    </row>
    <row customHeight="1" ht="20.1" r="30" s="391">
      <c r="I30" s="108" t="n"/>
      <c r="J30" s="600" t="n"/>
    </row>
    <row customFormat="1" customHeight="1" ht="20.1" r="31" s="110">
      <c r="E31" s="150" t="n"/>
      <c r="H31" s="151" t="n"/>
      <c r="P31" s="601" t="n"/>
    </row>
    <row customFormat="1" customHeight="1" ht="20.1" r="32" s="110">
      <c r="E32" s="150" t="n"/>
      <c r="G32" s="152" t="n"/>
      <c r="H32" s="151" t="n"/>
      <c r="I32" s="602" t="n"/>
      <c r="J32" s="602" t="n"/>
    </row>
    <row customFormat="1" customHeight="1" ht="20.1" r="33" s="110">
      <c r="E33" s="150" t="n"/>
      <c r="H33" s="151" t="n"/>
      <c r="I33" s="602" t="n"/>
      <c r="J33" s="602" t="n"/>
    </row>
    <row customFormat="1" customHeight="1" ht="15" r="34" s="110">
      <c r="E34" s="150" t="n"/>
      <c r="H34" s="151" t="n"/>
    </row>
    <row customFormat="1" customHeight="1" ht="15" r="35" s="110">
      <c r="E35" s="150" t="n"/>
      <c r="H35" s="151" t="n"/>
    </row>
    <row customHeight="1" ht="15" r="36" s="391"/>
    <row customHeight="1" ht="15" r="37" s="391"/>
  </sheetData>
  <mergeCells count="4">
    <mergeCell ref="A2:B2"/>
    <mergeCell ref="G26:H26"/>
    <mergeCell ref="G27:H27"/>
    <mergeCell ref="G28:H28"/>
  </mergeCells>
  <pageMargins bottom="1" footer="0.5" header="0.5" left="0.47" right="0.45" top="1"/>
  <pageSetup horizontalDpi="300" orientation="landscape" paperSize="9" scale="90" verticalDpi="300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2"/>
  <sheetViews>
    <sheetView topLeftCell="A22" workbookViewId="0">
      <selection activeCell="C37" sqref="C37"/>
    </sheetView>
  </sheetViews>
  <sheetFormatPr baseColWidth="8" defaultColWidth="8.77734375" defaultRowHeight="13.5"/>
  <cols>
    <col customWidth="1" max="1" min="1" style="391" width="13.44140625"/>
    <col customWidth="1" max="2" min="2" style="391" width="20.77734375"/>
    <col customWidth="1" max="3" min="3" style="391" width="10.6640625"/>
    <col customWidth="1" max="4" min="4" style="391" width="20.6640625"/>
    <col customWidth="1" max="5" min="5" style="391" width="11.109375"/>
    <col customWidth="1" max="6" min="6" style="1" width="12.77734375"/>
    <col customWidth="1" max="7" min="7" style="1" width="12.109375"/>
    <col customWidth="1" max="8" min="8" style="391" width="14.109375"/>
    <col customWidth="1" max="9" min="9" style="168" width="13.77734375"/>
    <col bestFit="1" customWidth="1" max="10" min="10" style="603" width="13.77734375"/>
    <col bestFit="1" customWidth="1" max="11" min="11" style="5" width="9.44140625"/>
  </cols>
  <sheetData>
    <row customHeight="1" ht="14.25" r="1" s="391">
      <c r="A1" s="9" t="inlineStr">
        <is>
          <t>* 입출금 내역 (2023년)</t>
        </is>
      </c>
      <c r="B1" s="9" t="n"/>
      <c r="C1" s="10" t="n"/>
      <c r="D1" s="10" t="n"/>
      <c r="E1" s="10" t="n"/>
    </row>
    <row r="2">
      <c r="A2" s="11" t="n"/>
    </row>
    <row customHeight="1" ht="15" r="3" s="391">
      <c r="A3" s="12" t="inlineStr">
        <is>
          <t>2022년 이월금액</t>
        </is>
      </c>
      <c r="B3" s="13" t="n">
        <v>34999559</v>
      </c>
      <c r="C3" s="8" t="inlineStr">
        <is>
          <t>원</t>
        </is>
      </c>
    </row>
    <row customHeight="1" ht="15" r="4" s="391">
      <c r="A4" s="11" t="n"/>
    </row>
    <row customHeight="1" ht="15" r="5" s="391">
      <c r="A5" s="360" t="inlineStr">
        <is>
          <t>입출금 일자</t>
        </is>
      </c>
      <c r="B5" s="362" t="inlineStr">
        <is>
          <t>입금</t>
        </is>
      </c>
      <c r="C5" s="348" t="n"/>
      <c r="D5" s="362" t="inlineStr">
        <is>
          <t>출금</t>
        </is>
      </c>
      <c r="E5" s="348" t="n"/>
    </row>
    <row customHeight="1" ht="15" r="6" s="391">
      <c r="A6" s="361" t="n"/>
      <c r="B6" s="233" t="inlineStr">
        <is>
          <t>입금내역</t>
        </is>
      </c>
      <c r="C6" s="233" t="inlineStr">
        <is>
          <t>입금금액</t>
        </is>
      </c>
      <c r="D6" s="233" t="inlineStr">
        <is>
          <t>출금내역</t>
        </is>
      </c>
      <c r="E6" s="233" t="inlineStr">
        <is>
          <t>출금금액</t>
        </is>
      </c>
    </row>
    <row customHeight="1" ht="15" r="7" s="391">
      <c r="A7" s="158" t="inlineStr">
        <is>
          <t>2023-01-02</t>
        </is>
      </c>
      <c r="B7" s="15" t="n"/>
      <c r="C7" s="604" t="n"/>
      <c r="D7" s="15" t="inlineStr">
        <is>
          <t>수도요금</t>
        </is>
      </c>
      <c r="E7" s="604" t="n">
        <v>57890</v>
      </c>
      <c r="H7" s="18" t="n"/>
    </row>
    <row customHeight="1" ht="15" r="8" s="391">
      <c r="A8" s="158" t="inlineStr">
        <is>
          <t>2023-01-06</t>
        </is>
      </c>
      <c r="B8" s="15" t="inlineStr">
        <is>
          <t>김영광치과 월세</t>
        </is>
      </c>
      <c r="C8" s="604" t="n">
        <v>1847368</v>
      </c>
      <c r="D8" s="15" t="n"/>
      <c r="E8" s="604" t="n"/>
      <c r="H8" s="18" t="n"/>
    </row>
    <row customHeight="1" ht="15" r="9" s="391">
      <c r="A9" s="158" t="inlineStr">
        <is>
          <t>2023-01-10</t>
        </is>
      </c>
      <c r="B9" s="15" t="n"/>
      <c r="C9" s="604" t="n"/>
      <c r="D9" s="344" t="inlineStr">
        <is>
          <t>세무사기장료</t>
        </is>
      </c>
      <c r="E9" s="604" t="n">
        <v>165000</v>
      </c>
      <c r="H9" s="18" t="n"/>
    </row>
    <row customHeight="1" ht="15" r="10" s="391">
      <c r="A10" s="158" t="inlineStr">
        <is>
          <t>2023-01-10</t>
        </is>
      </c>
      <c r="B10" s="15" t="n"/>
      <c r="C10" s="604" t="n"/>
      <c r="D10" s="15" t="inlineStr">
        <is>
          <t>전기유지보수료</t>
        </is>
      </c>
      <c r="E10" s="604" t="n">
        <v>66000</v>
      </c>
      <c r="H10" s="18" t="n"/>
    </row>
    <row customHeight="1" ht="15" r="11" s="391">
      <c r="A11" s="158" t="inlineStr">
        <is>
          <t>2023-01-10</t>
        </is>
      </c>
      <c r="B11" s="15" t="n"/>
      <c r="C11" s="604" t="n"/>
      <c r="D11" s="15" t="inlineStr">
        <is>
          <t>세무사 장부대금</t>
        </is>
      </c>
      <c r="E11" s="604" t="n">
        <v>143000</v>
      </c>
      <c r="H11" s="18" t="n"/>
    </row>
    <row customHeight="1" ht="15" r="12" s="391">
      <c r="A12" s="158" t="inlineStr">
        <is>
          <t>2023-01-12</t>
        </is>
      </c>
      <c r="B12" s="15" t="n"/>
      <c r="C12" s="604" t="n"/>
      <c r="D12" s="15" t="inlineStr">
        <is>
          <t>승강기 취득세</t>
        </is>
      </c>
      <c r="E12" s="604" t="n">
        <v>950510</v>
      </c>
      <c r="H12" s="18" t="n"/>
    </row>
    <row customHeight="1" ht="15" r="13" s="391">
      <c r="A13" s="158" t="inlineStr">
        <is>
          <t>2023-01-12</t>
        </is>
      </c>
      <c r="B13" s="15" t="n"/>
      <c r="C13" s="604" t="n"/>
      <c r="D13" s="15" t="inlineStr">
        <is>
          <t>승강기 안전검사 수수료</t>
        </is>
      </c>
      <c r="E13" s="604" t="n">
        <v>127270</v>
      </c>
      <c r="H13" s="18" t="n"/>
    </row>
    <row customHeight="1" ht="15" r="14" s="391">
      <c r="A14" s="158" t="inlineStr">
        <is>
          <t>2023-01-20</t>
        </is>
      </c>
      <c r="B14" s="15" t="n"/>
      <c r="C14" s="604" t="n"/>
      <c r="D14" s="15" t="inlineStr">
        <is>
          <t>부가가치세납부</t>
        </is>
      </c>
      <c r="E14" s="604" t="n">
        <v>5768610</v>
      </c>
      <c r="H14" s="18" t="n"/>
    </row>
    <row customHeight="1" ht="15" r="15" s="391">
      <c r="A15" s="158" t="inlineStr">
        <is>
          <t>2023-01-25</t>
        </is>
      </c>
      <c r="B15" s="15" t="n"/>
      <c r="C15" s="604" t="n"/>
      <c r="D15" s="15" t="inlineStr">
        <is>
          <t>전기요금</t>
        </is>
      </c>
      <c r="E15" s="604" t="n">
        <v>3389800</v>
      </c>
      <c r="H15" s="18" t="n"/>
    </row>
    <row customHeight="1" ht="15" r="16" s="391">
      <c r="A16" s="158" t="inlineStr">
        <is>
          <t>2023-01-25</t>
        </is>
      </c>
      <c r="B16" s="15" t="n"/>
      <c r="C16" s="604" t="n"/>
      <c r="D16" s="15" t="inlineStr">
        <is>
          <t>전화요금</t>
        </is>
      </c>
      <c r="E16" s="604" t="n">
        <v>5660</v>
      </c>
      <c r="H16" s="18" t="n"/>
    </row>
    <row customHeight="1" ht="15" r="17" s="391">
      <c r="A17" s="158" t="inlineStr">
        <is>
          <t>2023-01-26</t>
        </is>
      </c>
      <c r="B17" s="15" t="n"/>
      <c r="C17" s="604" t="n"/>
      <c r="D17" s="344" t="inlineStr">
        <is>
          <t>관리소장 급여</t>
        </is>
      </c>
      <c r="E17" s="604" t="n">
        <v>1000000</v>
      </c>
      <c r="H17" s="18" t="n"/>
    </row>
    <row customHeight="1" ht="15" r="18" s="391">
      <c r="A18" s="158" t="inlineStr">
        <is>
          <t>2023-01-26</t>
        </is>
      </c>
      <c r="B18" s="15" t="n"/>
      <c r="C18" s="604" t="n"/>
      <c r="D18" s="15" t="inlineStr">
        <is>
          <t>청소아줌마 급여</t>
        </is>
      </c>
      <c r="E18" s="604" t="n">
        <v>500000</v>
      </c>
      <c r="H18" s="18" t="n"/>
    </row>
    <row customHeight="1" ht="15" r="19" s="391">
      <c r="A19" s="158" t="inlineStr">
        <is>
          <t>2023-01-26</t>
        </is>
      </c>
      <c r="B19" s="15" t="n"/>
      <c r="C19" s="604" t="n"/>
      <c r="D19" s="344" t="inlineStr">
        <is>
          <t>관리소장 설보너스</t>
        </is>
      </c>
      <c r="E19" s="604" t="n">
        <v>200000</v>
      </c>
      <c r="H19" s="18" t="n"/>
    </row>
    <row customHeight="1" ht="15" r="20" s="391">
      <c r="A20" s="158" t="inlineStr">
        <is>
          <t>2023-01-26</t>
        </is>
      </c>
      <c r="B20" s="15" t="n"/>
      <c r="C20" s="604" t="n"/>
      <c r="D20" s="15" t="inlineStr">
        <is>
          <t>청소아줌마 설보너스</t>
        </is>
      </c>
      <c r="E20" s="604" t="n">
        <v>100000</v>
      </c>
      <c r="H20" s="18" t="n"/>
    </row>
    <row customHeight="1" ht="15" r="21" s="391">
      <c r="A21" s="158" t="inlineStr">
        <is>
          <t>2023-01-30</t>
        </is>
      </c>
      <c r="B21" s="15" t="n"/>
      <c r="C21" s="604" t="n"/>
      <c r="D21" s="15" t="inlineStr">
        <is>
          <t>엘리베이터 유지보수료</t>
        </is>
      </c>
      <c r="E21" s="604" t="n">
        <v>110000</v>
      </c>
      <c r="H21" s="18" t="n"/>
    </row>
    <row customHeight="1" ht="15" r="22" s="391">
      <c r="A22" s="158" t="inlineStr">
        <is>
          <t>2023-01-30</t>
        </is>
      </c>
      <c r="B22" s="15" t="n"/>
      <c r="C22" s="604" t="n"/>
      <c r="D22" s="15" t="inlineStr">
        <is>
          <t>소벙안전관리자 회비</t>
        </is>
      </c>
      <c r="E22" s="604" t="n">
        <v>48000</v>
      </c>
      <c r="H22" s="18" t="n"/>
    </row>
    <row customHeight="1" ht="15" r="23" s="391">
      <c r="A23" s="158" t="inlineStr">
        <is>
          <t>2023-01-30</t>
        </is>
      </c>
      <c r="B23" s="15" t="n"/>
      <c r="C23" s="604" t="n"/>
      <c r="D23" s="15" t="inlineStr">
        <is>
          <t>관리소장 비용 선급금</t>
        </is>
      </c>
      <c r="E23" s="604" t="n">
        <v>200000</v>
      </c>
      <c r="H23" s="18" t="n"/>
    </row>
    <row customHeight="1" ht="15" r="24" s="391">
      <c r="A24" s="158" t="inlineStr">
        <is>
          <t>2023-01-30</t>
        </is>
      </c>
      <c r="B24" s="15" t="n"/>
      <c r="C24" s="604" t="n"/>
      <c r="D24" s="15" t="inlineStr">
        <is>
          <t>관리소장 정산</t>
        </is>
      </c>
      <c r="E24" s="604">
        <f>11000+13000+7000+45000+42000+20000+2500+9900+9000+2500</f>
        <v/>
      </c>
      <c r="H24" s="18" t="n"/>
    </row>
    <row customHeight="1" ht="15" r="25" s="391">
      <c r="A25" s="158" t="inlineStr">
        <is>
          <t>2023-01-31</t>
        </is>
      </c>
      <c r="B25" s="15" t="n"/>
      <c r="C25" s="604" t="n"/>
      <c r="D25" s="15" t="inlineStr">
        <is>
          <t>수도요금</t>
        </is>
      </c>
      <c r="E25" s="604" t="n">
        <v>71690</v>
      </c>
      <c r="H25" s="18" t="n"/>
    </row>
    <row customHeight="1" ht="15" r="26" s="391">
      <c r="A26" s="158" t="inlineStr">
        <is>
          <t>2023-01-31</t>
        </is>
      </c>
      <c r="B26" s="15" t="inlineStr">
        <is>
          <t>하모니마트 월세</t>
        </is>
      </c>
      <c r="C26" s="604" t="n">
        <v>3731681</v>
      </c>
      <c r="D26" s="15" t="n"/>
      <c r="E26" s="604" t="n"/>
      <c r="H26" s="18" t="n"/>
    </row>
    <row customHeight="1" ht="15" r="27" s="391">
      <c r="A27" s="158" t="inlineStr">
        <is>
          <t>2023-01-31</t>
        </is>
      </c>
      <c r="B27" s="15" t="inlineStr">
        <is>
          <t>법률사무소백야 월세</t>
        </is>
      </c>
      <c r="C27" s="604" t="n">
        <v>1891110</v>
      </c>
      <c r="D27" s="15" t="n"/>
      <c r="E27" s="604" t="n"/>
      <c r="H27" s="18" t="n"/>
    </row>
    <row customHeight="1" ht="15" r="28" s="391">
      <c r="A28" s="158" t="inlineStr">
        <is>
          <t>2023-01-31</t>
        </is>
      </c>
      <c r="B28" s="15" t="inlineStr">
        <is>
          <t>바른고기정육점 월세</t>
        </is>
      </c>
      <c r="C28" s="604" t="n">
        <v>2528918</v>
      </c>
      <c r="D28" s="15" t="n"/>
      <c r="E28" s="604" t="n"/>
      <c r="H28" s="18" t="n"/>
    </row>
    <row customHeight="1" ht="15" r="29" s="391">
      <c r="A29" s="158" t="inlineStr">
        <is>
          <t>2023-01-31</t>
        </is>
      </c>
      <c r="B29" s="15" t="inlineStr">
        <is>
          <t>법무법인주한 월세 (3층)</t>
        </is>
      </c>
      <c r="C29" s="604" t="n">
        <v>4000167</v>
      </c>
      <c r="D29" s="15" t="n"/>
      <c r="E29" s="604" t="n"/>
      <c r="H29" s="18" t="n"/>
    </row>
    <row customHeight="1" ht="15" r="30" s="391">
      <c r="A30" s="158" t="inlineStr">
        <is>
          <t>2023-02-01</t>
        </is>
      </c>
      <c r="B30" s="15" t="inlineStr">
        <is>
          <t>지니컵 월세 (5층)</t>
        </is>
      </c>
      <c r="C30" s="604" t="n">
        <v>4033236</v>
      </c>
      <c r="D30" s="15" t="n"/>
      <c r="E30" s="604" t="n"/>
      <c r="H30" s="18" t="n"/>
    </row>
    <row customHeight="1" ht="15" r="31" s="391">
      <c r="A31" s="158" t="inlineStr">
        <is>
          <t>2023-02-07</t>
        </is>
      </c>
      <c r="B31" s="15" t="inlineStr">
        <is>
          <t>김영광치과 월세</t>
        </is>
      </c>
      <c r="C31" s="604" t="n">
        <v>1905900</v>
      </c>
      <c r="D31" s="15" t="n"/>
      <c r="E31" s="604" t="n"/>
      <c r="H31" s="18" t="n"/>
    </row>
    <row customHeight="1" ht="15" r="32" s="391">
      <c r="A32" s="158" t="n"/>
      <c r="B32" s="15" t="n"/>
      <c r="C32" s="604" t="n"/>
      <c r="D32" s="15" t="n"/>
      <c r="E32" s="604" t="n"/>
      <c r="H32" s="18" t="n"/>
    </row>
    <row customHeight="1" ht="15" r="33" s="391">
      <c r="A33" s="158" t="n"/>
      <c r="B33" s="15" t="n"/>
      <c r="C33" s="604" t="n"/>
      <c r="D33" s="15" t="n"/>
      <c r="E33" s="604" t="n"/>
      <c r="H33" s="18" t="n"/>
    </row>
    <row customHeight="1" ht="15" r="34" s="391">
      <c r="A34" s="158" t="n"/>
      <c r="B34" s="15" t="n"/>
      <c r="C34" s="604" t="n"/>
      <c r="D34" s="15" t="n"/>
      <c r="E34" s="604" t="n"/>
      <c r="H34" s="18" t="n"/>
    </row>
    <row customHeight="1" ht="15" r="35" s="391">
      <c r="A35" s="158" t="n"/>
      <c r="B35" s="15" t="n"/>
      <c r="C35" s="604" t="n"/>
      <c r="D35" s="15" t="n"/>
      <c r="E35" s="604" t="n"/>
      <c r="H35" s="18" t="n"/>
    </row>
    <row customHeight="1" ht="15" r="36" s="391">
      <c r="A36" s="158" t="n"/>
      <c r="B36" s="15" t="n"/>
      <c r="C36" s="604" t="n"/>
      <c r="D36" s="15" t="n"/>
      <c r="E36" s="604" t="n"/>
      <c r="H36" s="18" t="n"/>
    </row>
    <row customHeight="1" ht="15" r="37" s="391">
      <c r="A37" s="158" t="n"/>
      <c r="B37" s="15" t="n"/>
      <c r="C37" s="604" t="n"/>
      <c r="D37" s="15" t="n"/>
      <c r="E37" s="604" t="n"/>
      <c r="H37" s="18" t="n"/>
    </row>
    <row customHeight="1" ht="15" r="38" s="391">
      <c r="A38" s="158" t="n"/>
      <c r="B38" s="15" t="n"/>
      <c r="C38" s="604" t="n"/>
      <c r="D38" s="15" t="n"/>
      <c r="E38" s="604" t="n"/>
      <c r="H38" s="18" t="n"/>
    </row>
    <row customHeight="1" ht="15" r="39" s="391">
      <c r="A39" s="158" t="n"/>
      <c r="B39" s="15" t="n"/>
      <c r="C39" s="604" t="n"/>
      <c r="D39" s="15" t="n"/>
      <c r="E39" s="604" t="n"/>
      <c r="H39" s="18" t="n"/>
    </row>
    <row customHeight="1" ht="15" r="40" s="391">
      <c r="A40" s="158" t="n"/>
      <c r="B40" s="15" t="n"/>
      <c r="C40" s="604" t="n"/>
      <c r="D40" s="15" t="n"/>
      <c r="E40" s="604" t="n"/>
      <c r="H40" s="18" t="n"/>
    </row>
    <row customHeight="1" ht="15" r="41" s="391">
      <c r="A41" s="158" t="n"/>
      <c r="B41" s="15" t="n"/>
      <c r="C41" s="604" t="n"/>
      <c r="D41" s="15" t="n"/>
      <c r="E41" s="604" t="n"/>
      <c r="H41" s="18" t="n"/>
    </row>
    <row customHeight="1" ht="15" r="42" s="391">
      <c r="A42" s="158" t="n"/>
      <c r="B42" s="15" t="n"/>
      <c r="C42" s="604" t="n"/>
      <c r="D42" s="15" t="n"/>
      <c r="E42" s="604" t="n"/>
      <c r="H42" s="18" t="n"/>
    </row>
    <row customHeight="1" ht="15" r="43" s="391">
      <c r="A43" s="158" t="n"/>
      <c r="B43" s="15" t="n"/>
      <c r="C43" s="604" t="n"/>
      <c r="D43" s="15" t="n"/>
      <c r="E43" s="604" t="n"/>
      <c r="H43" s="18" t="n"/>
    </row>
    <row customHeight="1" ht="15" r="44" s="391">
      <c r="A44" s="158" t="n"/>
      <c r="B44" s="15" t="n"/>
      <c r="C44" s="604" t="n"/>
      <c r="D44" s="15" t="n"/>
      <c r="E44" s="604" t="n"/>
      <c r="H44" s="18" t="n"/>
    </row>
    <row customHeight="1" ht="15" r="45" s="391">
      <c r="A45" s="158" t="n"/>
      <c r="B45" s="15" t="n"/>
      <c r="C45" s="604" t="n"/>
      <c r="D45" s="15" t="n"/>
      <c r="E45" s="604" t="n"/>
      <c r="H45" s="18" t="n"/>
    </row>
    <row customHeight="1" ht="15" r="46" s="391">
      <c r="A46" s="158" t="n"/>
      <c r="B46" s="15" t="n"/>
      <c r="C46" s="604" t="n"/>
      <c r="D46" s="15" t="n"/>
      <c r="E46" s="604" t="n"/>
      <c r="H46" s="18" t="n"/>
    </row>
    <row customHeight="1" ht="15" r="47" s="391">
      <c r="A47" s="158" t="n"/>
      <c r="B47" s="15" t="n"/>
      <c r="C47" s="604" t="n"/>
      <c r="D47" s="15" t="n"/>
      <c r="E47" s="604" t="n"/>
      <c r="H47" s="18" t="n"/>
    </row>
    <row customHeight="1" ht="15" r="48" s="391">
      <c r="A48" s="158" t="n"/>
      <c r="B48" s="15" t="n"/>
      <c r="C48" s="604" t="n"/>
      <c r="D48" s="15" t="n"/>
      <c r="E48" s="604" t="n"/>
      <c r="H48" s="18" t="n"/>
    </row>
    <row customHeight="1" ht="15" r="49" s="391">
      <c r="A49" s="158" t="n"/>
      <c r="B49" s="15" t="n"/>
      <c r="C49" s="604" t="n"/>
      <c r="D49" s="15" t="n"/>
      <c r="E49" s="604" t="n"/>
      <c r="H49" s="18" t="n"/>
    </row>
    <row customHeight="1" ht="15" r="50" s="391">
      <c r="A50" s="158" t="n"/>
      <c r="B50" s="15" t="n"/>
      <c r="C50" s="604" t="n"/>
      <c r="D50" s="15" t="n"/>
      <c r="E50" s="604" t="n"/>
      <c r="H50" s="18" t="n"/>
    </row>
    <row customHeight="1" ht="15" r="51" s="391">
      <c r="A51" s="158" t="n"/>
      <c r="B51" s="15" t="n"/>
      <c r="C51" s="604" t="n"/>
      <c r="D51" s="15" t="n"/>
      <c r="E51" s="604" t="n"/>
      <c r="H51" s="18" t="n"/>
    </row>
    <row customHeight="1" ht="15" r="52" s="391">
      <c r="A52" s="158" t="n"/>
      <c r="B52" s="15" t="n"/>
      <c r="C52" s="604" t="n"/>
      <c r="D52" s="15" t="n"/>
      <c r="E52" s="604" t="n"/>
      <c r="F52" s="605" t="n"/>
    </row>
    <row customHeight="1" ht="15" r="53" s="391">
      <c r="A53" s="158" t="n"/>
      <c r="B53" s="15" t="n"/>
      <c r="C53" s="604" t="n"/>
      <c r="D53" s="15" t="n"/>
      <c r="E53" s="604" t="n"/>
      <c r="F53" s="605" t="n"/>
    </row>
    <row customHeight="1" ht="15" r="54" s="391">
      <c r="A54" s="233" t="inlineStr">
        <is>
          <t>합계</t>
        </is>
      </c>
      <c r="B54" s="233" t="inlineStr">
        <is>
          <t>입금합계</t>
        </is>
      </c>
      <c r="C54" s="234">
        <f>SUM(C7:C53)</f>
        <v/>
      </c>
      <c r="D54" s="233" t="inlineStr">
        <is>
          <t>출금합계</t>
        </is>
      </c>
      <c r="E54" s="234">
        <f>SUM(E7:E53)</f>
        <v/>
      </c>
      <c r="G54" s="165" t="n"/>
      <c r="H54" s="20" t="n"/>
    </row>
    <row customHeight="1" ht="15" r="55" s="391">
      <c r="A55" s="233" t="inlineStr">
        <is>
          <t>전체합계</t>
        </is>
      </c>
      <c r="B55" s="17">
        <f>B3+C54-E54</f>
        <v/>
      </c>
      <c r="C55" s="235" t="inlineStr">
        <is>
          <t>원</t>
        </is>
      </c>
      <c r="D55" s="236" t="n"/>
      <c r="E55" s="14" t="n"/>
      <c r="H55" s="20" t="n"/>
    </row>
    <row customHeight="1" ht="15" r="56" s="391">
      <c r="B56" s="18" t="n"/>
    </row>
    <row customFormat="1" customHeight="1" ht="15" r="57" s="5">
      <c r="A57" s="21" t="inlineStr">
        <is>
          <t>* 미납 임대료 현황</t>
        </is>
      </c>
      <c r="H57" s="20" t="n"/>
      <c r="I57" s="168" t="n"/>
      <c r="J57" s="603" t="n"/>
    </row>
    <row customFormat="1" customHeight="1" ht="15" r="58" s="5">
      <c r="B58" s="20" t="n"/>
      <c r="C58" s="20" t="n"/>
      <c r="H58" s="20" t="n"/>
      <c r="I58" s="168" t="n"/>
      <c r="J58" s="603" t="n"/>
    </row>
    <row customFormat="1" customHeight="1" ht="15" r="59" s="24">
      <c r="A59" s="237" t="inlineStr">
        <is>
          <t>상호</t>
        </is>
      </c>
      <c r="B59" s="351" t="inlineStr">
        <is>
          <t>금액</t>
        </is>
      </c>
      <c r="C59" s="352" t="n"/>
      <c r="D59" s="353" t="inlineStr">
        <is>
          <t>합계</t>
        </is>
      </c>
      <c r="E59" s="350" t="n"/>
      <c r="I59" s="169" t="n"/>
      <c r="J59" s="606" t="n"/>
    </row>
    <row customFormat="1" customHeight="1" ht="15" r="60" s="6">
      <c r="A60" s="167" t="inlineStr">
        <is>
          <t>바른고기정육점</t>
        </is>
      </c>
      <c r="B60" s="607">
        <f>정육점!AB13</f>
        <v/>
      </c>
      <c r="C60" s="608" t="inlineStr">
        <is>
          <t>원</t>
        </is>
      </c>
      <c r="D60" s="609">
        <f>SUM(B60:B66)</f>
        <v/>
      </c>
      <c r="E60" s="355" t="n"/>
      <c r="I60" s="170" t="n"/>
      <c r="J60" s="610" t="n"/>
    </row>
    <row customFormat="1" customHeight="1" ht="15" r="61" s="6">
      <c r="A61" s="167" t="inlineStr">
        <is>
          <t>하모니마트</t>
        </is>
      </c>
      <c r="B61" s="607">
        <f>하모니마트!AB13</f>
        <v/>
      </c>
      <c r="C61" s="608" t="inlineStr">
        <is>
          <t>원</t>
        </is>
      </c>
      <c r="D61" s="356" t="n"/>
      <c r="E61" s="357" t="n"/>
      <c r="H61" s="179" t="n"/>
      <c r="I61" s="170" t="n"/>
      <c r="J61" s="610" t="n"/>
    </row>
    <row customFormat="1" customHeight="1" ht="15" r="62" s="6">
      <c r="A62" s="167" t="inlineStr">
        <is>
          <t>법률사무소 백야</t>
        </is>
      </c>
      <c r="B62" s="607">
        <f>'법률사무소 백야'!AB13</f>
        <v/>
      </c>
      <c r="C62" s="608" t="inlineStr">
        <is>
          <t>원</t>
        </is>
      </c>
      <c r="D62" s="356" t="n"/>
      <c r="E62" s="357" t="n"/>
      <c r="I62" s="170" t="n"/>
      <c r="J62" s="610" t="n"/>
    </row>
    <row customFormat="1" customHeight="1" ht="15" r="63" s="6">
      <c r="A63" s="167" t="inlineStr">
        <is>
          <t>김영광치과</t>
        </is>
      </c>
      <c r="B63" s="607">
        <f>치과!AB13</f>
        <v/>
      </c>
      <c r="C63" s="608" t="inlineStr">
        <is>
          <t>원</t>
        </is>
      </c>
      <c r="D63" s="356" t="n"/>
      <c r="E63" s="357" t="n"/>
      <c r="I63" s="170" t="n"/>
      <c r="J63" s="610" t="n"/>
    </row>
    <row customFormat="1" customHeight="1" ht="15" r="64" s="6">
      <c r="A64" s="167" t="inlineStr">
        <is>
          <t>법무법인 주한(3)</t>
        </is>
      </c>
      <c r="B64" s="607">
        <f>'법무법인 주한 (3층)'!AB13</f>
        <v/>
      </c>
      <c r="C64" s="608" t="inlineStr">
        <is>
          <t>원</t>
        </is>
      </c>
      <c r="D64" s="356" t="n"/>
      <c r="E64" s="357" t="n"/>
      <c r="I64" s="170" t="n"/>
      <c r="J64" s="610" t="n"/>
    </row>
    <row customFormat="1" customHeight="1" ht="15" r="65" s="6">
      <c r="A65" s="167" t="inlineStr">
        <is>
          <t>4층 사무실</t>
        </is>
      </c>
      <c r="B65" s="607">
        <f>'사무실 (4층)'!AB13</f>
        <v/>
      </c>
      <c r="C65" s="608" t="inlineStr">
        <is>
          <t>원</t>
        </is>
      </c>
      <c r="D65" s="356" t="n"/>
      <c r="E65" s="357" t="n"/>
      <c r="I65" s="170" t="n"/>
      <c r="J65" s="610" t="n"/>
    </row>
    <row customFormat="1" customHeight="1" ht="15" r="66" s="6">
      <c r="A66" s="167" t="inlineStr">
        <is>
          <t>5층 사무실</t>
        </is>
      </c>
      <c r="B66" s="607">
        <f>지니컵!AB13</f>
        <v/>
      </c>
      <c r="C66" s="608" t="inlineStr">
        <is>
          <t>원</t>
        </is>
      </c>
      <c r="D66" s="358" t="n"/>
      <c r="E66" s="359" t="n"/>
      <c r="I66" s="170" t="n"/>
      <c r="J66" s="610" t="n"/>
    </row>
    <row customFormat="1" customHeight="1" ht="15" r="67" s="6">
      <c r="I67" s="170" t="n"/>
      <c r="J67" s="610" t="n"/>
    </row>
    <row customFormat="1" customHeight="1" ht="15" r="68" s="6">
      <c r="A68" s="26" t="n"/>
      <c r="C68" s="610" t="n"/>
      <c r="I68" s="170" t="n"/>
      <c r="J68" s="610" t="n"/>
    </row>
    <row customFormat="1" customHeight="1" ht="15" r="69" s="6">
      <c r="C69" s="610" t="n"/>
      <c r="I69" s="170" t="n"/>
      <c r="J69" s="610" t="n"/>
    </row>
    <row customFormat="1" customHeight="1" ht="12" r="70" s="5">
      <c r="C70" s="603" t="n"/>
      <c r="I70" s="168" t="n"/>
      <c r="J70" s="603" t="n"/>
    </row>
    <row customFormat="1" customHeight="1" ht="12" r="71" s="5">
      <c r="C71" s="603" t="n"/>
      <c r="I71" s="168" t="n"/>
      <c r="J71" s="603" t="n"/>
    </row>
    <row r="72">
      <c r="C72" s="611" t="n"/>
    </row>
  </sheetData>
  <mergeCells count="6">
    <mergeCell ref="B59:C59"/>
    <mergeCell ref="D59:E59"/>
    <mergeCell ref="D60:E66"/>
    <mergeCell ref="A5:A6"/>
    <mergeCell ref="B5:C5"/>
    <mergeCell ref="D5:E5"/>
  </mergeCells>
  <pageMargins bottom="1" footer="0.5" header="0.5" left="0.75" right="0.75" top="1"/>
  <pageSetup orientation="portrait" paperSize="9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50"/>
  <sheetViews>
    <sheetView topLeftCell="A226" workbookViewId="0">
      <selection activeCell="G256" sqref="G256"/>
    </sheetView>
  </sheetViews>
  <sheetFormatPr baseColWidth="8" defaultColWidth="8.77734375" defaultRowHeight="13.5"/>
  <cols>
    <col customWidth="1" max="1" min="1" style="391" width="10.6640625"/>
    <col customWidth="1" max="3" min="2" style="391" width="12.6640625"/>
    <col customWidth="1" max="5" min="4" style="391" width="11.77734375"/>
    <col customWidth="1" max="6" min="6" style="391" width="17.6640625"/>
    <col bestFit="1" customWidth="1" max="9" min="9" style="391" width="9.44140625"/>
    <col bestFit="1" customWidth="1" max="10" min="10" style="391" width="10.44140625"/>
    <col customWidth="1" max="257" min="257" style="391" width="10.6640625"/>
    <col customWidth="1" max="258" min="258" style="391" width="10.33203125"/>
    <col customWidth="1" max="259" min="259" style="391" width="11.77734375"/>
    <col customWidth="1" max="260" min="260" style="391" width="10.6640625"/>
    <col customWidth="1" max="261" min="261" style="391" width="11"/>
    <col customWidth="1" max="262" min="262" style="391" width="17.6640625"/>
    <col bestFit="1" customWidth="1" max="265" min="265" style="391" width="9.44140625"/>
    <col customWidth="1" max="513" min="513" style="391" width="10.6640625"/>
    <col customWidth="1" max="514" min="514" style="391" width="10.33203125"/>
    <col customWidth="1" max="515" min="515" style="391" width="11.77734375"/>
    <col customWidth="1" max="516" min="516" style="391" width="10.6640625"/>
    <col customWidth="1" max="517" min="517" style="391" width="11"/>
    <col customWidth="1" max="518" min="518" style="391" width="17.6640625"/>
    <col bestFit="1" customWidth="1" max="521" min="521" style="391" width="9.44140625"/>
    <col customWidth="1" max="769" min="769" style="391" width="10.6640625"/>
    <col customWidth="1" max="770" min="770" style="391" width="10.33203125"/>
    <col customWidth="1" max="771" min="771" style="391" width="11.77734375"/>
    <col customWidth="1" max="772" min="772" style="391" width="10.6640625"/>
    <col customWidth="1" max="773" min="773" style="391" width="11"/>
    <col customWidth="1" max="774" min="774" style="391" width="17.6640625"/>
    <col bestFit="1" customWidth="1" max="777" min="777" style="391" width="9.44140625"/>
    <col customWidth="1" max="1025" min="1025" style="391" width="10.6640625"/>
    <col customWidth="1" max="1026" min="1026" style="391" width="10.33203125"/>
    <col customWidth="1" max="1027" min="1027" style="391" width="11.77734375"/>
    <col customWidth="1" max="1028" min="1028" style="391" width="10.6640625"/>
    <col customWidth="1" max="1029" min="1029" style="391" width="11"/>
    <col customWidth="1" max="1030" min="1030" style="391" width="17.6640625"/>
    <col bestFit="1" customWidth="1" max="1033" min="1033" style="391" width="9.44140625"/>
    <col customWidth="1" max="1281" min="1281" style="391" width="10.6640625"/>
    <col customWidth="1" max="1282" min="1282" style="391" width="10.33203125"/>
    <col customWidth="1" max="1283" min="1283" style="391" width="11.77734375"/>
    <col customWidth="1" max="1284" min="1284" style="391" width="10.6640625"/>
    <col customWidth="1" max="1285" min="1285" style="391" width="11"/>
    <col customWidth="1" max="1286" min="1286" style="391" width="17.6640625"/>
    <col bestFit="1" customWidth="1" max="1289" min="1289" style="391" width="9.44140625"/>
    <col customWidth="1" max="1537" min="1537" style="391" width="10.6640625"/>
    <col customWidth="1" max="1538" min="1538" style="391" width="10.33203125"/>
    <col customWidth="1" max="1539" min="1539" style="391" width="11.77734375"/>
    <col customWidth="1" max="1540" min="1540" style="391" width="10.6640625"/>
    <col customWidth="1" max="1541" min="1541" style="391" width="11"/>
    <col customWidth="1" max="1542" min="1542" style="391" width="17.6640625"/>
    <col bestFit="1" customWidth="1" max="1545" min="1545" style="391" width="9.44140625"/>
    <col customWidth="1" max="1793" min="1793" style="391" width="10.6640625"/>
    <col customWidth="1" max="1794" min="1794" style="391" width="10.33203125"/>
    <col customWidth="1" max="1795" min="1795" style="391" width="11.77734375"/>
    <col customWidth="1" max="1796" min="1796" style="391" width="10.6640625"/>
    <col customWidth="1" max="1797" min="1797" style="391" width="11"/>
    <col customWidth="1" max="1798" min="1798" style="391" width="17.6640625"/>
    <col bestFit="1" customWidth="1" max="1801" min="1801" style="391" width="9.44140625"/>
    <col customWidth="1" max="2049" min="2049" style="391" width="10.6640625"/>
    <col customWidth="1" max="2050" min="2050" style="391" width="10.33203125"/>
    <col customWidth="1" max="2051" min="2051" style="391" width="11.77734375"/>
    <col customWidth="1" max="2052" min="2052" style="391" width="10.6640625"/>
    <col customWidth="1" max="2053" min="2053" style="391" width="11"/>
    <col customWidth="1" max="2054" min="2054" style="391" width="17.6640625"/>
    <col bestFit="1" customWidth="1" max="2057" min="2057" style="391" width="9.44140625"/>
    <col customWidth="1" max="2305" min="2305" style="391" width="10.6640625"/>
    <col customWidth="1" max="2306" min="2306" style="391" width="10.33203125"/>
    <col customWidth="1" max="2307" min="2307" style="391" width="11.77734375"/>
    <col customWidth="1" max="2308" min="2308" style="391" width="10.6640625"/>
    <col customWidth="1" max="2309" min="2309" style="391" width="11"/>
    <col customWidth="1" max="2310" min="2310" style="391" width="17.6640625"/>
    <col bestFit="1" customWidth="1" max="2313" min="2313" style="391" width="9.44140625"/>
    <col customWidth="1" max="2561" min="2561" style="391" width="10.6640625"/>
    <col customWidth="1" max="2562" min="2562" style="391" width="10.33203125"/>
    <col customWidth="1" max="2563" min="2563" style="391" width="11.77734375"/>
    <col customWidth="1" max="2564" min="2564" style="391" width="10.6640625"/>
    <col customWidth="1" max="2565" min="2565" style="391" width="11"/>
    <col customWidth="1" max="2566" min="2566" style="391" width="17.6640625"/>
    <col bestFit="1" customWidth="1" max="2569" min="2569" style="391" width="9.44140625"/>
    <col customWidth="1" max="2817" min="2817" style="391" width="10.6640625"/>
    <col customWidth="1" max="2818" min="2818" style="391" width="10.33203125"/>
    <col customWidth="1" max="2819" min="2819" style="391" width="11.77734375"/>
    <col customWidth="1" max="2820" min="2820" style="391" width="10.6640625"/>
    <col customWidth="1" max="2821" min="2821" style="391" width="11"/>
    <col customWidth="1" max="2822" min="2822" style="391" width="17.6640625"/>
    <col bestFit="1" customWidth="1" max="2825" min="2825" style="391" width="9.44140625"/>
    <col customWidth="1" max="3073" min="3073" style="391" width="10.6640625"/>
    <col customWidth="1" max="3074" min="3074" style="391" width="10.33203125"/>
    <col customWidth="1" max="3075" min="3075" style="391" width="11.77734375"/>
    <col customWidth="1" max="3076" min="3076" style="391" width="10.6640625"/>
    <col customWidth="1" max="3077" min="3077" style="391" width="11"/>
    <col customWidth="1" max="3078" min="3078" style="391" width="17.6640625"/>
    <col bestFit="1" customWidth="1" max="3081" min="3081" style="391" width="9.44140625"/>
    <col customWidth="1" max="3329" min="3329" style="391" width="10.6640625"/>
    <col customWidth="1" max="3330" min="3330" style="391" width="10.33203125"/>
    <col customWidth="1" max="3331" min="3331" style="391" width="11.77734375"/>
    <col customWidth="1" max="3332" min="3332" style="391" width="10.6640625"/>
    <col customWidth="1" max="3333" min="3333" style="391" width="11"/>
    <col customWidth="1" max="3334" min="3334" style="391" width="17.6640625"/>
    <col bestFit="1" customWidth="1" max="3337" min="3337" style="391" width="9.44140625"/>
    <col customWidth="1" max="3585" min="3585" style="391" width="10.6640625"/>
    <col customWidth="1" max="3586" min="3586" style="391" width="10.33203125"/>
    <col customWidth="1" max="3587" min="3587" style="391" width="11.77734375"/>
    <col customWidth="1" max="3588" min="3588" style="391" width="10.6640625"/>
    <col customWidth="1" max="3589" min="3589" style="391" width="11"/>
    <col customWidth="1" max="3590" min="3590" style="391" width="17.6640625"/>
    <col bestFit="1" customWidth="1" max="3593" min="3593" style="391" width="9.44140625"/>
    <col customWidth="1" max="3841" min="3841" style="391" width="10.6640625"/>
    <col customWidth="1" max="3842" min="3842" style="391" width="10.33203125"/>
    <col customWidth="1" max="3843" min="3843" style="391" width="11.77734375"/>
    <col customWidth="1" max="3844" min="3844" style="391" width="10.6640625"/>
    <col customWidth="1" max="3845" min="3845" style="391" width="11"/>
    <col customWidth="1" max="3846" min="3846" style="391" width="17.6640625"/>
    <col bestFit="1" customWidth="1" max="3849" min="3849" style="391" width="9.44140625"/>
    <col customWidth="1" max="4097" min="4097" style="391" width="10.6640625"/>
    <col customWidth="1" max="4098" min="4098" style="391" width="10.33203125"/>
    <col customWidth="1" max="4099" min="4099" style="391" width="11.77734375"/>
    <col customWidth="1" max="4100" min="4100" style="391" width="10.6640625"/>
    <col customWidth="1" max="4101" min="4101" style="391" width="11"/>
    <col customWidth="1" max="4102" min="4102" style="391" width="17.6640625"/>
    <col bestFit="1" customWidth="1" max="4105" min="4105" style="391" width="9.44140625"/>
    <col customWidth="1" max="4353" min="4353" style="391" width="10.6640625"/>
    <col customWidth="1" max="4354" min="4354" style="391" width="10.33203125"/>
    <col customWidth="1" max="4355" min="4355" style="391" width="11.77734375"/>
    <col customWidth="1" max="4356" min="4356" style="391" width="10.6640625"/>
    <col customWidth="1" max="4357" min="4357" style="391" width="11"/>
    <col customWidth="1" max="4358" min="4358" style="391" width="17.6640625"/>
    <col bestFit="1" customWidth="1" max="4361" min="4361" style="391" width="9.44140625"/>
    <col customWidth="1" max="4609" min="4609" style="391" width="10.6640625"/>
    <col customWidth="1" max="4610" min="4610" style="391" width="10.33203125"/>
    <col customWidth="1" max="4611" min="4611" style="391" width="11.77734375"/>
    <col customWidth="1" max="4612" min="4612" style="391" width="10.6640625"/>
    <col customWidth="1" max="4613" min="4613" style="391" width="11"/>
    <col customWidth="1" max="4614" min="4614" style="391" width="17.6640625"/>
    <col bestFit="1" customWidth="1" max="4617" min="4617" style="391" width="9.44140625"/>
    <col customWidth="1" max="4865" min="4865" style="391" width="10.6640625"/>
    <col customWidth="1" max="4866" min="4866" style="391" width="10.33203125"/>
    <col customWidth="1" max="4867" min="4867" style="391" width="11.77734375"/>
    <col customWidth="1" max="4868" min="4868" style="391" width="10.6640625"/>
    <col customWidth="1" max="4869" min="4869" style="391" width="11"/>
    <col customWidth="1" max="4870" min="4870" style="391" width="17.6640625"/>
    <col bestFit="1" customWidth="1" max="4873" min="4873" style="391" width="9.44140625"/>
    <col customWidth="1" max="5121" min="5121" style="391" width="10.6640625"/>
    <col customWidth="1" max="5122" min="5122" style="391" width="10.33203125"/>
    <col customWidth="1" max="5123" min="5123" style="391" width="11.77734375"/>
    <col customWidth="1" max="5124" min="5124" style="391" width="10.6640625"/>
    <col customWidth="1" max="5125" min="5125" style="391" width="11"/>
    <col customWidth="1" max="5126" min="5126" style="391" width="17.6640625"/>
    <col bestFit="1" customWidth="1" max="5129" min="5129" style="391" width="9.44140625"/>
    <col customWidth="1" max="5377" min="5377" style="391" width="10.6640625"/>
    <col customWidth="1" max="5378" min="5378" style="391" width="10.33203125"/>
    <col customWidth="1" max="5379" min="5379" style="391" width="11.77734375"/>
    <col customWidth="1" max="5380" min="5380" style="391" width="10.6640625"/>
    <col customWidth="1" max="5381" min="5381" style="391" width="11"/>
    <col customWidth="1" max="5382" min="5382" style="391" width="17.6640625"/>
    <col bestFit="1" customWidth="1" max="5385" min="5385" style="391" width="9.44140625"/>
    <col customWidth="1" max="5633" min="5633" style="391" width="10.6640625"/>
    <col customWidth="1" max="5634" min="5634" style="391" width="10.33203125"/>
    <col customWidth="1" max="5635" min="5635" style="391" width="11.77734375"/>
    <col customWidth="1" max="5636" min="5636" style="391" width="10.6640625"/>
    <col customWidth="1" max="5637" min="5637" style="391" width="11"/>
    <col customWidth="1" max="5638" min="5638" style="391" width="17.6640625"/>
    <col bestFit="1" customWidth="1" max="5641" min="5641" style="391" width="9.44140625"/>
    <col customWidth="1" max="5889" min="5889" style="391" width="10.6640625"/>
    <col customWidth="1" max="5890" min="5890" style="391" width="10.33203125"/>
    <col customWidth="1" max="5891" min="5891" style="391" width="11.77734375"/>
    <col customWidth="1" max="5892" min="5892" style="391" width="10.6640625"/>
    <col customWidth="1" max="5893" min="5893" style="391" width="11"/>
    <col customWidth="1" max="5894" min="5894" style="391" width="17.6640625"/>
    <col bestFit="1" customWidth="1" max="5897" min="5897" style="391" width="9.44140625"/>
    <col customWidth="1" max="6145" min="6145" style="391" width="10.6640625"/>
    <col customWidth="1" max="6146" min="6146" style="391" width="10.33203125"/>
    <col customWidth="1" max="6147" min="6147" style="391" width="11.77734375"/>
    <col customWidth="1" max="6148" min="6148" style="391" width="10.6640625"/>
    <col customWidth="1" max="6149" min="6149" style="391" width="11"/>
    <col customWidth="1" max="6150" min="6150" style="391" width="17.6640625"/>
    <col bestFit="1" customWidth="1" max="6153" min="6153" style="391" width="9.44140625"/>
    <col customWidth="1" max="6401" min="6401" style="391" width="10.6640625"/>
    <col customWidth="1" max="6402" min="6402" style="391" width="10.33203125"/>
    <col customWidth="1" max="6403" min="6403" style="391" width="11.77734375"/>
    <col customWidth="1" max="6404" min="6404" style="391" width="10.6640625"/>
    <col customWidth="1" max="6405" min="6405" style="391" width="11"/>
    <col customWidth="1" max="6406" min="6406" style="391" width="17.6640625"/>
    <col bestFit="1" customWidth="1" max="6409" min="6409" style="391" width="9.44140625"/>
    <col customWidth="1" max="6657" min="6657" style="391" width="10.6640625"/>
    <col customWidth="1" max="6658" min="6658" style="391" width="10.33203125"/>
    <col customWidth="1" max="6659" min="6659" style="391" width="11.77734375"/>
    <col customWidth="1" max="6660" min="6660" style="391" width="10.6640625"/>
    <col customWidth="1" max="6661" min="6661" style="391" width="11"/>
    <col customWidth="1" max="6662" min="6662" style="391" width="17.6640625"/>
    <col bestFit="1" customWidth="1" max="6665" min="6665" style="391" width="9.44140625"/>
    <col customWidth="1" max="6913" min="6913" style="391" width="10.6640625"/>
    <col customWidth="1" max="6914" min="6914" style="391" width="10.33203125"/>
    <col customWidth="1" max="6915" min="6915" style="391" width="11.77734375"/>
    <col customWidth="1" max="6916" min="6916" style="391" width="10.6640625"/>
    <col customWidth="1" max="6917" min="6917" style="391" width="11"/>
    <col customWidth="1" max="6918" min="6918" style="391" width="17.6640625"/>
    <col bestFit="1" customWidth="1" max="6921" min="6921" style="391" width="9.44140625"/>
    <col customWidth="1" max="7169" min="7169" style="391" width="10.6640625"/>
    <col customWidth="1" max="7170" min="7170" style="391" width="10.33203125"/>
    <col customWidth="1" max="7171" min="7171" style="391" width="11.77734375"/>
    <col customWidth="1" max="7172" min="7172" style="391" width="10.6640625"/>
    <col customWidth="1" max="7173" min="7173" style="391" width="11"/>
    <col customWidth="1" max="7174" min="7174" style="391" width="17.6640625"/>
    <col bestFit="1" customWidth="1" max="7177" min="7177" style="391" width="9.44140625"/>
    <col customWidth="1" max="7425" min="7425" style="391" width="10.6640625"/>
    <col customWidth="1" max="7426" min="7426" style="391" width="10.33203125"/>
    <col customWidth="1" max="7427" min="7427" style="391" width="11.77734375"/>
    <col customWidth="1" max="7428" min="7428" style="391" width="10.6640625"/>
    <col customWidth="1" max="7429" min="7429" style="391" width="11"/>
    <col customWidth="1" max="7430" min="7430" style="391" width="17.6640625"/>
    <col bestFit="1" customWidth="1" max="7433" min="7433" style="391" width="9.44140625"/>
    <col customWidth="1" max="7681" min="7681" style="391" width="10.6640625"/>
    <col customWidth="1" max="7682" min="7682" style="391" width="10.33203125"/>
    <col customWidth="1" max="7683" min="7683" style="391" width="11.77734375"/>
    <col customWidth="1" max="7684" min="7684" style="391" width="10.6640625"/>
    <col customWidth="1" max="7685" min="7685" style="391" width="11"/>
    <col customWidth="1" max="7686" min="7686" style="391" width="17.6640625"/>
    <col bestFit="1" customWidth="1" max="7689" min="7689" style="391" width="9.44140625"/>
    <col customWidth="1" max="7937" min="7937" style="391" width="10.6640625"/>
    <col customWidth="1" max="7938" min="7938" style="391" width="10.33203125"/>
    <col customWidth="1" max="7939" min="7939" style="391" width="11.77734375"/>
    <col customWidth="1" max="7940" min="7940" style="391" width="10.6640625"/>
    <col customWidth="1" max="7941" min="7941" style="391" width="11"/>
    <col customWidth="1" max="7942" min="7942" style="391" width="17.6640625"/>
    <col bestFit="1" customWidth="1" max="7945" min="7945" style="391" width="9.44140625"/>
    <col customWidth="1" max="8193" min="8193" style="391" width="10.6640625"/>
    <col customWidth="1" max="8194" min="8194" style="391" width="10.33203125"/>
    <col customWidth="1" max="8195" min="8195" style="391" width="11.77734375"/>
    <col customWidth="1" max="8196" min="8196" style="391" width="10.6640625"/>
    <col customWidth="1" max="8197" min="8197" style="391" width="11"/>
    <col customWidth="1" max="8198" min="8198" style="391" width="17.6640625"/>
    <col bestFit="1" customWidth="1" max="8201" min="8201" style="391" width="9.44140625"/>
    <col customWidth="1" max="8449" min="8449" style="391" width="10.6640625"/>
    <col customWidth="1" max="8450" min="8450" style="391" width="10.33203125"/>
    <col customWidth="1" max="8451" min="8451" style="391" width="11.77734375"/>
    <col customWidth="1" max="8452" min="8452" style="391" width="10.6640625"/>
    <col customWidth="1" max="8453" min="8453" style="391" width="11"/>
    <col customWidth="1" max="8454" min="8454" style="391" width="17.6640625"/>
    <col bestFit="1" customWidth="1" max="8457" min="8457" style="391" width="9.44140625"/>
    <col customWidth="1" max="8705" min="8705" style="391" width="10.6640625"/>
    <col customWidth="1" max="8706" min="8706" style="391" width="10.33203125"/>
    <col customWidth="1" max="8707" min="8707" style="391" width="11.77734375"/>
    <col customWidth="1" max="8708" min="8708" style="391" width="10.6640625"/>
    <col customWidth="1" max="8709" min="8709" style="391" width="11"/>
    <col customWidth="1" max="8710" min="8710" style="391" width="17.6640625"/>
    <col bestFit="1" customWidth="1" max="8713" min="8713" style="391" width="9.44140625"/>
    <col customWidth="1" max="8961" min="8961" style="391" width="10.6640625"/>
    <col customWidth="1" max="8962" min="8962" style="391" width="10.33203125"/>
    <col customWidth="1" max="8963" min="8963" style="391" width="11.77734375"/>
    <col customWidth="1" max="8964" min="8964" style="391" width="10.6640625"/>
    <col customWidth="1" max="8965" min="8965" style="391" width="11"/>
    <col customWidth="1" max="8966" min="8966" style="391" width="17.6640625"/>
    <col bestFit="1" customWidth="1" max="8969" min="8969" style="391" width="9.44140625"/>
    <col customWidth="1" max="9217" min="9217" style="391" width="10.6640625"/>
    <col customWidth="1" max="9218" min="9218" style="391" width="10.33203125"/>
    <col customWidth="1" max="9219" min="9219" style="391" width="11.77734375"/>
    <col customWidth="1" max="9220" min="9220" style="391" width="10.6640625"/>
    <col customWidth="1" max="9221" min="9221" style="391" width="11"/>
    <col customWidth="1" max="9222" min="9222" style="391" width="17.6640625"/>
    <col bestFit="1" customWidth="1" max="9225" min="9225" style="391" width="9.44140625"/>
    <col customWidth="1" max="9473" min="9473" style="391" width="10.6640625"/>
    <col customWidth="1" max="9474" min="9474" style="391" width="10.33203125"/>
    <col customWidth="1" max="9475" min="9475" style="391" width="11.77734375"/>
    <col customWidth="1" max="9476" min="9476" style="391" width="10.6640625"/>
    <col customWidth="1" max="9477" min="9477" style="391" width="11"/>
    <col customWidth="1" max="9478" min="9478" style="391" width="17.6640625"/>
    <col bestFit="1" customWidth="1" max="9481" min="9481" style="391" width="9.44140625"/>
    <col customWidth="1" max="9729" min="9729" style="391" width="10.6640625"/>
    <col customWidth="1" max="9730" min="9730" style="391" width="10.33203125"/>
    <col customWidth="1" max="9731" min="9731" style="391" width="11.77734375"/>
    <col customWidth="1" max="9732" min="9732" style="391" width="10.6640625"/>
    <col customWidth="1" max="9733" min="9733" style="391" width="11"/>
    <col customWidth="1" max="9734" min="9734" style="391" width="17.6640625"/>
    <col bestFit="1" customWidth="1" max="9737" min="9737" style="391" width="9.44140625"/>
    <col customWidth="1" max="9985" min="9985" style="391" width="10.6640625"/>
    <col customWidth="1" max="9986" min="9986" style="391" width="10.33203125"/>
    <col customWidth="1" max="9987" min="9987" style="391" width="11.77734375"/>
    <col customWidth="1" max="9988" min="9988" style="391" width="10.6640625"/>
    <col customWidth="1" max="9989" min="9989" style="391" width="11"/>
    <col customWidth="1" max="9990" min="9990" style="391" width="17.6640625"/>
    <col bestFit="1" customWidth="1" max="9993" min="9993" style="391" width="9.44140625"/>
    <col customWidth="1" max="10241" min="10241" style="391" width="10.6640625"/>
    <col customWidth="1" max="10242" min="10242" style="391" width="10.33203125"/>
    <col customWidth="1" max="10243" min="10243" style="391" width="11.77734375"/>
    <col customWidth="1" max="10244" min="10244" style="391" width="10.6640625"/>
    <col customWidth="1" max="10245" min="10245" style="391" width="11"/>
    <col customWidth="1" max="10246" min="10246" style="391" width="17.6640625"/>
    <col bestFit="1" customWidth="1" max="10249" min="10249" style="391" width="9.44140625"/>
    <col customWidth="1" max="10497" min="10497" style="391" width="10.6640625"/>
    <col customWidth="1" max="10498" min="10498" style="391" width="10.33203125"/>
    <col customWidth="1" max="10499" min="10499" style="391" width="11.77734375"/>
    <col customWidth="1" max="10500" min="10500" style="391" width="10.6640625"/>
    <col customWidth="1" max="10501" min="10501" style="391" width="11"/>
    <col customWidth="1" max="10502" min="10502" style="391" width="17.6640625"/>
    <col bestFit="1" customWidth="1" max="10505" min="10505" style="391" width="9.44140625"/>
    <col customWidth="1" max="10753" min="10753" style="391" width="10.6640625"/>
    <col customWidth="1" max="10754" min="10754" style="391" width="10.33203125"/>
    <col customWidth="1" max="10755" min="10755" style="391" width="11.77734375"/>
    <col customWidth="1" max="10756" min="10756" style="391" width="10.6640625"/>
    <col customWidth="1" max="10757" min="10757" style="391" width="11"/>
    <col customWidth="1" max="10758" min="10758" style="391" width="17.6640625"/>
    <col bestFit="1" customWidth="1" max="10761" min="10761" style="391" width="9.44140625"/>
    <col customWidth="1" max="11009" min="11009" style="391" width="10.6640625"/>
    <col customWidth="1" max="11010" min="11010" style="391" width="10.33203125"/>
    <col customWidth="1" max="11011" min="11011" style="391" width="11.77734375"/>
    <col customWidth="1" max="11012" min="11012" style="391" width="10.6640625"/>
    <col customWidth="1" max="11013" min="11013" style="391" width="11"/>
    <col customWidth="1" max="11014" min="11014" style="391" width="17.6640625"/>
    <col bestFit="1" customWidth="1" max="11017" min="11017" style="391" width="9.44140625"/>
    <col customWidth="1" max="11265" min="11265" style="391" width="10.6640625"/>
    <col customWidth="1" max="11266" min="11266" style="391" width="10.33203125"/>
    <col customWidth="1" max="11267" min="11267" style="391" width="11.77734375"/>
    <col customWidth="1" max="11268" min="11268" style="391" width="10.6640625"/>
    <col customWidth="1" max="11269" min="11269" style="391" width="11"/>
    <col customWidth="1" max="11270" min="11270" style="391" width="17.6640625"/>
    <col bestFit="1" customWidth="1" max="11273" min="11273" style="391" width="9.44140625"/>
    <col customWidth="1" max="11521" min="11521" style="391" width="10.6640625"/>
    <col customWidth="1" max="11522" min="11522" style="391" width="10.33203125"/>
    <col customWidth="1" max="11523" min="11523" style="391" width="11.77734375"/>
    <col customWidth="1" max="11524" min="11524" style="391" width="10.6640625"/>
    <col customWidth="1" max="11525" min="11525" style="391" width="11"/>
    <col customWidth="1" max="11526" min="11526" style="391" width="17.6640625"/>
    <col bestFit="1" customWidth="1" max="11529" min="11529" style="391" width="9.44140625"/>
    <col customWidth="1" max="11777" min="11777" style="391" width="10.6640625"/>
    <col customWidth="1" max="11778" min="11778" style="391" width="10.33203125"/>
    <col customWidth="1" max="11779" min="11779" style="391" width="11.77734375"/>
    <col customWidth="1" max="11780" min="11780" style="391" width="10.6640625"/>
    <col customWidth="1" max="11781" min="11781" style="391" width="11"/>
    <col customWidth="1" max="11782" min="11782" style="391" width="17.6640625"/>
    <col bestFit="1" customWidth="1" max="11785" min="11785" style="391" width="9.44140625"/>
    <col customWidth="1" max="12033" min="12033" style="391" width="10.6640625"/>
    <col customWidth="1" max="12034" min="12034" style="391" width="10.33203125"/>
    <col customWidth="1" max="12035" min="12035" style="391" width="11.77734375"/>
    <col customWidth="1" max="12036" min="12036" style="391" width="10.6640625"/>
    <col customWidth="1" max="12037" min="12037" style="391" width="11"/>
    <col customWidth="1" max="12038" min="12038" style="391" width="17.6640625"/>
    <col bestFit="1" customWidth="1" max="12041" min="12041" style="391" width="9.44140625"/>
    <col customWidth="1" max="12289" min="12289" style="391" width="10.6640625"/>
    <col customWidth="1" max="12290" min="12290" style="391" width="10.33203125"/>
    <col customWidth="1" max="12291" min="12291" style="391" width="11.77734375"/>
    <col customWidth="1" max="12292" min="12292" style="391" width="10.6640625"/>
    <col customWidth="1" max="12293" min="12293" style="391" width="11"/>
    <col customWidth="1" max="12294" min="12294" style="391" width="17.6640625"/>
    <col bestFit="1" customWidth="1" max="12297" min="12297" style="391" width="9.44140625"/>
    <col customWidth="1" max="12545" min="12545" style="391" width="10.6640625"/>
    <col customWidth="1" max="12546" min="12546" style="391" width="10.33203125"/>
    <col customWidth="1" max="12547" min="12547" style="391" width="11.77734375"/>
    <col customWidth="1" max="12548" min="12548" style="391" width="10.6640625"/>
    <col customWidth="1" max="12549" min="12549" style="391" width="11"/>
    <col customWidth="1" max="12550" min="12550" style="391" width="17.6640625"/>
    <col bestFit="1" customWidth="1" max="12553" min="12553" style="391" width="9.44140625"/>
    <col customWidth="1" max="12801" min="12801" style="391" width="10.6640625"/>
    <col customWidth="1" max="12802" min="12802" style="391" width="10.33203125"/>
    <col customWidth="1" max="12803" min="12803" style="391" width="11.77734375"/>
    <col customWidth="1" max="12804" min="12804" style="391" width="10.6640625"/>
    <col customWidth="1" max="12805" min="12805" style="391" width="11"/>
    <col customWidth="1" max="12806" min="12806" style="391" width="17.6640625"/>
    <col bestFit="1" customWidth="1" max="12809" min="12809" style="391" width="9.44140625"/>
    <col customWidth="1" max="13057" min="13057" style="391" width="10.6640625"/>
    <col customWidth="1" max="13058" min="13058" style="391" width="10.33203125"/>
    <col customWidth="1" max="13059" min="13059" style="391" width="11.77734375"/>
    <col customWidth="1" max="13060" min="13060" style="391" width="10.6640625"/>
    <col customWidth="1" max="13061" min="13061" style="391" width="11"/>
    <col customWidth="1" max="13062" min="13062" style="391" width="17.6640625"/>
    <col bestFit="1" customWidth="1" max="13065" min="13065" style="391" width="9.44140625"/>
    <col customWidth="1" max="13313" min="13313" style="391" width="10.6640625"/>
    <col customWidth="1" max="13314" min="13314" style="391" width="10.33203125"/>
    <col customWidth="1" max="13315" min="13315" style="391" width="11.77734375"/>
    <col customWidth="1" max="13316" min="13316" style="391" width="10.6640625"/>
    <col customWidth="1" max="13317" min="13317" style="391" width="11"/>
    <col customWidth="1" max="13318" min="13318" style="391" width="17.6640625"/>
    <col bestFit="1" customWidth="1" max="13321" min="13321" style="391" width="9.44140625"/>
    <col customWidth="1" max="13569" min="13569" style="391" width="10.6640625"/>
    <col customWidth="1" max="13570" min="13570" style="391" width="10.33203125"/>
    <col customWidth="1" max="13571" min="13571" style="391" width="11.77734375"/>
    <col customWidth="1" max="13572" min="13572" style="391" width="10.6640625"/>
    <col customWidth="1" max="13573" min="13573" style="391" width="11"/>
    <col customWidth="1" max="13574" min="13574" style="391" width="17.6640625"/>
    <col bestFit="1" customWidth="1" max="13577" min="13577" style="391" width="9.44140625"/>
    <col customWidth="1" max="13825" min="13825" style="391" width="10.6640625"/>
    <col customWidth="1" max="13826" min="13826" style="391" width="10.33203125"/>
    <col customWidth="1" max="13827" min="13827" style="391" width="11.77734375"/>
    <col customWidth="1" max="13828" min="13828" style="391" width="10.6640625"/>
    <col customWidth="1" max="13829" min="13829" style="391" width="11"/>
    <col customWidth="1" max="13830" min="13830" style="391" width="17.6640625"/>
    <col bestFit="1" customWidth="1" max="13833" min="13833" style="391" width="9.44140625"/>
    <col customWidth="1" max="14081" min="14081" style="391" width="10.6640625"/>
    <col customWidth="1" max="14082" min="14082" style="391" width="10.33203125"/>
    <col customWidth="1" max="14083" min="14083" style="391" width="11.77734375"/>
    <col customWidth="1" max="14084" min="14084" style="391" width="10.6640625"/>
    <col customWidth="1" max="14085" min="14085" style="391" width="11"/>
    <col customWidth="1" max="14086" min="14086" style="391" width="17.6640625"/>
    <col bestFit="1" customWidth="1" max="14089" min="14089" style="391" width="9.44140625"/>
    <col customWidth="1" max="14337" min="14337" style="391" width="10.6640625"/>
    <col customWidth="1" max="14338" min="14338" style="391" width="10.33203125"/>
    <col customWidth="1" max="14339" min="14339" style="391" width="11.77734375"/>
    <col customWidth="1" max="14340" min="14340" style="391" width="10.6640625"/>
    <col customWidth="1" max="14341" min="14341" style="391" width="11"/>
    <col customWidth="1" max="14342" min="14342" style="391" width="17.6640625"/>
    <col bestFit="1" customWidth="1" max="14345" min="14345" style="391" width="9.44140625"/>
    <col customWidth="1" max="14593" min="14593" style="391" width="10.6640625"/>
    <col customWidth="1" max="14594" min="14594" style="391" width="10.33203125"/>
    <col customWidth="1" max="14595" min="14595" style="391" width="11.77734375"/>
    <col customWidth="1" max="14596" min="14596" style="391" width="10.6640625"/>
    <col customWidth="1" max="14597" min="14597" style="391" width="11"/>
    <col customWidth="1" max="14598" min="14598" style="391" width="17.6640625"/>
    <col bestFit="1" customWidth="1" max="14601" min="14601" style="391" width="9.44140625"/>
    <col customWidth="1" max="14849" min="14849" style="391" width="10.6640625"/>
    <col customWidth="1" max="14850" min="14850" style="391" width="10.33203125"/>
    <col customWidth="1" max="14851" min="14851" style="391" width="11.77734375"/>
    <col customWidth="1" max="14852" min="14852" style="391" width="10.6640625"/>
    <col customWidth="1" max="14853" min="14853" style="391" width="11"/>
    <col customWidth="1" max="14854" min="14854" style="391" width="17.6640625"/>
    <col bestFit="1" customWidth="1" max="14857" min="14857" style="391" width="9.44140625"/>
    <col customWidth="1" max="15105" min="15105" style="391" width="10.6640625"/>
    <col customWidth="1" max="15106" min="15106" style="391" width="10.33203125"/>
    <col customWidth="1" max="15107" min="15107" style="391" width="11.77734375"/>
    <col customWidth="1" max="15108" min="15108" style="391" width="10.6640625"/>
    <col customWidth="1" max="15109" min="15109" style="391" width="11"/>
    <col customWidth="1" max="15110" min="15110" style="391" width="17.6640625"/>
    <col bestFit="1" customWidth="1" max="15113" min="15113" style="391" width="9.44140625"/>
    <col customWidth="1" max="15361" min="15361" style="391" width="10.6640625"/>
    <col customWidth="1" max="15362" min="15362" style="391" width="10.33203125"/>
    <col customWidth="1" max="15363" min="15363" style="391" width="11.77734375"/>
    <col customWidth="1" max="15364" min="15364" style="391" width="10.6640625"/>
    <col customWidth="1" max="15365" min="15365" style="391" width="11"/>
    <col customWidth="1" max="15366" min="15366" style="391" width="17.6640625"/>
    <col bestFit="1" customWidth="1" max="15369" min="15369" style="391" width="9.44140625"/>
    <col customWidth="1" max="15617" min="15617" style="391" width="10.6640625"/>
    <col customWidth="1" max="15618" min="15618" style="391" width="10.33203125"/>
    <col customWidth="1" max="15619" min="15619" style="391" width="11.77734375"/>
    <col customWidth="1" max="15620" min="15620" style="391" width="10.6640625"/>
    <col customWidth="1" max="15621" min="15621" style="391" width="11"/>
    <col customWidth="1" max="15622" min="15622" style="391" width="17.6640625"/>
    <col bestFit="1" customWidth="1" max="15625" min="15625" style="391" width="9.44140625"/>
    <col customWidth="1" max="15873" min="15873" style="391" width="10.6640625"/>
    <col customWidth="1" max="15874" min="15874" style="391" width="10.33203125"/>
    <col customWidth="1" max="15875" min="15875" style="391" width="11.77734375"/>
    <col customWidth="1" max="15876" min="15876" style="391" width="10.6640625"/>
    <col customWidth="1" max="15877" min="15877" style="391" width="11"/>
    <col customWidth="1" max="15878" min="15878" style="391" width="17.6640625"/>
    <col bestFit="1" customWidth="1" max="15881" min="15881" style="391" width="9.44140625"/>
    <col customWidth="1" max="16129" min="16129" style="391" width="10.6640625"/>
    <col customWidth="1" max="16130" min="16130" style="391" width="10.33203125"/>
    <col customWidth="1" max="16131" min="16131" style="391" width="11.77734375"/>
    <col customWidth="1" max="16132" min="16132" style="391" width="10.6640625"/>
    <col customWidth="1" max="16133" min="16133" style="391" width="11"/>
    <col customWidth="1" max="16134" min="16134" style="391" width="17.6640625"/>
    <col bestFit="1" customWidth="1" max="16137" min="16137" style="391" width="9.44140625"/>
  </cols>
  <sheetData>
    <row customFormat="1" customHeight="1" ht="15" r="1" s="4">
      <c r="A1" s="100" t="inlineStr">
        <is>
          <t>* 월세입금 현황</t>
        </is>
      </c>
      <c r="B1" s="6" t="n"/>
      <c r="C1" s="6" t="n"/>
      <c r="D1" s="6" t="n"/>
      <c r="E1" s="6" t="n"/>
      <c r="F1" s="6" t="n"/>
    </row>
    <row customFormat="1" customHeight="1" ht="15" r="2" s="4">
      <c r="A2" s="69" t="n"/>
      <c r="B2" s="69" t="n"/>
      <c r="C2" s="69" t="n"/>
      <c r="D2" s="69" t="n"/>
      <c r="E2" s="69" t="n"/>
      <c r="F2" s="69" t="n"/>
    </row>
    <row customFormat="1" customHeight="1" ht="15" r="3" s="4">
      <c r="A3" s="370" t="inlineStr">
        <is>
          <t>입금일자</t>
        </is>
      </c>
      <c r="B3" s="371" t="inlineStr">
        <is>
          <t>곽순욱</t>
        </is>
      </c>
      <c r="C3" s="348" t="n"/>
      <c r="D3" s="371" t="inlineStr">
        <is>
          <t>수원고모</t>
        </is>
      </c>
      <c r="E3" s="348" t="n"/>
      <c r="F3" s="238" t="inlineStr">
        <is>
          <t>비고</t>
        </is>
      </c>
    </row>
    <row customFormat="1" customHeight="1" ht="15" r="4" s="4">
      <c r="A4" s="361" t="n"/>
      <c r="B4" s="238" t="inlineStr">
        <is>
          <t>월세</t>
        </is>
      </c>
      <c r="C4" s="238" t="inlineStr">
        <is>
          <t>연 월세</t>
        </is>
      </c>
      <c r="D4" s="238" t="inlineStr">
        <is>
          <t>월세</t>
        </is>
      </c>
      <c r="E4" s="238" t="inlineStr">
        <is>
          <t>연 월세</t>
        </is>
      </c>
      <c r="F4" s="238" t="n"/>
    </row>
    <row customFormat="1" customHeight="1" ht="15" r="5" s="4">
      <c r="A5" s="239" t="n">
        <v>36193</v>
      </c>
      <c r="B5" s="612" t="n">
        <v>5772000</v>
      </c>
      <c r="C5" s="613">
        <f>SUM(B5:B15)</f>
        <v/>
      </c>
      <c r="D5" s="612" t="n">
        <v>2028000</v>
      </c>
      <c r="E5" s="613">
        <f>SUM(D5:D15)</f>
        <v/>
      </c>
      <c r="F5" s="212" t="n"/>
    </row>
    <row customFormat="1" customHeight="1" ht="15" r="6" s="4">
      <c r="A6" s="239" t="n">
        <v>36227</v>
      </c>
      <c r="B6" s="612" t="n">
        <v>14800000</v>
      </c>
      <c r="C6" s="364" t="n"/>
      <c r="D6" s="612" t="n">
        <v>5200000</v>
      </c>
      <c r="E6" s="364" t="n"/>
      <c r="F6" s="212" t="inlineStr">
        <is>
          <t>전세보증금 포함</t>
        </is>
      </c>
    </row>
    <row customFormat="1" customHeight="1" ht="15" r="7" s="4">
      <c r="A7" s="239" t="n">
        <v>36257</v>
      </c>
      <c r="B7" s="612" t="n">
        <v>7548000</v>
      </c>
      <c r="C7" s="364" t="n"/>
      <c r="D7" s="612" t="n">
        <v>2652000</v>
      </c>
      <c r="E7" s="364" t="n"/>
      <c r="F7" s="212" t="n"/>
    </row>
    <row customFormat="1" customHeight="1" ht="15" r="8" s="4">
      <c r="A8" s="239" t="n">
        <v>36287</v>
      </c>
      <c r="B8" s="612" t="n">
        <v>7548000</v>
      </c>
      <c r="C8" s="364" t="n"/>
      <c r="D8" s="612" t="n">
        <v>2652000</v>
      </c>
      <c r="E8" s="364" t="n"/>
      <c r="F8" s="212" t="n"/>
    </row>
    <row customFormat="1" customHeight="1" ht="15" r="9" s="4">
      <c r="A9" s="239" t="n">
        <v>36319</v>
      </c>
      <c r="B9" s="612" t="n">
        <v>7548000</v>
      </c>
      <c r="C9" s="364" t="n"/>
      <c r="D9" s="612" t="n">
        <v>2652000</v>
      </c>
      <c r="E9" s="364" t="n"/>
      <c r="F9" s="212" t="n"/>
    </row>
    <row customFormat="1" customHeight="1" ht="15" r="10" s="4">
      <c r="A10" s="239" t="n">
        <v>36361</v>
      </c>
      <c r="B10" s="612" t="n">
        <v>4440000</v>
      </c>
      <c r="C10" s="364" t="n"/>
      <c r="D10" s="612" t="n">
        <v>1560000</v>
      </c>
      <c r="E10" s="364" t="n"/>
      <c r="F10" s="212" t="n"/>
    </row>
    <row customFormat="1" customHeight="1" ht="15" r="11" s="4">
      <c r="A11" s="239" t="n">
        <v>36381</v>
      </c>
      <c r="B11" s="612" t="n">
        <v>7326000</v>
      </c>
      <c r="C11" s="364" t="n"/>
      <c r="D11" s="612" t="n">
        <v>2574000</v>
      </c>
      <c r="E11" s="364" t="n"/>
      <c r="F11" s="212" t="n"/>
    </row>
    <row customFormat="1" customHeight="1" ht="15" r="12" s="4">
      <c r="A12" s="239" t="n">
        <v>36416</v>
      </c>
      <c r="B12" s="612" t="n">
        <v>7326000</v>
      </c>
      <c r="C12" s="364" t="n"/>
      <c r="D12" s="612" t="n">
        <v>2574000</v>
      </c>
      <c r="E12" s="364" t="n"/>
      <c r="F12" s="212" t="n"/>
    </row>
    <row customFormat="1" customHeight="1" ht="15" r="13" s="4">
      <c r="A13" s="239" t="n">
        <v>36456</v>
      </c>
      <c r="B13" s="612" t="n">
        <v>7326000</v>
      </c>
      <c r="C13" s="364" t="n"/>
      <c r="D13" s="612" t="n">
        <v>2574000</v>
      </c>
      <c r="E13" s="364" t="n"/>
      <c r="F13" s="212" t="n"/>
    </row>
    <row customFormat="1" customHeight="1" ht="15" r="14" s="4">
      <c r="A14" s="239" t="n">
        <v>36488</v>
      </c>
      <c r="B14" s="612" t="n">
        <v>7326000</v>
      </c>
      <c r="C14" s="364" t="n"/>
      <c r="D14" s="612" t="n">
        <v>2574000</v>
      </c>
      <c r="E14" s="364" t="n"/>
      <c r="F14" s="212" t="n"/>
    </row>
    <row customFormat="1" customHeight="1" ht="15" r="15" s="4">
      <c r="A15" s="239" t="n">
        <v>36516</v>
      </c>
      <c r="B15" s="612" t="n">
        <v>4285703</v>
      </c>
      <c r="C15" s="361" t="n"/>
      <c r="D15" s="612" t="n">
        <v>1505788</v>
      </c>
      <c r="E15" s="361" t="n"/>
      <c r="F15" s="212" t="n"/>
    </row>
    <row customFormat="1" customHeight="1" ht="15" r="16" s="4">
      <c r="A16" s="239" t="n">
        <v>36550</v>
      </c>
      <c r="B16" s="612" t="n">
        <v>5915928</v>
      </c>
      <c r="C16" s="613">
        <f>SUM(B16:B28)</f>
        <v/>
      </c>
      <c r="D16" s="612" t="n">
        <v>2078569</v>
      </c>
      <c r="E16" s="613">
        <f>SUM(D16:D28)</f>
        <v/>
      </c>
      <c r="F16" s="212" t="n"/>
    </row>
    <row customFormat="1" customHeight="1" ht="15" r="17" s="4">
      <c r="A17" s="239" t="n">
        <v>36572</v>
      </c>
      <c r="B17" s="612" t="n">
        <v>14282000</v>
      </c>
      <c r="C17" s="364" t="n"/>
      <c r="D17" s="612" t="n">
        <v>5018000</v>
      </c>
      <c r="E17" s="364" t="n"/>
      <c r="F17" s="212" t="n"/>
    </row>
    <row customFormat="1" customHeight="1" ht="15" r="18" s="4">
      <c r="A18" s="239" t="n">
        <v>36612</v>
      </c>
      <c r="B18" s="612" t="n">
        <v>7326000</v>
      </c>
      <c r="C18" s="364" t="n"/>
      <c r="D18" s="612" t="n">
        <v>2574000</v>
      </c>
      <c r="E18" s="364" t="n"/>
      <c r="F18" s="212" t="n"/>
    </row>
    <row customFormat="1" customHeight="1" ht="15" r="19" s="4">
      <c r="A19" s="239" t="n">
        <v>36649</v>
      </c>
      <c r="B19" s="612" t="n">
        <v>22200000</v>
      </c>
      <c r="C19" s="364" t="n"/>
      <c r="D19" s="612" t="n">
        <v>7800000</v>
      </c>
      <c r="E19" s="364" t="n"/>
      <c r="F19" s="212" t="inlineStr">
        <is>
          <t>전세보증금</t>
        </is>
      </c>
    </row>
    <row customFormat="1" customHeight="1" ht="15" r="20" s="4">
      <c r="A20" s="239" t="n">
        <v>36650</v>
      </c>
      <c r="B20" s="612" t="n">
        <v>4070000</v>
      </c>
      <c r="C20" s="364" t="n"/>
      <c r="D20" s="612" t="n">
        <v>1430000</v>
      </c>
      <c r="E20" s="364" t="n"/>
      <c r="F20" s="212" t="n"/>
    </row>
    <row customFormat="1" customHeight="1" ht="15" r="21" s="4">
      <c r="A21" s="239" t="n">
        <v>36672</v>
      </c>
      <c r="B21" s="612" t="n">
        <v>7128666.42</v>
      </c>
      <c r="C21" s="364" t="n"/>
      <c r="D21" s="612" t="n">
        <v>2504666.58</v>
      </c>
      <c r="E21" s="364" t="n"/>
      <c r="F21" s="212" t="n"/>
    </row>
    <row customFormat="1" customHeight="1" ht="15" r="22" s="4">
      <c r="A22" s="239" t="n">
        <v>36696</v>
      </c>
      <c r="B22" s="612" t="n">
        <v>11322000</v>
      </c>
      <c r="C22" s="364" t="n"/>
      <c r="D22" s="612" t="n">
        <v>3978000</v>
      </c>
      <c r="E22" s="364" t="n"/>
      <c r="F22" s="212" t="n"/>
    </row>
    <row customFormat="1" customHeight="1" ht="15" r="23" s="4">
      <c r="A23" s="239" t="n">
        <v>36731</v>
      </c>
      <c r="B23" s="612" t="n">
        <v>5772000</v>
      </c>
      <c r="C23" s="364" t="n"/>
      <c r="D23" s="612" t="n">
        <v>2028000</v>
      </c>
      <c r="E23" s="364" t="n"/>
      <c r="F23" s="212" t="n"/>
    </row>
    <row customFormat="1" customHeight="1" ht="15" r="24" s="4">
      <c r="A24" s="239" t="n">
        <v>36783</v>
      </c>
      <c r="B24" s="612" t="n">
        <v>4884000</v>
      </c>
      <c r="C24" s="364" t="n"/>
      <c r="D24" s="612" t="n">
        <v>1716000</v>
      </c>
      <c r="E24" s="364" t="n"/>
      <c r="F24" s="212" t="n"/>
    </row>
    <row customFormat="1" customHeight="1" ht="15" r="25" s="4">
      <c r="A25" s="239" t="n">
        <v>36801</v>
      </c>
      <c r="B25" s="612" t="n">
        <v>6882000</v>
      </c>
      <c r="C25" s="364" t="n"/>
      <c r="D25" s="612" t="n">
        <v>2418000</v>
      </c>
      <c r="E25" s="364" t="n"/>
      <c r="F25" s="212" t="n"/>
    </row>
    <row customFormat="1" customHeight="1" ht="15" r="26" s="4">
      <c r="A26" s="239" t="n">
        <v>36819</v>
      </c>
      <c r="B26" s="612" t="n">
        <v>15590300</v>
      </c>
      <c r="C26" s="364" t="n"/>
      <c r="D26" s="612" t="n">
        <v>4509700</v>
      </c>
      <c r="E26" s="364" t="n"/>
      <c r="F26" s="212" t="n"/>
    </row>
    <row customFormat="1" customHeight="1" ht="15" r="27" s="4">
      <c r="A27" s="239" t="n">
        <v>36857</v>
      </c>
      <c r="B27" s="612" t="n">
        <v>2652064.54</v>
      </c>
      <c r="C27" s="364" t="n"/>
      <c r="D27" s="612" t="n">
        <v>931806.46</v>
      </c>
      <c r="E27" s="364" t="n"/>
      <c r="F27" s="212" t="n"/>
    </row>
    <row customFormat="1" customHeight="1" ht="15" r="28" s="4">
      <c r="A28" s="239" t="n">
        <v>36886</v>
      </c>
      <c r="B28" s="612" t="n">
        <v>8954000</v>
      </c>
      <c r="C28" s="361" t="n"/>
      <c r="D28" s="612" t="n">
        <v>3146000</v>
      </c>
      <c r="E28" s="361" t="n"/>
      <c r="F28" s="212" t="n"/>
    </row>
    <row customFormat="1" customHeight="1" ht="15" r="29" s="4">
      <c r="A29" s="239" t="n">
        <v>36910</v>
      </c>
      <c r="B29" s="612" t="n">
        <v>5402000</v>
      </c>
      <c r="C29" s="613">
        <f>SUM(B29:B38)</f>
        <v/>
      </c>
      <c r="D29" s="612" t="n">
        <v>1898000</v>
      </c>
      <c r="E29" s="613">
        <f>SUM(D29:D38)</f>
        <v/>
      </c>
      <c r="F29" s="212" t="n"/>
    </row>
    <row customFormat="1" customHeight="1" ht="15" r="30" s="4">
      <c r="A30" s="239" t="n">
        <v>36942</v>
      </c>
      <c r="B30" s="612" t="n">
        <v>6882000</v>
      </c>
      <c r="C30" s="364" t="n"/>
      <c r="D30" s="612" t="n">
        <v>2418000</v>
      </c>
      <c r="E30" s="364" t="n"/>
      <c r="F30" s="212" t="n"/>
    </row>
    <row customFormat="1" customHeight="1" ht="15" r="31" s="4">
      <c r="A31" s="239" t="n">
        <v>36971</v>
      </c>
      <c r="B31" s="612" t="n">
        <v>6882000</v>
      </c>
      <c r="C31" s="364" t="n"/>
      <c r="D31" s="612" t="n">
        <v>2418000</v>
      </c>
      <c r="E31" s="364" t="n"/>
      <c r="F31" s="212" t="n"/>
    </row>
    <row customFormat="1" customHeight="1" ht="15" r="32" s="4">
      <c r="A32" s="239" t="n">
        <v>36648</v>
      </c>
      <c r="B32" s="612" t="n">
        <v>5698000</v>
      </c>
      <c r="C32" s="364" t="n"/>
      <c r="D32" s="612" t="n">
        <v>2002000</v>
      </c>
      <c r="E32" s="364" t="n"/>
      <c r="F32" s="212" t="n"/>
    </row>
    <row customFormat="1" customHeight="1" ht="15" r="33" s="4">
      <c r="A33" s="239" t="n">
        <v>36674</v>
      </c>
      <c r="B33" s="612" t="n">
        <v>7884000</v>
      </c>
      <c r="C33" s="364" t="n"/>
      <c r="D33" s="612" t="n">
        <v>2756000</v>
      </c>
      <c r="E33" s="364" t="n"/>
      <c r="F33" s="212" t="n"/>
    </row>
    <row customFormat="1" customHeight="1" ht="15" r="34" s="4">
      <c r="A34" s="239" t="n">
        <v>37102</v>
      </c>
      <c r="B34" s="612" t="n">
        <v>15540000</v>
      </c>
      <c r="C34" s="364" t="n"/>
      <c r="D34" s="612" t="n">
        <v>5460000</v>
      </c>
      <c r="E34" s="364" t="n"/>
      <c r="F34" s="212" t="n"/>
    </row>
    <row customFormat="1" customHeight="1" ht="15" r="35" s="4">
      <c r="A35" s="239" t="n">
        <v>37153</v>
      </c>
      <c r="B35" s="612" t="n">
        <v>7548000</v>
      </c>
      <c r="C35" s="364" t="n"/>
      <c r="D35" s="612" t="n">
        <v>2652000</v>
      </c>
      <c r="E35" s="364" t="n"/>
      <c r="F35" s="212" t="n"/>
    </row>
    <row customFormat="1" customHeight="1" ht="15" r="36" s="4">
      <c r="A36" s="239" t="n">
        <v>37158</v>
      </c>
      <c r="B36" s="612" t="n">
        <v>7548000</v>
      </c>
      <c r="C36" s="364" t="n"/>
      <c r="D36" s="612" t="n">
        <v>2652000</v>
      </c>
      <c r="E36" s="364" t="n"/>
      <c r="F36" s="212" t="n"/>
    </row>
    <row customFormat="1" customHeight="1" ht="15" r="37" s="4">
      <c r="A37" s="239" t="n">
        <v>37196</v>
      </c>
      <c r="B37" s="612" t="n">
        <v>7770000</v>
      </c>
      <c r="C37" s="364" t="n"/>
      <c r="D37" s="612" t="n">
        <v>2730000</v>
      </c>
      <c r="E37" s="364" t="n"/>
      <c r="F37" s="212" t="n"/>
    </row>
    <row customFormat="1" customHeight="1" ht="15" r="38" s="4">
      <c r="A38" s="239" t="n">
        <v>37224</v>
      </c>
      <c r="B38" s="612" t="n">
        <v>7770000</v>
      </c>
      <c r="C38" s="361" t="n"/>
      <c r="D38" s="612" t="n">
        <v>2730000</v>
      </c>
      <c r="E38" s="361" t="n"/>
      <c r="F38" s="212" t="n"/>
    </row>
    <row customFormat="1" customHeight="1" ht="15" r="39" s="4">
      <c r="A39" s="239" t="n">
        <v>37259</v>
      </c>
      <c r="B39" s="612" t="n">
        <v>7770000</v>
      </c>
      <c r="C39" s="613">
        <f>SUM(B39:B48)</f>
        <v/>
      </c>
      <c r="D39" s="612" t="n">
        <v>2730000</v>
      </c>
      <c r="E39" s="613">
        <f>SUM(D39:D48)</f>
        <v/>
      </c>
      <c r="F39" s="212" t="n"/>
    </row>
    <row customFormat="1" customHeight="1" ht="15" r="40" s="4">
      <c r="A40" s="239" t="n">
        <v>37292</v>
      </c>
      <c r="B40" s="612" t="n">
        <v>7770000</v>
      </c>
      <c r="C40" s="364" t="n"/>
      <c r="D40" s="612" t="n">
        <v>2730000</v>
      </c>
      <c r="E40" s="364" t="n"/>
      <c r="F40" s="212" t="n"/>
    </row>
    <row customFormat="1" customHeight="1" ht="15" r="41" s="4">
      <c r="A41" s="239" t="n">
        <v>37344</v>
      </c>
      <c r="B41" s="612" t="n">
        <v>5772000</v>
      </c>
      <c r="C41" s="364" t="n"/>
      <c r="D41" s="612" t="n">
        <v>2028000</v>
      </c>
      <c r="E41" s="364" t="n"/>
      <c r="F41" s="212" t="n"/>
    </row>
    <row customFormat="1" customHeight="1" ht="15" r="42" s="4">
      <c r="A42" s="239" t="n">
        <v>37407</v>
      </c>
      <c r="B42" s="612" t="n">
        <v>7104000</v>
      </c>
      <c r="C42" s="364" t="n"/>
      <c r="D42" s="612" t="n">
        <v>2496000</v>
      </c>
      <c r="E42" s="364" t="n"/>
      <c r="F42" s="212" t="n"/>
    </row>
    <row customFormat="1" customHeight="1" ht="15" r="43" s="4">
      <c r="A43" s="239" t="n">
        <v>37435</v>
      </c>
      <c r="B43" s="612" t="n">
        <v>7104000</v>
      </c>
      <c r="C43" s="364" t="n"/>
      <c r="D43" s="612" t="n">
        <v>2496000</v>
      </c>
      <c r="E43" s="364" t="n"/>
      <c r="F43" s="212" t="n"/>
    </row>
    <row customFormat="1" customHeight="1" ht="15" r="44" s="4">
      <c r="A44" s="239" t="n">
        <v>37495</v>
      </c>
      <c r="B44" s="612" t="n">
        <v>4440000</v>
      </c>
      <c r="C44" s="364" t="n"/>
      <c r="D44" s="612" t="n">
        <v>1560000</v>
      </c>
      <c r="E44" s="364" t="n"/>
      <c r="F44" s="212" t="n"/>
    </row>
    <row customFormat="1" customHeight="1" ht="15" r="45" s="4">
      <c r="A45" s="239" t="n">
        <v>37503</v>
      </c>
      <c r="B45" s="612" t="n">
        <v>7400000</v>
      </c>
      <c r="C45" s="364" t="n"/>
      <c r="D45" s="612" t="n">
        <v>2600000</v>
      </c>
      <c r="E45" s="364" t="n"/>
      <c r="F45" s="212" t="n"/>
    </row>
    <row customFormat="1" customHeight="1" ht="15" r="46" s="4">
      <c r="A46" s="239" t="n">
        <v>37540</v>
      </c>
      <c r="B46" s="612" t="n">
        <v>7548000</v>
      </c>
      <c r="C46" s="364" t="n"/>
      <c r="D46" s="612" t="n">
        <v>2652000</v>
      </c>
      <c r="E46" s="364" t="n"/>
      <c r="F46" s="212" t="n"/>
    </row>
    <row customFormat="1" customHeight="1" ht="15" r="47" s="4">
      <c r="A47" s="239" t="n">
        <v>37571</v>
      </c>
      <c r="B47" s="612" t="n">
        <v>7548000</v>
      </c>
      <c r="C47" s="364" t="n"/>
      <c r="D47" s="612" t="n">
        <v>2652000</v>
      </c>
      <c r="E47" s="364" t="n"/>
      <c r="F47" s="212" t="n"/>
    </row>
    <row customFormat="1" customHeight="1" ht="15" r="48" s="4">
      <c r="A48" s="239" t="n">
        <v>37593</v>
      </c>
      <c r="B48" s="612" t="n">
        <v>28120000</v>
      </c>
      <c r="C48" s="361" t="n"/>
      <c r="D48" s="612" t="n">
        <v>9880000</v>
      </c>
      <c r="E48" s="361" t="n"/>
      <c r="F48" s="212" t="n"/>
    </row>
    <row customFormat="1" customHeight="1" ht="15" r="49" s="4">
      <c r="A49" s="239" t="n">
        <v>37642</v>
      </c>
      <c r="B49" s="612" t="n">
        <v>7659000</v>
      </c>
      <c r="C49" s="613">
        <f>SUM(B49:B56)</f>
        <v/>
      </c>
      <c r="D49" s="612" t="n">
        <v>2691000</v>
      </c>
      <c r="E49" s="613">
        <f>SUM(D49:D56)</f>
        <v/>
      </c>
      <c r="F49" s="212" t="n"/>
    </row>
    <row customFormat="1" customHeight="1" ht="15" r="50" s="4">
      <c r="A50" s="239" t="n">
        <v>37699</v>
      </c>
      <c r="B50" s="612" t="n">
        <v>7659000</v>
      </c>
      <c r="C50" s="364" t="n"/>
      <c r="D50" s="612" t="n">
        <v>2691000</v>
      </c>
      <c r="E50" s="364" t="n"/>
      <c r="F50" s="212" t="n"/>
    </row>
    <row customFormat="1" customHeight="1" ht="15" r="51" s="4">
      <c r="A51" s="239" t="n">
        <v>37748</v>
      </c>
      <c r="B51" s="612" t="n">
        <v>7659000</v>
      </c>
      <c r="C51" s="364" t="n"/>
      <c r="D51" s="612" t="n">
        <v>2691000</v>
      </c>
      <c r="E51" s="364" t="n"/>
      <c r="F51" s="212" t="n"/>
    </row>
    <row customFormat="1" customHeight="1" ht="15" r="52" s="4">
      <c r="A52" s="239" t="n">
        <v>37788</v>
      </c>
      <c r="B52" s="612" t="n">
        <v>7659000</v>
      </c>
      <c r="C52" s="364" t="n"/>
      <c r="D52" s="612" t="n">
        <v>2691000</v>
      </c>
      <c r="E52" s="364" t="n"/>
      <c r="F52" s="212" t="n"/>
    </row>
    <row customFormat="1" customHeight="1" ht="15" r="53" s="4">
      <c r="A53" s="239" t="n">
        <v>37861</v>
      </c>
      <c r="B53" s="612" t="n">
        <v>7659000</v>
      </c>
      <c r="C53" s="364" t="n"/>
      <c r="D53" s="612" t="n">
        <v>2691000</v>
      </c>
      <c r="E53" s="364" t="n"/>
      <c r="F53" s="212" t="n"/>
    </row>
    <row customFormat="1" customHeight="1" ht="15" r="54" s="4">
      <c r="A54" s="239" t="n">
        <v>37895</v>
      </c>
      <c r="B54" s="612" t="n">
        <v>7659000</v>
      </c>
      <c r="C54" s="364" t="n"/>
      <c r="D54" s="612" t="n">
        <v>2691000</v>
      </c>
      <c r="E54" s="364" t="n"/>
      <c r="F54" s="212" t="n"/>
    </row>
    <row customFormat="1" customHeight="1" ht="15" r="55" s="4">
      <c r="A55" s="239" t="n">
        <v>37942</v>
      </c>
      <c r="B55" s="612" t="n">
        <v>7659000</v>
      </c>
      <c r="C55" s="364" t="n"/>
      <c r="D55" s="612" t="n">
        <v>2691000</v>
      </c>
      <c r="E55" s="364" t="n"/>
      <c r="F55" s="212" t="n"/>
    </row>
    <row customFormat="1" customHeight="1" ht="15" r="56" s="4">
      <c r="A56" s="239" t="n">
        <v>37970</v>
      </c>
      <c r="B56" s="612" t="n">
        <v>7659000</v>
      </c>
      <c r="C56" s="361" t="n"/>
      <c r="D56" s="612" t="n">
        <v>2691000</v>
      </c>
      <c r="E56" s="361" t="n"/>
      <c r="F56" s="212" t="n"/>
    </row>
    <row customFormat="1" customHeight="1" ht="15" r="57" s="4">
      <c r="A57" s="239" t="n">
        <v>38013</v>
      </c>
      <c r="B57" s="612" t="n">
        <v>7659000</v>
      </c>
      <c r="C57" s="613">
        <f>SUM(B57:B67)</f>
        <v/>
      </c>
      <c r="D57" s="612" t="n">
        <v>2691000</v>
      </c>
      <c r="E57" s="613">
        <f>SUM(D57:D67)</f>
        <v/>
      </c>
      <c r="F57" s="212" t="n"/>
    </row>
    <row customFormat="1" customHeight="1" ht="15" r="58" s="4">
      <c r="A58" s="239" t="n">
        <v>38058</v>
      </c>
      <c r="B58" s="612" t="n">
        <v>7659000</v>
      </c>
      <c r="C58" s="364" t="n"/>
      <c r="D58" s="612" t="n">
        <v>2691000</v>
      </c>
      <c r="E58" s="364" t="n"/>
      <c r="F58" s="212" t="n"/>
    </row>
    <row customFormat="1" customHeight="1" ht="15" r="59" s="4">
      <c r="A59" s="239" t="n">
        <v>38097</v>
      </c>
      <c r="B59" s="612" t="n">
        <v>7659000</v>
      </c>
      <c r="C59" s="364" t="n"/>
      <c r="D59" s="612" t="n">
        <v>2691000</v>
      </c>
      <c r="E59" s="364" t="n"/>
      <c r="F59" s="212" t="n"/>
    </row>
    <row customFormat="1" customHeight="1" ht="15" r="60" s="4">
      <c r="A60" s="239" t="n">
        <v>38132</v>
      </c>
      <c r="B60" s="612" t="n">
        <v>7659000</v>
      </c>
      <c r="C60" s="364" t="n"/>
      <c r="D60" s="612" t="n">
        <v>2691000</v>
      </c>
      <c r="E60" s="364" t="n"/>
      <c r="F60" s="212" t="n"/>
    </row>
    <row customFormat="1" customHeight="1" ht="15" r="61" s="4">
      <c r="A61" s="239" t="n">
        <v>38153</v>
      </c>
      <c r="B61" s="612" t="n">
        <v>15318000</v>
      </c>
      <c r="C61" s="364" t="n"/>
      <c r="D61" s="612" t="n">
        <v>5382000</v>
      </c>
      <c r="E61" s="364" t="n"/>
      <c r="F61" s="212" t="n"/>
    </row>
    <row customFormat="1" customHeight="1" ht="15" r="62" s="4">
      <c r="A62" s="239" t="n">
        <v>38169</v>
      </c>
      <c r="B62" s="612" t="n">
        <v>7659000</v>
      </c>
      <c r="C62" s="364" t="n"/>
      <c r="D62" s="612" t="n">
        <v>2691000</v>
      </c>
      <c r="E62" s="364" t="n"/>
      <c r="F62" s="212" t="n"/>
    </row>
    <row customFormat="1" customHeight="1" ht="15" r="63" s="4">
      <c r="A63" s="239" t="n">
        <v>38197</v>
      </c>
      <c r="B63" s="612" t="n">
        <v>7659000</v>
      </c>
      <c r="C63" s="364" t="n"/>
      <c r="D63" s="612" t="n">
        <v>2691000</v>
      </c>
      <c r="E63" s="364" t="n"/>
      <c r="F63" s="212" t="n"/>
    </row>
    <row customFormat="1" customHeight="1" ht="15" r="64" s="4">
      <c r="A64" s="239" t="n">
        <v>38224</v>
      </c>
      <c r="B64" s="612" t="n">
        <v>7659000</v>
      </c>
      <c r="C64" s="364" t="n"/>
      <c r="D64" s="612" t="n">
        <v>2691000</v>
      </c>
      <c r="E64" s="364" t="n"/>
      <c r="F64" s="212" t="n"/>
    </row>
    <row customFormat="1" customHeight="1" ht="15" r="65" s="4">
      <c r="A65" s="239" t="n">
        <v>38282</v>
      </c>
      <c r="B65" s="612" t="n">
        <v>7659000</v>
      </c>
      <c r="C65" s="364" t="n"/>
      <c r="D65" s="612" t="n">
        <v>2691000</v>
      </c>
      <c r="E65" s="364" t="n"/>
      <c r="F65" s="212" t="n"/>
    </row>
    <row customFormat="1" customHeight="1" ht="15" r="66" s="4">
      <c r="A66" s="239" t="n">
        <v>38314</v>
      </c>
      <c r="B66" s="612" t="n">
        <v>7659000</v>
      </c>
      <c r="C66" s="364" t="n"/>
      <c r="D66" s="612" t="n">
        <v>2691000</v>
      </c>
      <c r="E66" s="364" t="n"/>
      <c r="F66" s="212" t="n"/>
    </row>
    <row customFormat="1" customHeight="1" ht="15" r="67" s="4">
      <c r="A67" s="239" t="n">
        <v>38338</v>
      </c>
      <c r="B67" s="612" t="n">
        <v>7659000</v>
      </c>
      <c r="C67" s="361" t="n"/>
      <c r="D67" s="612" t="n">
        <v>2691000</v>
      </c>
      <c r="E67" s="361" t="n"/>
      <c r="F67" s="212" t="n"/>
    </row>
    <row customFormat="1" customHeight="1" ht="15" r="68" s="4">
      <c r="A68" s="239" t="n">
        <v>38398</v>
      </c>
      <c r="B68" s="612" t="n">
        <v>7659000</v>
      </c>
      <c r="C68" s="613">
        <f>SUM(B68:B76)</f>
        <v/>
      </c>
      <c r="D68" s="612" t="n">
        <v>2691000</v>
      </c>
      <c r="E68" s="613">
        <f>SUM(D68:D76)</f>
        <v/>
      </c>
      <c r="F68" s="212" t="n"/>
    </row>
    <row customFormat="1" customHeight="1" ht="15" r="69" s="4">
      <c r="A69" s="239" t="n">
        <v>38449</v>
      </c>
      <c r="B69" s="612" t="n">
        <v>7659000</v>
      </c>
      <c r="C69" s="364" t="n"/>
      <c r="D69" s="612" t="n">
        <v>2691000</v>
      </c>
      <c r="E69" s="364" t="n"/>
      <c r="F69" s="212" t="n"/>
    </row>
    <row customFormat="1" customHeight="1" ht="15" r="70" s="4">
      <c r="A70" s="239" t="n">
        <v>38482</v>
      </c>
      <c r="B70" s="612" t="n">
        <v>7659000</v>
      </c>
      <c r="C70" s="364" t="n"/>
      <c r="D70" s="612" t="n">
        <v>2691000</v>
      </c>
      <c r="E70" s="364" t="n"/>
      <c r="F70" s="212" t="n"/>
    </row>
    <row customFormat="1" customHeight="1" ht="15" r="71" s="4">
      <c r="A71" s="239" t="n">
        <v>38505</v>
      </c>
      <c r="B71" s="612" t="n">
        <v>7659000</v>
      </c>
      <c r="C71" s="364" t="n"/>
      <c r="D71" s="612" t="n">
        <v>2691000</v>
      </c>
      <c r="E71" s="364" t="n"/>
      <c r="F71" s="212" t="n"/>
    </row>
    <row customFormat="1" customHeight="1" ht="15" r="72" s="4">
      <c r="A72" s="239" t="n">
        <v>38545</v>
      </c>
      <c r="B72" s="612" t="n">
        <v>7659000</v>
      </c>
      <c r="C72" s="364" t="n"/>
      <c r="D72" s="612" t="n">
        <v>2691000</v>
      </c>
      <c r="E72" s="364" t="n"/>
      <c r="F72" s="212" t="n"/>
    </row>
    <row customFormat="1" customHeight="1" ht="15" r="73" s="4">
      <c r="A73" s="239" t="n">
        <v>38566</v>
      </c>
      <c r="B73" s="612" t="n">
        <v>7659000</v>
      </c>
      <c r="C73" s="364" t="n"/>
      <c r="D73" s="612" t="n">
        <v>2691000</v>
      </c>
      <c r="E73" s="364" t="n"/>
      <c r="F73" s="212" t="n"/>
    </row>
    <row customFormat="1" customHeight="1" ht="15" r="74" s="4">
      <c r="A74" s="239" t="n">
        <v>38615</v>
      </c>
      <c r="B74" s="612" t="n">
        <v>14800000</v>
      </c>
      <c r="C74" s="364" t="n"/>
      <c r="D74" s="612" t="n">
        <v>5200000</v>
      </c>
      <c r="E74" s="364" t="n"/>
      <c r="F74" s="212" t="n"/>
    </row>
    <row customFormat="1" customHeight="1" ht="15" r="75" s="4">
      <c r="A75" s="239" t="n">
        <v>38657</v>
      </c>
      <c r="B75" s="612" t="n">
        <v>7844000</v>
      </c>
      <c r="C75" s="364" t="n"/>
      <c r="D75" s="612" t="n">
        <v>2756000</v>
      </c>
      <c r="E75" s="364" t="n"/>
      <c r="F75" s="212" t="n"/>
    </row>
    <row customFormat="1" customHeight="1" ht="15" r="76" s="4">
      <c r="A76" s="239" t="n">
        <v>38698</v>
      </c>
      <c r="B76" s="612" t="n">
        <v>5920000</v>
      </c>
      <c r="C76" s="361" t="n"/>
      <c r="D76" s="612" t="n">
        <v>2080000</v>
      </c>
      <c r="E76" s="361" t="n"/>
      <c r="F76" s="212" t="n"/>
    </row>
    <row customFormat="1" customHeight="1" ht="15" r="77" s="4">
      <c r="A77" s="239" t="n">
        <v>38751</v>
      </c>
      <c r="B77" s="612" t="n">
        <v>7844000</v>
      </c>
      <c r="C77" s="614">
        <f>SUM(B77:B86)</f>
        <v/>
      </c>
      <c r="D77" s="612" t="n">
        <v>2756000</v>
      </c>
      <c r="E77" s="614">
        <f>SUM(D77:D86)</f>
        <v/>
      </c>
      <c r="F77" s="212" t="n"/>
    </row>
    <row customFormat="1" customHeight="1" ht="15" r="78" s="4">
      <c r="A78" s="239" t="n">
        <v>38782</v>
      </c>
      <c r="B78" s="612" t="n">
        <v>5661000</v>
      </c>
      <c r="C78" s="364" t="n"/>
      <c r="D78" s="612" t="n">
        <v>1989000</v>
      </c>
      <c r="E78" s="364" t="n"/>
      <c r="F78" s="212" t="n"/>
    </row>
    <row customFormat="1" customHeight="1" ht="15" r="79" s="4">
      <c r="A79" s="239" t="n">
        <v>38862</v>
      </c>
      <c r="B79" s="612" t="n">
        <v>7844000</v>
      </c>
      <c r="C79" s="364" t="n"/>
      <c r="D79" s="612" t="n">
        <v>2756000</v>
      </c>
      <c r="E79" s="364" t="n"/>
      <c r="F79" s="212" t="n"/>
    </row>
    <row customFormat="1" customHeight="1" ht="15" r="80" s="4">
      <c r="A80" s="239" t="n">
        <v>38951</v>
      </c>
      <c r="B80" s="612" t="n">
        <v>40700000</v>
      </c>
      <c r="C80" s="364" t="n"/>
      <c r="D80" s="612" t="n">
        <v>14300000</v>
      </c>
      <c r="E80" s="364" t="n"/>
      <c r="F80" s="212" t="n"/>
    </row>
    <row customFormat="1" customHeight="1" ht="15" r="81" s="4">
      <c r="A81" s="239" t="n">
        <v>38981</v>
      </c>
      <c r="B81" s="612" t="n">
        <v>8251000</v>
      </c>
      <c r="C81" s="364" t="n"/>
      <c r="D81" s="612" t="n">
        <v>2899000</v>
      </c>
      <c r="E81" s="364" t="n"/>
      <c r="F81" s="212" t="n"/>
    </row>
    <row customFormat="1" customHeight="1" ht="15" r="82" s="4">
      <c r="A82" s="239" t="n">
        <v>39000</v>
      </c>
      <c r="B82" s="612" t="n">
        <v>8251000</v>
      </c>
      <c r="C82" s="364" t="n"/>
      <c r="D82" s="612" t="n">
        <v>2899000</v>
      </c>
      <c r="E82" s="364" t="n"/>
      <c r="F82" s="212" t="n"/>
    </row>
    <row customFormat="1" customHeight="1" ht="15" r="83" s="4">
      <c r="A83" s="239" t="n">
        <v>39031</v>
      </c>
      <c r="B83" s="612" t="n">
        <v>8251000</v>
      </c>
      <c r="C83" s="364" t="n"/>
      <c r="D83" s="612" t="n">
        <v>2899000</v>
      </c>
      <c r="E83" s="364" t="n"/>
      <c r="F83" s="212" t="n"/>
    </row>
    <row customFormat="1" customHeight="1" ht="15" r="84" s="4">
      <c r="A84" s="239" t="n">
        <v>39035</v>
      </c>
      <c r="B84" s="612" t="n">
        <v>14800000</v>
      </c>
      <c r="C84" s="364" t="n"/>
      <c r="D84" s="612" t="n">
        <v>5200000</v>
      </c>
      <c r="E84" s="364" t="n"/>
      <c r="F84" s="212" t="n"/>
    </row>
    <row customFormat="1" customHeight="1" ht="15" r="85" s="4">
      <c r="A85" s="239" t="n">
        <v>39069</v>
      </c>
      <c r="B85" s="612" t="n">
        <v>8251000</v>
      </c>
      <c r="C85" s="364" t="n"/>
      <c r="D85" s="612" t="n">
        <v>2899000</v>
      </c>
      <c r="E85" s="364" t="n"/>
      <c r="F85" s="212" t="n"/>
    </row>
    <row customFormat="1" customHeight="1" ht="15" r="86" s="4">
      <c r="A86" s="239" t="n">
        <v>39077</v>
      </c>
      <c r="B86" s="612" t="n">
        <v>9472000</v>
      </c>
      <c r="C86" s="366" t="n"/>
      <c r="D86" s="612" t="n">
        <v>3328000</v>
      </c>
      <c r="E86" s="366" t="n"/>
      <c r="F86" s="212" t="n"/>
    </row>
    <row customFormat="1" customHeight="1" ht="15" r="87" s="4">
      <c r="A87" s="239" t="n">
        <v>39086</v>
      </c>
      <c r="B87" s="612" t="n">
        <v>8251000</v>
      </c>
      <c r="C87" s="613">
        <f>SUM(B87:B97)</f>
        <v/>
      </c>
      <c r="D87" s="612" t="n">
        <v>2899000</v>
      </c>
      <c r="E87" s="613">
        <f>SUM(D87:D97)</f>
        <v/>
      </c>
      <c r="F87" s="212" t="n"/>
    </row>
    <row customFormat="1" customHeight="1" ht="15" r="88" s="4">
      <c r="A88" s="239" t="n">
        <v>39120</v>
      </c>
      <c r="B88" s="612" t="n">
        <v>8251000</v>
      </c>
      <c r="C88" s="364" t="n"/>
      <c r="D88" s="612" t="n">
        <v>2899000</v>
      </c>
      <c r="E88" s="364" t="n"/>
      <c r="F88" s="212" t="n"/>
    </row>
    <row customFormat="1" customHeight="1" ht="15" r="89" s="4">
      <c r="A89" s="239" t="n">
        <v>39148</v>
      </c>
      <c r="B89" s="612" t="n">
        <v>8251000</v>
      </c>
      <c r="C89" s="364" t="n"/>
      <c r="D89" s="612" t="n">
        <v>2899000</v>
      </c>
      <c r="E89" s="364" t="n"/>
      <c r="F89" s="212" t="n"/>
    </row>
    <row customFormat="1" customHeight="1" ht="15" r="90" s="4">
      <c r="A90" s="239" t="n">
        <v>39176</v>
      </c>
      <c r="B90" s="612" t="n">
        <v>8251000</v>
      </c>
      <c r="C90" s="364" t="n"/>
      <c r="D90" s="612" t="n">
        <v>2899000</v>
      </c>
      <c r="E90" s="364" t="n"/>
      <c r="F90" s="212" t="n"/>
    </row>
    <row customFormat="1" customHeight="1" ht="15" r="91" s="4">
      <c r="A91" s="239" t="n">
        <v>39213</v>
      </c>
      <c r="B91" s="612" t="n">
        <v>8251000</v>
      </c>
      <c r="C91" s="364" t="n"/>
      <c r="D91" s="612" t="n">
        <v>2899000</v>
      </c>
      <c r="E91" s="364" t="n"/>
      <c r="F91" s="212" t="n"/>
    </row>
    <row customFormat="1" customHeight="1" ht="15" r="92" s="4">
      <c r="A92" s="239" t="n">
        <v>39314</v>
      </c>
      <c r="B92" s="612" t="n">
        <v>8584000</v>
      </c>
      <c r="C92" s="364" t="n"/>
      <c r="D92" s="612" t="n">
        <v>3016000</v>
      </c>
      <c r="E92" s="364" t="n"/>
      <c r="F92" s="212" t="n"/>
    </row>
    <row customFormat="1" customHeight="1" ht="15" r="93" s="4">
      <c r="A93" s="239" t="n">
        <v>39330</v>
      </c>
      <c r="B93" s="612" t="n">
        <v>8584000</v>
      </c>
      <c r="C93" s="364" t="n"/>
      <c r="D93" s="612" t="n">
        <v>3016000</v>
      </c>
      <c r="E93" s="364" t="n"/>
      <c r="F93" s="212" t="n"/>
    </row>
    <row customFormat="1" customHeight="1" ht="15" r="94" s="4">
      <c r="A94" s="239" t="n">
        <v>39356</v>
      </c>
      <c r="B94" s="612" t="n">
        <v>8584000</v>
      </c>
      <c r="C94" s="364" t="n"/>
      <c r="D94" s="612" t="n">
        <v>3016000</v>
      </c>
      <c r="E94" s="364" t="n"/>
      <c r="F94" s="212" t="n"/>
      <c r="G94" s="69" t="n"/>
    </row>
    <row customFormat="1" customHeight="1" ht="15" r="95" s="4">
      <c r="A95" s="239" t="n">
        <v>39381</v>
      </c>
      <c r="B95" s="612" t="n">
        <v>8732000</v>
      </c>
      <c r="C95" s="364" t="n"/>
      <c r="D95" s="612" t="n">
        <v>3068000</v>
      </c>
      <c r="E95" s="364" t="n"/>
      <c r="F95" s="212" t="n"/>
      <c r="G95" s="69" t="inlineStr">
        <is>
          <t>수원고모 이자 어머니에게로 100만원씩 송금</t>
        </is>
      </c>
    </row>
    <row customFormat="1" customHeight="1" ht="15" r="96" s="4">
      <c r="A96" s="239" t="n">
        <v>39412</v>
      </c>
      <c r="B96" s="612" t="n">
        <v>8732000</v>
      </c>
      <c r="C96" s="364" t="n"/>
      <c r="D96" s="612" t="n">
        <v>3068000</v>
      </c>
      <c r="E96" s="364" t="n"/>
      <c r="F96" s="212" t="n"/>
    </row>
    <row customFormat="1" customHeight="1" ht="15" r="97" s="4">
      <c r="A97" s="239" t="n">
        <v>39426</v>
      </c>
      <c r="B97" s="612" t="n">
        <v>8732000</v>
      </c>
      <c r="C97" s="361" t="n"/>
      <c r="D97" s="612" t="n">
        <v>3068000</v>
      </c>
      <c r="E97" s="361" t="n"/>
      <c r="F97" s="212" t="n"/>
    </row>
    <row customFormat="1" customHeight="1" ht="15" r="98" s="4">
      <c r="A98" s="239" t="n">
        <v>39475</v>
      </c>
      <c r="B98" s="612" t="n">
        <v>8732000</v>
      </c>
      <c r="C98" s="613">
        <f>SUM(B98:B106)</f>
        <v/>
      </c>
      <c r="D98" s="612" t="n">
        <v>3068000</v>
      </c>
      <c r="E98" s="613">
        <f>SUM(D98:D106)</f>
        <v/>
      </c>
      <c r="F98" s="212" t="n"/>
    </row>
    <row customFormat="1" customHeight="1" ht="15" r="99" s="4">
      <c r="A99" s="239" t="n">
        <v>39498</v>
      </c>
      <c r="B99" s="612" t="n">
        <v>8732000</v>
      </c>
      <c r="C99" s="364" t="n"/>
      <c r="D99" s="612" t="n">
        <v>3068000</v>
      </c>
      <c r="E99" s="364" t="n"/>
      <c r="F99" s="212" t="n"/>
    </row>
    <row customFormat="1" customHeight="1" ht="15" r="100" s="4">
      <c r="A100" s="239" t="n">
        <v>39526</v>
      </c>
      <c r="B100" s="612" t="n">
        <v>8732000</v>
      </c>
      <c r="C100" s="364" t="n"/>
      <c r="D100" s="612" t="n">
        <v>3068000</v>
      </c>
      <c r="E100" s="364" t="n"/>
      <c r="F100" s="212" t="n"/>
    </row>
    <row customFormat="1" customHeight="1" ht="15" r="101" s="4">
      <c r="A101" s="239" t="n">
        <v>39559</v>
      </c>
      <c r="B101" s="612" t="n">
        <v>8732000</v>
      </c>
      <c r="C101" s="364" t="n"/>
      <c r="D101" s="612" t="n">
        <v>3068000</v>
      </c>
      <c r="E101" s="364" t="n"/>
      <c r="F101" s="212" t="n"/>
    </row>
    <row customFormat="1" customHeight="1" ht="15" r="102" s="4">
      <c r="A102" s="239" t="n">
        <v>39590</v>
      </c>
      <c r="B102" s="612" t="n">
        <v>8732000</v>
      </c>
      <c r="C102" s="364" t="n"/>
      <c r="D102" s="612" t="n">
        <v>3068000</v>
      </c>
      <c r="E102" s="364" t="n"/>
      <c r="F102" s="212" t="n"/>
    </row>
    <row customFormat="1" customHeight="1" ht="15" r="103" s="4">
      <c r="A103" s="239" t="n">
        <v>39626</v>
      </c>
      <c r="B103" s="612" t="n">
        <v>8732000</v>
      </c>
      <c r="C103" s="364" t="n"/>
      <c r="D103" s="612" t="n">
        <v>3068000</v>
      </c>
      <c r="E103" s="364" t="n"/>
      <c r="F103" s="212" t="n"/>
    </row>
    <row customFormat="1" customHeight="1" ht="15" r="104" s="4">
      <c r="A104" s="239" t="n">
        <v>39652</v>
      </c>
      <c r="B104" s="612" t="n">
        <v>8732000</v>
      </c>
      <c r="C104" s="364" t="n"/>
      <c r="D104" s="612" t="n">
        <v>3068000</v>
      </c>
      <c r="E104" s="364" t="n"/>
      <c r="F104" s="212" t="n"/>
    </row>
    <row customFormat="1" customHeight="1" ht="15" r="105" s="4">
      <c r="A105" s="239" t="n">
        <v>39687</v>
      </c>
      <c r="B105" s="612" t="n">
        <v>8732000</v>
      </c>
      <c r="C105" s="364" t="n"/>
      <c r="D105" s="612" t="n">
        <v>3068000</v>
      </c>
      <c r="E105" s="364" t="n"/>
      <c r="F105" s="212" t="n"/>
    </row>
    <row customFormat="1" customHeight="1" ht="15" r="106" s="4">
      <c r="A106" s="239" t="n">
        <v>39715</v>
      </c>
      <c r="B106" s="612" t="n">
        <v>8732000</v>
      </c>
      <c r="C106" s="361" t="n"/>
      <c r="D106" s="612" t="n">
        <v>3068000</v>
      </c>
      <c r="E106" s="361" t="n"/>
      <c r="F106" s="212" t="n"/>
    </row>
    <row customFormat="1" customHeight="1" ht="15" r="107" s="4">
      <c r="A107" s="239" t="n">
        <v>39821</v>
      </c>
      <c r="B107" s="612" t="n">
        <v>8732000</v>
      </c>
      <c r="C107" s="615">
        <f>SUM(B107:B119)</f>
        <v/>
      </c>
      <c r="D107" s="612" t="n">
        <v>3068000</v>
      </c>
      <c r="E107" s="615">
        <f>SUM(D107:D119)</f>
        <v/>
      </c>
      <c r="F107" s="212" t="n"/>
    </row>
    <row customFormat="1" customHeight="1" ht="15" r="108" s="4">
      <c r="A108" s="239" t="n">
        <v>39850</v>
      </c>
      <c r="B108" s="612" t="n">
        <v>8177000</v>
      </c>
      <c r="C108" s="368" t="n"/>
      <c r="D108" s="612" t="n">
        <v>2873000</v>
      </c>
      <c r="E108" s="368" t="n"/>
      <c r="F108" s="212" t="n"/>
    </row>
    <row customFormat="1" customHeight="1" ht="15" r="109" s="4">
      <c r="A109" s="239" t="n">
        <v>39878</v>
      </c>
      <c r="B109" s="612" t="n">
        <v>8177000</v>
      </c>
      <c r="C109" s="368" t="n"/>
      <c r="D109" s="612" t="n">
        <v>2873000</v>
      </c>
      <c r="E109" s="368" t="n"/>
      <c r="F109" s="212" t="n"/>
    </row>
    <row customFormat="1" customHeight="1" ht="15" r="110" s="4">
      <c r="A110" s="239" t="n">
        <v>39890</v>
      </c>
      <c r="B110" s="612" t="n">
        <v>11100000</v>
      </c>
      <c r="C110" s="368" t="n"/>
      <c r="D110" s="612" t="n">
        <v>3900000</v>
      </c>
      <c r="E110" s="368" t="n"/>
      <c r="F110" s="212" t="inlineStr">
        <is>
          <t>4층 1/2 보증금</t>
        </is>
      </c>
    </row>
    <row customFormat="1" customHeight="1" ht="15" r="111" s="4">
      <c r="A111" s="239" t="n">
        <v>39904</v>
      </c>
      <c r="B111" s="612" t="n">
        <v>8177000</v>
      </c>
      <c r="C111" s="368" t="n"/>
      <c r="D111" s="612" t="n">
        <v>2873000</v>
      </c>
      <c r="E111" s="368" t="n"/>
      <c r="F111" s="212" t="n"/>
    </row>
    <row customFormat="1" customHeight="1" ht="15" r="112" s="4">
      <c r="A112" s="239" t="n">
        <v>39939</v>
      </c>
      <c r="B112" s="612" t="n">
        <v>8954000</v>
      </c>
      <c r="C112" s="368" t="n"/>
      <c r="D112" s="612" t="n">
        <v>3146000</v>
      </c>
      <c r="E112" s="368" t="n"/>
      <c r="F112" s="212" t="n"/>
    </row>
    <row customFormat="1" customHeight="1" ht="15" r="113" s="4">
      <c r="A113" s="239" t="n">
        <v>39966</v>
      </c>
      <c r="B113" s="612" t="n">
        <v>8954000</v>
      </c>
      <c r="C113" s="368" t="n"/>
      <c r="D113" s="612" t="n">
        <v>3146000</v>
      </c>
      <c r="E113" s="368" t="n"/>
      <c r="F113" s="212" t="n"/>
      <c r="G113" s="69" t="inlineStr">
        <is>
          <t>수원고모에게 100만원씩 직접송금</t>
        </is>
      </c>
    </row>
    <row customFormat="1" customHeight="1" ht="15" r="114" s="4">
      <c r="A114" s="239" t="n">
        <v>40000</v>
      </c>
      <c r="B114" s="612" t="n">
        <v>8954000</v>
      </c>
      <c r="C114" s="368" t="n"/>
      <c r="D114" s="612" t="n">
        <v>3146000</v>
      </c>
      <c r="E114" s="368" t="n"/>
      <c r="F114" s="212" t="n"/>
      <c r="G114" s="605" t="inlineStr">
        <is>
          <t>1,372,607 원 자동차할부금으로 곽순욱에게 지급</t>
        </is>
      </c>
    </row>
    <row customFormat="1" customHeight="1" ht="15" r="115" s="4">
      <c r="A115" s="239" t="n">
        <v>40028</v>
      </c>
      <c r="B115" s="612" t="n">
        <v>8954000</v>
      </c>
      <c r="C115" s="368" t="n"/>
      <c r="D115" s="612" t="n">
        <v>3146000</v>
      </c>
      <c r="E115" s="368" t="n"/>
      <c r="F115" s="212" t="n"/>
      <c r="G115" s="605" t="n"/>
    </row>
    <row customFormat="1" customHeight="1" ht="15" r="116" s="4">
      <c r="A116" s="239" t="n">
        <v>40059</v>
      </c>
      <c r="B116" s="612" t="n">
        <v>8954000</v>
      </c>
      <c r="C116" s="368" t="n"/>
      <c r="D116" s="612" t="n">
        <v>3146000</v>
      </c>
      <c r="E116" s="368" t="n"/>
      <c r="F116" s="212" t="n"/>
      <c r="G116" s="605" t="n"/>
    </row>
    <row customFormat="1" customHeight="1" ht="15" r="117" s="4">
      <c r="A117" s="239" t="n">
        <v>40092</v>
      </c>
      <c r="B117" s="612" t="n">
        <v>8954000</v>
      </c>
      <c r="C117" s="368" t="n"/>
      <c r="D117" s="612" t="n">
        <v>3146000</v>
      </c>
      <c r="E117" s="368" t="n"/>
      <c r="F117" s="212" t="n"/>
      <c r="G117" s="605" t="n"/>
    </row>
    <row customFormat="1" customHeight="1" ht="15" r="118" s="4">
      <c r="A118" s="239" t="n">
        <v>40126</v>
      </c>
      <c r="B118" s="612" t="n">
        <v>8954000</v>
      </c>
      <c r="C118" s="368" t="n"/>
      <c r="D118" s="612" t="n">
        <v>3146000</v>
      </c>
      <c r="E118" s="368" t="n"/>
      <c r="F118" s="212" t="n"/>
      <c r="G118" s="605" t="n"/>
    </row>
    <row customFormat="1" customHeight="1" ht="15" r="119" s="4">
      <c r="A119" s="239" t="n">
        <v>40154</v>
      </c>
      <c r="B119" s="612" t="n">
        <v>8954000</v>
      </c>
      <c r="C119" s="369" t="n"/>
      <c r="D119" s="612" t="n">
        <v>3146000</v>
      </c>
      <c r="E119" s="369" t="n"/>
      <c r="F119" s="212" t="n"/>
    </row>
    <row customFormat="1" customHeight="1" ht="15" r="120" s="4">
      <c r="A120" s="239" t="n">
        <v>40185</v>
      </c>
      <c r="B120" s="612" t="n">
        <v>8954000</v>
      </c>
      <c r="C120" s="613">
        <f>SUM(B120:B130)</f>
        <v/>
      </c>
      <c r="D120" s="612" t="n">
        <v>3146000</v>
      </c>
      <c r="E120" s="613">
        <f>SUM(D120:D130)</f>
        <v/>
      </c>
      <c r="F120" s="212" t="n"/>
    </row>
    <row customFormat="1" customHeight="1" ht="15" r="121" s="4">
      <c r="A121" s="239" t="n">
        <v>40217</v>
      </c>
      <c r="B121" s="612" t="n">
        <v>8954000</v>
      </c>
      <c r="C121" s="364" t="n"/>
      <c r="D121" s="612" t="n">
        <v>3146000</v>
      </c>
      <c r="E121" s="364" t="n"/>
      <c r="F121" s="212" t="n"/>
    </row>
    <row customFormat="1" customHeight="1" ht="15" r="122" s="4">
      <c r="A122" s="239" t="n">
        <v>40247</v>
      </c>
      <c r="B122" s="612" t="n">
        <v>8954000</v>
      </c>
      <c r="C122" s="364" t="n"/>
      <c r="D122" s="612" t="n">
        <v>3146000</v>
      </c>
      <c r="E122" s="364" t="n"/>
      <c r="F122" s="212" t="n"/>
    </row>
    <row customFormat="1" customHeight="1" ht="15" r="123" s="4">
      <c r="A123" s="239" t="n">
        <v>40281</v>
      </c>
      <c r="B123" s="612" t="n">
        <v>8954000</v>
      </c>
      <c r="C123" s="364" t="n"/>
      <c r="D123" s="612" t="n">
        <v>3146000</v>
      </c>
      <c r="E123" s="364" t="n"/>
      <c r="F123" s="212" t="n"/>
    </row>
    <row customFormat="1" customHeight="1" ht="15" r="124" s="4">
      <c r="A124" s="239" t="n">
        <v>40308</v>
      </c>
      <c r="B124" s="612" t="n">
        <v>8954000</v>
      </c>
      <c r="C124" s="364" t="n"/>
      <c r="D124" s="612" t="n">
        <v>3146000</v>
      </c>
      <c r="E124" s="364" t="n"/>
      <c r="F124" s="212" t="n"/>
    </row>
    <row customFormat="1" customHeight="1" ht="15" r="125" s="4">
      <c r="A125" s="239" t="n">
        <v>40332</v>
      </c>
      <c r="B125" s="612" t="n">
        <v>8954000</v>
      </c>
      <c r="C125" s="364" t="n"/>
      <c r="D125" s="612" t="n">
        <v>3146000</v>
      </c>
      <c r="E125" s="364" t="n"/>
      <c r="F125" s="212" t="n"/>
    </row>
    <row customFormat="1" customHeight="1" ht="15" r="126" s="4">
      <c r="A126" s="239" t="n">
        <v>40371</v>
      </c>
      <c r="B126" s="612" t="n">
        <v>8954000</v>
      </c>
      <c r="C126" s="364" t="n"/>
      <c r="D126" s="612" t="n">
        <v>3146000</v>
      </c>
      <c r="E126" s="364" t="n"/>
      <c r="F126" s="212" t="n"/>
    </row>
    <row customFormat="1" customHeight="1" ht="15" r="127" s="4">
      <c r="A127" s="239" t="n">
        <v>40399</v>
      </c>
      <c r="B127" s="612" t="n">
        <v>8954000</v>
      </c>
      <c r="C127" s="364" t="n"/>
      <c r="D127" s="612" t="n">
        <v>3146000</v>
      </c>
      <c r="E127" s="364" t="n"/>
      <c r="F127" s="212" t="n"/>
    </row>
    <row customFormat="1" customHeight="1" ht="15" r="128" s="4">
      <c r="A128" s="239" t="n">
        <v>40434</v>
      </c>
      <c r="B128" s="612" t="n">
        <v>8954000</v>
      </c>
      <c r="C128" s="364" t="n"/>
      <c r="D128" s="612" t="n">
        <v>3146000</v>
      </c>
      <c r="E128" s="364" t="n"/>
      <c r="F128" s="212" t="n"/>
    </row>
    <row customFormat="1" customHeight="1" ht="15" r="129" s="4">
      <c r="A129" s="239" t="n">
        <v>40483</v>
      </c>
      <c r="B129" s="612" t="n">
        <v>8954000</v>
      </c>
      <c r="C129" s="364" t="n"/>
      <c r="D129" s="612" t="n">
        <v>3146000</v>
      </c>
      <c r="E129" s="364" t="n"/>
      <c r="F129" s="212" t="n"/>
    </row>
    <row customFormat="1" customHeight="1" ht="15" r="130" s="4">
      <c r="A130" s="239" t="n">
        <v>40512</v>
      </c>
      <c r="B130" s="612" t="n">
        <v>8954000</v>
      </c>
      <c r="C130" s="361" t="n"/>
      <c r="D130" s="612" t="n">
        <v>3146000</v>
      </c>
      <c r="E130" s="361" t="n"/>
      <c r="F130" s="212" t="n"/>
    </row>
    <row customFormat="1" customHeight="1" ht="15" r="131" s="4">
      <c r="A131" s="239" t="n">
        <v>40546</v>
      </c>
      <c r="B131" s="612" t="n">
        <v>8288000</v>
      </c>
      <c r="C131" s="614">
        <f>SUM(B131:B138)</f>
        <v/>
      </c>
      <c r="D131" s="612" t="n">
        <v>2912000</v>
      </c>
      <c r="E131" s="614">
        <f>SUM(D131:D138)</f>
        <v/>
      </c>
      <c r="F131" s="212" t="n"/>
    </row>
    <row customFormat="1" customHeight="1" ht="15" r="132" s="4">
      <c r="A132" s="239" t="n">
        <v>40581</v>
      </c>
      <c r="B132" s="612" t="n">
        <v>8288000</v>
      </c>
      <c r="C132" s="364" t="n"/>
      <c r="D132" s="612" t="n">
        <v>2912000</v>
      </c>
      <c r="E132" s="364" t="n"/>
      <c r="F132" s="212" t="n"/>
    </row>
    <row customFormat="1" customHeight="1" ht="15" r="133" s="4">
      <c r="A133" s="239" t="n">
        <v>40611</v>
      </c>
      <c r="B133" s="612" t="n">
        <v>8288000</v>
      </c>
      <c r="C133" s="364" t="n"/>
      <c r="D133" s="612" t="n">
        <v>2912000</v>
      </c>
      <c r="E133" s="364" t="n"/>
      <c r="F133" s="212" t="n"/>
    </row>
    <row customFormat="1" customHeight="1" ht="15" r="134" s="4">
      <c r="A134" s="239" t="n">
        <v>40641</v>
      </c>
      <c r="B134" s="612" t="n">
        <v>8288000</v>
      </c>
      <c r="C134" s="364" t="n"/>
      <c r="D134" s="612" t="n">
        <v>2912000</v>
      </c>
      <c r="E134" s="364" t="n"/>
      <c r="F134" s="212" t="n"/>
    </row>
    <row customFormat="1" customHeight="1" ht="15" r="135" s="4">
      <c r="A135" s="239" t="n">
        <v>40675</v>
      </c>
      <c r="B135" s="612" t="n">
        <v>8288000</v>
      </c>
      <c r="C135" s="364" t="n"/>
      <c r="D135" s="612" t="n">
        <v>2912000</v>
      </c>
      <c r="E135" s="364" t="n"/>
      <c r="F135" s="212" t="n"/>
    </row>
    <row customFormat="1" customHeight="1" ht="15" r="136" s="4">
      <c r="A136" s="239" t="n">
        <v>40714</v>
      </c>
      <c r="B136" s="612" t="n">
        <v>8288000</v>
      </c>
      <c r="C136" s="364" t="n"/>
      <c r="D136" s="612" t="n">
        <v>2912000</v>
      </c>
      <c r="E136" s="364" t="n"/>
      <c r="F136" s="212" t="n"/>
    </row>
    <row customFormat="1" customHeight="1" ht="15" r="137" s="4">
      <c r="A137" s="239" t="n">
        <v>40743</v>
      </c>
      <c r="B137" s="612" t="n">
        <v>8288000</v>
      </c>
      <c r="C137" s="364" t="n"/>
      <c r="D137" s="612" t="n">
        <v>2912000</v>
      </c>
      <c r="E137" s="364" t="n"/>
      <c r="F137" s="212" t="n"/>
    </row>
    <row customFormat="1" customHeight="1" ht="15" r="138" s="4">
      <c r="A138" s="239" t="n">
        <v>40878</v>
      </c>
      <c r="B138" s="612" t="n">
        <v>22644000</v>
      </c>
      <c r="C138" s="366" t="n"/>
      <c r="D138" s="612" t="n">
        <v>7956000</v>
      </c>
      <c r="E138" s="366" t="n"/>
      <c r="F138" s="212" t="n"/>
    </row>
    <row customFormat="1" customHeight="1" ht="15" r="139" s="4">
      <c r="A139" s="239" t="n">
        <v>40919</v>
      </c>
      <c r="B139" s="612" t="n">
        <v>8066000</v>
      </c>
      <c r="C139" s="614">
        <f>SUM(B139:B150)</f>
        <v/>
      </c>
      <c r="D139" s="612" t="n">
        <v>2834000</v>
      </c>
      <c r="E139" s="614">
        <f>SUM(D139:D150)</f>
        <v/>
      </c>
      <c r="F139" s="212" t="n"/>
    </row>
    <row customFormat="1" customHeight="1" ht="15" r="140" s="4">
      <c r="A140" s="239" t="n">
        <v>40919</v>
      </c>
      <c r="B140" s="612" t="n">
        <v>14800000</v>
      </c>
      <c r="C140" s="364" t="n"/>
      <c r="D140" s="612" t="n">
        <v>5200000</v>
      </c>
      <c r="E140" s="364" t="n"/>
      <c r="F140" s="212" t="n"/>
    </row>
    <row customFormat="1" customHeight="1" ht="15" r="141" s="4">
      <c r="A141" s="239" t="n">
        <v>40953</v>
      </c>
      <c r="B141" s="612" t="n">
        <v>7252000</v>
      </c>
      <c r="C141" s="364" t="n"/>
      <c r="D141" s="612" t="n">
        <v>2548000</v>
      </c>
      <c r="E141" s="364" t="n"/>
      <c r="F141" s="212" t="n"/>
    </row>
    <row customFormat="1" customHeight="1" ht="15" r="142" s="4">
      <c r="A142" s="239" t="n">
        <v>40989</v>
      </c>
      <c r="B142" s="612" t="n">
        <v>9102000</v>
      </c>
      <c r="C142" s="364" t="n"/>
      <c r="D142" s="612" t="n">
        <v>3198000</v>
      </c>
      <c r="E142" s="364" t="n"/>
      <c r="F142" s="212" t="n"/>
    </row>
    <row customFormat="1" customHeight="1" ht="15" r="143" s="4">
      <c r="A143" s="239" t="n">
        <v>41008</v>
      </c>
      <c r="B143" s="612" t="n">
        <v>9102000</v>
      </c>
      <c r="C143" s="364" t="n"/>
      <c r="D143" s="612" t="n">
        <v>3198000</v>
      </c>
      <c r="E143" s="364" t="n"/>
      <c r="F143" s="212" t="n"/>
    </row>
    <row customFormat="1" customHeight="1" ht="15" r="144" s="4">
      <c r="A144" s="239" t="n">
        <v>41067</v>
      </c>
      <c r="B144" s="612" t="n">
        <v>9176000</v>
      </c>
      <c r="C144" s="364" t="n"/>
      <c r="D144" s="612" t="n">
        <v>3224000</v>
      </c>
      <c r="E144" s="364" t="n"/>
      <c r="F144" s="212" t="n"/>
    </row>
    <row customFormat="1" customHeight="1" ht="15" r="145" s="4">
      <c r="A145" s="239" t="n">
        <v>41099</v>
      </c>
      <c r="B145" s="612" t="n">
        <v>9176000</v>
      </c>
      <c r="C145" s="364" t="n"/>
      <c r="D145" s="612" t="n">
        <v>3224000</v>
      </c>
      <c r="E145" s="364" t="n"/>
      <c r="F145" s="212" t="n"/>
    </row>
    <row customFormat="1" customHeight="1" ht="15" r="146" s="4">
      <c r="A146" s="239" t="n">
        <v>41131</v>
      </c>
      <c r="B146" s="612" t="n">
        <v>9176000</v>
      </c>
      <c r="C146" s="364" t="n"/>
      <c r="D146" s="612" t="n">
        <v>3224000</v>
      </c>
      <c r="E146" s="364" t="n"/>
      <c r="F146" s="212" t="n"/>
    </row>
    <row customFormat="1" customHeight="1" ht="15" r="147" s="4">
      <c r="A147" s="239" t="n">
        <v>41165</v>
      </c>
      <c r="B147" s="612" t="n">
        <v>9176000</v>
      </c>
      <c r="C147" s="364" t="n"/>
      <c r="D147" s="612" t="n">
        <v>3224000</v>
      </c>
      <c r="E147" s="364" t="n"/>
      <c r="F147" s="212" t="n"/>
    </row>
    <row customFormat="1" customHeight="1" ht="15" r="148" s="4">
      <c r="A148" s="239" t="n">
        <v>41192</v>
      </c>
      <c r="B148" s="612" t="n">
        <v>9176000</v>
      </c>
      <c r="C148" s="364" t="n"/>
      <c r="D148" s="612" t="n">
        <v>3224000</v>
      </c>
      <c r="E148" s="364" t="n"/>
      <c r="F148" s="212" t="n"/>
    </row>
    <row customFormat="1" customHeight="1" ht="15" r="149" s="4">
      <c r="A149" s="239" t="n">
        <v>41226</v>
      </c>
      <c r="B149" s="612" t="n">
        <v>9176000</v>
      </c>
      <c r="C149" s="364" t="n"/>
      <c r="D149" s="612" t="n">
        <v>3224000</v>
      </c>
      <c r="E149" s="364" t="n"/>
      <c r="F149" s="212" t="n"/>
    </row>
    <row customFormat="1" customHeight="1" ht="15" r="150" s="4">
      <c r="A150" s="239" t="n">
        <v>41253</v>
      </c>
      <c r="B150" s="612" t="n">
        <v>9176000</v>
      </c>
      <c r="C150" s="366" t="n"/>
      <c r="D150" s="612" t="n">
        <v>3224000</v>
      </c>
      <c r="E150" s="366" t="n"/>
      <c r="F150" s="212" t="n"/>
    </row>
    <row customFormat="1" customHeight="1" ht="15" r="151" s="4">
      <c r="A151" s="239" t="n">
        <v>41309</v>
      </c>
      <c r="B151" s="612" t="n">
        <v>9176000</v>
      </c>
      <c r="C151" s="614">
        <f>SUM(B151:B160)</f>
        <v/>
      </c>
      <c r="D151" s="612" t="n">
        <v>3224000</v>
      </c>
      <c r="E151" s="614">
        <f>SUM(D151:D160)</f>
        <v/>
      </c>
      <c r="F151" s="212" t="n"/>
    </row>
    <row customFormat="1" customHeight="1" ht="15" r="152" s="4">
      <c r="A152" s="239" t="n">
        <v>41338</v>
      </c>
      <c r="B152" s="612" t="n">
        <v>9176000</v>
      </c>
      <c r="C152" s="364" t="n"/>
      <c r="D152" s="612" t="n">
        <v>3224000</v>
      </c>
      <c r="E152" s="364" t="n"/>
      <c r="F152" s="212" t="n"/>
    </row>
    <row customFormat="1" customHeight="1" ht="15" r="153" s="4">
      <c r="A153" s="239" t="n">
        <v>41374</v>
      </c>
      <c r="B153" s="612" t="n">
        <v>18352000</v>
      </c>
      <c r="C153" s="364" t="n"/>
      <c r="D153" s="612" t="n">
        <v>6448000</v>
      </c>
      <c r="E153" s="364" t="n"/>
      <c r="F153" s="212" t="n"/>
    </row>
    <row customFormat="1" customHeight="1" ht="15" r="154" s="4">
      <c r="A154" s="239" t="n">
        <v>41397</v>
      </c>
      <c r="B154" s="612" t="n">
        <v>9176000</v>
      </c>
      <c r="C154" s="364" t="n"/>
      <c r="D154" s="612" t="n">
        <v>3224000</v>
      </c>
      <c r="E154" s="364" t="n"/>
      <c r="F154" s="212" t="n"/>
    </row>
    <row customFormat="1" customHeight="1" ht="15" r="155" s="4">
      <c r="A155" s="239" t="n">
        <v>41435</v>
      </c>
      <c r="B155" s="612" t="n">
        <v>9176000</v>
      </c>
      <c r="C155" s="364" t="n"/>
      <c r="D155" s="612" t="n">
        <v>3224000</v>
      </c>
      <c r="E155" s="364" t="n"/>
      <c r="F155" s="212" t="n"/>
    </row>
    <row customFormat="1" customHeight="1" ht="15" r="156" s="4">
      <c r="A156" s="239" t="n">
        <v>41464</v>
      </c>
      <c r="B156" s="612" t="n">
        <v>9176000</v>
      </c>
      <c r="C156" s="364" t="n"/>
      <c r="D156" s="612" t="n">
        <v>3224000</v>
      </c>
      <c r="E156" s="364" t="n"/>
      <c r="F156" s="212" t="n"/>
    </row>
    <row customFormat="1" customHeight="1" ht="15" r="157" s="4">
      <c r="A157" s="239" t="n">
        <v>41502</v>
      </c>
      <c r="B157" s="612" t="n">
        <v>9176000</v>
      </c>
      <c r="C157" s="364" t="n"/>
      <c r="D157" s="612" t="n">
        <v>3224000</v>
      </c>
      <c r="E157" s="364" t="n"/>
      <c r="F157" s="212" t="n"/>
    </row>
    <row customFormat="1" customHeight="1" ht="15" r="158" s="4">
      <c r="A158" s="239" t="n">
        <v>41540</v>
      </c>
      <c r="B158" s="612" t="n">
        <v>9176000</v>
      </c>
      <c r="C158" s="364" t="n"/>
      <c r="D158" s="612" t="n">
        <v>3224000</v>
      </c>
      <c r="E158" s="364" t="n"/>
      <c r="F158" s="212" t="n"/>
    </row>
    <row customFormat="1" customHeight="1" ht="15" r="159" s="4">
      <c r="A159" s="239" t="n">
        <v>41582</v>
      </c>
      <c r="B159" s="612" t="n">
        <v>9176000</v>
      </c>
      <c r="C159" s="364" t="n"/>
      <c r="D159" s="612" t="n">
        <v>3224000</v>
      </c>
      <c r="E159" s="364" t="n"/>
      <c r="F159" s="212" t="n"/>
    </row>
    <row customFormat="1" customHeight="1" ht="15" r="160" s="4">
      <c r="A160" s="239" t="n">
        <v>41625</v>
      </c>
      <c r="B160" s="612" t="n">
        <v>9176000</v>
      </c>
      <c r="C160" s="366" t="n"/>
      <c r="D160" s="612" t="n">
        <v>3224000</v>
      </c>
      <c r="E160" s="366" t="n"/>
      <c r="F160" s="212" t="n"/>
    </row>
    <row customFormat="1" customHeight="1" ht="15" r="161" s="4">
      <c r="A161" s="239" t="n">
        <v>41659</v>
      </c>
      <c r="B161" s="612" t="n">
        <v>9176000</v>
      </c>
      <c r="C161" s="614">
        <f>SUM(B161:B170)</f>
        <v/>
      </c>
      <c r="D161" s="612" t="n">
        <v>3224000</v>
      </c>
      <c r="E161" s="614">
        <f>SUM(D161:D170)</f>
        <v/>
      </c>
      <c r="F161" s="212" t="n"/>
      <c r="G161" s="69" t="inlineStr">
        <is>
          <t>어머니에게 500만원 송금, 종환형에게 전액 송금</t>
        </is>
      </c>
      <c r="H161" s="6" t="n"/>
    </row>
    <row customFormat="1" customHeight="1" ht="15" r="162" s="4">
      <c r="A162" s="239" t="n">
        <v>41701</v>
      </c>
      <c r="B162" s="612" t="n">
        <v>9176000</v>
      </c>
      <c r="C162" s="364" t="n"/>
      <c r="D162" s="612" t="n">
        <v>3224000</v>
      </c>
      <c r="E162" s="364" t="n"/>
      <c r="F162" s="212" t="n"/>
      <c r="G162" s="69" t="n"/>
      <c r="H162" s="6" t="n"/>
    </row>
    <row customFormat="1" customHeight="1" ht="15" r="163" s="4">
      <c r="A163" s="239" t="n">
        <v>41731</v>
      </c>
      <c r="B163" s="612" t="n">
        <v>7326000</v>
      </c>
      <c r="C163" s="364" t="n"/>
      <c r="D163" s="612" t="n">
        <v>2574000</v>
      </c>
      <c r="E163" s="364" t="n"/>
      <c r="F163" s="212" t="n"/>
      <c r="G163" s="69" t="n"/>
      <c r="H163" s="6" t="n"/>
    </row>
    <row customFormat="1" customHeight="1" ht="15" r="164" s="4">
      <c r="A164" s="239" t="n">
        <v>41761</v>
      </c>
      <c r="B164" s="612" t="n">
        <v>7326000</v>
      </c>
      <c r="C164" s="364" t="n"/>
      <c r="D164" s="612" t="n">
        <v>2574000</v>
      </c>
      <c r="E164" s="364" t="n"/>
      <c r="F164" s="212" t="n"/>
      <c r="G164" s="69" t="n"/>
      <c r="H164" s="6" t="n"/>
    </row>
    <row customFormat="1" customHeight="1" ht="15" r="165" s="4">
      <c r="A165" s="239" t="n">
        <v>41799</v>
      </c>
      <c r="B165" s="612" t="n">
        <v>7326000</v>
      </c>
      <c r="C165" s="364" t="n"/>
      <c r="D165" s="612" t="n">
        <v>2574000</v>
      </c>
      <c r="E165" s="364" t="n"/>
      <c r="F165" s="212" t="n"/>
      <c r="G165" s="69" t="n"/>
      <c r="H165" s="6" t="n"/>
    </row>
    <row customFormat="1" customHeight="1" ht="15" r="166" s="4">
      <c r="A166" s="239" t="n">
        <v>41851</v>
      </c>
      <c r="B166" s="612" t="n">
        <v>7326000</v>
      </c>
      <c r="C166" s="364" t="n"/>
      <c r="D166" s="612" t="n">
        <v>2574000</v>
      </c>
      <c r="E166" s="364" t="n"/>
      <c r="F166" s="212" t="n"/>
      <c r="G166" s="69" t="n"/>
      <c r="H166" s="6" t="n"/>
    </row>
    <row customFormat="1" customHeight="1" ht="15" r="167" s="4">
      <c r="A167" s="239" t="n">
        <v>41885</v>
      </c>
      <c r="B167" s="612" t="n">
        <v>7326000</v>
      </c>
      <c r="C167" s="364" t="n"/>
      <c r="D167" s="612" t="n">
        <v>2574000</v>
      </c>
      <c r="E167" s="364" t="n"/>
      <c r="F167" s="212" t="n"/>
      <c r="G167" s="69" t="n"/>
      <c r="H167" s="6" t="n"/>
    </row>
    <row customFormat="1" customHeight="1" ht="15" r="168" s="4">
      <c r="A168" s="239" t="n">
        <v>41914</v>
      </c>
      <c r="B168" s="612" t="n">
        <v>7326000</v>
      </c>
      <c r="C168" s="364" t="n"/>
      <c r="D168" s="612" t="n">
        <v>2574000</v>
      </c>
      <c r="E168" s="364" t="n"/>
      <c r="F168" s="212" t="n"/>
      <c r="G168" s="69" t="n"/>
      <c r="H168" s="6" t="n"/>
    </row>
    <row customFormat="1" customHeight="1" ht="15" r="169" s="4">
      <c r="A169" s="239" t="n">
        <v>41981</v>
      </c>
      <c r="B169" s="612" t="n">
        <v>7326000</v>
      </c>
      <c r="C169" s="364" t="n"/>
      <c r="D169" s="612" t="n">
        <v>2574000</v>
      </c>
      <c r="E169" s="364" t="n"/>
      <c r="F169" s="212" t="n"/>
      <c r="G169" s="69" t="n"/>
      <c r="H169" s="6" t="n"/>
    </row>
    <row customFormat="1" customHeight="1" ht="15" r="170" s="4">
      <c r="A170" s="239" t="n">
        <v>42004</v>
      </c>
      <c r="B170" s="612" t="n">
        <v>7326000</v>
      </c>
      <c r="C170" s="366" t="n"/>
      <c r="D170" s="612" t="n">
        <v>2574000</v>
      </c>
      <c r="E170" s="366" t="n"/>
      <c r="F170" s="212" t="n"/>
    </row>
    <row customFormat="1" customHeight="1" ht="15" r="171" s="4">
      <c r="A171" s="239" t="n">
        <v>42062</v>
      </c>
      <c r="B171" s="612" t="n">
        <v>7326000</v>
      </c>
      <c r="C171" s="614">
        <f>SUM(B171:B181)</f>
        <v/>
      </c>
      <c r="D171" s="612" t="n">
        <v>2574000</v>
      </c>
      <c r="E171" s="614">
        <f>SUM(D171:D181)</f>
        <v/>
      </c>
      <c r="F171" s="212" t="n"/>
    </row>
    <row customFormat="1" customHeight="1" ht="15" r="172" s="4">
      <c r="A172" s="239" t="n">
        <v>42093</v>
      </c>
      <c r="B172" s="612" t="n">
        <v>7326000</v>
      </c>
      <c r="C172" s="364" t="n"/>
      <c r="D172" s="612" t="n">
        <v>2574000</v>
      </c>
      <c r="E172" s="364" t="n"/>
      <c r="F172" s="212" t="n"/>
    </row>
    <row customFormat="1" customHeight="1" ht="15" r="173" s="4">
      <c r="A173" s="239" t="n">
        <v>42104</v>
      </c>
      <c r="B173" s="612" t="n">
        <v>7326000</v>
      </c>
      <c r="C173" s="364" t="n"/>
      <c r="D173" s="612" t="n">
        <v>2574000</v>
      </c>
      <c r="E173" s="364" t="n"/>
      <c r="F173" s="212" t="n"/>
    </row>
    <row customFormat="1" customHeight="1" ht="15" r="174" s="4">
      <c r="A174" s="239" t="n">
        <v>42128</v>
      </c>
      <c r="B174" s="612" t="n">
        <v>7326000</v>
      </c>
      <c r="C174" s="364" t="n"/>
      <c r="D174" s="612" t="n">
        <v>2574000</v>
      </c>
      <c r="E174" s="364" t="n"/>
      <c r="F174" s="212" t="n"/>
    </row>
    <row customFormat="1" customHeight="1" ht="15" r="175" s="4">
      <c r="A175" s="239" t="n">
        <v>42132</v>
      </c>
      <c r="B175" s="612" t="n">
        <v>7326000</v>
      </c>
      <c r="C175" s="364" t="n"/>
      <c r="D175" s="612" t="n">
        <v>2574000</v>
      </c>
      <c r="E175" s="364" t="n"/>
      <c r="F175" s="212" t="n"/>
    </row>
    <row customFormat="1" customHeight="1" ht="15" r="176" s="4">
      <c r="A176" s="239" t="n">
        <v>42165</v>
      </c>
      <c r="B176" s="612" t="n">
        <v>7326000</v>
      </c>
      <c r="C176" s="364" t="n"/>
      <c r="D176" s="612" t="n">
        <v>2574000</v>
      </c>
      <c r="E176" s="364" t="n"/>
      <c r="F176" s="212" t="n"/>
    </row>
    <row customFormat="1" customHeight="1" ht="15" r="177" s="4">
      <c r="A177" s="239" t="n">
        <v>42219</v>
      </c>
      <c r="B177" s="612" t="n">
        <v>7326000</v>
      </c>
      <c r="C177" s="364" t="n"/>
      <c r="D177" s="612" t="n">
        <v>2574000</v>
      </c>
      <c r="E177" s="364" t="n"/>
      <c r="F177" s="212" t="n"/>
    </row>
    <row customFormat="1" customHeight="1" ht="15" r="178" s="4">
      <c r="A178" s="239" t="n">
        <v>42248</v>
      </c>
      <c r="B178" s="612" t="n">
        <v>7326000</v>
      </c>
      <c r="C178" s="364" t="n"/>
      <c r="D178" s="612" t="n">
        <v>2574000</v>
      </c>
      <c r="E178" s="364" t="n"/>
      <c r="F178" s="212" t="n"/>
    </row>
    <row customFormat="1" customHeight="1" ht="15" r="179" s="4">
      <c r="A179" s="239" t="n">
        <v>42277</v>
      </c>
      <c r="B179" s="612" t="n">
        <v>7326000</v>
      </c>
      <c r="C179" s="364" t="n"/>
      <c r="D179" s="612" t="n">
        <v>2574000</v>
      </c>
      <c r="E179" s="364" t="n"/>
      <c r="F179" s="212" t="n"/>
    </row>
    <row customFormat="1" customHeight="1" ht="15" r="180" s="4">
      <c r="A180" s="239" t="n">
        <v>42318</v>
      </c>
      <c r="B180" s="612" t="n">
        <v>7326000</v>
      </c>
      <c r="C180" s="364" t="n"/>
      <c r="D180" s="612" t="n">
        <v>2574000</v>
      </c>
      <c r="E180" s="364" t="n"/>
      <c r="F180" s="212" t="n"/>
    </row>
    <row customFormat="1" customHeight="1" ht="15" r="181" s="4">
      <c r="A181" s="239" t="n">
        <v>42349</v>
      </c>
      <c r="B181" s="612" t="n">
        <v>7326000</v>
      </c>
      <c r="C181" s="366" t="n"/>
      <c r="D181" s="612" t="n">
        <v>2574000</v>
      </c>
      <c r="E181" s="366" t="n"/>
      <c r="F181" s="212" t="n"/>
    </row>
    <row customFormat="1" customHeight="1" ht="15" r="182" s="4">
      <c r="A182" s="239" t="n">
        <v>42373</v>
      </c>
      <c r="B182" s="612" t="n">
        <v>7326000</v>
      </c>
      <c r="C182" s="613">
        <f>SUM(B182:B192)</f>
        <v/>
      </c>
      <c r="D182" s="612" t="n">
        <v>2574000</v>
      </c>
      <c r="E182" s="613">
        <f>SUM(D182:D192)</f>
        <v/>
      </c>
      <c r="F182" s="212" t="n"/>
    </row>
    <row customFormat="1" customHeight="1" ht="15" r="183" s="4">
      <c r="A183" s="239" t="n">
        <v>42416</v>
      </c>
      <c r="B183" s="612" t="n">
        <v>7326000</v>
      </c>
      <c r="C183" s="364" t="n"/>
      <c r="D183" s="612" t="n">
        <v>2574000</v>
      </c>
      <c r="E183" s="364" t="n"/>
      <c r="F183" s="212" t="n"/>
    </row>
    <row customFormat="1" customHeight="1" ht="15" r="184" s="4">
      <c r="A184" s="239" t="n">
        <v>42443</v>
      </c>
      <c r="B184" s="612" t="n">
        <v>8288000</v>
      </c>
      <c r="C184" s="364" t="n"/>
      <c r="D184" s="612" t="n">
        <v>2912000</v>
      </c>
      <c r="E184" s="364" t="n"/>
      <c r="F184" s="212" t="n"/>
    </row>
    <row customFormat="1" customHeight="1" ht="15" r="185" s="4">
      <c r="A185" s="239" t="n">
        <v>42465</v>
      </c>
      <c r="B185" s="612" t="n">
        <v>8288000</v>
      </c>
      <c r="C185" s="364" t="n"/>
      <c r="D185" s="612" t="n">
        <v>2912000</v>
      </c>
      <c r="E185" s="364" t="n"/>
      <c r="F185" s="212" t="n"/>
    </row>
    <row customFormat="1" customHeight="1" ht="15" r="186" s="4">
      <c r="A186" s="239" t="n">
        <v>42522</v>
      </c>
      <c r="B186" s="612" t="n">
        <v>8288000</v>
      </c>
      <c r="C186" s="364" t="n"/>
      <c r="D186" s="612" t="n">
        <v>2912000</v>
      </c>
      <c r="E186" s="364" t="n"/>
      <c r="F186" s="212" t="n"/>
    </row>
    <row customFormat="1" customHeight="1" ht="15" r="187" s="4">
      <c r="A187" s="239" t="n">
        <v>42552</v>
      </c>
      <c r="B187" s="612" t="n">
        <v>8288000</v>
      </c>
      <c r="C187" s="364" t="n"/>
      <c r="D187" s="612" t="n">
        <v>2912000</v>
      </c>
      <c r="E187" s="364" t="n"/>
      <c r="F187" s="212" t="n"/>
    </row>
    <row customFormat="1" customHeight="1" ht="15" r="188" s="4">
      <c r="A188" s="239" t="n">
        <v>42592</v>
      </c>
      <c r="B188" s="612" t="n">
        <v>8288000</v>
      </c>
      <c r="C188" s="364" t="n"/>
      <c r="D188" s="612" t="n">
        <v>2912000</v>
      </c>
      <c r="E188" s="364" t="n"/>
      <c r="F188" s="212" t="n"/>
    </row>
    <row customFormat="1" customHeight="1" ht="15" r="189" s="4">
      <c r="A189" s="239" t="n">
        <v>42614</v>
      </c>
      <c r="B189" s="612" t="n">
        <v>8288000</v>
      </c>
      <c r="C189" s="364" t="n"/>
      <c r="D189" s="612" t="n">
        <v>2912000</v>
      </c>
      <c r="E189" s="364" t="n"/>
      <c r="F189" s="212" t="n"/>
    </row>
    <row customFormat="1" customHeight="1" ht="15" r="190" s="4">
      <c r="A190" s="239" t="n">
        <v>42647</v>
      </c>
      <c r="B190" s="612" t="n">
        <v>8288000</v>
      </c>
      <c r="C190" s="364" t="n"/>
      <c r="D190" s="612" t="n">
        <v>2912000</v>
      </c>
      <c r="E190" s="364" t="n"/>
      <c r="F190" s="212" t="n"/>
    </row>
    <row customFormat="1" customHeight="1" ht="15" r="191" s="4">
      <c r="A191" s="239" t="n">
        <v>42676</v>
      </c>
      <c r="B191" s="612" t="n">
        <v>8288000</v>
      </c>
      <c r="C191" s="364" t="n"/>
      <c r="D191" s="612" t="n">
        <v>2912000</v>
      </c>
      <c r="E191" s="364" t="n"/>
      <c r="F191" s="212" t="n"/>
    </row>
    <row customFormat="1" customHeight="1" ht="15" r="192" s="4">
      <c r="A192" s="239" t="n">
        <v>42705</v>
      </c>
      <c r="B192" s="612" t="n">
        <v>8288000</v>
      </c>
      <c r="C192" s="361" t="n"/>
      <c r="D192" s="612" t="n">
        <v>2912000</v>
      </c>
      <c r="E192" s="361" t="n"/>
      <c r="F192" s="212" t="n"/>
    </row>
    <row customFormat="1" customHeight="1" ht="15" r="193" s="4">
      <c r="A193" s="239" t="n">
        <v>42738</v>
      </c>
      <c r="B193" s="612" t="n">
        <v>9176000</v>
      </c>
      <c r="C193" s="614">
        <f>SUM(B193:B204)</f>
        <v/>
      </c>
      <c r="D193" s="612" t="n">
        <v>3224000</v>
      </c>
      <c r="E193" s="614">
        <f>SUM(D193:D204)</f>
        <v/>
      </c>
      <c r="F193" s="212" t="n"/>
    </row>
    <row customFormat="1" customHeight="1" ht="15" r="194" s="4">
      <c r="A194" s="239" t="n">
        <v>42767</v>
      </c>
      <c r="B194" s="612" t="n">
        <v>9176000</v>
      </c>
      <c r="C194" s="364" t="n"/>
      <c r="D194" s="612" t="n">
        <v>3224000</v>
      </c>
      <c r="E194" s="364" t="n"/>
      <c r="F194" s="212" t="n"/>
    </row>
    <row customFormat="1" customHeight="1" ht="15" r="195" s="4">
      <c r="A195" s="239" t="n">
        <v>42796</v>
      </c>
      <c r="B195" s="612" t="n">
        <v>9176000</v>
      </c>
      <c r="C195" s="364" t="n"/>
      <c r="D195" s="612" t="n">
        <v>3224000</v>
      </c>
      <c r="E195" s="364" t="n"/>
      <c r="F195" s="212" t="n"/>
    </row>
    <row customFormat="1" customHeight="1" ht="15" r="196" s="4">
      <c r="A196" s="239" t="n">
        <v>42828</v>
      </c>
      <c r="B196" s="612" t="n">
        <v>9176000</v>
      </c>
      <c r="C196" s="364" t="n"/>
      <c r="D196" s="612" t="n">
        <v>3224000</v>
      </c>
      <c r="E196" s="364" t="n"/>
      <c r="F196" s="212" t="n"/>
    </row>
    <row customFormat="1" customHeight="1" ht="15" r="197" s="4">
      <c r="A197" s="239" t="n">
        <v>42857</v>
      </c>
      <c r="B197" s="612" t="n">
        <v>9176000</v>
      </c>
      <c r="C197" s="364" t="n"/>
      <c r="D197" s="612" t="n">
        <v>3224000</v>
      </c>
      <c r="E197" s="364" t="n"/>
      <c r="F197" s="212" t="n"/>
    </row>
    <row customFormat="1" customHeight="1" ht="15" r="198" s="4">
      <c r="A198" s="239" t="n">
        <v>42887</v>
      </c>
      <c r="B198" s="612" t="n">
        <v>9176000</v>
      </c>
      <c r="C198" s="364" t="n"/>
      <c r="D198" s="612" t="n">
        <v>3224000</v>
      </c>
      <c r="E198" s="364" t="n"/>
      <c r="F198" s="212" t="n"/>
    </row>
    <row customFormat="1" customHeight="1" ht="15" r="199" s="4">
      <c r="A199" s="239" t="n">
        <v>42919</v>
      </c>
      <c r="B199" s="612" t="n">
        <v>9176000</v>
      </c>
      <c r="C199" s="364" t="n"/>
      <c r="D199" s="612" t="n">
        <v>3224000</v>
      </c>
      <c r="E199" s="364" t="n"/>
      <c r="F199" s="212" t="n"/>
    </row>
    <row customFormat="1" customHeight="1" ht="15" r="200" s="4">
      <c r="A200" s="239" t="n">
        <v>42950</v>
      </c>
      <c r="B200" s="612" t="n">
        <v>9176000</v>
      </c>
      <c r="C200" s="364" t="n"/>
      <c r="D200" s="612" t="n">
        <v>3224000</v>
      </c>
      <c r="E200" s="364" t="n"/>
      <c r="F200" s="212" t="n"/>
    </row>
    <row customFormat="1" customHeight="1" ht="15" r="201" s="4">
      <c r="A201" s="239" t="n">
        <v>42978</v>
      </c>
      <c r="B201" s="612" t="n">
        <v>9176000</v>
      </c>
      <c r="C201" s="364" t="n"/>
      <c r="D201" s="612" t="n">
        <v>3224000</v>
      </c>
      <c r="E201" s="364" t="n"/>
      <c r="F201" s="212" t="n"/>
    </row>
    <row customFormat="1" customHeight="1" ht="15" r="202" s="4">
      <c r="A202" s="239" t="n">
        <v>43018</v>
      </c>
      <c r="B202" s="612" t="n">
        <v>9176000</v>
      </c>
      <c r="C202" s="364" t="n"/>
      <c r="D202" s="612" t="n">
        <v>3224000</v>
      </c>
      <c r="E202" s="364" t="n"/>
      <c r="F202" s="212" t="n"/>
    </row>
    <row customFormat="1" customHeight="1" ht="15" r="203" s="4">
      <c r="A203" s="239" t="n">
        <v>43040</v>
      </c>
      <c r="B203" s="612" t="n">
        <v>9176000</v>
      </c>
      <c r="C203" s="364" t="n"/>
      <c r="D203" s="612" t="n">
        <v>3224000</v>
      </c>
      <c r="E203" s="364" t="n"/>
      <c r="F203" s="212" t="n"/>
    </row>
    <row customFormat="1" customHeight="1" ht="15" r="204" s="4">
      <c r="A204" s="239" t="n">
        <v>43073</v>
      </c>
      <c r="B204" s="612" t="n">
        <v>9176000</v>
      </c>
      <c r="C204" s="366" t="n"/>
      <c r="D204" s="612" t="n">
        <v>3224000</v>
      </c>
      <c r="E204" s="366" t="n"/>
      <c r="F204" s="212" t="n"/>
    </row>
    <row customFormat="1" customHeight="1" ht="15" r="205" s="4">
      <c r="A205" s="239" t="n">
        <v>43102</v>
      </c>
      <c r="B205" s="612" t="n">
        <v>9176000</v>
      </c>
      <c r="C205" s="613">
        <f>SUM(B205:B216)</f>
        <v/>
      </c>
      <c r="D205" s="612" t="n">
        <v>3224000</v>
      </c>
      <c r="E205" s="613">
        <f>SUM(D205:D216)</f>
        <v/>
      </c>
      <c r="F205" s="212" t="n"/>
    </row>
    <row customFormat="1" customHeight="1" ht="15" r="206" s="4">
      <c r="A206" s="239" t="n">
        <v>43132</v>
      </c>
      <c r="B206" s="612" t="n">
        <v>9176000</v>
      </c>
      <c r="C206" s="364" t="n"/>
      <c r="D206" s="612" t="n">
        <v>3224000</v>
      </c>
      <c r="E206" s="364" t="n"/>
      <c r="F206" s="212" t="n"/>
    </row>
    <row customFormat="1" customHeight="1" ht="15" r="207" s="4">
      <c r="A207" s="239" t="n">
        <v>43161</v>
      </c>
      <c r="B207" s="612" t="n">
        <v>9176000</v>
      </c>
      <c r="C207" s="364" t="n"/>
      <c r="D207" s="612" t="n">
        <v>3224000</v>
      </c>
      <c r="E207" s="364" t="n"/>
      <c r="F207" s="212" t="n"/>
    </row>
    <row customFormat="1" customHeight="1" ht="15" r="208" s="4">
      <c r="A208" s="239" t="n">
        <v>43192</v>
      </c>
      <c r="B208" s="612" t="n">
        <v>9176000</v>
      </c>
      <c r="C208" s="364" t="n"/>
      <c r="D208" s="612" t="n">
        <v>3224000</v>
      </c>
      <c r="E208" s="364" t="n"/>
      <c r="F208" s="212" t="n"/>
    </row>
    <row customFormat="1" customHeight="1" ht="15" r="209" s="4">
      <c r="A209" s="239" t="n">
        <v>43222</v>
      </c>
      <c r="B209" s="612" t="n">
        <v>9176000</v>
      </c>
      <c r="C209" s="364" t="n"/>
      <c r="D209" s="612" t="n">
        <v>3224000</v>
      </c>
      <c r="E209" s="364" t="n"/>
      <c r="F209" s="212" t="n"/>
    </row>
    <row customFormat="1" customHeight="1" ht="15" r="210" s="4">
      <c r="A210" s="239" t="n">
        <v>43255</v>
      </c>
      <c r="B210" s="612" t="n">
        <v>9176000</v>
      </c>
      <c r="C210" s="364" t="n"/>
      <c r="D210" s="612" t="n">
        <v>3224000</v>
      </c>
      <c r="E210" s="364" t="n"/>
      <c r="F210" s="212" t="n"/>
    </row>
    <row customFormat="1" customHeight="1" ht="15" r="211" s="4">
      <c r="A211" s="239" t="n">
        <v>43285</v>
      </c>
      <c r="B211" s="612" t="n">
        <v>5920000</v>
      </c>
      <c r="C211" s="364" t="n"/>
      <c r="D211" s="612" t="n">
        <v>2080000</v>
      </c>
      <c r="E211" s="364" t="n"/>
      <c r="F211" s="212" t="n"/>
    </row>
    <row customFormat="1" customHeight="1" ht="15" r="212" s="4">
      <c r="A212" s="239" t="n">
        <v>43319</v>
      </c>
      <c r="B212" s="612" t="n">
        <v>9176000</v>
      </c>
      <c r="C212" s="364" t="n"/>
      <c r="D212" s="612" t="n">
        <v>3224000</v>
      </c>
      <c r="E212" s="364" t="n"/>
      <c r="F212" s="212" t="n"/>
    </row>
    <row customFormat="1" customHeight="1" ht="15" r="213" s="4">
      <c r="A213" s="239" t="n">
        <v>43346</v>
      </c>
      <c r="B213" s="612" t="n">
        <v>9176000</v>
      </c>
      <c r="C213" s="364" t="n"/>
      <c r="D213" s="612" t="n">
        <v>3224000</v>
      </c>
      <c r="E213" s="364" t="n"/>
      <c r="F213" s="212" t="n"/>
    </row>
    <row customFormat="1" customHeight="1" ht="15" r="214" s="4">
      <c r="A214" s="239" t="n">
        <v>43374</v>
      </c>
      <c r="B214" s="612" t="n">
        <v>9176000</v>
      </c>
      <c r="C214" s="364" t="n"/>
      <c r="D214" s="612" t="n">
        <v>3224000</v>
      </c>
      <c r="E214" s="364" t="n"/>
      <c r="F214" s="212" t="n"/>
    </row>
    <row customFormat="1" customHeight="1" ht="15" r="215" s="4">
      <c r="A215" s="239" t="n">
        <v>43409</v>
      </c>
      <c r="B215" s="612" t="n">
        <v>9176000</v>
      </c>
      <c r="C215" s="364" t="n"/>
      <c r="D215" s="612" t="n">
        <v>3224000</v>
      </c>
      <c r="E215" s="364" t="n"/>
      <c r="F215" s="212" t="n"/>
    </row>
    <row customFormat="1" customHeight="1" ht="15" r="216" s="4">
      <c r="A216" s="239" t="n">
        <v>43437</v>
      </c>
      <c r="B216" s="612" t="n">
        <v>9176000</v>
      </c>
      <c r="C216" s="361" t="n"/>
      <c r="D216" s="612" t="n">
        <v>3224000</v>
      </c>
      <c r="E216" s="361" t="n"/>
      <c r="F216" s="212" t="n"/>
    </row>
    <row customFormat="1" customHeight="1" ht="15" r="217" s="4">
      <c r="A217" s="239" t="n">
        <v>43467</v>
      </c>
      <c r="B217" s="612" t="n">
        <v>9176000</v>
      </c>
      <c r="C217" s="614">
        <f>SUM(B217:B228)</f>
        <v/>
      </c>
      <c r="D217" s="612" t="n">
        <v>3224000</v>
      </c>
      <c r="E217" s="614">
        <f>SUM(D217:D228)</f>
        <v/>
      </c>
      <c r="F217" s="212" t="n"/>
    </row>
    <row customFormat="1" customHeight="1" ht="15" r="218" s="4">
      <c r="A218" s="239" t="n">
        <v>43497</v>
      </c>
      <c r="B218" s="612" t="n">
        <v>9176000</v>
      </c>
      <c r="C218" s="364" t="n"/>
      <c r="D218" s="612" t="n">
        <v>3224000</v>
      </c>
      <c r="E218" s="364" t="n"/>
      <c r="F218" s="212" t="n"/>
    </row>
    <row customFormat="1" customHeight="1" ht="15" r="219" s="4">
      <c r="A219" s="239" t="n">
        <v>43528</v>
      </c>
      <c r="B219" s="612" t="n">
        <v>9176000</v>
      </c>
      <c r="C219" s="364" t="n"/>
      <c r="D219" s="612" t="n">
        <v>3224000</v>
      </c>
      <c r="E219" s="364" t="n"/>
      <c r="F219" s="212" t="n"/>
    </row>
    <row customFormat="1" customHeight="1" ht="15" r="220" s="4">
      <c r="A220" s="239" t="n">
        <v>43557</v>
      </c>
      <c r="B220" s="612" t="n">
        <v>9176000</v>
      </c>
      <c r="C220" s="364" t="n"/>
      <c r="D220" s="612" t="n">
        <v>3224000</v>
      </c>
      <c r="E220" s="364" t="n"/>
      <c r="F220" s="212" t="n"/>
    </row>
    <row customFormat="1" customHeight="1" ht="15" r="221" s="4">
      <c r="A221" s="239" t="n">
        <v>43587</v>
      </c>
      <c r="B221" s="612" t="n">
        <v>9176000</v>
      </c>
      <c r="C221" s="364" t="n"/>
      <c r="D221" s="612" t="n">
        <v>3224000</v>
      </c>
      <c r="E221" s="364" t="n"/>
      <c r="F221" s="212" t="n"/>
    </row>
    <row customFormat="1" customHeight="1" ht="15" r="222" s="4">
      <c r="A222" s="239" t="n">
        <v>43619</v>
      </c>
      <c r="B222" s="612" t="n">
        <v>9176000</v>
      </c>
      <c r="C222" s="364" t="n"/>
      <c r="D222" s="612" t="n">
        <v>3224000</v>
      </c>
      <c r="E222" s="364" t="n"/>
      <c r="F222" s="212" t="n"/>
    </row>
    <row customFormat="1" customHeight="1" ht="15" r="223" s="4">
      <c r="A223" s="239" t="n">
        <v>43650</v>
      </c>
      <c r="B223" s="612" t="n">
        <v>9176000</v>
      </c>
      <c r="C223" s="364" t="n"/>
      <c r="D223" s="612" t="n">
        <v>3224000</v>
      </c>
      <c r="E223" s="364" t="n"/>
      <c r="F223" s="212" t="n"/>
    </row>
    <row customFormat="1" customHeight="1" ht="15" r="224" s="4">
      <c r="A224" s="239" t="n">
        <v>43682</v>
      </c>
      <c r="B224" s="612" t="n">
        <v>9176000</v>
      </c>
      <c r="C224" s="364" t="n"/>
      <c r="D224" s="612" t="n">
        <v>3224000</v>
      </c>
      <c r="E224" s="364" t="n"/>
      <c r="F224" s="212" t="n"/>
    </row>
    <row customFormat="1" customHeight="1" ht="15" r="225" s="4">
      <c r="A225" s="239" t="n">
        <v>43710</v>
      </c>
      <c r="B225" s="612" t="n">
        <v>9176000</v>
      </c>
      <c r="C225" s="364" t="n"/>
      <c r="D225" s="612" t="n">
        <v>3224000</v>
      </c>
      <c r="E225" s="364" t="n"/>
      <c r="F225" s="212" t="n"/>
    </row>
    <row customFormat="1" customHeight="1" ht="15" r="226" s="4">
      <c r="A226" s="239" t="n">
        <v>43740</v>
      </c>
      <c r="B226" s="612" t="n">
        <v>9176000</v>
      </c>
      <c r="C226" s="364" t="n"/>
      <c r="D226" s="612" t="n">
        <v>3224000</v>
      </c>
      <c r="E226" s="364" t="n"/>
      <c r="F226" s="212" t="n"/>
    </row>
    <row customFormat="1" customHeight="1" ht="15" r="227" s="4">
      <c r="A227" s="239" t="n">
        <v>43770</v>
      </c>
      <c r="B227" s="612" t="n">
        <v>9176000</v>
      </c>
      <c r="C227" s="364" t="n"/>
      <c r="D227" s="612" t="n">
        <v>3224000</v>
      </c>
      <c r="E227" s="364" t="n"/>
      <c r="F227" s="212" t="n"/>
    </row>
    <row customFormat="1" customHeight="1" ht="15" r="228" s="4">
      <c r="A228" s="239" t="n">
        <v>43811</v>
      </c>
      <c r="B228" s="612" t="n">
        <v>9176000</v>
      </c>
      <c r="C228" s="366" t="n"/>
      <c r="D228" s="612" t="n">
        <v>3224000</v>
      </c>
      <c r="E228" s="366" t="n"/>
      <c r="F228" s="212" t="n"/>
    </row>
    <row customFormat="1" customHeight="1" ht="15" r="229" s="4">
      <c r="A229" s="239" t="n">
        <v>43840</v>
      </c>
      <c r="B229" s="612" t="n">
        <v>9176000</v>
      </c>
      <c r="C229" s="613">
        <f>SUM(B229:B239)</f>
        <v/>
      </c>
      <c r="D229" s="612" t="n">
        <v>3224000</v>
      </c>
      <c r="E229" s="613">
        <f>SUM(D229:D239)</f>
        <v/>
      </c>
      <c r="F229" s="212" t="n"/>
      <c r="H229" s="616" t="n"/>
    </row>
    <row customFormat="1" customHeight="1" ht="15" r="230" s="4">
      <c r="A230" s="239" t="n">
        <v>43867</v>
      </c>
      <c r="B230" s="612" t="n">
        <v>9176000</v>
      </c>
      <c r="C230" s="364" t="n"/>
      <c r="D230" s="612" t="n">
        <v>3224000</v>
      </c>
      <c r="E230" s="364" t="n"/>
      <c r="F230" s="212" t="n"/>
      <c r="H230" s="616" t="n"/>
    </row>
    <row customFormat="1" customHeight="1" ht="15" r="231" s="4">
      <c r="A231" s="239" t="n">
        <v>43924</v>
      </c>
      <c r="B231" s="612" t="n">
        <v>8732000</v>
      </c>
      <c r="C231" s="364" t="n"/>
      <c r="D231" s="612" t="n">
        <v>3068000</v>
      </c>
      <c r="E231" s="364" t="n"/>
      <c r="F231" s="212" t="n"/>
      <c r="H231" s="616" t="n"/>
    </row>
    <row customFormat="1" customHeight="1" ht="15" r="232" s="4">
      <c r="A232" s="239" t="n">
        <v>43955</v>
      </c>
      <c r="B232" s="612" t="n">
        <v>8584000</v>
      </c>
      <c r="C232" s="364" t="n"/>
      <c r="D232" s="612" t="n">
        <v>3016000</v>
      </c>
      <c r="E232" s="364" t="n"/>
      <c r="F232" s="212" t="n"/>
      <c r="H232" s="616" t="n"/>
    </row>
    <row customFormat="1" customHeight="1" ht="15" r="233" s="4">
      <c r="A233" s="239" t="n">
        <v>43986</v>
      </c>
      <c r="B233" s="612" t="n">
        <v>8584000</v>
      </c>
      <c r="C233" s="364" t="n"/>
      <c r="D233" s="612" t="n">
        <v>3016000</v>
      </c>
      <c r="E233" s="364" t="n"/>
      <c r="F233" s="212" t="n"/>
      <c r="H233" s="616" t="n"/>
    </row>
    <row customFormat="1" customHeight="1" ht="15" r="234" s="4">
      <c r="A234" s="239" t="n">
        <v>44014</v>
      </c>
      <c r="B234" s="612" t="n">
        <v>8584000</v>
      </c>
      <c r="C234" s="364" t="n"/>
      <c r="D234" s="612" t="n">
        <v>3016000</v>
      </c>
      <c r="E234" s="364" t="n"/>
      <c r="F234" s="212" t="n"/>
      <c r="H234" s="616" t="n"/>
    </row>
    <row customFormat="1" customHeight="1" ht="15" r="235" s="4">
      <c r="A235" s="239" t="n">
        <v>44047</v>
      </c>
      <c r="B235" s="612" t="n">
        <v>8732000</v>
      </c>
      <c r="C235" s="364" t="n"/>
      <c r="D235" s="612" t="n">
        <v>3068000</v>
      </c>
      <c r="E235" s="364" t="n"/>
      <c r="F235" s="212" t="n"/>
      <c r="H235" s="616" t="n"/>
    </row>
    <row customFormat="1" customHeight="1" ht="15" r="236" s="4">
      <c r="A236" s="239" t="n">
        <v>44076</v>
      </c>
      <c r="B236" s="612" t="n">
        <v>8732000</v>
      </c>
      <c r="C236" s="364" t="n"/>
      <c r="D236" s="612" t="n">
        <v>3068000</v>
      </c>
      <c r="E236" s="364" t="n"/>
      <c r="F236" s="212" t="n"/>
      <c r="H236" s="616" t="n"/>
    </row>
    <row customFormat="1" customHeight="1" ht="15" r="237" s="4">
      <c r="A237" s="239" t="n">
        <v>44111</v>
      </c>
      <c r="B237" s="612" t="n">
        <v>8732000</v>
      </c>
      <c r="C237" s="364" t="n"/>
      <c r="D237" s="612" t="n">
        <v>3068000</v>
      </c>
      <c r="E237" s="364" t="n"/>
      <c r="F237" s="212" t="n"/>
      <c r="H237" s="616" t="n"/>
    </row>
    <row customFormat="1" customHeight="1" ht="15" r="238" s="4">
      <c r="A238" s="239" t="n">
        <v>44138</v>
      </c>
      <c r="B238" s="612" t="n">
        <v>8880000</v>
      </c>
      <c r="C238" s="364" t="n"/>
      <c r="D238" s="612" t="n">
        <v>3120000</v>
      </c>
      <c r="E238" s="364" t="n"/>
      <c r="F238" s="212" t="n"/>
      <c r="H238" s="616" t="n"/>
    </row>
    <row customFormat="1" customHeight="1" ht="15" r="239" s="4">
      <c r="A239" s="239" t="n">
        <v>44166</v>
      </c>
      <c r="B239" s="612" t="n">
        <v>8880000</v>
      </c>
      <c r="C239" s="361" t="n"/>
      <c r="D239" s="612" t="n">
        <v>3120000</v>
      </c>
      <c r="E239" s="361" t="n"/>
      <c r="F239" s="212" t="n"/>
      <c r="H239" s="616" t="n"/>
    </row>
    <row customFormat="1" customHeight="1" ht="15" r="240" s="4">
      <c r="A240" s="239" t="n">
        <v>44201</v>
      </c>
      <c r="B240" s="612" t="n">
        <v>8880000</v>
      </c>
      <c r="C240" s="613">
        <f>SUM(B240:B249)</f>
        <v/>
      </c>
      <c r="D240" s="612" t="n">
        <v>3120000</v>
      </c>
      <c r="E240" s="613">
        <f>SUM(D240:D249)</f>
        <v/>
      </c>
      <c r="F240" s="212" t="n"/>
      <c r="H240" s="616" t="n"/>
    </row>
    <row customFormat="1" customHeight="1" ht="15" r="241" s="4">
      <c r="A241" s="239" t="n">
        <v>44231</v>
      </c>
      <c r="B241" s="612" t="n">
        <v>8880000</v>
      </c>
      <c r="C241" s="364" t="n"/>
      <c r="D241" s="612" t="n">
        <v>3120000</v>
      </c>
      <c r="E241" s="364" t="n"/>
      <c r="F241" s="212" t="n"/>
      <c r="H241" s="616" t="n"/>
    </row>
    <row customFormat="1" customHeight="1" ht="15" r="242" s="4">
      <c r="A242" s="239" t="n">
        <v>44622</v>
      </c>
      <c r="B242" s="612" t="n">
        <v>6512000</v>
      </c>
      <c r="C242" s="364" t="n"/>
      <c r="D242" s="612" t="n">
        <v>2288000</v>
      </c>
      <c r="E242" s="364" t="n"/>
      <c r="F242" s="212" t="n"/>
      <c r="H242" s="616" t="n"/>
    </row>
    <row customFormat="1" customHeight="1" ht="15" r="243" s="4">
      <c r="A243" s="239" t="n">
        <v>44655</v>
      </c>
      <c r="B243" s="612" t="n">
        <v>6512000</v>
      </c>
      <c r="C243" s="364" t="n"/>
      <c r="D243" s="612" t="n">
        <v>2288000</v>
      </c>
      <c r="E243" s="364" t="n"/>
      <c r="F243" s="212" t="n"/>
      <c r="H243" s="616" t="n"/>
    </row>
    <row customFormat="1" customHeight="1" ht="15" r="244" s="4">
      <c r="A244" s="239" t="n">
        <v>44684</v>
      </c>
      <c r="B244" s="612" t="n">
        <v>6512000</v>
      </c>
      <c r="C244" s="364" t="n"/>
      <c r="D244" s="612" t="n">
        <v>2288000</v>
      </c>
      <c r="E244" s="364" t="n"/>
      <c r="F244" s="212" t="n"/>
      <c r="H244" s="616" t="n"/>
    </row>
    <row customFormat="1" customHeight="1" ht="15" r="245" s="4">
      <c r="A245" s="239" t="n">
        <v>44716</v>
      </c>
      <c r="B245" s="612" t="n">
        <v>6512000</v>
      </c>
      <c r="C245" s="364" t="n"/>
      <c r="D245" s="612" t="n">
        <v>2288000</v>
      </c>
      <c r="E245" s="364" t="n"/>
      <c r="F245" s="212" t="n"/>
      <c r="H245" s="616" t="n"/>
    </row>
    <row customFormat="1" customHeight="1" ht="15" r="246" s="4">
      <c r="A246" s="239" t="n">
        <v>44743</v>
      </c>
      <c r="B246" s="612" t="n">
        <v>6512000</v>
      </c>
      <c r="C246" s="364" t="n"/>
      <c r="D246" s="612" t="n">
        <v>2288000</v>
      </c>
      <c r="E246" s="364" t="n"/>
      <c r="F246" s="212" t="n"/>
      <c r="H246" s="616" t="n"/>
    </row>
    <row customFormat="1" customHeight="1" ht="15" r="247" s="4">
      <c r="A247" s="239" t="n">
        <v>44774</v>
      </c>
      <c r="B247" s="612" t="n">
        <v>8140000</v>
      </c>
      <c r="C247" s="364" t="n"/>
      <c r="D247" s="612" t="n">
        <v>2860000</v>
      </c>
      <c r="E247" s="364" t="n"/>
      <c r="F247" s="212" t="n"/>
      <c r="H247" s="616" t="n"/>
    </row>
    <row customFormat="1" customHeight="1" ht="15" r="248" s="4">
      <c r="A248" s="239" t="n">
        <v>44805</v>
      </c>
      <c r="B248" s="612" t="n">
        <v>8140000</v>
      </c>
      <c r="C248" s="364" t="n"/>
      <c r="D248" s="612" t="n">
        <v>2860000</v>
      </c>
      <c r="E248" s="364" t="n"/>
      <c r="F248" s="212" t="n"/>
      <c r="H248" s="616" t="n"/>
    </row>
    <row customFormat="1" customHeight="1" ht="15" r="249" s="4">
      <c r="A249" s="239" t="n">
        <v>44839</v>
      </c>
      <c r="B249" s="612" t="n">
        <v>8140000</v>
      </c>
      <c r="C249" s="361" t="n"/>
      <c r="D249" s="612" t="n">
        <v>2860000</v>
      </c>
      <c r="E249" s="361" t="n"/>
      <c r="F249" s="212" t="n"/>
    </row>
    <row customFormat="1" customHeight="1" ht="15" r="250" s="4">
      <c r="A250" s="241" t="inlineStr">
        <is>
          <t>합계</t>
        </is>
      </c>
      <c r="B250" s="617">
        <f>SUM(B5:B249)</f>
        <v/>
      </c>
      <c r="C250" s="617">
        <f>SUM(C5:C249)</f>
        <v/>
      </c>
      <c r="D250" s="617">
        <f>SUM(D5:D249)</f>
        <v/>
      </c>
      <c r="E250" s="617">
        <f>SUM(E5:E249)</f>
        <v/>
      </c>
      <c r="F250" s="617">
        <f>B250+D250</f>
        <v/>
      </c>
    </row>
  </sheetData>
  <mergeCells count="49">
    <mergeCell ref="C240:C249"/>
    <mergeCell ref="E229:E239"/>
    <mergeCell ref="E240:E249"/>
    <mergeCell ref="C193:C204"/>
    <mergeCell ref="E193:E204"/>
    <mergeCell ref="C205:C216"/>
    <mergeCell ref="E205:E216"/>
    <mergeCell ref="C217:C228"/>
    <mergeCell ref="E217:E228"/>
    <mergeCell ref="C229:C239"/>
    <mergeCell ref="C131:C138"/>
    <mergeCell ref="E131:E138"/>
    <mergeCell ref="C139:C150"/>
    <mergeCell ref="E139:E150"/>
    <mergeCell ref="A3:A4"/>
    <mergeCell ref="B3:C3"/>
    <mergeCell ref="D3:E3"/>
    <mergeCell ref="C5:C15"/>
    <mergeCell ref="E5:E15"/>
    <mergeCell ref="C16:C28"/>
    <mergeCell ref="E16:E28"/>
    <mergeCell ref="C29:C38"/>
    <mergeCell ref="E29:E38"/>
    <mergeCell ref="C39:C48"/>
    <mergeCell ref="E39:E48"/>
    <mergeCell ref="C77:C86"/>
    <mergeCell ref="E77:E86"/>
    <mergeCell ref="C49:C56"/>
    <mergeCell ref="E49:E56"/>
    <mergeCell ref="C57:C67"/>
    <mergeCell ref="E57:E67"/>
    <mergeCell ref="C68:C76"/>
    <mergeCell ref="E68:E76"/>
    <mergeCell ref="C87:C97"/>
    <mergeCell ref="E87:E97"/>
    <mergeCell ref="C98:C106"/>
    <mergeCell ref="E98:E106"/>
    <mergeCell ref="C182:C192"/>
    <mergeCell ref="E182:E192"/>
    <mergeCell ref="C171:C181"/>
    <mergeCell ref="E171:E181"/>
    <mergeCell ref="C107:C119"/>
    <mergeCell ref="E107:E119"/>
    <mergeCell ref="C151:C160"/>
    <mergeCell ref="E151:E160"/>
    <mergeCell ref="C161:C170"/>
    <mergeCell ref="E161:E170"/>
    <mergeCell ref="C120:C130"/>
    <mergeCell ref="E120:E130"/>
  </mergeCells>
  <pageMargins bottom="1" footer="0.5" header="0.5" left="0.75" right="0.75" top="1"/>
  <pageSetup orientation="portrait" paperSize="9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1"/>
  <sheetViews>
    <sheetView workbookViewId="0">
      <pane activePane="bottomLeft" state="frozen" topLeftCell="A5" ySplit="4"/>
      <selection activeCell="M10" pane="bottomLeft" sqref="M10"/>
    </sheetView>
  </sheetViews>
  <sheetFormatPr baseColWidth="8" defaultColWidth="8.77734375" defaultRowHeight="12"/>
  <cols>
    <col customWidth="1" max="1" min="1" style="103" width="11.109375"/>
    <col customWidth="1" max="2" min="2" style="103" width="5.77734375"/>
    <col customWidth="1" max="3" min="3" style="103" width="8.44140625"/>
    <col customWidth="1" max="4" min="4" style="103" width="8"/>
    <col customWidth="1" max="5" min="5" style="103" width="10.33203125"/>
    <col customWidth="1" max="6" min="6" style="103" width="7.6640625"/>
    <col customWidth="1" max="7" min="7" style="103" width="9.109375"/>
    <col customWidth="1" max="8" min="8" style="103" width="7.6640625"/>
    <col customWidth="1" max="10" min="9" style="103" width="9.21875"/>
    <col customWidth="1" max="11" min="11" style="103" width="6.33203125"/>
    <col customWidth="1" max="12" min="12" style="103" width="18.33203125"/>
    <col customWidth="1" max="13" min="13" style="110" width="11"/>
    <col customWidth="1" max="14" min="14" style="110" width="7.109375"/>
    <col customWidth="1" max="15" min="15" style="110" width="6.6640625"/>
    <col customWidth="1" max="16" min="16" style="103" width="5.88671875"/>
    <col customWidth="1" max="17" min="17" style="103" width="6.33203125"/>
    <col customWidth="1" max="18" min="18" style="103" width="6.77734375"/>
    <col customWidth="1" max="19" min="19" style="103" width="6"/>
    <col customWidth="1" max="20" min="20" style="103" width="6.33203125"/>
    <col customWidth="1" max="21" min="21" style="103" width="6.77734375"/>
    <col customWidth="1" max="22" min="22" style="103" width="6.33203125"/>
    <col customWidth="1" max="256" min="23" style="103" width="8.77734375"/>
    <col customWidth="1" max="257" min="257" style="103" width="12.77734375"/>
    <col customWidth="1" max="258" min="258" style="103" width="7"/>
    <col customWidth="1" max="259" min="259" style="103" width="9.88671875"/>
    <col customWidth="1" max="260" min="260" style="103" width="9"/>
    <col customWidth="1" max="261" min="261" style="103" width="7.6640625"/>
    <col customWidth="1" max="262" min="262" style="103" width="8.109375"/>
    <col customWidth="1" max="263" min="263" style="103" width="9.88671875"/>
    <col customWidth="1" max="264" min="264" style="103" width="10.44140625"/>
    <col customWidth="1" max="265" min="265" style="103" width="9.109375"/>
    <col customWidth="1" max="266" min="266" style="103" width="9.88671875"/>
    <col customWidth="1" max="267" min="267" style="103" width="7.6640625"/>
    <col customWidth="1" max="268" min="268" style="103" width="18.33203125"/>
    <col customWidth="1" max="512" min="269" style="103" width="8.77734375"/>
    <col customWidth="1" max="513" min="513" style="103" width="12.77734375"/>
    <col customWidth="1" max="514" min="514" style="103" width="7"/>
    <col customWidth="1" max="515" min="515" style="103" width="9.88671875"/>
    <col customWidth="1" max="516" min="516" style="103" width="9"/>
    <col customWidth="1" max="517" min="517" style="103" width="7.6640625"/>
    <col customWidth="1" max="518" min="518" style="103" width="8.109375"/>
    <col customWidth="1" max="519" min="519" style="103" width="9.88671875"/>
    <col customWidth="1" max="520" min="520" style="103" width="10.44140625"/>
    <col customWidth="1" max="521" min="521" style="103" width="9.109375"/>
    <col customWidth="1" max="522" min="522" style="103" width="9.88671875"/>
    <col customWidth="1" max="523" min="523" style="103" width="7.6640625"/>
    <col customWidth="1" max="524" min="524" style="103" width="18.33203125"/>
    <col customWidth="1" max="768" min="525" style="103" width="8.77734375"/>
    <col customWidth="1" max="769" min="769" style="103" width="12.77734375"/>
    <col customWidth="1" max="770" min="770" style="103" width="7"/>
    <col customWidth="1" max="771" min="771" style="103" width="9.88671875"/>
    <col customWidth="1" max="772" min="772" style="103" width="9"/>
    <col customWidth="1" max="773" min="773" style="103" width="7.6640625"/>
    <col customWidth="1" max="774" min="774" style="103" width="8.109375"/>
    <col customWidth="1" max="775" min="775" style="103" width="9.88671875"/>
    <col customWidth="1" max="776" min="776" style="103" width="10.44140625"/>
    <col customWidth="1" max="777" min="777" style="103" width="9.109375"/>
    <col customWidth="1" max="778" min="778" style="103" width="9.88671875"/>
    <col customWidth="1" max="779" min="779" style="103" width="7.6640625"/>
    <col customWidth="1" max="780" min="780" style="103" width="18.33203125"/>
    <col customWidth="1" max="1024" min="781" style="103" width="8.77734375"/>
    <col customWidth="1" max="1025" min="1025" style="103" width="12.77734375"/>
    <col customWidth="1" max="1026" min="1026" style="103" width="7"/>
    <col customWidth="1" max="1027" min="1027" style="103" width="9.88671875"/>
    <col customWidth="1" max="1028" min="1028" style="103" width="9"/>
    <col customWidth="1" max="1029" min="1029" style="103" width="7.6640625"/>
    <col customWidth="1" max="1030" min="1030" style="103" width="8.109375"/>
    <col customWidth="1" max="1031" min="1031" style="103" width="9.88671875"/>
    <col customWidth="1" max="1032" min="1032" style="103" width="10.44140625"/>
    <col customWidth="1" max="1033" min="1033" style="103" width="9.109375"/>
    <col customWidth="1" max="1034" min="1034" style="103" width="9.88671875"/>
    <col customWidth="1" max="1035" min="1035" style="103" width="7.6640625"/>
    <col customWidth="1" max="1036" min="1036" style="103" width="18.33203125"/>
    <col customWidth="1" max="1280" min="1037" style="103" width="8.77734375"/>
    <col customWidth="1" max="1281" min="1281" style="103" width="12.77734375"/>
    <col customWidth="1" max="1282" min="1282" style="103" width="7"/>
    <col customWidth="1" max="1283" min="1283" style="103" width="9.88671875"/>
    <col customWidth="1" max="1284" min="1284" style="103" width="9"/>
    <col customWidth="1" max="1285" min="1285" style="103" width="7.6640625"/>
    <col customWidth="1" max="1286" min="1286" style="103" width="8.109375"/>
    <col customWidth="1" max="1287" min="1287" style="103" width="9.88671875"/>
    <col customWidth="1" max="1288" min="1288" style="103" width="10.44140625"/>
    <col customWidth="1" max="1289" min="1289" style="103" width="9.109375"/>
    <col customWidth="1" max="1290" min="1290" style="103" width="9.88671875"/>
    <col customWidth="1" max="1291" min="1291" style="103" width="7.6640625"/>
    <col customWidth="1" max="1292" min="1292" style="103" width="18.33203125"/>
    <col customWidth="1" max="1536" min="1293" style="103" width="8.77734375"/>
    <col customWidth="1" max="1537" min="1537" style="103" width="12.77734375"/>
    <col customWidth="1" max="1538" min="1538" style="103" width="7"/>
    <col customWidth="1" max="1539" min="1539" style="103" width="9.88671875"/>
    <col customWidth="1" max="1540" min="1540" style="103" width="9"/>
    <col customWidth="1" max="1541" min="1541" style="103" width="7.6640625"/>
    <col customWidth="1" max="1542" min="1542" style="103" width="8.109375"/>
    <col customWidth="1" max="1543" min="1543" style="103" width="9.88671875"/>
    <col customWidth="1" max="1544" min="1544" style="103" width="10.44140625"/>
    <col customWidth="1" max="1545" min="1545" style="103" width="9.109375"/>
    <col customWidth="1" max="1546" min="1546" style="103" width="9.88671875"/>
    <col customWidth="1" max="1547" min="1547" style="103" width="7.6640625"/>
    <col customWidth="1" max="1548" min="1548" style="103" width="18.33203125"/>
    <col customWidth="1" max="1792" min="1549" style="103" width="8.77734375"/>
    <col customWidth="1" max="1793" min="1793" style="103" width="12.77734375"/>
    <col customWidth="1" max="1794" min="1794" style="103" width="7"/>
    <col customWidth="1" max="1795" min="1795" style="103" width="9.88671875"/>
    <col customWidth="1" max="1796" min="1796" style="103" width="9"/>
    <col customWidth="1" max="1797" min="1797" style="103" width="7.6640625"/>
    <col customWidth="1" max="1798" min="1798" style="103" width="8.109375"/>
    <col customWidth="1" max="1799" min="1799" style="103" width="9.88671875"/>
    <col customWidth="1" max="1800" min="1800" style="103" width="10.44140625"/>
    <col customWidth="1" max="1801" min="1801" style="103" width="9.109375"/>
    <col customWidth="1" max="1802" min="1802" style="103" width="9.88671875"/>
    <col customWidth="1" max="1803" min="1803" style="103" width="7.6640625"/>
    <col customWidth="1" max="1804" min="1804" style="103" width="18.33203125"/>
    <col customWidth="1" max="2048" min="1805" style="103" width="8.77734375"/>
    <col customWidth="1" max="2049" min="2049" style="103" width="12.77734375"/>
    <col customWidth="1" max="2050" min="2050" style="103" width="7"/>
    <col customWidth="1" max="2051" min="2051" style="103" width="9.88671875"/>
    <col customWidth="1" max="2052" min="2052" style="103" width="9"/>
    <col customWidth="1" max="2053" min="2053" style="103" width="7.6640625"/>
    <col customWidth="1" max="2054" min="2054" style="103" width="8.109375"/>
    <col customWidth="1" max="2055" min="2055" style="103" width="9.88671875"/>
    <col customWidth="1" max="2056" min="2056" style="103" width="10.44140625"/>
    <col customWidth="1" max="2057" min="2057" style="103" width="9.109375"/>
    <col customWidth="1" max="2058" min="2058" style="103" width="9.88671875"/>
    <col customWidth="1" max="2059" min="2059" style="103" width="7.6640625"/>
    <col customWidth="1" max="2060" min="2060" style="103" width="18.33203125"/>
    <col customWidth="1" max="2304" min="2061" style="103" width="8.77734375"/>
    <col customWidth="1" max="2305" min="2305" style="103" width="12.77734375"/>
    <col customWidth="1" max="2306" min="2306" style="103" width="7"/>
    <col customWidth="1" max="2307" min="2307" style="103" width="9.88671875"/>
    <col customWidth="1" max="2308" min="2308" style="103" width="9"/>
    <col customWidth="1" max="2309" min="2309" style="103" width="7.6640625"/>
    <col customWidth="1" max="2310" min="2310" style="103" width="8.109375"/>
    <col customWidth="1" max="2311" min="2311" style="103" width="9.88671875"/>
    <col customWidth="1" max="2312" min="2312" style="103" width="10.44140625"/>
    <col customWidth="1" max="2313" min="2313" style="103" width="9.109375"/>
    <col customWidth="1" max="2314" min="2314" style="103" width="9.88671875"/>
    <col customWidth="1" max="2315" min="2315" style="103" width="7.6640625"/>
    <col customWidth="1" max="2316" min="2316" style="103" width="18.33203125"/>
    <col customWidth="1" max="2560" min="2317" style="103" width="8.77734375"/>
    <col customWidth="1" max="2561" min="2561" style="103" width="12.77734375"/>
    <col customWidth="1" max="2562" min="2562" style="103" width="7"/>
    <col customWidth="1" max="2563" min="2563" style="103" width="9.88671875"/>
    <col customWidth="1" max="2564" min="2564" style="103" width="9"/>
    <col customWidth="1" max="2565" min="2565" style="103" width="7.6640625"/>
    <col customWidth="1" max="2566" min="2566" style="103" width="8.109375"/>
    <col customWidth="1" max="2567" min="2567" style="103" width="9.88671875"/>
    <col customWidth="1" max="2568" min="2568" style="103" width="10.44140625"/>
    <col customWidth="1" max="2569" min="2569" style="103" width="9.109375"/>
    <col customWidth="1" max="2570" min="2570" style="103" width="9.88671875"/>
    <col customWidth="1" max="2571" min="2571" style="103" width="7.6640625"/>
    <col customWidth="1" max="2572" min="2572" style="103" width="18.33203125"/>
    <col customWidth="1" max="2816" min="2573" style="103" width="8.77734375"/>
    <col customWidth="1" max="2817" min="2817" style="103" width="12.77734375"/>
    <col customWidth="1" max="2818" min="2818" style="103" width="7"/>
    <col customWidth="1" max="2819" min="2819" style="103" width="9.88671875"/>
    <col customWidth="1" max="2820" min="2820" style="103" width="9"/>
    <col customWidth="1" max="2821" min="2821" style="103" width="7.6640625"/>
    <col customWidth="1" max="2822" min="2822" style="103" width="8.109375"/>
    <col customWidth="1" max="2823" min="2823" style="103" width="9.88671875"/>
    <col customWidth="1" max="2824" min="2824" style="103" width="10.44140625"/>
    <col customWidth="1" max="2825" min="2825" style="103" width="9.109375"/>
    <col customWidth="1" max="2826" min="2826" style="103" width="9.88671875"/>
    <col customWidth="1" max="2827" min="2827" style="103" width="7.6640625"/>
    <col customWidth="1" max="2828" min="2828" style="103" width="18.33203125"/>
    <col customWidth="1" max="3072" min="2829" style="103" width="8.77734375"/>
    <col customWidth="1" max="3073" min="3073" style="103" width="12.77734375"/>
    <col customWidth="1" max="3074" min="3074" style="103" width="7"/>
    <col customWidth="1" max="3075" min="3075" style="103" width="9.88671875"/>
    <col customWidth="1" max="3076" min="3076" style="103" width="9"/>
    <col customWidth="1" max="3077" min="3077" style="103" width="7.6640625"/>
    <col customWidth="1" max="3078" min="3078" style="103" width="8.109375"/>
    <col customWidth="1" max="3079" min="3079" style="103" width="9.88671875"/>
    <col customWidth="1" max="3080" min="3080" style="103" width="10.44140625"/>
    <col customWidth="1" max="3081" min="3081" style="103" width="9.109375"/>
    <col customWidth="1" max="3082" min="3082" style="103" width="9.88671875"/>
    <col customWidth="1" max="3083" min="3083" style="103" width="7.6640625"/>
    <col customWidth="1" max="3084" min="3084" style="103" width="18.33203125"/>
    <col customWidth="1" max="3328" min="3085" style="103" width="8.77734375"/>
    <col customWidth="1" max="3329" min="3329" style="103" width="12.77734375"/>
    <col customWidth="1" max="3330" min="3330" style="103" width="7"/>
    <col customWidth="1" max="3331" min="3331" style="103" width="9.88671875"/>
    <col customWidth="1" max="3332" min="3332" style="103" width="9"/>
    <col customWidth="1" max="3333" min="3333" style="103" width="7.6640625"/>
    <col customWidth="1" max="3334" min="3334" style="103" width="8.109375"/>
    <col customWidth="1" max="3335" min="3335" style="103" width="9.88671875"/>
    <col customWidth="1" max="3336" min="3336" style="103" width="10.44140625"/>
    <col customWidth="1" max="3337" min="3337" style="103" width="9.109375"/>
    <col customWidth="1" max="3338" min="3338" style="103" width="9.88671875"/>
    <col customWidth="1" max="3339" min="3339" style="103" width="7.6640625"/>
    <col customWidth="1" max="3340" min="3340" style="103" width="18.33203125"/>
    <col customWidth="1" max="3584" min="3341" style="103" width="8.77734375"/>
    <col customWidth="1" max="3585" min="3585" style="103" width="12.77734375"/>
    <col customWidth="1" max="3586" min="3586" style="103" width="7"/>
    <col customWidth="1" max="3587" min="3587" style="103" width="9.88671875"/>
    <col customWidth="1" max="3588" min="3588" style="103" width="9"/>
    <col customWidth="1" max="3589" min="3589" style="103" width="7.6640625"/>
    <col customWidth="1" max="3590" min="3590" style="103" width="8.109375"/>
    <col customWidth="1" max="3591" min="3591" style="103" width="9.88671875"/>
    <col customWidth="1" max="3592" min="3592" style="103" width="10.44140625"/>
    <col customWidth="1" max="3593" min="3593" style="103" width="9.109375"/>
    <col customWidth="1" max="3594" min="3594" style="103" width="9.88671875"/>
    <col customWidth="1" max="3595" min="3595" style="103" width="7.6640625"/>
    <col customWidth="1" max="3596" min="3596" style="103" width="18.33203125"/>
    <col customWidth="1" max="3840" min="3597" style="103" width="8.77734375"/>
    <col customWidth="1" max="3841" min="3841" style="103" width="12.77734375"/>
    <col customWidth="1" max="3842" min="3842" style="103" width="7"/>
    <col customWidth="1" max="3843" min="3843" style="103" width="9.88671875"/>
    <col customWidth="1" max="3844" min="3844" style="103" width="9"/>
    <col customWidth="1" max="3845" min="3845" style="103" width="7.6640625"/>
    <col customWidth="1" max="3846" min="3846" style="103" width="8.109375"/>
    <col customWidth="1" max="3847" min="3847" style="103" width="9.88671875"/>
    <col customWidth="1" max="3848" min="3848" style="103" width="10.44140625"/>
    <col customWidth="1" max="3849" min="3849" style="103" width="9.109375"/>
    <col customWidth="1" max="3850" min="3850" style="103" width="9.88671875"/>
    <col customWidth="1" max="3851" min="3851" style="103" width="7.6640625"/>
    <col customWidth="1" max="3852" min="3852" style="103" width="18.33203125"/>
    <col customWidth="1" max="4096" min="3853" style="103" width="8.77734375"/>
    <col customWidth="1" max="4097" min="4097" style="103" width="12.77734375"/>
    <col customWidth="1" max="4098" min="4098" style="103" width="7"/>
    <col customWidth="1" max="4099" min="4099" style="103" width="9.88671875"/>
    <col customWidth="1" max="4100" min="4100" style="103" width="9"/>
    <col customWidth="1" max="4101" min="4101" style="103" width="7.6640625"/>
    <col customWidth="1" max="4102" min="4102" style="103" width="8.109375"/>
    <col customWidth="1" max="4103" min="4103" style="103" width="9.88671875"/>
    <col customWidth="1" max="4104" min="4104" style="103" width="10.44140625"/>
    <col customWidth="1" max="4105" min="4105" style="103" width="9.109375"/>
    <col customWidth="1" max="4106" min="4106" style="103" width="9.88671875"/>
    <col customWidth="1" max="4107" min="4107" style="103" width="7.6640625"/>
    <col customWidth="1" max="4108" min="4108" style="103" width="18.33203125"/>
    <col customWidth="1" max="4352" min="4109" style="103" width="8.77734375"/>
    <col customWidth="1" max="4353" min="4353" style="103" width="12.77734375"/>
    <col customWidth="1" max="4354" min="4354" style="103" width="7"/>
    <col customWidth="1" max="4355" min="4355" style="103" width="9.88671875"/>
    <col customWidth="1" max="4356" min="4356" style="103" width="9"/>
    <col customWidth="1" max="4357" min="4357" style="103" width="7.6640625"/>
    <col customWidth="1" max="4358" min="4358" style="103" width="8.109375"/>
    <col customWidth="1" max="4359" min="4359" style="103" width="9.88671875"/>
    <col customWidth="1" max="4360" min="4360" style="103" width="10.44140625"/>
    <col customWidth="1" max="4361" min="4361" style="103" width="9.109375"/>
    <col customWidth="1" max="4362" min="4362" style="103" width="9.88671875"/>
    <col customWidth="1" max="4363" min="4363" style="103" width="7.6640625"/>
    <col customWidth="1" max="4364" min="4364" style="103" width="18.33203125"/>
    <col customWidth="1" max="4608" min="4365" style="103" width="8.77734375"/>
    <col customWidth="1" max="4609" min="4609" style="103" width="12.77734375"/>
    <col customWidth="1" max="4610" min="4610" style="103" width="7"/>
    <col customWidth="1" max="4611" min="4611" style="103" width="9.88671875"/>
    <col customWidth="1" max="4612" min="4612" style="103" width="9"/>
    <col customWidth="1" max="4613" min="4613" style="103" width="7.6640625"/>
    <col customWidth="1" max="4614" min="4614" style="103" width="8.109375"/>
    <col customWidth="1" max="4615" min="4615" style="103" width="9.88671875"/>
    <col customWidth="1" max="4616" min="4616" style="103" width="10.44140625"/>
    <col customWidth="1" max="4617" min="4617" style="103" width="9.109375"/>
    <col customWidth="1" max="4618" min="4618" style="103" width="9.88671875"/>
    <col customWidth="1" max="4619" min="4619" style="103" width="7.6640625"/>
    <col customWidth="1" max="4620" min="4620" style="103" width="18.33203125"/>
    <col customWidth="1" max="4864" min="4621" style="103" width="8.77734375"/>
    <col customWidth="1" max="4865" min="4865" style="103" width="12.77734375"/>
    <col customWidth="1" max="4866" min="4866" style="103" width="7"/>
    <col customWidth="1" max="4867" min="4867" style="103" width="9.88671875"/>
    <col customWidth="1" max="4868" min="4868" style="103" width="9"/>
    <col customWidth="1" max="4869" min="4869" style="103" width="7.6640625"/>
    <col customWidth="1" max="4870" min="4870" style="103" width="8.109375"/>
    <col customWidth="1" max="4871" min="4871" style="103" width="9.88671875"/>
    <col customWidth="1" max="4872" min="4872" style="103" width="10.44140625"/>
    <col customWidth="1" max="4873" min="4873" style="103" width="9.109375"/>
    <col customWidth="1" max="4874" min="4874" style="103" width="9.88671875"/>
    <col customWidth="1" max="4875" min="4875" style="103" width="7.6640625"/>
    <col customWidth="1" max="4876" min="4876" style="103" width="18.33203125"/>
    <col customWidth="1" max="5120" min="4877" style="103" width="8.77734375"/>
    <col customWidth="1" max="5121" min="5121" style="103" width="12.77734375"/>
    <col customWidth="1" max="5122" min="5122" style="103" width="7"/>
    <col customWidth="1" max="5123" min="5123" style="103" width="9.88671875"/>
    <col customWidth="1" max="5124" min="5124" style="103" width="9"/>
    <col customWidth="1" max="5125" min="5125" style="103" width="7.6640625"/>
    <col customWidth="1" max="5126" min="5126" style="103" width="8.109375"/>
    <col customWidth="1" max="5127" min="5127" style="103" width="9.88671875"/>
    <col customWidth="1" max="5128" min="5128" style="103" width="10.44140625"/>
    <col customWidth="1" max="5129" min="5129" style="103" width="9.109375"/>
    <col customWidth="1" max="5130" min="5130" style="103" width="9.88671875"/>
    <col customWidth="1" max="5131" min="5131" style="103" width="7.6640625"/>
    <col customWidth="1" max="5132" min="5132" style="103" width="18.33203125"/>
    <col customWidth="1" max="5376" min="5133" style="103" width="8.77734375"/>
    <col customWidth="1" max="5377" min="5377" style="103" width="12.77734375"/>
    <col customWidth="1" max="5378" min="5378" style="103" width="7"/>
    <col customWidth="1" max="5379" min="5379" style="103" width="9.88671875"/>
    <col customWidth="1" max="5380" min="5380" style="103" width="9"/>
    <col customWidth="1" max="5381" min="5381" style="103" width="7.6640625"/>
    <col customWidth="1" max="5382" min="5382" style="103" width="8.109375"/>
    <col customWidth="1" max="5383" min="5383" style="103" width="9.88671875"/>
    <col customWidth="1" max="5384" min="5384" style="103" width="10.44140625"/>
    <col customWidth="1" max="5385" min="5385" style="103" width="9.109375"/>
    <col customWidth="1" max="5386" min="5386" style="103" width="9.88671875"/>
    <col customWidth="1" max="5387" min="5387" style="103" width="7.6640625"/>
    <col customWidth="1" max="5388" min="5388" style="103" width="18.33203125"/>
    <col customWidth="1" max="5632" min="5389" style="103" width="8.77734375"/>
    <col customWidth="1" max="5633" min="5633" style="103" width="12.77734375"/>
    <col customWidth="1" max="5634" min="5634" style="103" width="7"/>
    <col customWidth="1" max="5635" min="5635" style="103" width="9.88671875"/>
    <col customWidth="1" max="5636" min="5636" style="103" width="9"/>
    <col customWidth="1" max="5637" min="5637" style="103" width="7.6640625"/>
    <col customWidth="1" max="5638" min="5638" style="103" width="8.109375"/>
    <col customWidth="1" max="5639" min="5639" style="103" width="9.88671875"/>
    <col customWidth="1" max="5640" min="5640" style="103" width="10.44140625"/>
    <col customWidth="1" max="5641" min="5641" style="103" width="9.109375"/>
    <col customWidth="1" max="5642" min="5642" style="103" width="9.88671875"/>
    <col customWidth="1" max="5643" min="5643" style="103" width="7.6640625"/>
    <col customWidth="1" max="5644" min="5644" style="103" width="18.33203125"/>
    <col customWidth="1" max="5888" min="5645" style="103" width="8.77734375"/>
    <col customWidth="1" max="5889" min="5889" style="103" width="12.77734375"/>
    <col customWidth="1" max="5890" min="5890" style="103" width="7"/>
    <col customWidth="1" max="5891" min="5891" style="103" width="9.88671875"/>
    <col customWidth="1" max="5892" min="5892" style="103" width="9"/>
    <col customWidth="1" max="5893" min="5893" style="103" width="7.6640625"/>
    <col customWidth="1" max="5894" min="5894" style="103" width="8.109375"/>
    <col customWidth="1" max="5895" min="5895" style="103" width="9.88671875"/>
    <col customWidth="1" max="5896" min="5896" style="103" width="10.44140625"/>
    <col customWidth="1" max="5897" min="5897" style="103" width="9.109375"/>
    <col customWidth="1" max="5898" min="5898" style="103" width="9.88671875"/>
    <col customWidth="1" max="5899" min="5899" style="103" width="7.6640625"/>
    <col customWidth="1" max="5900" min="5900" style="103" width="18.33203125"/>
    <col customWidth="1" max="6144" min="5901" style="103" width="8.77734375"/>
    <col customWidth="1" max="6145" min="6145" style="103" width="12.77734375"/>
    <col customWidth="1" max="6146" min="6146" style="103" width="7"/>
    <col customWidth="1" max="6147" min="6147" style="103" width="9.88671875"/>
    <col customWidth="1" max="6148" min="6148" style="103" width="9"/>
    <col customWidth="1" max="6149" min="6149" style="103" width="7.6640625"/>
    <col customWidth="1" max="6150" min="6150" style="103" width="8.109375"/>
    <col customWidth="1" max="6151" min="6151" style="103" width="9.88671875"/>
    <col customWidth="1" max="6152" min="6152" style="103" width="10.44140625"/>
    <col customWidth="1" max="6153" min="6153" style="103" width="9.109375"/>
    <col customWidth="1" max="6154" min="6154" style="103" width="9.88671875"/>
    <col customWidth="1" max="6155" min="6155" style="103" width="7.6640625"/>
    <col customWidth="1" max="6156" min="6156" style="103" width="18.33203125"/>
    <col customWidth="1" max="6400" min="6157" style="103" width="8.77734375"/>
    <col customWidth="1" max="6401" min="6401" style="103" width="12.77734375"/>
    <col customWidth="1" max="6402" min="6402" style="103" width="7"/>
    <col customWidth="1" max="6403" min="6403" style="103" width="9.88671875"/>
    <col customWidth="1" max="6404" min="6404" style="103" width="9"/>
    <col customWidth="1" max="6405" min="6405" style="103" width="7.6640625"/>
    <col customWidth="1" max="6406" min="6406" style="103" width="8.109375"/>
    <col customWidth="1" max="6407" min="6407" style="103" width="9.88671875"/>
    <col customWidth="1" max="6408" min="6408" style="103" width="10.44140625"/>
    <col customWidth="1" max="6409" min="6409" style="103" width="9.109375"/>
    <col customWidth="1" max="6410" min="6410" style="103" width="9.88671875"/>
    <col customWidth="1" max="6411" min="6411" style="103" width="7.6640625"/>
    <col customWidth="1" max="6412" min="6412" style="103" width="18.33203125"/>
    <col customWidth="1" max="6656" min="6413" style="103" width="8.77734375"/>
    <col customWidth="1" max="6657" min="6657" style="103" width="12.77734375"/>
    <col customWidth="1" max="6658" min="6658" style="103" width="7"/>
    <col customWidth="1" max="6659" min="6659" style="103" width="9.88671875"/>
    <col customWidth="1" max="6660" min="6660" style="103" width="9"/>
    <col customWidth="1" max="6661" min="6661" style="103" width="7.6640625"/>
    <col customWidth="1" max="6662" min="6662" style="103" width="8.109375"/>
    <col customWidth="1" max="6663" min="6663" style="103" width="9.88671875"/>
    <col customWidth="1" max="6664" min="6664" style="103" width="10.44140625"/>
    <col customWidth="1" max="6665" min="6665" style="103" width="9.109375"/>
    <col customWidth="1" max="6666" min="6666" style="103" width="9.88671875"/>
    <col customWidth="1" max="6667" min="6667" style="103" width="7.6640625"/>
    <col customWidth="1" max="6668" min="6668" style="103" width="18.33203125"/>
    <col customWidth="1" max="6912" min="6669" style="103" width="8.77734375"/>
    <col customWidth="1" max="6913" min="6913" style="103" width="12.77734375"/>
    <col customWidth="1" max="6914" min="6914" style="103" width="7"/>
    <col customWidth="1" max="6915" min="6915" style="103" width="9.88671875"/>
    <col customWidth="1" max="6916" min="6916" style="103" width="9"/>
    <col customWidth="1" max="6917" min="6917" style="103" width="7.6640625"/>
    <col customWidth="1" max="6918" min="6918" style="103" width="8.109375"/>
    <col customWidth="1" max="6919" min="6919" style="103" width="9.88671875"/>
    <col customWidth="1" max="6920" min="6920" style="103" width="10.44140625"/>
    <col customWidth="1" max="6921" min="6921" style="103" width="9.109375"/>
    <col customWidth="1" max="6922" min="6922" style="103" width="9.88671875"/>
    <col customWidth="1" max="6923" min="6923" style="103" width="7.6640625"/>
    <col customWidth="1" max="6924" min="6924" style="103" width="18.33203125"/>
    <col customWidth="1" max="7168" min="6925" style="103" width="8.77734375"/>
    <col customWidth="1" max="7169" min="7169" style="103" width="12.77734375"/>
    <col customWidth="1" max="7170" min="7170" style="103" width="7"/>
    <col customWidth="1" max="7171" min="7171" style="103" width="9.88671875"/>
    <col customWidth="1" max="7172" min="7172" style="103" width="9"/>
    <col customWidth="1" max="7173" min="7173" style="103" width="7.6640625"/>
    <col customWidth="1" max="7174" min="7174" style="103" width="8.109375"/>
    <col customWidth="1" max="7175" min="7175" style="103" width="9.88671875"/>
    <col customWidth="1" max="7176" min="7176" style="103" width="10.44140625"/>
    <col customWidth="1" max="7177" min="7177" style="103" width="9.109375"/>
    <col customWidth="1" max="7178" min="7178" style="103" width="9.88671875"/>
    <col customWidth="1" max="7179" min="7179" style="103" width="7.6640625"/>
    <col customWidth="1" max="7180" min="7180" style="103" width="18.33203125"/>
    <col customWidth="1" max="7424" min="7181" style="103" width="8.77734375"/>
    <col customWidth="1" max="7425" min="7425" style="103" width="12.77734375"/>
    <col customWidth="1" max="7426" min="7426" style="103" width="7"/>
    <col customWidth="1" max="7427" min="7427" style="103" width="9.88671875"/>
    <col customWidth="1" max="7428" min="7428" style="103" width="9"/>
    <col customWidth="1" max="7429" min="7429" style="103" width="7.6640625"/>
    <col customWidth="1" max="7430" min="7430" style="103" width="8.109375"/>
    <col customWidth="1" max="7431" min="7431" style="103" width="9.88671875"/>
    <col customWidth="1" max="7432" min="7432" style="103" width="10.44140625"/>
    <col customWidth="1" max="7433" min="7433" style="103" width="9.109375"/>
    <col customWidth="1" max="7434" min="7434" style="103" width="9.88671875"/>
    <col customWidth="1" max="7435" min="7435" style="103" width="7.6640625"/>
    <col customWidth="1" max="7436" min="7436" style="103" width="18.33203125"/>
    <col customWidth="1" max="7680" min="7437" style="103" width="8.77734375"/>
    <col customWidth="1" max="7681" min="7681" style="103" width="12.77734375"/>
    <col customWidth="1" max="7682" min="7682" style="103" width="7"/>
    <col customWidth="1" max="7683" min="7683" style="103" width="9.88671875"/>
    <col customWidth="1" max="7684" min="7684" style="103" width="9"/>
    <col customWidth="1" max="7685" min="7685" style="103" width="7.6640625"/>
    <col customWidth="1" max="7686" min="7686" style="103" width="8.109375"/>
    <col customWidth="1" max="7687" min="7687" style="103" width="9.88671875"/>
    <col customWidth="1" max="7688" min="7688" style="103" width="10.44140625"/>
    <col customWidth="1" max="7689" min="7689" style="103" width="9.109375"/>
    <col customWidth="1" max="7690" min="7690" style="103" width="9.88671875"/>
    <col customWidth="1" max="7691" min="7691" style="103" width="7.6640625"/>
    <col customWidth="1" max="7692" min="7692" style="103" width="18.33203125"/>
    <col customWidth="1" max="7936" min="7693" style="103" width="8.77734375"/>
    <col customWidth="1" max="7937" min="7937" style="103" width="12.77734375"/>
    <col customWidth="1" max="7938" min="7938" style="103" width="7"/>
    <col customWidth="1" max="7939" min="7939" style="103" width="9.88671875"/>
    <col customWidth="1" max="7940" min="7940" style="103" width="9"/>
    <col customWidth="1" max="7941" min="7941" style="103" width="7.6640625"/>
    <col customWidth="1" max="7942" min="7942" style="103" width="8.109375"/>
    <col customWidth="1" max="7943" min="7943" style="103" width="9.88671875"/>
    <col customWidth="1" max="7944" min="7944" style="103" width="10.44140625"/>
    <col customWidth="1" max="7945" min="7945" style="103" width="9.109375"/>
    <col customWidth="1" max="7946" min="7946" style="103" width="9.88671875"/>
    <col customWidth="1" max="7947" min="7947" style="103" width="7.6640625"/>
    <col customWidth="1" max="7948" min="7948" style="103" width="18.33203125"/>
    <col customWidth="1" max="8192" min="7949" style="103" width="8.77734375"/>
    <col customWidth="1" max="8193" min="8193" style="103" width="12.77734375"/>
    <col customWidth="1" max="8194" min="8194" style="103" width="7"/>
    <col customWidth="1" max="8195" min="8195" style="103" width="9.88671875"/>
    <col customWidth="1" max="8196" min="8196" style="103" width="9"/>
    <col customWidth="1" max="8197" min="8197" style="103" width="7.6640625"/>
    <col customWidth="1" max="8198" min="8198" style="103" width="8.109375"/>
    <col customWidth="1" max="8199" min="8199" style="103" width="9.88671875"/>
    <col customWidth="1" max="8200" min="8200" style="103" width="10.44140625"/>
    <col customWidth="1" max="8201" min="8201" style="103" width="9.109375"/>
    <col customWidth="1" max="8202" min="8202" style="103" width="9.88671875"/>
    <col customWidth="1" max="8203" min="8203" style="103" width="7.6640625"/>
    <col customWidth="1" max="8204" min="8204" style="103" width="18.33203125"/>
    <col customWidth="1" max="8448" min="8205" style="103" width="8.77734375"/>
    <col customWidth="1" max="8449" min="8449" style="103" width="12.77734375"/>
    <col customWidth="1" max="8450" min="8450" style="103" width="7"/>
    <col customWidth="1" max="8451" min="8451" style="103" width="9.88671875"/>
    <col customWidth="1" max="8452" min="8452" style="103" width="9"/>
    <col customWidth="1" max="8453" min="8453" style="103" width="7.6640625"/>
    <col customWidth="1" max="8454" min="8454" style="103" width="8.109375"/>
    <col customWidth="1" max="8455" min="8455" style="103" width="9.88671875"/>
    <col customWidth="1" max="8456" min="8456" style="103" width="10.44140625"/>
    <col customWidth="1" max="8457" min="8457" style="103" width="9.109375"/>
    <col customWidth="1" max="8458" min="8458" style="103" width="9.88671875"/>
    <col customWidth="1" max="8459" min="8459" style="103" width="7.6640625"/>
    <col customWidth="1" max="8460" min="8460" style="103" width="18.33203125"/>
    <col customWidth="1" max="8704" min="8461" style="103" width="8.77734375"/>
    <col customWidth="1" max="8705" min="8705" style="103" width="12.77734375"/>
    <col customWidth="1" max="8706" min="8706" style="103" width="7"/>
    <col customWidth="1" max="8707" min="8707" style="103" width="9.88671875"/>
    <col customWidth="1" max="8708" min="8708" style="103" width="9"/>
    <col customWidth="1" max="8709" min="8709" style="103" width="7.6640625"/>
    <col customWidth="1" max="8710" min="8710" style="103" width="8.109375"/>
    <col customWidth="1" max="8711" min="8711" style="103" width="9.88671875"/>
    <col customWidth="1" max="8712" min="8712" style="103" width="10.44140625"/>
    <col customWidth="1" max="8713" min="8713" style="103" width="9.109375"/>
    <col customWidth="1" max="8714" min="8714" style="103" width="9.88671875"/>
    <col customWidth="1" max="8715" min="8715" style="103" width="7.6640625"/>
    <col customWidth="1" max="8716" min="8716" style="103" width="18.33203125"/>
    <col customWidth="1" max="8960" min="8717" style="103" width="8.77734375"/>
    <col customWidth="1" max="8961" min="8961" style="103" width="12.77734375"/>
    <col customWidth="1" max="8962" min="8962" style="103" width="7"/>
    <col customWidth="1" max="8963" min="8963" style="103" width="9.88671875"/>
    <col customWidth="1" max="8964" min="8964" style="103" width="9"/>
    <col customWidth="1" max="8965" min="8965" style="103" width="7.6640625"/>
    <col customWidth="1" max="8966" min="8966" style="103" width="8.109375"/>
    <col customWidth="1" max="8967" min="8967" style="103" width="9.88671875"/>
    <col customWidth="1" max="8968" min="8968" style="103" width="10.44140625"/>
    <col customWidth="1" max="8969" min="8969" style="103" width="9.109375"/>
    <col customWidth="1" max="8970" min="8970" style="103" width="9.88671875"/>
    <col customWidth="1" max="8971" min="8971" style="103" width="7.6640625"/>
    <col customWidth="1" max="8972" min="8972" style="103" width="18.33203125"/>
    <col customWidth="1" max="9216" min="8973" style="103" width="8.77734375"/>
    <col customWidth="1" max="9217" min="9217" style="103" width="12.77734375"/>
    <col customWidth="1" max="9218" min="9218" style="103" width="7"/>
    <col customWidth="1" max="9219" min="9219" style="103" width="9.88671875"/>
    <col customWidth="1" max="9220" min="9220" style="103" width="9"/>
    <col customWidth="1" max="9221" min="9221" style="103" width="7.6640625"/>
    <col customWidth="1" max="9222" min="9222" style="103" width="8.109375"/>
    <col customWidth="1" max="9223" min="9223" style="103" width="9.88671875"/>
    <col customWidth="1" max="9224" min="9224" style="103" width="10.44140625"/>
    <col customWidth="1" max="9225" min="9225" style="103" width="9.109375"/>
    <col customWidth="1" max="9226" min="9226" style="103" width="9.88671875"/>
    <col customWidth="1" max="9227" min="9227" style="103" width="7.6640625"/>
    <col customWidth="1" max="9228" min="9228" style="103" width="18.33203125"/>
    <col customWidth="1" max="9472" min="9229" style="103" width="8.77734375"/>
    <col customWidth="1" max="9473" min="9473" style="103" width="12.77734375"/>
    <col customWidth="1" max="9474" min="9474" style="103" width="7"/>
    <col customWidth="1" max="9475" min="9475" style="103" width="9.88671875"/>
    <col customWidth="1" max="9476" min="9476" style="103" width="9"/>
    <col customWidth="1" max="9477" min="9477" style="103" width="7.6640625"/>
    <col customWidth="1" max="9478" min="9478" style="103" width="8.109375"/>
    <col customWidth="1" max="9479" min="9479" style="103" width="9.88671875"/>
    <col customWidth="1" max="9480" min="9480" style="103" width="10.44140625"/>
    <col customWidth="1" max="9481" min="9481" style="103" width="9.109375"/>
    <col customWidth="1" max="9482" min="9482" style="103" width="9.88671875"/>
    <col customWidth="1" max="9483" min="9483" style="103" width="7.6640625"/>
    <col customWidth="1" max="9484" min="9484" style="103" width="18.33203125"/>
    <col customWidth="1" max="9728" min="9485" style="103" width="8.77734375"/>
    <col customWidth="1" max="9729" min="9729" style="103" width="12.77734375"/>
    <col customWidth="1" max="9730" min="9730" style="103" width="7"/>
    <col customWidth="1" max="9731" min="9731" style="103" width="9.88671875"/>
    <col customWidth="1" max="9732" min="9732" style="103" width="9"/>
    <col customWidth="1" max="9733" min="9733" style="103" width="7.6640625"/>
    <col customWidth="1" max="9734" min="9734" style="103" width="8.109375"/>
    <col customWidth="1" max="9735" min="9735" style="103" width="9.88671875"/>
    <col customWidth="1" max="9736" min="9736" style="103" width="10.44140625"/>
    <col customWidth="1" max="9737" min="9737" style="103" width="9.109375"/>
    <col customWidth="1" max="9738" min="9738" style="103" width="9.88671875"/>
    <col customWidth="1" max="9739" min="9739" style="103" width="7.6640625"/>
    <col customWidth="1" max="9740" min="9740" style="103" width="18.33203125"/>
    <col customWidth="1" max="9984" min="9741" style="103" width="8.77734375"/>
    <col customWidth="1" max="9985" min="9985" style="103" width="12.77734375"/>
    <col customWidth="1" max="9986" min="9986" style="103" width="7"/>
    <col customWidth="1" max="9987" min="9987" style="103" width="9.88671875"/>
    <col customWidth="1" max="9988" min="9988" style="103" width="9"/>
    <col customWidth="1" max="9989" min="9989" style="103" width="7.6640625"/>
    <col customWidth="1" max="9990" min="9990" style="103" width="8.109375"/>
    <col customWidth="1" max="9991" min="9991" style="103" width="9.88671875"/>
    <col customWidth="1" max="9992" min="9992" style="103" width="10.44140625"/>
    <col customWidth="1" max="9993" min="9993" style="103" width="9.109375"/>
    <col customWidth="1" max="9994" min="9994" style="103" width="9.88671875"/>
    <col customWidth="1" max="9995" min="9995" style="103" width="7.6640625"/>
    <col customWidth="1" max="9996" min="9996" style="103" width="18.33203125"/>
    <col customWidth="1" max="10240" min="9997" style="103" width="8.77734375"/>
    <col customWidth="1" max="10241" min="10241" style="103" width="12.77734375"/>
    <col customWidth="1" max="10242" min="10242" style="103" width="7"/>
    <col customWidth="1" max="10243" min="10243" style="103" width="9.88671875"/>
    <col customWidth="1" max="10244" min="10244" style="103" width="9"/>
    <col customWidth="1" max="10245" min="10245" style="103" width="7.6640625"/>
    <col customWidth="1" max="10246" min="10246" style="103" width="8.109375"/>
    <col customWidth="1" max="10247" min="10247" style="103" width="9.88671875"/>
    <col customWidth="1" max="10248" min="10248" style="103" width="10.44140625"/>
    <col customWidth="1" max="10249" min="10249" style="103" width="9.109375"/>
    <col customWidth="1" max="10250" min="10250" style="103" width="9.88671875"/>
    <col customWidth="1" max="10251" min="10251" style="103" width="7.6640625"/>
    <col customWidth="1" max="10252" min="10252" style="103" width="18.33203125"/>
    <col customWidth="1" max="10496" min="10253" style="103" width="8.77734375"/>
    <col customWidth="1" max="10497" min="10497" style="103" width="12.77734375"/>
    <col customWidth="1" max="10498" min="10498" style="103" width="7"/>
    <col customWidth="1" max="10499" min="10499" style="103" width="9.88671875"/>
    <col customWidth="1" max="10500" min="10500" style="103" width="9"/>
    <col customWidth="1" max="10501" min="10501" style="103" width="7.6640625"/>
    <col customWidth="1" max="10502" min="10502" style="103" width="8.109375"/>
    <col customWidth="1" max="10503" min="10503" style="103" width="9.88671875"/>
    <col customWidth="1" max="10504" min="10504" style="103" width="10.44140625"/>
    <col customWidth="1" max="10505" min="10505" style="103" width="9.109375"/>
    <col customWidth="1" max="10506" min="10506" style="103" width="9.88671875"/>
    <col customWidth="1" max="10507" min="10507" style="103" width="7.6640625"/>
    <col customWidth="1" max="10508" min="10508" style="103" width="18.33203125"/>
    <col customWidth="1" max="10752" min="10509" style="103" width="8.77734375"/>
    <col customWidth="1" max="10753" min="10753" style="103" width="12.77734375"/>
    <col customWidth="1" max="10754" min="10754" style="103" width="7"/>
    <col customWidth="1" max="10755" min="10755" style="103" width="9.88671875"/>
    <col customWidth="1" max="10756" min="10756" style="103" width="9"/>
    <col customWidth="1" max="10757" min="10757" style="103" width="7.6640625"/>
    <col customWidth="1" max="10758" min="10758" style="103" width="8.109375"/>
    <col customWidth="1" max="10759" min="10759" style="103" width="9.88671875"/>
    <col customWidth="1" max="10760" min="10760" style="103" width="10.44140625"/>
    <col customWidth="1" max="10761" min="10761" style="103" width="9.109375"/>
    <col customWidth="1" max="10762" min="10762" style="103" width="9.88671875"/>
    <col customWidth="1" max="10763" min="10763" style="103" width="7.6640625"/>
    <col customWidth="1" max="10764" min="10764" style="103" width="18.33203125"/>
    <col customWidth="1" max="11008" min="10765" style="103" width="8.77734375"/>
    <col customWidth="1" max="11009" min="11009" style="103" width="12.77734375"/>
    <col customWidth="1" max="11010" min="11010" style="103" width="7"/>
    <col customWidth="1" max="11011" min="11011" style="103" width="9.88671875"/>
    <col customWidth="1" max="11012" min="11012" style="103" width="9"/>
    <col customWidth="1" max="11013" min="11013" style="103" width="7.6640625"/>
    <col customWidth="1" max="11014" min="11014" style="103" width="8.109375"/>
    <col customWidth="1" max="11015" min="11015" style="103" width="9.88671875"/>
    <col customWidth="1" max="11016" min="11016" style="103" width="10.44140625"/>
    <col customWidth="1" max="11017" min="11017" style="103" width="9.109375"/>
    <col customWidth="1" max="11018" min="11018" style="103" width="9.88671875"/>
    <col customWidth="1" max="11019" min="11019" style="103" width="7.6640625"/>
    <col customWidth="1" max="11020" min="11020" style="103" width="18.33203125"/>
    <col customWidth="1" max="11264" min="11021" style="103" width="8.77734375"/>
    <col customWidth="1" max="11265" min="11265" style="103" width="12.77734375"/>
    <col customWidth="1" max="11266" min="11266" style="103" width="7"/>
    <col customWidth="1" max="11267" min="11267" style="103" width="9.88671875"/>
    <col customWidth="1" max="11268" min="11268" style="103" width="9"/>
    <col customWidth="1" max="11269" min="11269" style="103" width="7.6640625"/>
    <col customWidth="1" max="11270" min="11270" style="103" width="8.109375"/>
    <col customWidth="1" max="11271" min="11271" style="103" width="9.88671875"/>
    <col customWidth="1" max="11272" min="11272" style="103" width="10.44140625"/>
    <col customWidth="1" max="11273" min="11273" style="103" width="9.109375"/>
    <col customWidth="1" max="11274" min="11274" style="103" width="9.88671875"/>
    <col customWidth="1" max="11275" min="11275" style="103" width="7.6640625"/>
    <col customWidth="1" max="11276" min="11276" style="103" width="18.33203125"/>
    <col customWidth="1" max="11520" min="11277" style="103" width="8.77734375"/>
    <col customWidth="1" max="11521" min="11521" style="103" width="12.77734375"/>
    <col customWidth="1" max="11522" min="11522" style="103" width="7"/>
    <col customWidth="1" max="11523" min="11523" style="103" width="9.88671875"/>
    <col customWidth="1" max="11524" min="11524" style="103" width="9"/>
    <col customWidth="1" max="11525" min="11525" style="103" width="7.6640625"/>
    <col customWidth="1" max="11526" min="11526" style="103" width="8.109375"/>
    <col customWidth="1" max="11527" min="11527" style="103" width="9.88671875"/>
    <col customWidth="1" max="11528" min="11528" style="103" width="10.44140625"/>
    <col customWidth="1" max="11529" min="11529" style="103" width="9.109375"/>
    <col customWidth="1" max="11530" min="11530" style="103" width="9.88671875"/>
    <col customWidth="1" max="11531" min="11531" style="103" width="7.6640625"/>
    <col customWidth="1" max="11532" min="11532" style="103" width="18.33203125"/>
    <col customWidth="1" max="11776" min="11533" style="103" width="8.77734375"/>
    <col customWidth="1" max="11777" min="11777" style="103" width="12.77734375"/>
    <col customWidth="1" max="11778" min="11778" style="103" width="7"/>
    <col customWidth="1" max="11779" min="11779" style="103" width="9.88671875"/>
    <col customWidth="1" max="11780" min="11780" style="103" width="9"/>
    <col customWidth="1" max="11781" min="11781" style="103" width="7.6640625"/>
    <col customWidth="1" max="11782" min="11782" style="103" width="8.109375"/>
    <col customWidth="1" max="11783" min="11783" style="103" width="9.88671875"/>
    <col customWidth="1" max="11784" min="11784" style="103" width="10.44140625"/>
    <col customWidth="1" max="11785" min="11785" style="103" width="9.109375"/>
    <col customWidth="1" max="11786" min="11786" style="103" width="9.88671875"/>
    <col customWidth="1" max="11787" min="11787" style="103" width="7.6640625"/>
    <col customWidth="1" max="11788" min="11788" style="103" width="18.33203125"/>
    <col customWidth="1" max="12032" min="11789" style="103" width="8.77734375"/>
    <col customWidth="1" max="12033" min="12033" style="103" width="12.77734375"/>
    <col customWidth="1" max="12034" min="12034" style="103" width="7"/>
    <col customWidth="1" max="12035" min="12035" style="103" width="9.88671875"/>
    <col customWidth="1" max="12036" min="12036" style="103" width="9"/>
    <col customWidth="1" max="12037" min="12037" style="103" width="7.6640625"/>
    <col customWidth="1" max="12038" min="12038" style="103" width="8.109375"/>
    <col customWidth="1" max="12039" min="12039" style="103" width="9.88671875"/>
    <col customWidth="1" max="12040" min="12040" style="103" width="10.44140625"/>
    <col customWidth="1" max="12041" min="12041" style="103" width="9.109375"/>
    <col customWidth="1" max="12042" min="12042" style="103" width="9.88671875"/>
    <col customWidth="1" max="12043" min="12043" style="103" width="7.6640625"/>
    <col customWidth="1" max="12044" min="12044" style="103" width="18.33203125"/>
    <col customWidth="1" max="12288" min="12045" style="103" width="8.77734375"/>
    <col customWidth="1" max="12289" min="12289" style="103" width="12.77734375"/>
    <col customWidth="1" max="12290" min="12290" style="103" width="7"/>
    <col customWidth="1" max="12291" min="12291" style="103" width="9.88671875"/>
    <col customWidth="1" max="12292" min="12292" style="103" width="9"/>
    <col customWidth="1" max="12293" min="12293" style="103" width="7.6640625"/>
    <col customWidth="1" max="12294" min="12294" style="103" width="8.109375"/>
    <col customWidth="1" max="12295" min="12295" style="103" width="9.88671875"/>
    <col customWidth="1" max="12296" min="12296" style="103" width="10.44140625"/>
    <col customWidth="1" max="12297" min="12297" style="103" width="9.109375"/>
    <col customWidth="1" max="12298" min="12298" style="103" width="9.88671875"/>
    <col customWidth="1" max="12299" min="12299" style="103" width="7.6640625"/>
    <col customWidth="1" max="12300" min="12300" style="103" width="18.33203125"/>
    <col customWidth="1" max="12544" min="12301" style="103" width="8.77734375"/>
    <col customWidth="1" max="12545" min="12545" style="103" width="12.77734375"/>
    <col customWidth="1" max="12546" min="12546" style="103" width="7"/>
    <col customWidth="1" max="12547" min="12547" style="103" width="9.88671875"/>
    <col customWidth="1" max="12548" min="12548" style="103" width="9"/>
    <col customWidth="1" max="12549" min="12549" style="103" width="7.6640625"/>
    <col customWidth="1" max="12550" min="12550" style="103" width="8.109375"/>
    <col customWidth="1" max="12551" min="12551" style="103" width="9.88671875"/>
    <col customWidth="1" max="12552" min="12552" style="103" width="10.44140625"/>
    <col customWidth="1" max="12553" min="12553" style="103" width="9.109375"/>
    <col customWidth="1" max="12554" min="12554" style="103" width="9.88671875"/>
    <col customWidth="1" max="12555" min="12555" style="103" width="7.6640625"/>
    <col customWidth="1" max="12556" min="12556" style="103" width="18.33203125"/>
    <col customWidth="1" max="12800" min="12557" style="103" width="8.77734375"/>
    <col customWidth="1" max="12801" min="12801" style="103" width="12.77734375"/>
    <col customWidth="1" max="12802" min="12802" style="103" width="7"/>
    <col customWidth="1" max="12803" min="12803" style="103" width="9.88671875"/>
    <col customWidth="1" max="12804" min="12804" style="103" width="9"/>
    <col customWidth="1" max="12805" min="12805" style="103" width="7.6640625"/>
    <col customWidth="1" max="12806" min="12806" style="103" width="8.109375"/>
    <col customWidth="1" max="12807" min="12807" style="103" width="9.88671875"/>
    <col customWidth="1" max="12808" min="12808" style="103" width="10.44140625"/>
    <col customWidth="1" max="12809" min="12809" style="103" width="9.109375"/>
    <col customWidth="1" max="12810" min="12810" style="103" width="9.88671875"/>
    <col customWidth="1" max="12811" min="12811" style="103" width="7.6640625"/>
    <col customWidth="1" max="12812" min="12812" style="103" width="18.33203125"/>
    <col customWidth="1" max="13056" min="12813" style="103" width="8.77734375"/>
    <col customWidth="1" max="13057" min="13057" style="103" width="12.77734375"/>
    <col customWidth="1" max="13058" min="13058" style="103" width="7"/>
    <col customWidth="1" max="13059" min="13059" style="103" width="9.88671875"/>
    <col customWidth="1" max="13060" min="13060" style="103" width="9"/>
    <col customWidth="1" max="13061" min="13061" style="103" width="7.6640625"/>
    <col customWidth="1" max="13062" min="13062" style="103" width="8.109375"/>
    <col customWidth="1" max="13063" min="13063" style="103" width="9.88671875"/>
    <col customWidth="1" max="13064" min="13064" style="103" width="10.44140625"/>
    <col customWidth="1" max="13065" min="13065" style="103" width="9.109375"/>
    <col customWidth="1" max="13066" min="13066" style="103" width="9.88671875"/>
    <col customWidth="1" max="13067" min="13067" style="103" width="7.6640625"/>
    <col customWidth="1" max="13068" min="13068" style="103" width="18.33203125"/>
    <col customWidth="1" max="13312" min="13069" style="103" width="8.77734375"/>
    <col customWidth="1" max="13313" min="13313" style="103" width="12.77734375"/>
    <col customWidth="1" max="13314" min="13314" style="103" width="7"/>
    <col customWidth="1" max="13315" min="13315" style="103" width="9.88671875"/>
    <col customWidth="1" max="13316" min="13316" style="103" width="9"/>
    <col customWidth="1" max="13317" min="13317" style="103" width="7.6640625"/>
    <col customWidth="1" max="13318" min="13318" style="103" width="8.109375"/>
    <col customWidth="1" max="13319" min="13319" style="103" width="9.88671875"/>
    <col customWidth="1" max="13320" min="13320" style="103" width="10.44140625"/>
    <col customWidth="1" max="13321" min="13321" style="103" width="9.109375"/>
    <col customWidth="1" max="13322" min="13322" style="103" width="9.88671875"/>
    <col customWidth="1" max="13323" min="13323" style="103" width="7.6640625"/>
    <col customWidth="1" max="13324" min="13324" style="103" width="18.33203125"/>
    <col customWidth="1" max="13568" min="13325" style="103" width="8.77734375"/>
    <col customWidth="1" max="13569" min="13569" style="103" width="12.77734375"/>
    <col customWidth="1" max="13570" min="13570" style="103" width="7"/>
    <col customWidth="1" max="13571" min="13571" style="103" width="9.88671875"/>
    <col customWidth="1" max="13572" min="13572" style="103" width="9"/>
    <col customWidth="1" max="13573" min="13573" style="103" width="7.6640625"/>
    <col customWidth="1" max="13574" min="13574" style="103" width="8.109375"/>
    <col customWidth="1" max="13575" min="13575" style="103" width="9.88671875"/>
    <col customWidth="1" max="13576" min="13576" style="103" width="10.44140625"/>
    <col customWidth="1" max="13577" min="13577" style="103" width="9.109375"/>
    <col customWidth="1" max="13578" min="13578" style="103" width="9.88671875"/>
    <col customWidth="1" max="13579" min="13579" style="103" width="7.6640625"/>
    <col customWidth="1" max="13580" min="13580" style="103" width="18.33203125"/>
    <col customWidth="1" max="13824" min="13581" style="103" width="8.77734375"/>
    <col customWidth="1" max="13825" min="13825" style="103" width="12.77734375"/>
    <col customWidth="1" max="13826" min="13826" style="103" width="7"/>
    <col customWidth="1" max="13827" min="13827" style="103" width="9.88671875"/>
    <col customWidth="1" max="13828" min="13828" style="103" width="9"/>
    <col customWidth="1" max="13829" min="13829" style="103" width="7.6640625"/>
    <col customWidth="1" max="13830" min="13830" style="103" width="8.109375"/>
    <col customWidth="1" max="13831" min="13831" style="103" width="9.88671875"/>
    <col customWidth="1" max="13832" min="13832" style="103" width="10.44140625"/>
    <col customWidth="1" max="13833" min="13833" style="103" width="9.109375"/>
    <col customWidth="1" max="13834" min="13834" style="103" width="9.88671875"/>
    <col customWidth="1" max="13835" min="13835" style="103" width="7.6640625"/>
    <col customWidth="1" max="13836" min="13836" style="103" width="18.33203125"/>
    <col customWidth="1" max="14080" min="13837" style="103" width="8.77734375"/>
    <col customWidth="1" max="14081" min="14081" style="103" width="12.77734375"/>
    <col customWidth="1" max="14082" min="14082" style="103" width="7"/>
    <col customWidth="1" max="14083" min="14083" style="103" width="9.88671875"/>
    <col customWidth="1" max="14084" min="14084" style="103" width="9"/>
    <col customWidth="1" max="14085" min="14085" style="103" width="7.6640625"/>
    <col customWidth="1" max="14086" min="14086" style="103" width="8.109375"/>
    <col customWidth="1" max="14087" min="14087" style="103" width="9.88671875"/>
    <col customWidth="1" max="14088" min="14088" style="103" width="10.44140625"/>
    <col customWidth="1" max="14089" min="14089" style="103" width="9.109375"/>
    <col customWidth="1" max="14090" min="14090" style="103" width="9.88671875"/>
    <col customWidth="1" max="14091" min="14091" style="103" width="7.6640625"/>
    <col customWidth="1" max="14092" min="14092" style="103" width="18.33203125"/>
    <col customWidth="1" max="14336" min="14093" style="103" width="8.77734375"/>
    <col customWidth="1" max="14337" min="14337" style="103" width="12.77734375"/>
    <col customWidth="1" max="14338" min="14338" style="103" width="7"/>
    <col customWidth="1" max="14339" min="14339" style="103" width="9.88671875"/>
    <col customWidth="1" max="14340" min="14340" style="103" width="9"/>
    <col customWidth="1" max="14341" min="14341" style="103" width="7.6640625"/>
    <col customWidth="1" max="14342" min="14342" style="103" width="8.109375"/>
    <col customWidth="1" max="14343" min="14343" style="103" width="9.88671875"/>
    <col customWidth="1" max="14344" min="14344" style="103" width="10.44140625"/>
    <col customWidth="1" max="14345" min="14345" style="103" width="9.109375"/>
    <col customWidth="1" max="14346" min="14346" style="103" width="9.88671875"/>
    <col customWidth="1" max="14347" min="14347" style="103" width="7.6640625"/>
    <col customWidth="1" max="14348" min="14348" style="103" width="18.33203125"/>
    <col customWidth="1" max="14592" min="14349" style="103" width="8.77734375"/>
    <col customWidth="1" max="14593" min="14593" style="103" width="12.77734375"/>
    <col customWidth="1" max="14594" min="14594" style="103" width="7"/>
    <col customWidth="1" max="14595" min="14595" style="103" width="9.88671875"/>
    <col customWidth="1" max="14596" min="14596" style="103" width="9"/>
    <col customWidth="1" max="14597" min="14597" style="103" width="7.6640625"/>
    <col customWidth="1" max="14598" min="14598" style="103" width="8.109375"/>
    <col customWidth="1" max="14599" min="14599" style="103" width="9.88671875"/>
    <col customWidth="1" max="14600" min="14600" style="103" width="10.44140625"/>
    <col customWidth="1" max="14601" min="14601" style="103" width="9.109375"/>
    <col customWidth="1" max="14602" min="14602" style="103" width="9.88671875"/>
    <col customWidth="1" max="14603" min="14603" style="103" width="7.6640625"/>
    <col customWidth="1" max="14604" min="14604" style="103" width="18.33203125"/>
    <col customWidth="1" max="14848" min="14605" style="103" width="8.77734375"/>
    <col customWidth="1" max="14849" min="14849" style="103" width="12.77734375"/>
    <col customWidth="1" max="14850" min="14850" style="103" width="7"/>
    <col customWidth="1" max="14851" min="14851" style="103" width="9.88671875"/>
    <col customWidth="1" max="14852" min="14852" style="103" width="9"/>
    <col customWidth="1" max="14853" min="14853" style="103" width="7.6640625"/>
    <col customWidth="1" max="14854" min="14854" style="103" width="8.109375"/>
    <col customWidth="1" max="14855" min="14855" style="103" width="9.88671875"/>
    <col customWidth="1" max="14856" min="14856" style="103" width="10.44140625"/>
    <col customWidth="1" max="14857" min="14857" style="103" width="9.109375"/>
    <col customWidth="1" max="14858" min="14858" style="103" width="9.88671875"/>
    <col customWidth="1" max="14859" min="14859" style="103" width="7.6640625"/>
    <col customWidth="1" max="14860" min="14860" style="103" width="18.33203125"/>
    <col customWidth="1" max="15104" min="14861" style="103" width="8.77734375"/>
    <col customWidth="1" max="15105" min="15105" style="103" width="12.77734375"/>
    <col customWidth="1" max="15106" min="15106" style="103" width="7"/>
    <col customWidth="1" max="15107" min="15107" style="103" width="9.88671875"/>
    <col customWidth="1" max="15108" min="15108" style="103" width="9"/>
    <col customWidth="1" max="15109" min="15109" style="103" width="7.6640625"/>
    <col customWidth="1" max="15110" min="15110" style="103" width="8.109375"/>
    <col customWidth="1" max="15111" min="15111" style="103" width="9.88671875"/>
    <col customWidth="1" max="15112" min="15112" style="103" width="10.44140625"/>
    <col customWidth="1" max="15113" min="15113" style="103" width="9.109375"/>
    <col customWidth="1" max="15114" min="15114" style="103" width="9.88671875"/>
    <col customWidth="1" max="15115" min="15115" style="103" width="7.6640625"/>
    <col customWidth="1" max="15116" min="15116" style="103" width="18.33203125"/>
    <col customWidth="1" max="15360" min="15117" style="103" width="8.77734375"/>
    <col customWidth="1" max="15361" min="15361" style="103" width="12.77734375"/>
    <col customWidth="1" max="15362" min="15362" style="103" width="7"/>
    <col customWidth="1" max="15363" min="15363" style="103" width="9.88671875"/>
    <col customWidth="1" max="15364" min="15364" style="103" width="9"/>
    <col customWidth="1" max="15365" min="15365" style="103" width="7.6640625"/>
    <col customWidth="1" max="15366" min="15366" style="103" width="8.109375"/>
    <col customWidth="1" max="15367" min="15367" style="103" width="9.88671875"/>
    <col customWidth="1" max="15368" min="15368" style="103" width="10.44140625"/>
    <col customWidth="1" max="15369" min="15369" style="103" width="9.109375"/>
    <col customWidth="1" max="15370" min="15370" style="103" width="9.88671875"/>
    <col customWidth="1" max="15371" min="15371" style="103" width="7.6640625"/>
    <col customWidth="1" max="15372" min="15372" style="103" width="18.33203125"/>
    <col customWidth="1" max="15616" min="15373" style="103" width="8.77734375"/>
    <col customWidth="1" max="15617" min="15617" style="103" width="12.77734375"/>
    <col customWidth="1" max="15618" min="15618" style="103" width="7"/>
    <col customWidth="1" max="15619" min="15619" style="103" width="9.88671875"/>
    <col customWidth="1" max="15620" min="15620" style="103" width="9"/>
    <col customWidth="1" max="15621" min="15621" style="103" width="7.6640625"/>
    <col customWidth="1" max="15622" min="15622" style="103" width="8.109375"/>
    <col customWidth="1" max="15623" min="15623" style="103" width="9.88671875"/>
    <col customWidth="1" max="15624" min="15624" style="103" width="10.44140625"/>
    <col customWidth="1" max="15625" min="15625" style="103" width="9.109375"/>
    <col customWidth="1" max="15626" min="15626" style="103" width="9.88671875"/>
    <col customWidth="1" max="15627" min="15627" style="103" width="7.6640625"/>
    <col customWidth="1" max="15628" min="15628" style="103" width="18.33203125"/>
    <col customWidth="1" max="15872" min="15629" style="103" width="8.77734375"/>
    <col customWidth="1" max="15873" min="15873" style="103" width="12.77734375"/>
    <col customWidth="1" max="15874" min="15874" style="103" width="7"/>
    <col customWidth="1" max="15875" min="15875" style="103" width="9.88671875"/>
    <col customWidth="1" max="15876" min="15876" style="103" width="9"/>
    <col customWidth="1" max="15877" min="15877" style="103" width="7.6640625"/>
    <col customWidth="1" max="15878" min="15878" style="103" width="8.109375"/>
    <col customWidth="1" max="15879" min="15879" style="103" width="9.88671875"/>
    <col customWidth="1" max="15880" min="15880" style="103" width="10.44140625"/>
    <col customWidth="1" max="15881" min="15881" style="103" width="9.109375"/>
    <col customWidth="1" max="15882" min="15882" style="103" width="9.88671875"/>
    <col customWidth="1" max="15883" min="15883" style="103" width="7.6640625"/>
    <col customWidth="1" max="15884" min="15884" style="103" width="18.33203125"/>
    <col customWidth="1" max="16128" min="15885" style="103" width="8.77734375"/>
    <col customWidth="1" max="16129" min="16129" style="103" width="12.77734375"/>
    <col customWidth="1" max="16130" min="16130" style="103" width="7"/>
    <col customWidth="1" max="16131" min="16131" style="103" width="9.88671875"/>
    <col customWidth="1" max="16132" min="16132" style="103" width="9"/>
    <col customWidth="1" max="16133" min="16133" style="103" width="7.6640625"/>
    <col customWidth="1" max="16134" min="16134" style="103" width="8.109375"/>
    <col customWidth="1" max="16135" min="16135" style="103" width="9.88671875"/>
    <col customWidth="1" max="16136" min="16136" style="103" width="10.44140625"/>
    <col customWidth="1" max="16137" min="16137" style="103" width="9.109375"/>
    <col customWidth="1" max="16138" min="16138" style="103" width="9.88671875"/>
    <col customWidth="1" max="16139" min="16139" style="103" width="7.6640625"/>
    <col customWidth="1" max="16140" min="16140" style="103" width="18.33203125"/>
    <col customWidth="1" max="16384" min="16141" style="103" width="8.77734375"/>
  </cols>
  <sheetData>
    <row customHeight="1" ht="21" r="1" s="391" thickBot="1">
      <c r="A1" s="101" t="inlineStr">
        <is>
          <t>전기 계량기 검침</t>
        </is>
      </c>
      <c r="B1" s="102" t="n"/>
    </row>
    <row customFormat="1" customHeight="1" ht="15" r="2" s="104" thickTop="1">
      <c r="M2" s="108" t="n"/>
      <c r="N2" s="108" t="n"/>
      <c r="O2" s="108" t="n"/>
    </row>
    <row customFormat="1" customHeight="1" ht="15" r="3" s="105">
      <c r="A3" s="373" t="inlineStr">
        <is>
          <t>검침일자</t>
        </is>
      </c>
      <c r="B3" s="373" t="inlineStr">
        <is>
          <t>전체</t>
        </is>
      </c>
      <c r="C3" s="373" t="inlineStr">
        <is>
          <t>1층</t>
        </is>
      </c>
      <c r="D3" s="350" t="n"/>
      <c r="E3" s="373" t="inlineStr">
        <is>
          <t>2층(포함됨)</t>
        </is>
      </c>
      <c r="F3" s="350" t="n"/>
      <c r="G3" s="373" t="inlineStr">
        <is>
          <t>3층</t>
        </is>
      </c>
      <c r="H3" s="374" t="inlineStr">
        <is>
          <t>4층</t>
        </is>
      </c>
      <c r="I3" s="348" t="n"/>
      <c r="J3" s="373" t="inlineStr">
        <is>
          <t>5층</t>
        </is>
      </c>
      <c r="K3" s="373" t="inlineStr">
        <is>
          <t>공용</t>
        </is>
      </c>
      <c r="L3" s="373" t="inlineStr">
        <is>
          <t>비고</t>
        </is>
      </c>
      <c r="M3" s="109" t="n"/>
      <c r="N3" s="109" t="n"/>
      <c r="O3" s="109" t="n"/>
    </row>
    <row customFormat="1" customHeight="1" ht="15" r="4" s="105">
      <c r="A4" s="366" t="n"/>
      <c r="B4" s="366" t="n"/>
      <c r="C4" s="373" t="inlineStr">
        <is>
          <t>정육점</t>
        </is>
      </c>
      <c r="D4" s="373" t="inlineStr">
        <is>
          <t>하모니마트</t>
        </is>
      </c>
      <c r="E4" s="373" t="inlineStr">
        <is>
          <t>법률사무소 백야</t>
        </is>
      </c>
      <c r="F4" s="373" t="inlineStr">
        <is>
          <t>김영광치과</t>
        </is>
      </c>
      <c r="G4" s="373" t="inlineStr">
        <is>
          <t>법무법인 주한</t>
        </is>
      </c>
      <c r="H4" s="373" t="inlineStr">
        <is>
          <t>사무실</t>
        </is>
      </c>
      <c r="I4" s="373" t="inlineStr">
        <is>
          <t>사무실</t>
        </is>
      </c>
      <c r="J4" s="373" t="inlineStr">
        <is>
          <t>지니컵</t>
        </is>
      </c>
      <c r="K4" s="366" t="n"/>
      <c r="L4" s="366" t="n"/>
      <c r="M4" s="109" t="n"/>
      <c r="N4" s="109" t="inlineStr">
        <is>
          <t>정육점</t>
        </is>
      </c>
      <c r="O4" s="109" t="inlineStr">
        <is>
          <t>하모니마트</t>
        </is>
      </c>
      <c r="P4" s="105" t="inlineStr">
        <is>
          <t>백야</t>
        </is>
      </c>
      <c r="Q4" s="105" t="inlineStr">
        <is>
          <t>치과</t>
        </is>
      </c>
      <c r="R4" s="105" t="inlineStr">
        <is>
          <t>주한3층</t>
        </is>
      </c>
      <c r="S4" s="105" t="inlineStr">
        <is>
          <t>공실</t>
        </is>
      </c>
      <c r="T4" s="105" t="inlineStr">
        <is>
          <t>공실</t>
        </is>
      </c>
      <c r="U4" s="105" t="inlineStr">
        <is>
          <t>지니컵</t>
        </is>
      </c>
      <c r="V4" s="105" t="inlineStr">
        <is>
          <t>공용</t>
        </is>
      </c>
    </row>
    <row customFormat="1" customHeight="1" ht="15" r="5" s="105">
      <c r="A5" s="244" t="n">
        <v>44926</v>
      </c>
      <c r="B5" s="245" t="n"/>
      <c r="C5" s="245" t="n">
        <v>392379</v>
      </c>
      <c r="D5" s="245" t="n">
        <v>863992</v>
      </c>
      <c r="E5" s="245" t="n">
        <v>451979</v>
      </c>
      <c r="F5" s="246" t="n">
        <v>78161</v>
      </c>
      <c r="G5" s="246" t="n">
        <v>614354</v>
      </c>
      <c r="H5" s="245" t="n">
        <v>22819</v>
      </c>
      <c r="I5" s="245" t="n">
        <v>199790</v>
      </c>
      <c r="J5" s="245" t="n">
        <v>612016</v>
      </c>
      <c r="K5" s="245" t="n">
        <v>146643</v>
      </c>
      <c r="L5" s="247" t="n">
        <v>3387630</v>
      </c>
      <c r="M5" s="109" t="n"/>
      <c r="N5" s="110">
        <f>C5-C6</f>
        <v/>
      </c>
      <c r="O5" s="110">
        <f>D5-D6</f>
        <v/>
      </c>
      <c r="P5" s="106">
        <f>E5-E6</f>
        <v/>
      </c>
      <c r="Q5" s="106">
        <f>F5-F6</f>
        <v/>
      </c>
      <c r="R5" s="106">
        <f>G5-G6</f>
        <v/>
      </c>
      <c r="S5" s="106">
        <f>H5-H6</f>
        <v/>
      </c>
      <c r="T5" s="106">
        <f>I5-I6</f>
        <v/>
      </c>
      <c r="U5" s="106">
        <f>J5-J6</f>
        <v/>
      </c>
      <c r="V5" s="106">
        <f>K5-K6</f>
        <v/>
      </c>
    </row>
    <row customFormat="1" customHeight="1" ht="15" r="6" s="105">
      <c r="A6" s="244" t="n">
        <v>44895</v>
      </c>
      <c r="B6" s="245" t="n"/>
      <c r="C6" s="245" t="n">
        <v>387722</v>
      </c>
      <c r="D6" s="245" t="n">
        <v>860546</v>
      </c>
      <c r="E6" s="245" t="n">
        <v>450878</v>
      </c>
      <c r="F6" s="246" t="n">
        <v>77007</v>
      </c>
      <c r="G6" s="246" t="n">
        <v>610533</v>
      </c>
      <c r="H6" s="245" t="n">
        <v>22752</v>
      </c>
      <c r="I6" s="245" t="n">
        <v>199790</v>
      </c>
      <c r="J6" s="245" t="n">
        <v>606322</v>
      </c>
      <c r="K6" s="245" t="n">
        <v>146457</v>
      </c>
      <c r="L6" s="247" t="n">
        <v>2712680</v>
      </c>
      <c r="M6" s="109" t="n"/>
      <c r="N6" s="110">
        <f>C6-C7</f>
        <v/>
      </c>
      <c r="O6" s="110">
        <f>D6-D7</f>
        <v/>
      </c>
      <c r="P6" s="106">
        <f>E6-E7</f>
        <v/>
      </c>
      <c r="Q6" s="106">
        <f>F6-F7</f>
        <v/>
      </c>
      <c r="R6" s="106">
        <f>G6-G7</f>
        <v/>
      </c>
      <c r="S6" s="106">
        <f>H6-H7</f>
        <v/>
      </c>
      <c r="T6" s="106">
        <f>I6-I7</f>
        <v/>
      </c>
      <c r="U6" s="106">
        <f>J6-J7</f>
        <v/>
      </c>
      <c r="V6" s="106">
        <f>K6-K7</f>
        <v/>
      </c>
    </row>
    <row customFormat="1" customHeight="1" ht="15" r="7" s="105">
      <c r="A7" s="244" t="n">
        <v>44865</v>
      </c>
      <c r="B7" s="245" t="n"/>
      <c r="C7" s="245" t="n">
        <v>383160</v>
      </c>
      <c r="D7" s="245" t="n">
        <v>855635</v>
      </c>
      <c r="E7" s="245" t="n">
        <v>450303</v>
      </c>
      <c r="F7" s="246" t="n">
        <v>76272</v>
      </c>
      <c r="G7" s="246" t="n">
        <v>608793</v>
      </c>
      <c r="H7" s="245" t="n">
        <v>22752</v>
      </c>
      <c r="I7" s="245" t="n">
        <v>199790</v>
      </c>
      <c r="J7" s="245" t="n">
        <v>603495</v>
      </c>
      <c r="K7" s="245" t="n">
        <v>146260</v>
      </c>
      <c r="L7" s="247" t="n">
        <v>2175280</v>
      </c>
      <c r="M7" s="109" t="n"/>
      <c r="N7" s="110">
        <f>C7-C8</f>
        <v/>
      </c>
      <c r="O7" s="110">
        <f>D7-D8</f>
        <v/>
      </c>
      <c r="P7" s="106">
        <f>E7-E8</f>
        <v/>
      </c>
      <c r="Q7" s="106">
        <f>F7-F8</f>
        <v/>
      </c>
      <c r="R7" s="106">
        <f>G7-G8</f>
        <v/>
      </c>
      <c r="S7" s="106">
        <f>H7-H8</f>
        <v/>
      </c>
      <c r="T7" s="106">
        <f>I7-I8</f>
        <v/>
      </c>
      <c r="U7" s="106">
        <f>J7-J8</f>
        <v/>
      </c>
      <c r="V7" s="106">
        <f>K7-K8</f>
        <v/>
      </c>
    </row>
    <row customFormat="1" customHeight="1" ht="15" r="8" s="105">
      <c r="A8" s="244" t="n">
        <v>44834</v>
      </c>
      <c r="B8" s="245" t="n"/>
      <c r="C8" s="245" t="n">
        <v>378218</v>
      </c>
      <c r="D8" s="245" t="n">
        <v>849674</v>
      </c>
      <c r="E8" s="245" t="n">
        <v>449875</v>
      </c>
      <c r="F8" s="246" t="n">
        <v>75801</v>
      </c>
      <c r="G8" s="246" t="n">
        <v>607348</v>
      </c>
      <c r="H8" s="245" t="n">
        <v>22744</v>
      </c>
      <c r="I8" s="245" t="n">
        <v>199790</v>
      </c>
      <c r="J8" s="245" t="n">
        <v>601546</v>
      </c>
      <c r="K8" s="245" t="n">
        <v>146063</v>
      </c>
      <c r="L8" s="247" t="n">
        <v>2246410</v>
      </c>
      <c r="M8" s="109" t="n"/>
      <c r="N8" s="110">
        <f>C8-C9</f>
        <v/>
      </c>
      <c r="O8" s="110">
        <f>D8-D9</f>
        <v/>
      </c>
      <c r="P8" s="106">
        <f>E8-E9</f>
        <v/>
      </c>
      <c r="Q8" s="106">
        <f>F8-F9</f>
        <v/>
      </c>
      <c r="R8" s="106">
        <f>G8-G9</f>
        <v/>
      </c>
      <c r="S8" s="106">
        <f>H8-H9</f>
        <v/>
      </c>
      <c r="T8" s="106">
        <f>I8-I9</f>
        <v/>
      </c>
      <c r="U8" s="106">
        <f>J8-J9</f>
        <v/>
      </c>
      <c r="V8" s="106">
        <f>K8-K9</f>
        <v/>
      </c>
    </row>
    <row customFormat="1" customHeight="1" ht="15" r="9" s="105">
      <c r="A9" s="244" t="n">
        <v>44804</v>
      </c>
      <c r="B9" s="245" t="n"/>
      <c r="C9" s="245" t="n">
        <v>373097</v>
      </c>
      <c r="D9" s="245" t="n">
        <v>842116</v>
      </c>
      <c r="E9" s="245" t="n">
        <v>449380</v>
      </c>
      <c r="F9" s="246" t="n">
        <v>75339</v>
      </c>
      <c r="G9" s="246" t="n">
        <v>605819</v>
      </c>
      <c r="H9" s="245" t="n">
        <v>22744</v>
      </c>
      <c r="I9" s="245" t="n">
        <v>199790</v>
      </c>
      <c r="J9" s="245" t="n">
        <v>599523</v>
      </c>
      <c r="K9" s="245" t="n">
        <v>145861</v>
      </c>
      <c r="L9" s="247" t="n">
        <v>3606500</v>
      </c>
      <c r="M9" s="109" t="n"/>
      <c r="N9" s="110">
        <f>C9-C10</f>
        <v/>
      </c>
      <c r="O9" s="110">
        <f>D9-D10</f>
        <v/>
      </c>
      <c r="P9" s="106">
        <f>E9-E10</f>
        <v/>
      </c>
      <c r="Q9" s="106">
        <f>F9-F10</f>
        <v/>
      </c>
      <c r="R9" s="106">
        <f>G9-G10</f>
        <v/>
      </c>
      <c r="S9" s="106">
        <f>H9-H10</f>
        <v/>
      </c>
      <c r="T9" s="106">
        <f>I9-I10</f>
        <v/>
      </c>
      <c r="U9" s="106">
        <f>J9-J10</f>
        <v/>
      </c>
      <c r="V9" s="106">
        <f>K9-K10</f>
        <v/>
      </c>
    </row>
    <row customFormat="1" customHeight="1" ht="15" r="10" s="105">
      <c r="A10" s="244" t="n">
        <v>44773</v>
      </c>
      <c r="B10" s="245" t="n"/>
      <c r="C10" s="245" t="n">
        <v>367371</v>
      </c>
      <c r="D10" s="245" t="n">
        <v>833073</v>
      </c>
      <c r="E10" s="245" t="n">
        <v>448622</v>
      </c>
      <c r="F10" s="246" t="n">
        <v>74679</v>
      </c>
      <c r="G10" s="246" t="n">
        <v>603456</v>
      </c>
      <c r="H10" s="245" t="n">
        <v>22703</v>
      </c>
      <c r="I10" s="245" t="n">
        <v>199790</v>
      </c>
      <c r="J10" s="245" t="n">
        <v>597012</v>
      </c>
      <c r="K10" s="245" t="n">
        <v>145658</v>
      </c>
      <c r="L10" s="247" t="n">
        <v>3686270</v>
      </c>
      <c r="M10" s="109" t="n"/>
      <c r="N10" s="110">
        <f>C10-C11</f>
        <v/>
      </c>
      <c r="O10" s="110">
        <f>D10-D11</f>
        <v/>
      </c>
      <c r="P10" s="106">
        <f>E10-E11</f>
        <v/>
      </c>
      <c r="Q10" s="106">
        <f>F10-F11</f>
        <v/>
      </c>
      <c r="R10" s="106">
        <f>G10-G11</f>
        <v/>
      </c>
      <c r="S10" s="106">
        <f>H10-H11</f>
        <v/>
      </c>
      <c r="T10" s="106">
        <f>I10-I11</f>
        <v/>
      </c>
      <c r="U10" s="106">
        <f>J10-J11</f>
        <v/>
      </c>
      <c r="V10" s="106">
        <f>K10-K11</f>
        <v/>
      </c>
    </row>
    <row customFormat="1" customHeight="1" ht="15" r="11" s="105">
      <c r="A11" s="244" t="n">
        <v>44742</v>
      </c>
      <c r="B11" s="245" t="n"/>
      <c r="C11" s="245" t="n">
        <v>361436</v>
      </c>
      <c r="D11" s="245" t="n">
        <v>823081</v>
      </c>
      <c r="E11" s="245" t="n">
        <v>447859</v>
      </c>
      <c r="F11" s="246" t="n">
        <v>73685</v>
      </c>
      <c r="G11" s="246" t="n">
        <v>600698</v>
      </c>
      <c r="H11" s="245" t="n">
        <v>22703</v>
      </c>
      <c r="I11" s="245" t="n">
        <v>199790</v>
      </c>
      <c r="J11" s="245" t="n">
        <v>594546</v>
      </c>
      <c r="K11" s="245" t="n">
        <v>145443</v>
      </c>
      <c r="L11" s="247" t="n">
        <v>2957560</v>
      </c>
      <c r="M11" s="109" t="n"/>
      <c r="N11" s="110">
        <f>C11-C12</f>
        <v/>
      </c>
      <c r="O11" s="110">
        <f>D11-D12</f>
        <v/>
      </c>
      <c r="P11" s="106">
        <f>E11-E12</f>
        <v/>
      </c>
      <c r="Q11" s="106">
        <f>F11-F12</f>
        <v/>
      </c>
      <c r="R11" s="106">
        <f>G11-G12</f>
        <v/>
      </c>
      <c r="S11" s="106">
        <f>H11-H12</f>
        <v/>
      </c>
      <c r="T11" s="106">
        <f>I11-I12</f>
        <v/>
      </c>
      <c r="U11" s="106">
        <f>J11-J12</f>
        <v/>
      </c>
      <c r="V11" s="106">
        <f>K11-K12</f>
        <v/>
      </c>
    </row>
    <row customFormat="1" customHeight="1" ht="15" r="12" s="105">
      <c r="A12" s="244" t="n">
        <v>44712</v>
      </c>
      <c r="B12" s="245" t="n"/>
      <c r="C12" s="245" t="n">
        <v>356094</v>
      </c>
      <c r="D12" s="245" t="n">
        <v>815032</v>
      </c>
      <c r="E12" s="245" t="n">
        <v>447315</v>
      </c>
      <c r="F12" s="246" t="n">
        <v>73190</v>
      </c>
      <c r="G12" s="246" t="n">
        <v>598939</v>
      </c>
      <c r="H12" s="245" t="n">
        <v>22680</v>
      </c>
      <c r="I12" s="245" t="n">
        <v>199790</v>
      </c>
      <c r="J12" s="245" t="n">
        <v>594137</v>
      </c>
      <c r="K12" s="245" t="n">
        <v>145250</v>
      </c>
      <c r="L12" s="247" t="n">
        <v>1996830</v>
      </c>
      <c r="M12" s="109" t="n"/>
      <c r="N12" s="110">
        <f>C12-C13</f>
        <v/>
      </c>
      <c r="O12" s="110">
        <f>D12-D13</f>
        <v/>
      </c>
      <c r="P12" s="106">
        <f>E12-E13</f>
        <v/>
      </c>
      <c r="Q12" s="106">
        <f>F12-F13</f>
        <v/>
      </c>
      <c r="R12" s="106">
        <f>G12-G13</f>
        <v/>
      </c>
      <c r="S12" s="106">
        <f>H12-H13</f>
        <v/>
      </c>
      <c r="T12" s="106">
        <f>I12-I13</f>
        <v/>
      </c>
      <c r="U12" s="106">
        <f>J12-J13</f>
        <v/>
      </c>
      <c r="V12" s="106">
        <f>K12-K13</f>
        <v/>
      </c>
    </row>
    <row customFormat="1" customHeight="1" ht="15" r="13" s="105">
      <c r="A13" s="244" t="n">
        <v>44681</v>
      </c>
      <c r="B13" s="245" t="n"/>
      <c r="C13" s="245" t="n">
        <v>350689</v>
      </c>
      <c r="D13" s="245" t="n">
        <v>806687</v>
      </c>
      <c r="E13" s="245" t="n">
        <v>446836</v>
      </c>
      <c r="F13" s="246" t="n">
        <v>72764</v>
      </c>
      <c r="G13" s="246" t="n">
        <v>597651</v>
      </c>
      <c r="H13" s="245" t="n">
        <v>22680</v>
      </c>
      <c r="I13" s="245" t="n">
        <v>199790</v>
      </c>
      <c r="J13" s="245" t="n">
        <v>594137</v>
      </c>
      <c r="K13" s="245" t="n">
        <v>145059</v>
      </c>
      <c r="L13" s="247" t="n">
        <v>1885610</v>
      </c>
      <c r="M13" s="109" t="n"/>
      <c r="N13" s="110">
        <f>C13-C14</f>
        <v/>
      </c>
      <c r="O13" s="110">
        <f>D13-D14</f>
        <v/>
      </c>
      <c r="P13" s="106">
        <f>E13-E14</f>
        <v/>
      </c>
      <c r="Q13" s="106">
        <f>F13-F14</f>
        <v/>
      </c>
      <c r="R13" s="106">
        <f>G13-G14</f>
        <v/>
      </c>
      <c r="S13" s="106">
        <f>H13-H14</f>
        <v/>
      </c>
      <c r="T13" s="106">
        <f>I13-I14</f>
        <v/>
      </c>
      <c r="U13" s="106">
        <f>J13-J14</f>
        <v/>
      </c>
      <c r="V13" s="106">
        <f>K13-K14</f>
        <v/>
      </c>
    </row>
    <row customFormat="1" customHeight="1" ht="15" r="14" s="105">
      <c r="A14" s="244" t="n">
        <v>44651</v>
      </c>
      <c r="B14" s="245" t="n"/>
      <c r="C14" s="245" t="n">
        <v>345677</v>
      </c>
      <c r="D14" s="245" t="n">
        <v>800311</v>
      </c>
      <c r="E14" s="245" t="n">
        <v>446347</v>
      </c>
      <c r="F14" s="246" t="n">
        <v>72311</v>
      </c>
      <c r="G14" s="246" t="n">
        <v>596143</v>
      </c>
      <c r="H14" s="245" t="n">
        <v>22588</v>
      </c>
      <c r="I14" s="245" t="n">
        <v>199790</v>
      </c>
      <c r="J14" s="245" t="n">
        <v>594137</v>
      </c>
      <c r="K14" s="245" t="n">
        <v>144884</v>
      </c>
      <c r="L14" s="247" t="n">
        <v>1815050</v>
      </c>
      <c r="M14" s="109" t="n"/>
      <c r="N14" s="110">
        <f>C14-C15</f>
        <v/>
      </c>
      <c r="O14" s="110">
        <f>D14-D15</f>
        <v/>
      </c>
      <c r="P14" s="106">
        <f>E14-E15</f>
        <v/>
      </c>
      <c r="Q14" s="106">
        <f>F14-F15</f>
        <v/>
      </c>
      <c r="R14" s="106">
        <f>G14-G15</f>
        <v/>
      </c>
      <c r="S14" s="106">
        <f>H14-H15</f>
        <v/>
      </c>
      <c r="T14" s="106">
        <f>I14-I15</f>
        <v/>
      </c>
      <c r="U14" s="106">
        <f>J14-J15</f>
        <v/>
      </c>
      <c r="V14" s="106">
        <f>K14-K15</f>
        <v/>
      </c>
    </row>
    <row customFormat="1" customHeight="1" ht="15" r="15" s="105">
      <c r="A15" s="244" t="n">
        <v>44620</v>
      </c>
      <c r="B15" s="245" t="n"/>
      <c r="C15" s="245" t="n">
        <v>340765</v>
      </c>
      <c r="D15" s="245" t="n">
        <v>795242</v>
      </c>
      <c r="E15" s="245" t="n">
        <v>445593</v>
      </c>
      <c r="F15" s="246" t="n">
        <v>71451</v>
      </c>
      <c r="G15" s="246" t="n">
        <v>593356</v>
      </c>
      <c r="H15" s="245" t="n">
        <v>22588</v>
      </c>
      <c r="I15" s="245" t="n">
        <v>199790</v>
      </c>
      <c r="J15" s="245" t="n">
        <v>594137</v>
      </c>
      <c r="K15" s="245" t="n">
        <v>144703</v>
      </c>
      <c r="L15" s="247" t="n">
        <v>1943280</v>
      </c>
      <c r="M15" s="109" t="n"/>
      <c r="N15" s="110">
        <f>C15-C16</f>
        <v/>
      </c>
      <c r="O15" s="110">
        <f>D15-D16</f>
        <v/>
      </c>
      <c r="P15" s="106">
        <f>E15-E16</f>
        <v/>
      </c>
      <c r="Q15" s="106">
        <f>F15-F16</f>
        <v/>
      </c>
      <c r="R15" s="106">
        <f>G15-G16</f>
        <v/>
      </c>
      <c r="S15" s="106">
        <f>H15-H16</f>
        <v/>
      </c>
      <c r="T15" s="106">
        <f>I15-I16</f>
        <v/>
      </c>
      <c r="U15" s="106">
        <f>J15-J16</f>
        <v/>
      </c>
      <c r="V15" s="106">
        <f>K15-K16</f>
        <v/>
      </c>
    </row>
    <row customFormat="1" customHeight="1" ht="15" r="16" s="105">
      <c r="A16" s="244" t="n">
        <v>44592</v>
      </c>
      <c r="B16" s="245" t="n"/>
      <c r="C16" s="245" t="n">
        <v>339473</v>
      </c>
      <c r="D16" s="245" t="n">
        <v>792147</v>
      </c>
      <c r="E16" s="245" t="n">
        <v>444748</v>
      </c>
      <c r="F16" s="246" t="n">
        <v>70611</v>
      </c>
      <c r="G16" s="246" t="n">
        <v>589966</v>
      </c>
      <c r="H16" s="245" t="n">
        <v>22588</v>
      </c>
      <c r="I16" s="245" t="n">
        <v>199790</v>
      </c>
      <c r="J16" s="245" t="n">
        <v>594137</v>
      </c>
      <c r="K16" s="245" t="n">
        <v>144550</v>
      </c>
      <c r="L16" s="247" t="n">
        <v>1978750</v>
      </c>
      <c r="M16" s="109" t="n"/>
      <c r="N16" s="110">
        <f>C16-C17</f>
        <v/>
      </c>
      <c r="O16" s="110">
        <f>D16-D17</f>
        <v/>
      </c>
      <c r="P16" s="106">
        <f>E16-E17</f>
        <v/>
      </c>
      <c r="Q16" s="106">
        <f>F16-F17</f>
        <v/>
      </c>
      <c r="R16" s="106">
        <f>G16-G17</f>
        <v/>
      </c>
      <c r="S16" s="106">
        <f>H16-H17</f>
        <v/>
      </c>
      <c r="T16" s="106">
        <f>I16-I17</f>
        <v/>
      </c>
      <c r="U16" s="106">
        <f>J16-J17</f>
        <v/>
      </c>
      <c r="V16" s="106">
        <f>K16-K17</f>
        <v/>
      </c>
    </row>
    <row customFormat="1" customHeight="1" ht="15" r="17" s="105">
      <c r="A17" s="244" t="n">
        <v>44561</v>
      </c>
      <c r="B17" s="245" t="n"/>
      <c r="C17" s="245" t="n">
        <v>339385</v>
      </c>
      <c r="D17" s="245" t="n">
        <v>787600</v>
      </c>
      <c r="E17" s="245" t="n">
        <v>443523</v>
      </c>
      <c r="F17" s="246" t="n">
        <v>69620</v>
      </c>
      <c r="G17" s="246" t="n">
        <v>585449</v>
      </c>
      <c r="H17" s="245" t="n">
        <v>22588</v>
      </c>
      <c r="I17" s="245" t="n">
        <v>199790</v>
      </c>
      <c r="J17" s="245" t="n">
        <v>594137</v>
      </c>
      <c r="K17" s="245" t="n">
        <v>144303</v>
      </c>
      <c r="L17" s="247" t="n">
        <v>1888730</v>
      </c>
      <c r="M17" s="109" t="n"/>
      <c r="N17" s="110">
        <f>C17-C18</f>
        <v/>
      </c>
      <c r="O17" s="110">
        <f>D17-D18</f>
        <v/>
      </c>
      <c r="P17" s="106">
        <f>E17-E18</f>
        <v/>
      </c>
      <c r="Q17" s="106">
        <f>F17-F18</f>
        <v/>
      </c>
      <c r="R17" s="106">
        <f>G17-G18</f>
        <v/>
      </c>
      <c r="S17" s="106">
        <f>H17-H18</f>
        <v/>
      </c>
      <c r="T17" s="106">
        <f>I17-I18</f>
        <v/>
      </c>
      <c r="U17" s="106">
        <f>J17-J18</f>
        <v/>
      </c>
      <c r="V17" s="106">
        <f>K17-K18</f>
        <v/>
      </c>
    </row>
    <row customFormat="1" customHeight="1" ht="15" r="18" s="105">
      <c r="A18" s="244" t="n">
        <v>44530</v>
      </c>
      <c r="B18" s="245" t="n"/>
      <c r="C18" s="245" t="n">
        <v>339139</v>
      </c>
      <c r="D18" s="245" t="n">
        <v>783110</v>
      </c>
      <c r="E18" s="245" t="n">
        <v>442470</v>
      </c>
      <c r="F18" s="246" t="n">
        <v>68757</v>
      </c>
      <c r="G18" s="246" t="n">
        <v>581792</v>
      </c>
      <c r="H18" s="245" t="n">
        <v>22550</v>
      </c>
      <c r="I18" s="245" t="n">
        <v>199790</v>
      </c>
      <c r="J18" s="245" t="n">
        <v>594137</v>
      </c>
      <c r="K18" s="245" t="n">
        <v>143966</v>
      </c>
      <c r="L18" s="247" t="n">
        <v>1787660</v>
      </c>
      <c r="M18" s="109" t="n"/>
      <c r="N18" s="110">
        <f>C18-C19</f>
        <v/>
      </c>
      <c r="O18" s="110">
        <f>D18-D19</f>
        <v/>
      </c>
      <c r="P18" s="106">
        <f>E18-E19</f>
        <v/>
      </c>
      <c r="Q18" s="106">
        <f>F18-F19</f>
        <v/>
      </c>
      <c r="R18" s="106">
        <f>G18-G19</f>
        <v/>
      </c>
      <c r="S18" s="106">
        <f>H18-H19</f>
        <v/>
      </c>
      <c r="T18" s="106">
        <f>I18-I19</f>
        <v/>
      </c>
      <c r="U18" s="106">
        <f>J18-J19</f>
        <v/>
      </c>
      <c r="V18" s="106">
        <f>K18-K19</f>
        <v/>
      </c>
    </row>
    <row customFormat="1" customHeight="1" ht="15" r="19" s="105">
      <c r="A19" s="244" t="n">
        <v>44500</v>
      </c>
      <c r="B19" s="245" t="n"/>
      <c r="C19" s="245" t="n">
        <v>338928</v>
      </c>
      <c r="D19" s="245" t="n">
        <v>777705</v>
      </c>
      <c r="E19" s="245" t="n">
        <v>441796</v>
      </c>
      <c r="F19" s="246" t="n">
        <v>68132</v>
      </c>
      <c r="G19" s="246" t="n">
        <v>579465</v>
      </c>
      <c r="H19" s="245" t="n">
        <v>22550</v>
      </c>
      <c r="I19" s="245" t="n">
        <v>199790</v>
      </c>
      <c r="J19" s="245" t="n">
        <v>594137</v>
      </c>
      <c r="K19" s="245" t="n">
        <v>143641</v>
      </c>
      <c r="L19" s="247" t="n">
        <v>1533240</v>
      </c>
      <c r="M19" s="109" t="n"/>
      <c r="N19" s="110">
        <f>C19-C20</f>
        <v/>
      </c>
      <c r="O19" s="110">
        <f>D19-D20</f>
        <v/>
      </c>
      <c r="P19" s="106">
        <f>E19-E20</f>
        <v/>
      </c>
      <c r="Q19" s="106">
        <f>F19-F20</f>
        <v/>
      </c>
      <c r="R19" s="106">
        <f>G19-G20</f>
        <v/>
      </c>
      <c r="S19" s="106">
        <f>H19-H20</f>
        <v/>
      </c>
      <c r="T19" s="106">
        <f>I19-I20</f>
        <v/>
      </c>
      <c r="U19" s="106">
        <f>J19-J20</f>
        <v/>
      </c>
      <c r="V19" s="106">
        <f>K19-K20</f>
        <v/>
      </c>
    </row>
    <row customFormat="1" customHeight="1" ht="15" r="20" s="105">
      <c r="A20" s="244" t="n">
        <v>44469</v>
      </c>
      <c r="B20" s="245" t="n"/>
      <c r="C20" s="245" t="n">
        <v>338611</v>
      </c>
      <c r="D20" s="245" t="n">
        <v>769497</v>
      </c>
      <c r="E20" s="245" t="n">
        <v>441146</v>
      </c>
      <c r="F20" s="246" t="n">
        <v>67570</v>
      </c>
      <c r="G20" s="246" t="n">
        <v>577875</v>
      </c>
      <c r="H20" s="245" t="n">
        <v>22520</v>
      </c>
      <c r="I20" s="245" t="n">
        <v>199790</v>
      </c>
      <c r="J20" s="245" t="n">
        <v>594137</v>
      </c>
      <c r="K20" s="245" t="n">
        <v>143294</v>
      </c>
      <c r="L20" s="247" t="n">
        <v>1627440</v>
      </c>
      <c r="M20" s="109" t="n"/>
      <c r="N20" s="110">
        <f>C20-C21</f>
        <v/>
      </c>
      <c r="O20" s="110">
        <f>D20-D21</f>
        <v/>
      </c>
      <c r="P20" s="106">
        <f>E20-E21</f>
        <v/>
      </c>
      <c r="Q20" s="106">
        <f>F20-F21</f>
        <v/>
      </c>
      <c r="R20" s="106">
        <f>G20-G21</f>
        <v/>
      </c>
      <c r="S20" s="106">
        <f>H20-H21</f>
        <v/>
      </c>
      <c r="T20" s="106">
        <f>I20-I21</f>
        <v/>
      </c>
      <c r="U20" s="106">
        <f>J20-J21</f>
        <v/>
      </c>
      <c r="V20" s="106">
        <f>K20-K21</f>
        <v/>
      </c>
    </row>
    <row customFormat="1" customHeight="1" ht="15" r="21" s="105">
      <c r="A21" s="244" t="n">
        <v>44439</v>
      </c>
      <c r="B21" s="245" t="n"/>
      <c r="C21" s="245" t="n">
        <v>338080</v>
      </c>
      <c r="D21" s="245" t="n">
        <v>760675</v>
      </c>
      <c r="E21" s="245" t="n">
        <v>440578</v>
      </c>
      <c r="F21" s="246" t="n">
        <v>67072</v>
      </c>
      <c r="G21" s="246" t="n">
        <v>576161</v>
      </c>
      <c r="H21" s="245" t="n">
        <v>22453</v>
      </c>
      <c r="I21" s="245" t="n">
        <v>199790</v>
      </c>
      <c r="J21" s="245" t="n">
        <v>594137</v>
      </c>
      <c r="K21" s="245" t="n">
        <v>142967</v>
      </c>
      <c r="L21" s="247" t="n">
        <v>2581120</v>
      </c>
      <c r="M21" s="109" t="n"/>
      <c r="N21" s="110">
        <f>C21-C22</f>
        <v/>
      </c>
      <c r="O21" s="110">
        <f>D21-D22</f>
        <v/>
      </c>
      <c r="P21" s="106">
        <f>E21-E22</f>
        <v/>
      </c>
      <c r="Q21" s="106">
        <f>F21-F22</f>
        <v/>
      </c>
      <c r="R21" s="106">
        <f>G21-G22</f>
        <v/>
      </c>
      <c r="S21" s="106">
        <f>H21-H22</f>
        <v/>
      </c>
      <c r="T21" s="106">
        <f>I21-I22</f>
        <v/>
      </c>
      <c r="U21" s="106">
        <f>J21-J22</f>
        <v/>
      </c>
      <c r="V21" s="106">
        <f>K21-K22</f>
        <v/>
      </c>
    </row>
    <row customFormat="1" customHeight="1" ht="15" r="22" s="105">
      <c r="A22" s="244" t="n">
        <v>44408</v>
      </c>
      <c r="B22" s="245" t="n"/>
      <c r="C22" s="245" t="n">
        <v>337135</v>
      </c>
      <c r="D22" s="245" t="n">
        <v>750331</v>
      </c>
      <c r="E22" s="245" t="n">
        <v>439667</v>
      </c>
      <c r="F22" s="246" t="n">
        <v>65960</v>
      </c>
      <c r="G22" s="246" t="n">
        <v>573136</v>
      </c>
      <c r="H22" s="245" t="n">
        <v>22453</v>
      </c>
      <c r="I22" s="245" t="n">
        <v>199790</v>
      </c>
      <c r="J22" s="245" t="n">
        <v>594125</v>
      </c>
      <c r="K22" s="245" t="n">
        <v>142583</v>
      </c>
      <c r="L22" s="247" t="n">
        <v>2729610</v>
      </c>
      <c r="M22" s="109" t="n"/>
      <c r="N22" s="110">
        <f>C22-C23</f>
        <v/>
      </c>
      <c r="O22" s="110">
        <f>D22-D23</f>
        <v/>
      </c>
      <c r="P22" s="106">
        <f>E22-E23</f>
        <v/>
      </c>
      <c r="Q22" s="106">
        <f>F22-F23</f>
        <v/>
      </c>
      <c r="R22" s="106">
        <f>G22-G23</f>
        <v/>
      </c>
      <c r="S22" s="106">
        <f>H22-H23</f>
        <v/>
      </c>
      <c r="T22" s="106">
        <f>I22-I23</f>
        <v/>
      </c>
      <c r="U22" s="106">
        <f>J22-J23</f>
        <v/>
      </c>
      <c r="V22" s="106">
        <f>K22-K23</f>
        <v/>
      </c>
    </row>
    <row customFormat="1" customHeight="1" ht="15" r="23" s="105">
      <c r="A23" s="244" t="n">
        <v>44377</v>
      </c>
      <c r="B23" s="245" t="n"/>
      <c r="C23" s="245" t="n">
        <v>336186</v>
      </c>
      <c r="D23" s="245" t="n">
        <v>740164</v>
      </c>
      <c r="E23" s="245" t="n">
        <v>438786</v>
      </c>
      <c r="F23" s="246" t="n">
        <v>65117</v>
      </c>
      <c r="G23" s="246" t="n">
        <v>569719</v>
      </c>
      <c r="H23" s="245" t="n">
        <v>22453</v>
      </c>
      <c r="I23" s="245" t="n">
        <v>199790</v>
      </c>
      <c r="J23" s="245" t="n">
        <v>594113</v>
      </c>
      <c r="K23" s="245" t="n">
        <v>142236</v>
      </c>
      <c r="L23" s="247" t="n">
        <v>2263490</v>
      </c>
      <c r="M23" s="109" t="n"/>
      <c r="N23" s="110">
        <f>C23-C24</f>
        <v/>
      </c>
      <c r="O23" s="110">
        <f>D23-D24</f>
        <v/>
      </c>
      <c r="P23" s="106">
        <f>E23-E24</f>
        <v/>
      </c>
      <c r="Q23" s="106">
        <f>F23-F24</f>
        <v/>
      </c>
      <c r="R23" s="106">
        <f>G23-G24</f>
        <v/>
      </c>
      <c r="S23" s="106">
        <f>H23-H24</f>
        <v/>
      </c>
      <c r="T23" s="106">
        <f>I23-I24</f>
        <v/>
      </c>
      <c r="U23" s="106">
        <f>J23-J24</f>
        <v/>
      </c>
      <c r="V23" s="106">
        <f>K23-K24</f>
        <v/>
      </c>
    </row>
    <row customFormat="1" customHeight="1" ht="15" r="24" s="105">
      <c r="A24" s="244" t="n">
        <v>44347</v>
      </c>
      <c r="B24" s="245" t="n"/>
      <c r="C24" s="245" t="n">
        <v>335805</v>
      </c>
      <c r="D24" s="245" t="n">
        <v>731170</v>
      </c>
      <c r="E24" s="245" t="n">
        <v>438178</v>
      </c>
      <c r="F24" s="246" t="n">
        <v>64482</v>
      </c>
      <c r="G24" s="246" t="n">
        <v>567763</v>
      </c>
      <c r="H24" s="245" t="n">
        <v>22436</v>
      </c>
      <c r="I24" s="245" t="n">
        <v>199790</v>
      </c>
      <c r="J24" s="245" t="n">
        <v>594113</v>
      </c>
      <c r="K24" s="245" t="n">
        <v>141905</v>
      </c>
      <c r="L24" s="247" t="n">
        <v>1530720</v>
      </c>
      <c r="M24" s="109" t="n"/>
      <c r="N24" s="110">
        <f>C24-C25</f>
        <v/>
      </c>
      <c r="O24" s="110">
        <f>D24-D25</f>
        <v/>
      </c>
      <c r="P24" s="106">
        <f>E24-E25</f>
        <v/>
      </c>
      <c r="Q24" s="106">
        <f>F24-F25</f>
        <v/>
      </c>
      <c r="R24" s="106">
        <f>G24-G25</f>
        <v/>
      </c>
      <c r="S24" s="106">
        <f>H24-H25</f>
        <v/>
      </c>
      <c r="T24" s="106">
        <f>I24-I25</f>
        <v/>
      </c>
      <c r="U24" s="106">
        <f>J24-J25</f>
        <v/>
      </c>
      <c r="V24" s="106">
        <f>K24-K25</f>
        <v/>
      </c>
    </row>
    <row customFormat="1" customHeight="1" ht="15" r="25" s="105">
      <c r="A25" s="244" t="n">
        <v>44316</v>
      </c>
      <c r="B25" s="245" t="n"/>
      <c r="C25" s="245" t="n">
        <v>335287</v>
      </c>
      <c r="D25" s="245" t="n">
        <v>723322</v>
      </c>
      <c r="E25" s="245" t="n">
        <v>437659</v>
      </c>
      <c r="F25" s="246" t="n">
        <v>63874</v>
      </c>
      <c r="G25" s="246" t="n">
        <v>566587</v>
      </c>
      <c r="H25" s="245" t="n">
        <v>22404</v>
      </c>
      <c r="I25" s="245" t="n">
        <v>199790</v>
      </c>
      <c r="J25" s="245" t="n">
        <v>594085</v>
      </c>
      <c r="K25" s="245" t="n">
        <v>141539</v>
      </c>
      <c r="L25" s="247" t="n">
        <v>1561640</v>
      </c>
      <c r="M25" s="109" t="n"/>
      <c r="N25" s="110">
        <f>C25-C26</f>
        <v/>
      </c>
      <c r="O25" s="110">
        <f>D25-D26</f>
        <v/>
      </c>
      <c r="P25" s="106">
        <f>E25-E26</f>
        <v/>
      </c>
      <c r="Q25" s="106">
        <f>F25-F26</f>
        <v/>
      </c>
      <c r="R25" s="106">
        <f>G25-G26</f>
        <v/>
      </c>
      <c r="S25" s="106">
        <f>H25-H26</f>
        <v/>
      </c>
      <c r="T25" s="106">
        <f>I25-I26</f>
        <v/>
      </c>
      <c r="U25" s="106">
        <f>J25-J26</f>
        <v/>
      </c>
      <c r="V25" s="106">
        <f>K25-K26</f>
        <v/>
      </c>
    </row>
    <row customFormat="1" customHeight="1" ht="15" r="26" s="105">
      <c r="A26" s="244" t="n">
        <v>44286</v>
      </c>
      <c r="B26" s="245" t="n"/>
      <c r="C26" s="245" t="n">
        <v>334660</v>
      </c>
      <c r="D26" s="245" t="n">
        <v>716665</v>
      </c>
      <c r="E26" s="245" t="n">
        <v>437045</v>
      </c>
      <c r="F26" s="246" t="n">
        <v>63169</v>
      </c>
      <c r="G26" s="246" t="n">
        <v>565229</v>
      </c>
      <c r="H26" s="245" t="n">
        <v>22404</v>
      </c>
      <c r="I26" s="245" t="n">
        <v>199790</v>
      </c>
      <c r="J26" s="245" t="n">
        <v>593134</v>
      </c>
      <c r="K26" s="245" t="n">
        <v>141213</v>
      </c>
      <c r="L26" s="247" t="n">
        <v>1700140</v>
      </c>
      <c r="M26" s="109" t="n"/>
      <c r="N26" s="110">
        <f>C26-C27</f>
        <v/>
      </c>
      <c r="O26" s="110">
        <f>D26-D27</f>
        <v/>
      </c>
      <c r="P26" s="106">
        <f>E26-E27</f>
        <v/>
      </c>
      <c r="Q26" s="106">
        <f>F26-F27</f>
        <v/>
      </c>
      <c r="R26" s="106">
        <f>G26-G27</f>
        <v/>
      </c>
      <c r="S26" s="106">
        <f>H26-H27</f>
        <v/>
      </c>
      <c r="T26" s="106">
        <f>I26-I27</f>
        <v/>
      </c>
      <c r="U26" s="106">
        <f>J26-J27</f>
        <v/>
      </c>
      <c r="V26" s="106">
        <f>K26-K27</f>
        <v/>
      </c>
    </row>
    <row customFormat="1" customHeight="1" ht="15" r="27" s="105">
      <c r="A27" s="244" t="n">
        <v>44255</v>
      </c>
      <c r="B27" s="245" t="n"/>
      <c r="C27" s="245" t="n">
        <v>333404</v>
      </c>
      <c r="D27" s="245" t="n">
        <v>710823</v>
      </c>
      <c r="E27" s="245" t="n">
        <v>436092</v>
      </c>
      <c r="F27" s="246" t="n">
        <v>62164</v>
      </c>
      <c r="G27" s="246" t="n">
        <v>563300</v>
      </c>
      <c r="H27" s="245" t="n">
        <v>22394</v>
      </c>
      <c r="I27" s="245" t="n">
        <v>199790</v>
      </c>
      <c r="J27" s="245" t="n">
        <v>591261</v>
      </c>
      <c r="K27" s="245" t="n">
        <v>140829</v>
      </c>
      <c r="L27" s="247" t="n">
        <v>2118480</v>
      </c>
      <c r="M27" s="109" t="n"/>
      <c r="N27" s="110">
        <f>C27-C28</f>
        <v/>
      </c>
      <c r="O27" s="110">
        <f>D27-D28</f>
        <v/>
      </c>
      <c r="P27" s="106">
        <f>E27-E28</f>
        <v/>
      </c>
      <c r="Q27" s="106">
        <f>F27-F28</f>
        <v/>
      </c>
      <c r="R27" s="106">
        <f>G27-G28</f>
        <v/>
      </c>
      <c r="S27" s="106">
        <f>H27-H28</f>
        <v/>
      </c>
      <c r="T27" s="106">
        <f>I27-I28</f>
        <v/>
      </c>
      <c r="U27" s="106">
        <f>J27-J28</f>
        <v/>
      </c>
      <c r="V27" s="106">
        <f>K27-K28</f>
        <v/>
      </c>
    </row>
    <row customFormat="1" customHeight="1" ht="15" r="28" s="105">
      <c r="A28" s="244" t="n">
        <v>44227</v>
      </c>
      <c r="B28" s="245" t="n"/>
      <c r="C28" s="245" t="n">
        <v>332263</v>
      </c>
      <c r="D28" s="245" t="n">
        <v>708698</v>
      </c>
      <c r="E28" s="245" t="n">
        <v>434899</v>
      </c>
      <c r="F28" s="246" t="n">
        <v>61403</v>
      </c>
      <c r="G28" s="246" t="n">
        <v>560845</v>
      </c>
      <c r="H28" s="245" t="n">
        <v>22378</v>
      </c>
      <c r="I28" s="245" t="n">
        <v>199790</v>
      </c>
      <c r="J28" s="245" t="n">
        <v>589459</v>
      </c>
      <c r="K28" s="245" t="n">
        <v>140505</v>
      </c>
      <c r="L28" s="247" t="n">
        <v>2376330</v>
      </c>
      <c r="M28" s="109" t="n"/>
      <c r="N28" s="110">
        <f>C28-C29</f>
        <v/>
      </c>
      <c r="O28" s="110">
        <f>D28-D29</f>
        <v/>
      </c>
      <c r="P28" s="106">
        <f>E28-E29</f>
        <v/>
      </c>
      <c r="Q28" s="106">
        <f>F28-F29</f>
        <v/>
      </c>
      <c r="R28" s="106">
        <f>G28-G29</f>
        <v/>
      </c>
      <c r="S28" s="106">
        <f>H28-H29</f>
        <v/>
      </c>
      <c r="T28" s="106">
        <f>I28-I29</f>
        <v/>
      </c>
      <c r="U28" s="106">
        <f>J28-J29</f>
        <v/>
      </c>
      <c r="V28" s="106">
        <f>K28-K29</f>
        <v/>
      </c>
    </row>
    <row customFormat="1" customHeight="1" ht="15" r="29" s="105">
      <c r="A29" s="244" t="n">
        <v>44196</v>
      </c>
      <c r="B29" s="245" t="n"/>
      <c r="C29" s="245" t="n">
        <v>331023</v>
      </c>
      <c r="D29" s="245" t="n">
        <v>703423</v>
      </c>
      <c r="E29" s="245" t="n">
        <v>433417</v>
      </c>
      <c r="F29" s="246" t="n">
        <v>60651</v>
      </c>
      <c r="G29" s="246" t="n">
        <v>557467</v>
      </c>
      <c r="H29" s="245" t="n">
        <v>22180</v>
      </c>
      <c r="I29" s="245" t="n">
        <v>199716</v>
      </c>
      <c r="J29" s="245" t="n">
        <v>587713</v>
      </c>
      <c r="K29" s="245" t="n">
        <v>140262</v>
      </c>
      <c r="L29" s="247" t="n">
        <v>2317300</v>
      </c>
      <c r="M29" s="109" t="n"/>
      <c r="N29" s="110">
        <f>C29-C30</f>
        <v/>
      </c>
      <c r="O29" s="110">
        <f>D29-D30</f>
        <v/>
      </c>
      <c r="P29" s="106">
        <f>E29-E30</f>
        <v/>
      </c>
      <c r="Q29" s="106">
        <f>F29-F30</f>
        <v/>
      </c>
      <c r="R29" s="106">
        <f>G29-G30</f>
        <v/>
      </c>
      <c r="S29" s="106">
        <f>H29-H30</f>
        <v/>
      </c>
      <c r="T29" s="106">
        <f>I29-I30</f>
        <v/>
      </c>
      <c r="U29" s="106">
        <f>J29-J30</f>
        <v/>
      </c>
      <c r="V29" s="106">
        <f>K29-K30</f>
        <v/>
      </c>
    </row>
    <row customFormat="1" customHeight="1" ht="15" r="30" s="105">
      <c r="A30" s="244" t="n">
        <v>44165</v>
      </c>
      <c r="B30" s="245" t="n"/>
      <c r="C30" s="245" t="n">
        <v>329541</v>
      </c>
      <c r="D30" s="245" t="n">
        <v>697091</v>
      </c>
      <c r="E30" s="245" t="n">
        <v>432299</v>
      </c>
      <c r="F30" s="246" t="n">
        <v>59344</v>
      </c>
      <c r="G30" s="246" t="n">
        <v>554591</v>
      </c>
      <c r="H30" s="245" t="n">
        <v>22180</v>
      </c>
      <c r="I30" s="245" t="n">
        <v>199644</v>
      </c>
      <c r="J30" s="245" t="n">
        <v>585084</v>
      </c>
      <c r="K30" s="245" t="n">
        <v>139820</v>
      </c>
      <c r="L30" s="247" t="n">
        <v>2182430</v>
      </c>
      <c r="M30" s="109" t="n"/>
      <c r="N30" s="110">
        <f>C30-C31</f>
        <v/>
      </c>
      <c r="O30" s="110">
        <f>D30-D31</f>
        <v/>
      </c>
      <c r="P30" s="106">
        <f>E30-E31</f>
        <v/>
      </c>
      <c r="Q30" s="106">
        <f>F30-F31</f>
        <v/>
      </c>
      <c r="R30" s="106">
        <f>G30-G31</f>
        <v/>
      </c>
      <c r="S30" s="106">
        <f>H30-H31</f>
        <v/>
      </c>
      <c r="T30" s="106">
        <f>I30-I31</f>
        <v/>
      </c>
      <c r="U30" s="106">
        <f>J30-J31</f>
        <v/>
      </c>
      <c r="V30" s="106">
        <f>K30-K31</f>
        <v/>
      </c>
    </row>
    <row customFormat="1" customHeight="1" ht="15" r="31" s="105">
      <c r="A31" s="244" t="n">
        <v>44135</v>
      </c>
      <c r="B31" s="245" t="n"/>
      <c r="C31" s="245" t="n">
        <v>328635</v>
      </c>
      <c r="D31" s="245" t="n">
        <v>690069</v>
      </c>
      <c r="E31" s="245" t="n">
        <v>431371</v>
      </c>
      <c r="F31" s="246" t="n">
        <v>58314</v>
      </c>
      <c r="G31" s="246" t="n">
        <v>552815</v>
      </c>
      <c r="H31" s="245" t="n">
        <v>22180</v>
      </c>
      <c r="I31" s="245" t="n">
        <v>199601</v>
      </c>
      <c r="J31" s="245" t="n">
        <v>583325</v>
      </c>
      <c r="K31" s="245" t="n">
        <v>139451</v>
      </c>
      <c r="L31" s="247" t="n">
        <v>1680260</v>
      </c>
      <c r="M31" s="109" t="n"/>
      <c r="N31" s="110">
        <f>C31-C32</f>
        <v/>
      </c>
      <c r="O31" s="110">
        <f>D31-D32</f>
        <v/>
      </c>
      <c r="P31" s="106">
        <f>E31-E32</f>
        <v/>
      </c>
      <c r="Q31" s="106">
        <f>F31-F32</f>
        <v/>
      </c>
      <c r="R31" s="106">
        <f>G31-G32</f>
        <v/>
      </c>
      <c r="S31" s="106">
        <f>H31-H32</f>
        <v/>
      </c>
      <c r="T31" s="106">
        <f>I31-I32</f>
        <v/>
      </c>
      <c r="U31" s="106">
        <f>J31-J32</f>
        <v/>
      </c>
      <c r="V31" s="106">
        <f>K31-K32</f>
        <v/>
      </c>
    </row>
    <row customFormat="1" customHeight="1" ht="15" r="32" s="105">
      <c r="A32" s="244" t="n">
        <v>44104</v>
      </c>
      <c r="B32" s="245" t="n"/>
      <c r="C32" s="245" t="n">
        <v>327820</v>
      </c>
      <c r="D32" s="245" t="n">
        <v>683287</v>
      </c>
      <c r="E32" s="245" t="n">
        <v>430783</v>
      </c>
      <c r="F32" s="246" t="n">
        <v>57526</v>
      </c>
      <c r="G32" s="246" t="n">
        <v>551430</v>
      </c>
      <c r="H32" s="245" t="n">
        <v>22180</v>
      </c>
      <c r="I32" s="245" t="n">
        <v>199490</v>
      </c>
      <c r="J32" s="245" t="n">
        <v>581488</v>
      </c>
      <c r="K32" s="245" t="n">
        <v>139129</v>
      </c>
      <c r="L32" s="247" t="n">
        <v>1872560</v>
      </c>
      <c r="M32" s="109" t="n"/>
      <c r="N32" s="110">
        <f>C32-C33</f>
        <v/>
      </c>
      <c r="O32" s="110">
        <f>D32-D33</f>
        <v/>
      </c>
      <c r="P32" s="106">
        <f>E32-E33</f>
        <v/>
      </c>
      <c r="Q32" s="106">
        <f>F32-F33</f>
        <v/>
      </c>
      <c r="R32" s="106">
        <f>G32-G33</f>
        <v/>
      </c>
      <c r="S32" s="106">
        <f>H32-H33</f>
        <v/>
      </c>
      <c r="T32" s="106">
        <f>I32-I33</f>
        <v/>
      </c>
      <c r="U32" s="106">
        <f>J32-J33</f>
        <v/>
      </c>
      <c r="V32" s="106">
        <f>K32-K33</f>
        <v/>
      </c>
    </row>
    <row customFormat="1" customHeight="1" ht="15" r="33" s="105">
      <c r="A33" s="244" t="n">
        <v>44074</v>
      </c>
      <c r="B33" s="245" t="n"/>
      <c r="C33" s="245" t="n">
        <v>327002</v>
      </c>
      <c r="D33" s="245" t="n">
        <v>675405</v>
      </c>
      <c r="E33" s="245" t="n">
        <v>430007</v>
      </c>
      <c r="F33" s="246" t="n">
        <v>56787</v>
      </c>
      <c r="G33" s="246" t="n">
        <v>549756</v>
      </c>
      <c r="H33" s="245" t="n">
        <v>22180</v>
      </c>
      <c r="I33" s="245" t="n">
        <v>199337</v>
      </c>
      <c r="J33" s="245" t="n">
        <v>578739</v>
      </c>
      <c r="K33" s="245" t="n">
        <v>138654</v>
      </c>
      <c r="L33" s="247" t="n">
        <v>3526470</v>
      </c>
      <c r="M33" s="109" t="n"/>
      <c r="N33" s="110">
        <f>C33-C34</f>
        <v/>
      </c>
      <c r="O33" s="110">
        <f>D33-D34</f>
        <v/>
      </c>
      <c r="P33" s="106">
        <f>E33-E34</f>
        <v/>
      </c>
      <c r="Q33" s="106">
        <f>F33-F34</f>
        <v/>
      </c>
      <c r="R33" s="106">
        <f>G33-G34</f>
        <v/>
      </c>
      <c r="S33" s="106">
        <f>H33-H34</f>
        <v/>
      </c>
      <c r="T33" s="106">
        <f>I33-I34</f>
        <v/>
      </c>
      <c r="U33" s="106">
        <f>J33-J34</f>
        <v/>
      </c>
      <c r="V33" s="106">
        <f>K33-K34</f>
        <v/>
      </c>
    </row>
    <row customFormat="1" customHeight="1" ht="12" r="34" s="106">
      <c r="A34" s="244" t="n">
        <v>44043</v>
      </c>
      <c r="B34" s="245" t="n"/>
      <c r="C34" s="245" t="n">
        <v>326000</v>
      </c>
      <c r="D34" s="245" t="n">
        <v>664035</v>
      </c>
      <c r="E34" s="245" t="n">
        <v>429030</v>
      </c>
      <c r="F34" s="246" t="n">
        <v>55877</v>
      </c>
      <c r="G34" s="246" t="n">
        <v>546089</v>
      </c>
      <c r="H34" s="245" t="n">
        <v>22180</v>
      </c>
      <c r="I34" s="245" t="n">
        <v>199144</v>
      </c>
      <c r="J34" s="245" t="n">
        <v>574265</v>
      </c>
      <c r="K34" s="245" t="n">
        <v>138231</v>
      </c>
      <c r="L34" s="247" t="n">
        <v>3281430</v>
      </c>
      <c r="M34" s="110" t="n"/>
      <c r="N34" s="110">
        <f>C34-C35</f>
        <v/>
      </c>
      <c r="O34" s="110">
        <f>D34-D35</f>
        <v/>
      </c>
      <c r="P34" s="106">
        <f>E34-E35</f>
        <v/>
      </c>
      <c r="Q34" s="106">
        <f>F34-F35</f>
        <v/>
      </c>
      <c r="R34" s="106">
        <f>G34-G35</f>
        <v/>
      </c>
      <c r="S34" s="106">
        <f>H34-H35</f>
        <v/>
      </c>
      <c r="T34" s="106">
        <f>I34-I35</f>
        <v/>
      </c>
      <c r="U34" s="106">
        <f>J34-J35</f>
        <v/>
      </c>
      <c r="V34" s="106">
        <f>K34-K35</f>
        <v/>
      </c>
    </row>
    <row customFormat="1" customHeight="1" ht="12" r="35" s="106">
      <c r="A35" s="244" t="n">
        <v>44012</v>
      </c>
      <c r="B35" s="245" t="n"/>
      <c r="C35" s="245" t="n">
        <v>325028</v>
      </c>
      <c r="D35" s="245" t="n">
        <v>652304</v>
      </c>
      <c r="E35" s="245" t="n">
        <v>428225</v>
      </c>
      <c r="F35" s="246" t="n">
        <v>54984</v>
      </c>
      <c r="G35" s="246" t="n">
        <v>543615</v>
      </c>
      <c r="H35" s="245" t="n">
        <v>22180</v>
      </c>
      <c r="I35" s="245" t="n">
        <v>198907</v>
      </c>
      <c r="J35" s="245" t="n">
        <v>570676</v>
      </c>
      <c r="K35" s="245" t="n">
        <v>137813</v>
      </c>
      <c r="L35" s="247" t="n">
        <v>3017150</v>
      </c>
      <c r="M35" s="110" t="n"/>
      <c r="N35" s="110">
        <f>C35-C36</f>
        <v/>
      </c>
      <c r="O35" s="110">
        <f>D35-D36</f>
        <v/>
      </c>
      <c r="P35" s="106">
        <f>E35-E36</f>
        <v/>
      </c>
      <c r="Q35" s="106">
        <f>F35-F36</f>
        <v/>
      </c>
      <c r="R35" s="106">
        <f>G35-G36</f>
        <v/>
      </c>
      <c r="S35" s="106">
        <f>H35-H36</f>
        <v/>
      </c>
      <c r="T35" s="106">
        <f>I35-I36</f>
        <v/>
      </c>
      <c r="U35" s="106">
        <f>J35-J36</f>
        <v/>
      </c>
      <c r="V35" s="106">
        <f>K35-K36</f>
        <v/>
      </c>
    </row>
    <row customFormat="1" customHeight="1" ht="12" r="36" s="106">
      <c r="A36" s="244" t="n">
        <v>43982</v>
      </c>
      <c r="B36" s="245" t="n"/>
      <c r="C36" s="245" t="n">
        <v>324256</v>
      </c>
      <c r="D36" s="245" t="n">
        <v>642160</v>
      </c>
      <c r="E36" s="245" t="n">
        <v>427434</v>
      </c>
      <c r="F36" s="246" t="n">
        <v>54242</v>
      </c>
      <c r="G36" s="246" t="n">
        <v>541207</v>
      </c>
      <c r="H36" s="245" t="n">
        <v>22180</v>
      </c>
      <c r="I36" s="245" t="n">
        <v>198627</v>
      </c>
      <c r="J36" s="245" t="n">
        <v>567866</v>
      </c>
      <c r="K36" s="245" t="n">
        <v>137451</v>
      </c>
      <c r="L36" s="247" t="n">
        <v>1800940</v>
      </c>
      <c r="M36" s="110" t="n"/>
      <c r="N36" s="110">
        <f>C36-C37</f>
        <v/>
      </c>
      <c r="O36" s="110">
        <f>D36-D37</f>
        <v/>
      </c>
      <c r="P36" s="106">
        <f>E36-E37</f>
        <v/>
      </c>
      <c r="Q36" s="106">
        <f>F36-F37</f>
        <v/>
      </c>
      <c r="R36" s="106">
        <f>G36-G37</f>
        <v/>
      </c>
      <c r="S36" s="106">
        <f>H36-H37</f>
        <v/>
      </c>
      <c r="T36" s="106">
        <f>I36-I37</f>
        <v/>
      </c>
      <c r="U36" s="106">
        <f>J36-J37</f>
        <v/>
      </c>
      <c r="V36" s="106">
        <f>K36-K37</f>
        <v/>
      </c>
    </row>
    <row customFormat="1" customHeight="1" ht="12" r="37" s="106">
      <c r="A37" s="244" t="n">
        <v>43951</v>
      </c>
      <c r="B37" s="245" t="n"/>
      <c r="C37" s="245" t="n">
        <v>323421</v>
      </c>
      <c r="D37" s="245" t="n">
        <v>634290</v>
      </c>
      <c r="E37" s="245" t="n">
        <v>426826</v>
      </c>
      <c r="F37" s="246" t="n">
        <v>53678</v>
      </c>
      <c r="G37" s="246" t="n">
        <v>539521</v>
      </c>
      <c r="H37" s="245" t="n">
        <v>22180</v>
      </c>
      <c r="I37" s="245" t="n">
        <v>198411</v>
      </c>
      <c r="J37" s="245" t="n">
        <v>564578</v>
      </c>
      <c r="K37" s="245" t="n">
        <v>137070</v>
      </c>
      <c r="L37" s="247" t="n">
        <v>1738230</v>
      </c>
      <c r="M37" s="110" t="n"/>
      <c r="N37" s="110">
        <f>C37-C38</f>
        <v/>
      </c>
      <c r="O37" s="110">
        <f>D37-D38</f>
        <v/>
      </c>
      <c r="P37" s="106">
        <f>E37-E38</f>
        <v/>
      </c>
      <c r="Q37" s="106">
        <f>F37-F38</f>
        <v/>
      </c>
      <c r="R37" s="106">
        <f>G37-G38</f>
        <v/>
      </c>
      <c r="S37" s="106">
        <f>H37-H38</f>
        <v/>
      </c>
      <c r="T37" s="106">
        <f>I37-I38</f>
        <v/>
      </c>
      <c r="U37" s="106">
        <f>J37-J38</f>
        <v/>
      </c>
      <c r="V37" s="106">
        <f>K37-K38</f>
        <v/>
      </c>
    </row>
    <row customFormat="1" customHeight="1" ht="12" r="38" s="106">
      <c r="A38" s="244" t="n">
        <v>43921</v>
      </c>
      <c r="B38" s="245" t="n"/>
      <c r="C38" s="245" t="n">
        <v>322469</v>
      </c>
      <c r="D38" s="245" t="n">
        <v>626753</v>
      </c>
      <c r="E38" s="245" t="n">
        <v>426217</v>
      </c>
      <c r="F38" s="246" t="n">
        <v>52894</v>
      </c>
      <c r="G38" s="246" t="n">
        <v>537596</v>
      </c>
      <c r="H38" s="245" t="n">
        <v>22180</v>
      </c>
      <c r="I38" s="245" t="n">
        <v>198257</v>
      </c>
      <c r="J38" s="245" t="n">
        <v>564241</v>
      </c>
      <c r="K38" s="245" t="n">
        <v>136673</v>
      </c>
      <c r="L38" s="247" t="n">
        <v>1766840</v>
      </c>
      <c r="M38" s="110" t="n"/>
      <c r="N38" s="110">
        <f>C38-C39</f>
        <v/>
      </c>
      <c r="O38" s="110">
        <f>D38-D39</f>
        <v/>
      </c>
      <c r="P38" s="106">
        <f>E38-E39</f>
        <v/>
      </c>
      <c r="Q38" s="106">
        <f>F38-F39</f>
        <v/>
      </c>
      <c r="R38" s="106">
        <f>G38-G39</f>
        <v/>
      </c>
      <c r="S38" s="106">
        <f>H38-H39</f>
        <v/>
      </c>
      <c r="T38" s="106">
        <f>I38-I39</f>
        <v/>
      </c>
      <c r="U38" s="106">
        <f>J38-J39</f>
        <v/>
      </c>
      <c r="V38" s="106">
        <f>K38-K39</f>
        <v/>
      </c>
    </row>
    <row customFormat="1" customHeight="1" ht="12" r="39" s="106">
      <c r="A39" s="244" t="n">
        <v>43890</v>
      </c>
      <c r="B39" s="245" t="n"/>
      <c r="C39" s="245" t="n">
        <v>321216</v>
      </c>
      <c r="D39" s="245" t="n">
        <v>620270</v>
      </c>
      <c r="E39" s="245" t="n">
        <v>425364</v>
      </c>
      <c r="F39" s="246" t="n">
        <v>52022</v>
      </c>
      <c r="G39" s="246" t="n">
        <v>535330</v>
      </c>
      <c r="H39" s="245" t="n">
        <v>22180</v>
      </c>
      <c r="I39" s="245" t="n">
        <v>198093</v>
      </c>
      <c r="J39" s="245" t="n">
        <v>562375</v>
      </c>
      <c r="K39" s="245" t="n">
        <v>136293</v>
      </c>
      <c r="L39" s="247" t="n">
        <v>2215180</v>
      </c>
      <c r="M39" s="110" t="n"/>
      <c r="N39" s="110">
        <f>C39-C40</f>
        <v/>
      </c>
      <c r="O39" s="110">
        <f>D39-D40</f>
        <v/>
      </c>
      <c r="P39" s="106">
        <f>E39-E40</f>
        <v/>
      </c>
      <c r="Q39" s="106">
        <f>F39-F40</f>
        <v/>
      </c>
      <c r="R39" s="106">
        <f>G39-G40</f>
        <v/>
      </c>
      <c r="S39" s="106">
        <f>H39-H40</f>
        <v/>
      </c>
      <c r="T39" s="106">
        <f>I39-I40</f>
        <v/>
      </c>
      <c r="U39" s="106">
        <f>J39-J40</f>
        <v/>
      </c>
      <c r="V39" s="106">
        <f>K39-K40</f>
        <v/>
      </c>
    </row>
    <row customFormat="1" customHeight="1" ht="12" r="40" s="106">
      <c r="A40" s="244" t="n">
        <v>43861</v>
      </c>
      <c r="B40" s="245" t="n"/>
      <c r="C40" s="245" t="n">
        <v>320056</v>
      </c>
      <c r="D40" s="245" t="n">
        <v>615174</v>
      </c>
      <c r="E40" s="245" t="n">
        <v>424378</v>
      </c>
      <c r="F40" s="246" t="n">
        <v>51217</v>
      </c>
      <c r="G40" s="246" t="n">
        <v>532571</v>
      </c>
      <c r="H40" s="245" t="n">
        <v>22180</v>
      </c>
      <c r="I40" s="245" t="n">
        <v>197927</v>
      </c>
      <c r="J40" s="245" t="n">
        <v>560701</v>
      </c>
      <c r="K40" s="245" t="n">
        <v>135957</v>
      </c>
      <c r="L40" s="247" t="n">
        <v>2283490</v>
      </c>
      <c r="M40" s="110" t="n"/>
      <c r="N40" s="110">
        <f>C40-C41</f>
        <v/>
      </c>
      <c r="O40" s="110">
        <f>D40-D41</f>
        <v/>
      </c>
      <c r="P40" s="106">
        <f>E40-E41</f>
        <v/>
      </c>
      <c r="Q40" s="106">
        <f>F40-F41</f>
        <v/>
      </c>
      <c r="R40" s="106">
        <f>G40-G41</f>
        <v/>
      </c>
      <c r="S40" s="106">
        <f>H40-H41</f>
        <v/>
      </c>
      <c r="T40" s="106">
        <f>I40-I41</f>
        <v/>
      </c>
      <c r="U40" s="106">
        <f>J40-J41</f>
        <v/>
      </c>
      <c r="V40" s="106">
        <f>K40-K41</f>
        <v/>
      </c>
    </row>
    <row customFormat="1" customHeight="1" ht="12" r="41" s="106">
      <c r="A41" s="244" t="n">
        <v>43830</v>
      </c>
      <c r="B41" s="245" t="n"/>
      <c r="C41" s="245" t="n">
        <v>318774</v>
      </c>
      <c r="D41" s="245" t="n">
        <v>609938</v>
      </c>
      <c r="E41" s="245" t="n">
        <v>423364</v>
      </c>
      <c r="F41" s="246" t="n">
        <v>50426</v>
      </c>
      <c r="G41" s="246" t="n">
        <v>529372</v>
      </c>
      <c r="H41" s="245" t="n">
        <v>22180</v>
      </c>
      <c r="I41" s="245" t="n">
        <v>197612</v>
      </c>
      <c r="J41" s="245" t="n">
        <v>558986</v>
      </c>
      <c r="K41" s="245" t="n">
        <v>135592</v>
      </c>
      <c r="L41" s="247" t="n">
        <v>2318760</v>
      </c>
      <c r="M41" s="110" t="n"/>
      <c r="N41" s="110">
        <f>C41-C42</f>
        <v/>
      </c>
      <c r="O41" s="110">
        <f>D41-D42</f>
        <v/>
      </c>
      <c r="P41" s="106">
        <f>E41-E42</f>
        <v/>
      </c>
      <c r="Q41" s="106">
        <f>F41-F42</f>
        <v/>
      </c>
      <c r="R41" s="106">
        <f>G41-G42</f>
        <v/>
      </c>
      <c r="S41" s="106">
        <f>H41-H42</f>
        <v/>
      </c>
      <c r="T41" s="106">
        <f>I41-I42</f>
        <v/>
      </c>
      <c r="U41" s="106">
        <f>J41-J42</f>
        <v/>
      </c>
      <c r="V41" s="106">
        <f>K41-K42</f>
        <v/>
      </c>
    </row>
    <row customFormat="1" customHeight="1" ht="12" r="42" s="106">
      <c r="A42" s="244" t="n">
        <v>43799</v>
      </c>
      <c r="B42" s="245" t="n"/>
      <c r="C42" s="245" t="n">
        <v>317560</v>
      </c>
      <c r="D42" s="245" t="n">
        <v>604047</v>
      </c>
      <c r="E42" s="245" t="n">
        <v>422205</v>
      </c>
      <c r="F42" s="246" t="n">
        <v>49349</v>
      </c>
      <c r="G42" s="246" t="n">
        <v>526562</v>
      </c>
      <c r="H42" s="245" t="n">
        <v>22180</v>
      </c>
      <c r="I42" s="245" t="n">
        <v>197244</v>
      </c>
      <c r="J42" s="245" t="n">
        <v>557255</v>
      </c>
      <c r="K42" s="245" t="n">
        <v>135207</v>
      </c>
      <c r="L42" s="245" t="inlineStr">
        <is>
          <t>2166160원</t>
        </is>
      </c>
      <c r="M42" s="110" t="n"/>
      <c r="N42" s="110">
        <f>C42-C43</f>
        <v/>
      </c>
      <c r="O42" s="110">
        <f>D42-D43</f>
        <v/>
      </c>
      <c r="P42" s="106">
        <f>E42-E43</f>
        <v/>
      </c>
      <c r="Q42" s="106">
        <f>F42-F43</f>
        <v/>
      </c>
      <c r="R42" s="106">
        <f>G42-G43</f>
        <v/>
      </c>
      <c r="S42" s="106">
        <f>H42-H43</f>
        <v/>
      </c>
      <c r="T42" s="106">
        <f>I42-I43</f>
        <v/>
      </c>
      <c r="U42" s="106">
        <f>J42-J43</f>
        <v/>
      </c>
      <c r="V42" s="106">
        <f>K42-K43</f>
        <v/>
      </c>
    </row>
    <row customFormat="1" customHeight="1" ht="12" r="43" s="106">
      <c r="A43" s="244" t="n">
        <v>43769</v>
      </c>
      <c r="B43" s="245" t="n"/>
      <c r="C43" s="245" t="n">
        <v>316420</v>
      </c>
      <c r="D43" s="245" t="n">
        <v>598022</v>
      </c>
      <c r="E43" s="245" t="n">
        <v>421325</v>
      </c>
      <c r="F43" s="246" t="n">
        <v>48502</v>
      </c>
      <c r="G43" s="246" t="n">
        <v>524525</v>
      </c>
      <c r="H43" s="245" t="n">
        <v>22180</v>
      </c>
      <c r="I43" s="245" t="n">
        <v>197016</v>
      </c>
      <c r="J43" s="245" t="n">
        <v>555626</v>
      </c>
      <c r="K43" s="245" t="n">
        <v>134827</v>
      </c>
      <c r="L43" s="245" t="inlineStr">
        <is>
          <t>1785000원</t>
        </is>
      </c>
      <c r="M43" s="110" t="n"/>
      <c r="N43" s="110">
        <f>C43-C44</f>
        <v/>
      </c>
      <c r="O43" s="110">
        <f>D43-D44</f>
        <v/>
      </c>
      <c r="P43" s="106">
        <f>E43-E44</f>
        <v/>
      </c>
      <c r="Q43" s="106">
        <f>F43-F44</f>
        <v/>
      </c>
      <c r="R43" s="106">
        <f>G43-G44</f>
        <v/>
      </c>
      <c r="S43" s="106">
        <f>H43-H44</f>
        <v/>
      </c>
      <c r="T43" s="106">
        <f>I43-I44</f>
        <v/>
      </c>
      <c r="U43" s="106">
        <f>J43-J44</f>
        <v/>
      </c>
      <c r="V43" s="106">
        <f>K43-K44</f>
        <v/>
      </c>
    </row>
    <row customFormat="1" customHeight="1" ht="12" r="44" s="106">
      <c r="A44" s="244" t="n">
        <v>43738</v>
      </c>
      <c r="B44" s="245" t="n"/>
      <c r="C44" s="245" t="n">
        <v>315524</v>
      </c>
      <c r="D44" s="245" t="n">
        <v>590158</v>
      </c>
      <c r="E44" s="245" t="n">
        <v>420689</v>
      </c>
      <c r="F44" s="246" t="n">
        <v>47754</v>
      </c>
      <c r="G44" s="246" t="n">
        <v>522979</v>
      </c>
      <c r="H44" s="245" t="n">
        <v>22180</v>
      </c>
      <c r="I44" s="245" t="n">
        <v>196563</v>
      </c>
      <c r="J44" s="245" t="n">
        <v>553962</v>
      </c>
      <c r="K44" s="245" t="n">
        <v>134404</v>
      </c>
      <c r="L44" s="245" t="inlineStr">
        <is>
          <t>1923410원</t>
        </is>
      </c>
      <c r="M44" s="110" t="n"/>
      <c r="N44" s="110">
        <f>C44-C45</f>
        <v/>
      </c>
      <c r="O44" s="110">
        <f>D44-D45</f>
        <v/>
      </c>
      <c r="P44" s="106">
        <f>E44-E45</f>
        <v/>
      </c>
      <c r="Q44" s="106">
        <f>F44-F45</f>
        <v/>
      </c>
      <c r="R44" s="106">
        <f>G44-G45</f>
        <v/>
      </c>
      <c r="S44" s="106">
        <f>H44-H45</f>
        <v/>
      </c>
      <c r="T44" s="106">
        <f>I44-I45</f>
        <v/>
      </c>
      <c r="U44" s="106">
        <f>J44-J45</f>
        <v/>
      </c>
      <c r="V44" s="106">
        <f>K44-K45</f>
        <v/>
      </c>
    </row>
    <row customFormat="1" customHeight="1" ht="12" r="45" s="106">
      <c r="A45" s="244" t="n">
        <v>43708</v>
      </c>
      <c r="B45" s="245" t="n"/>
      <c r="C45" s="245" t="n">
        <v>314569</v>
      </c>
      <c r="D45" s="245" t="n">
        <v>581029</v>
      </c>
      <c r="E45" s="245" t="n">
        <v>420013</v>
      </c>
      <c r="F45" s="246" t="n">
        <v>46992</v>
      </c>
      <c r="G45" s="246" t="n">
        <v>522338</v>
      </c>
      <c r="H45" s="245" t="n">
        <v>22155</v>
      </c>
      <c r="I45" s="245" t="n">
        <v>195775</v>
      </c>
      <c r="J45" s="245" t="n">
        <v>551887</v>
      </c>
      <c r="K45" s="245" t="n">
        <v>133987</v>
      </c>
      <c r="L45" s="245" t="inlineStr">
        <is>
          <t>3368200원</t>
        </is>
      </c>
      <c r="M45" s="110" t="n"/>
      <c r="N45" s="110">
        <f>C45-C46</f>
        <v/>
      </c>
      <c r="O45" s="110">
        <f>D45-D46</f>
        <v/>
      </c>
      <c r="P45" s="106">
        <f>E45-E46</f>
        <v/>
      </c>
      <c r="Q45" s="106">
        <f>F45-F46</f>
        <v/>
      </c>
      <c r="R45" s="106">
        <f>G45-G46</f>
        <v/>
      </c>
      <c r="S45" s="106">
        <f>H45-H46</f>
        <v/>
      </c>
      <c r="T45" s="106">
        <f>I45-I46</f>
        <v/>
      </c>
      <c r="U45" s="106">
        <f>J45-J46</f>
        <v/>
      </c>
      <c r="V45" s="106">
        <f>K45-K46</f>
        <v/>
      </c>
    </row>
    <row customFormat="1" customHeight="1" ht="12" r="46" s="106">
      <c r="A46" s="244" t="n">
        <v>43677</v>
      </c>
      <c r="B46" s="245" t="n"/>
      <c r="C46" s="245" t="n">
        <v>313538</v>
      </c>
      <c r="D46" s="245" t="n">
        <v>570626</v>
      </c>
      <c r="E46" s="245" t="n">
        <v>419144</v>
      </c>
      <c r="F46" s="246" t="n">
        <v>45814</v>
      </c>
      <c r="G46" s="246" t="n">
        <v>518877</v>
      </c>
      <c r="H46" s="245" t="n">
        <v>22155</v>
      </c>
      <c r="I46" s="245" t="n">
        <v>194882</v>
      </c>
      <c r="J46" s="245" t="n">
        <v>547832</v>
      </c>
      <c r="K46" s="245" t="n">
        <v>133572</v>
      </c>
      <c r="L46" s="245" t="inlineStr">
        <is>
          <t>3313270원</t>
        </is>
      </c>
      <c r="M46" s="110" t="n"/>
      <c r="N46" s="110">
        <f>C46-C47</f>
        <v/>
      </c>
      <c r="O46" s="110">
        <f>D46-D47</f>
        <v/>
      </c>
      <c r="P46" s="106">
        <f>E46-E47</f>
        <v/>
      </c>
      <c r="Q46" s="106">
        <f>F46-F47</f>
        <v/>
      </c>
      <c r="R46" s="106">
        <f>G46-G47</f>
        <v/>
      </c>
      <c r="S46" s="106">
        <f>H46-H47</f>
        <v/>
      </c>
      <c r="T46" s="106">
        <f>I46-I47</f>
        <v/>
      </c>
      <c r="U46" s="106">
        <f>J46-J47</f>
        <v/>
      </c>
      <c r="V46" s="106">
        <f>K46-K47</f>
        <v/>
      </c>
    </row>
    <row customFormat="1" customHeight="1" ht="12" r="47" s="106">
      <c r="A47" s="244" t="n">
        <v>43646</v>
      </c>
      <c r="B47" s="245" t="n"/>
      <c r="C47" s="245" t="n">
        <v>312358</v>
      </c>
      <c r="D47" s="245" t="n">
        <v>559546</v>
      </c>
      <c r="E47" s="245" t="n">
        <v>418291</v>
      </c>
      <c r="F47" s="246" t="n">
        <v>44772</v>
      </c>
      <c r="G47" s="246" t="n">
        <v>516518</v>
      </c>
      <c r="H47" s="245" t="n">
        <v>22155</v>
      </c>
      <c r="I47" s="245" t="n">
        <v>193885</v>
      </c>
      <c r="J47" s="245" t="n">
        <v>544955</v>
      </c>
      <c r="K47" s="245" t="n">
        <v>133143</v>
      </c>
      <c r="L47" s="245" t="inlineStr">
        <is>
          <t>2751540원</t>
        </is>
      </c>
      <c r="M47" s="110" t="n"/>
      <c r="N47" s="110">
        <f>C47-C48</f>
        <v/>
      </c>
      <c r="O47" s="110">
        <f>D47-D48</f>
        <v/>
      </c>
      <c r="P47" s="106">
        <f>E47-E48</f>
        <v/>
      </c>
      <c r="Q47" s="106">
        <f>F47-F48</f>
        <v/>
      </c>
      <c r="R47" s="106">
        <f>G47-G48</f>
        <v/>
      </c>
      <c r="S47" s="106">
        <f>H47-H48</f>
        <v/>
      </c>
      <c r="T47" s="106">
        <f>I47-I48</f>
        <v/>
      </c>
      <c r="U47" s="106">
        <f>J47-J48</f>
        <v/>
      </c>
      <c r="V47" s="106">
        <f>K47-K48</f>
        <v/>
      </c>
    </row>
    <row customFormat="1" customHeight="1" ht="12" r="48" s="106">
      <c r="A48" s="244" t="n">
        <v>43616</v>
      </c>
      <c r="B48" s="245" t="n"/>
      <c r="C48" s="245" t="n">
        <v>311333</v>
      </c>
      <c r="D48" s="245" t="n">
        <v>549471</v>
      </c>
      <c r="E48" s="245" t="n">
        <v>417542</v>
      </c>
      <c r="F48" s="246" t="n">
        <v>44173</v>
      </c>
      <c r="G48" s="246" t="n">
        <v>514684</v>
      </c>
      <c r="H48" s="245" t="n">
        <v>22155</v>
      </c>
      <c r="I48" s="245" t="n">
        <v>193206</v>
      </c>
      <c r="J48" s="245" t="n">
        <v>543165</v>
      </c>
      <c r="K48" s="245" t="n">
        <v>132745</v>
      </c>
      <c r="L48" s="245" t="inlineStr">
        <is>
          <t>1858840원</t>
        </is>
      </c>
      <c r="M48" s="110" t="n"/>
      <c r="N48" s="110">
        <f>C48-C49</f>
        <v/>
      </c>
      <c r="O48" s="110">
        <f>D48-D49</f>
        <v/>
      </c>
      <c r="P48" s="106">
        <f>E48-E49</f>
        <v/>
      </c>
      <c r="Q48" s="106">
        <f>F48-F49</f>
        <v/>
      </c>
      <c r="R48" s="106">
        <f>G48-G49</f>
        <v/>
      </c>
      <c r="S48" s="106">
        <f>H48-H49</f>
        <v/>
      </c>
      <c r="T48" s="106">
        <f>I48-I49</f>
        <v/>
      </c>
      <c r="U48" s="106">
        <f>J48-J49</f>
        <v/>
      </c>
      <c r="V48" s="106">
        <f>K48-K49</f>
        <v/>
      </c>
    </row>
    <row customFormat="1" customHeight="1" ht="12" r="49" s="106">
      <c r="A49" s="244" t="n">
        <v>43585</v>
      </c>
      <c r="B49" s="245" t="n"/>
      <c r="C49" s="245" t="n">
        <v>310282</v>
      </c>
      <c r="D49" s="245" t="n">
        <v>540578</v>
      </c>
      <c r="E49" s="245" t="n">
        <v>416947</v>
      </c>
      <c r="F49" s="246" t="n">
        <v>43557</v>
      </c>
      <c r="G49" s="246" t="n">
        <v>513236</v>
      </c>
      <c r="H49" s="245" t="n">
        <v>22155</v>
      </c>
      <c r="I49" s="245" t="n">
        <v>192682</v>
      </c>
      <c r="J49" s="245" t="n">
        <v>541523</v>
      </c>
      <c r="K49" s="245" t="n">
        <v>132355</v>
      </c>
      <c r="L49" s="245" t="inlineStr">
        <is>
          <t>1778260원</t>
        </is>
      </c>
      <c r="M49" s="110" t="n"/>
      <c r="N49" s="110">
        <f>C49-C50</f>
        <v/>
      </c>
      <c r="O49" s="110">
        <f>D49-D50</f>
        <v/>
      </c>
      <c r="P49" s="106">
        <f>E49-E50</f>
        <v/>
      </c>
      <c r="Q49" s="106">
        <f>F49-F50</f>
        <v/>
      </c>
      <c r="R49" s="106">
        <f>G49-G50</f>
        <v/>
      </c>
      <c r="S49" s="106">
        <f>H49-H50</f>
        <v/>
      </c>
      <c r="T49" s="106">
        <f>I49-I50</f>
        <v/>
      </c>
      <c r="U49" s="106">
        <f>J49-J50</f>
        <v/>
      </c>
      <c r="V49" s="106">
        <f>K49-K50</f>
        <v/>
      </c>
    </row>
    <row customFormat="1" customHeight="1" ht="12" r="50" s="106">
      <c r="A50" s="244" t="n">
        <v>43555</v>
      </c>
      <c r="B50" s="245" t="n"/>
      <c r="C50" s="245" t="n">
        <v>309122</v>
      </c>
      <c r="D50" s="245" t="n">
        <v>533805</v>
      </c>
      <c r="E50" s="245" t="n">
        <v>416242</v>
      </c>
      <c r="F50" s="246" t="n">
        <v>42823</v>
      </c>
      <c r="G50" s="246" t="n">
        <v>511596</v>
      </c>
      <c r="H50" s="245" t="n">
        <v>22155</v>
      </c>
      <c r="I50" s="245" t="n">
        <v>192309</v>
      </c>
      <c r="J50" s="245" t="n">
        <v>539850</v>
      </c>
      <c r="K50" s="245" t="n">
        <v>131990</v>
      </c>
      <c r="L50" s="245" t="inlineStr">
        <is>
          <t>1808950원</t>
        </is>
      </c>
      <c r="M50" s="110" t="n"/>
      <c r="N50" s="110">
        <f>C50-C51</f>
        <v/>
      </c>
      <c r="O50" s="110">
        <f>D50-D51</f>
        <v/>
      </c>
      <c r="P50" s="106">
        <f>E50-E51</f>
        <v/>
      </c>
      <c r="Q50" s="106">
        <f>F50-F51</f>
        <v/>
      </c>
      <c r="R50" s="106">
        <f>G50-G51</f>
        <v/>
      </c>
      <c r="S50" s="106">
        <f>H50-H51</f>
        <v/>
      </c>
      <c r="T50" s="106">
        <f>I50-I51</f>
        <v/>
      </c>
      <c r="U50" s="106">
        <f>J50-J51</f>
        <v/>
      </c>
      <c r="V50" s="106">
        <f>K50-K51</f>
        <v/>
      </c>
    </row>
    <row customFormat="1" customHeight="1" ht="12" r="51" s="106">
      <c r="A51" s="244" t="n">
        <v>43524</v>
      </c>
      <c r="B51" s="245" t="n"/>
      <c r="C51" s="245" t="n">
        <v>307642</v>
      </c>
      <c r="D51" s="245" t="n">
        <v>527694</v>
      </c>
      <c r="E51" s="245" t="n">
        <v>415261</v>
      </c>
      <c r="F51" s="246" t="n">
        <v>41908</v>
      </c>
      <c r="G51" s="246" t="n">
        <v>509261</v>
      </c>
      <c r="H51" s="245" t="n">
        <v>22155</v>
      </c>
      <c r="I51" s="245" t="n">
        <v>191782</v>
      </c>
      <c r="J51" s="245" t="n">
        <v>537787</v>
      </c>
      <c r="K51" s="245" t="n">
        <v>131583</v>
      </c>
      <c r="L51" s="245" t="inlineStr">
        <is>
          <t>2202270원</t>
        </is>
      </c>
      <c r="M51" s="110" t="n"/>
      <c r="N51" s="110">
        <f>C51-C52</f>
        <v/>
      </c>
      <c r="O51" s="110">
        <f>D51-D52</f>
        <v/>
      </c>
      <c r="P51" s="106">
        <f>E51-E52</f>
        <v/>
      </c>
      <c r="Q51" s="106">
        <f>F51-F52</f>
        <v/>
      </c>
      <c r="R51" s="106">
        <f>G51-G52</f>
        <v/>
      </c>
      <c r="S51" s="106">
        <f>H51-H52</f>
        <v/>
      </c>
      <c r="T51" s="106">
        <f>I51-I52</f>
        <v/>
      </c>
      <c r="U51" s="106">
        <f>J51-J52</f>
        <v/>
      </c>
      <c r="V51" s="106">
        <f>K51-K52</f>
        <v/>
      </c>
    </row>
    <row customFormat="1" customHeight="1" ht="12" r="52" s="106">
      <c r="A52" s="244" t="n">
        <v>43496</v>
      </c>
      <c r="B52" s="245" t="n"/>
      <c r="C52" s="245" t="n">
        <v>306194</v>
      </c>
      <c r="D52" s="245" t="n">
        <v>523137</v>
      </c>
      <c r="E52" s="245" t="n">
        <v>414258</v>
      </c>
      <c r="F52" s="246" t="n">
        <v>41170</v>
      </c>
      <c r="G52" s="246" t="n">
        <v>506454</v>
      </c>
      <c r="H52" s="245" t="n">
        <v>22152</v>
      </c>
      <c r="I52" s="245" t="n">
        <v>191057</v>
      </c>
      <c r="J52" s="245" t="n">
        <v>535897</v>
      </c>
      <c r="K52" s="245" t="n">
        <v>131232</v>
      </c>
      <c r="L52" s="245" t="inlineStr">
        <is>
          <t>2459590원</t>
        </is>
      </c>
      <c r="M52" s="110" t="n"/>
      <c r="N52" s="110">
        <f>C52-C53</f>
        <v/>
      </c>
      <c r="O52" s="110">
        <f>D52-D53</f>
        <v/>
      </c>
      <c r="P52" s="106">
        <f>E52-E53</f>
        <v/>
      </c>
      <c r="Q52" s="106">
        <f>F52-F53</f>
        <v/>
      </c>
      <c r="R52" s="106">
        <f>G52-G53</f>
        <v/>
      </c>
      <c r="S52" s="106">
        <f>H52-H53</f>
        <v/>
      </c>
      <c r="T52" s="106">
        <f>I52-I53</f>
        <v/>
      </c>
      <c r="U52" s="106">
        <f>J52-J53</f>
        <v/>
      </c>
      <c r="V52" s="106">
        <f>K52-K53</f>
        <v/>
      </c>
    </row>
    <row customFormat="1" customHeight="1" ht="12" r="53" s="107">
      <c r="A53" s="244" t="n">
        <v>43465</v>
      </c>
      <c r="B53" s="245" t="n"/>
      <c r="C53" s="245" t="n">
        <v>304453</v>
      </c>
      <c r="D53" s="245" t="n">
        <v>518209</v>
      </c>
      <c r="E53" s="245" t="n">
        <v>412915</v>
      </c>
      <c r="F53" s="246" t="n">
        <v>40234</v>
      </c>
      <c r="G53" s="246" t="n">
        <v>503003</v>
      </c>
      <c r="H53" s="245" t="n">
        <v>22152</v>
      </c>
      <c r="I53" s="245" t="n">
        <v>190234</v>
      </c>
      <c r="J53" s="245" t="n">
        <v>533820</v>
      </c>
      <c r="K53" s="245" t="n">
        <v>130846</v>
      </c>
      <c r="L53" s="245" t="inlineStr">
        <is>
          <t>2399140원</t>
        </is>
      </c>
      <c r="M53" s="110" t="n"/>
      <c r="N53" s="110">
        <f>C53-C54</f>
        <v/>
      </c>
      <c r="O53" s="110">
        <f>D53-D54</f>
        <v/>
      </c>
      <c r="P53" s="106">
        <f>E53-E54</f>
        <v/>
      </c>
      <c r="Q53" s="106">
        <f>F53-F54</f>
        <v/>
      </c>
      <c r="R53" s="106">
        <f>G53-G54</f>
        <v/>
      </c>
      <c r="S53" s="106">
        <f>H53-H54</f>
        <v/>
      </c>
      <c r="T53" s="106">
        <f>I53-I54</f>
        <v/>
      </c>
      <c r="U53" s="106">
        <f>J53-J54</f>
        <v/>
      </c>
      <c r="V53" s="106">
        <f>K53-K54</f>
        <v/>
      </c>
    </row>
    <row customFormat="1" customHeight="1" ht="12" r="54" s="107">
      <c r="A54" s="244" t="n">
        <v>43434</v>
      </c>
      <c r="B54" s="245" t="n"/>
      <c r="C54" s="245" t="n">
        <v>302697</v>
      </c>
      <c r="D54" s="245" t="n">
        <v>513180</v>
      </c>
      <c r="E54" s="245" t="n">
        <v>411782</v>
      </c>
      <c r="F54" s="246" t="n">
        <v>39374</v>
      </c>
      <c r="G54" s="246" t="n">
        <v>500098</v>
      </c>
      <c r="H54" s="245" t="n">
        <v>22152</v>
      </c>
      <c r="I54" s="245" t="n">
        <v>189463</v>
      </c>
      <c r="J54" s="245" t="n">
        <v>531691</v>
      </c>
      <c r="K54" s="245" t="n">
        <v>130459</v>
      </c>
      <c r="L54" s="245" t="inlineStr">
        <is>
          <t>2168790원</t>
        </is>
      </c>
      <c r="M54" s="110" t="n"/>
      <c r="N54" s="110">
        <f>C54-C55</f>
        <v/>
      </c>
      <c r="O54" s="110">
        <f>D54-D55</f>
        <v/>
      </c>
      <c r="P54" s="106">
        <f>E54-E55</f>
        <v/>
      </c>
      <c r="Q54" s="106">
        <f>F54-F55</f>
        <v/>
      </c>
      <c r="R54" s="106">
        <f>G54-G55</f>
        <v/>
      </c>
      <c r="S54" s="106">
        <f>H54-H55</f>
        <v/>
      </c>
      <c r="T54" s="106">
        <f>I54-I55</f>
        <v/>
      </c>
      <c r="U54" s="106">
        <f>J54-J55</f>
        <v/>
      </c>
      <c r="V54" s="106">
        <f>K54-K55</f>
        <v/>
      </c>
    </row>
    <row customFormat="1" customHeight="1" ht="12" r="55" s="107">
      <c r="A55" s="244" t="n">
        <v>43404</v>
      </c>
      <c r="B55" s="245" t="n"/>
      <c r="C55" s="245" t="n">
        <v>301400</v>
      </c>
      <c r="D55" s="245" t="n">
        <v>507286</v>
      </c>
      <c r="E55" s="245" t="n">
        <v>410906</v>
      </c>
      <c r="F55" s="246" t="n">
        <v>38690</v>
      </c>
      <c r="G55" s="246" t="n">
        <v>498172</v>
      </c>
      <c r="H55" s="245" t="n">
        <v>22152</v>
      </c>
      <c r="I55" s="245" t="n">
        <v>189044</v>
      </c>
      <c r="J55" s="245" t="n">
        <v>529760</v>
      </c>
      <c r="K55" s="245" t="n">
        <v>130076</v>
      </c>
      <c r="L55" s="245" t="inlineStr">
        <is>
          <t>1766690원</t>
        </is>
      </c>
      <c r="M55" s="110" t="n"/>
      <c r="N55" s="110">
        <f>C55-C56</f>
        <v/>
      </c>
      <c r="O55" s="110">
        <f>D55-D56</f>
        <v/>
      </c>
      <c r="P55" s="106">
        <f>E55-E56</f>
        <v/>
      </c>
      <c r="Q55" s="106">
        <f>F55-F56</f>
        <v/>
      </c>
      <c r="R55" s="106">
        <f>G55-G56</f>
        <v/>
      </c>
      <c r="S55" s="106">
        <f>H55-H56</f>
        <v/>
      </c>
      <c r="T55" s="106">
        <f>I55-I56</f>
        <v/>
      </c>
      <c r="U55" s="106">
        <f>J55-J56</f>
        <v/>
      </c>
      <c r="V55" s="106">
        <f>K55-K56</f>
        <v/>
      </c>
    </row>
    <row customFormat="1" customHeight="1" ht="12" r="56" s="107">
      <c r="A56" s="244" t="n">
        <v>43373</v>
      </c>
      <c r="B56" s="245" t="n"/>
      <c r="C56" s="245" t="n">
        <v>300199</v>
      </c>
      <c r="D56" s="245" t="n">
        <v>500595</v>
      </c>
      <c r="E56" s="245" t="n">
        <v>410314</v>
      </c>
      <c r="F56" s="246" t="n">
        <v>38088</v>
      </c>
      <c r="G56" s="246" t="n">
        <v>496613</v>
      </c>
      <c r="H56" s="245" t="n">
        <v>22152</v>
      </c>
      <c r="I56" s="245" t="n">
        <v>188638</v>
      </c>
      <c r="J56" s="245" t="n">
        <v>527823</v>
      </c>
      <c r="K56" s="245" t="n">
        <v>129687</v>
      </c>
      <c r="L56" s="245" t="inlineStr">
        <is>
          <t>1886270원</t>
        </is>
      </c>
      <c r="M56" s="110" t="n"/>
      <c r="N56" s="110">
        <f>C56-C57</f>
        <v/>
      </c>
      <c r="O56" s="110">
        <f>D56-D57</f>
        <v/>
      </c>
      <c r="P56" s="106">
        <f>E56-E57</f>
        <v/>
      </c>
      <c r="Q56" s="106">
        <f>F56-F57</f>
        <v/>
      </c>
      <c r="R56" s="106">
        <f>G56-G57</f>
        <v/>
      </c>
      <c r="S56" s="106">
        <f>H56-H57</f>
        <v/>
      </c>
      <c r="T56" s="106">
        <f>I56-I57</f>
        <v/>
      </c>
      <c r="U56" s="106">
        <f>J56-J57</f>
        <v/>
      </c>
      <c r="V56" s="106">
        <f>K56-K57</f>
        <v/>
      </c>
    </row>
    <row customFormat="1" customHeight="1" ht="12" r="57" s="107">
      <c r="A57" s="244" t="n">
        <v>43343</v>
      </c>
      <c r="B57" s="245" t="n"/>
      <c r="C57" s="245" t="n">
        <v>298917</v>
      </c>
      <c r="D57" s="245" t="n">
        <v>492226</v>
      </c>
      <c r="E57" s="245" t="n">
        <v>409657</v>
      </c>
      <c r="F57" s="246" t="n">
        <v>37360</v>
      </c>
      <c r="G57" s="246" t="n">
        <v>494775</v>
      </c>
      <c r="H57" s="245" t="n">
        <v>22137</v>
      </c>
      <c r="I57" s="245" t="n">
        <v>188028</v>
      </c>
      <c r="J57" s="245" t="n">
        <v>525548</v>
      </c>
      <c r="K57" s="245" t="n">
        <v>129276</v>
      </c>
      <c r="L57" s="245" t="inlineStr">
        <is>
          <t>3787030원</t>
        </is>
      </c>
      <c r="M57" s="110" t="n"/>
      <c r="N57" s="110">
        <f>C57-C58</f>
        <v/>
      </c>
      <c r="O57" s="110">
        <f>D57-D58</f>
        <v/>
      </c>
      <c r="P57" s="106">
        <f>E57-E58</f>
        <v/>
      </c>
      <c r="Q57" s="106">
        <f>F57-F58</f>
        <v/>
      </c>
      <c r="R57" s="106">
        <f>G57-G58</f>
        <v/>
      </c>
      <c r="S57" s="106">
        <f>H57-H58</f>
        <v/>
      </c>
      <c r="T57" s="106">
        <f>I57-I58</f>
        <v/>
      </c>
      <c r="U57" s="106">
        <f>J57-J58</f>
        <v/>
      </c>
      <c r="V57" s="106">
        <f>K57-K58</f>
        <v/>
      </c>
    </row>
    <row customFormat="1" customHeight="1" ht="12" r="58" s="107">
      <c r="A58" s="244" t="n">
        <v>43312</v>
      </c>
      <c r="B58" s="245" t="n"/>
      <c r="C58" s="245" t="n">
        <v>297318</v>
      </c>
      <c r="D58" s="245" t="n">
        <v>481089</v>
      </c>
      <c r="E58" s="245" t="n">
        <v>408772</v>
      </c>
      <c r="F58" s="246" t="n">
        <v>35710</v>
      </c>
      <c r="G58" s="246" t="n">
        <v>491164</v>
      </c>
      <c r="H58" s="245" t="n">
        <v>22121</v>
      </c>
      <c r="I58" s="245" t="n">
        <v>186959</v>
      </c>
      <c r="J58" s="245" t="n">
        <v>520342</v>
      </c>
      <c r="K58" s="245" t="n">
        <v>128834</v>
      </c>
      <c r="L58" s="245" t="inlineStr">
        <is>
          <t>3597380원</t>
        </is>
      </c>
      <c r="M58" s="110" t="n"/>
      <c r="N58" s="110">
        <f>C58-C59</f>
        <v/>
      </c>
      <c r="O58" s="110">
        <f>D58-D59</f>
        <v/>
      </c>
      <c r="P58" s="106">
        <f>E58-E59</f>
        <v/>
      </c>
      <c r="Q58" s="106">
        <f>F58-F59</f>
        <v/>
      </c>
      <c r="R58" s="106">
        <f>G58-G59</f>
        <v/>
      </c>
      <c r="S58" s="106">
        <f>H58-H59</f>
        <v/>
      </c>
      <c r="T58" s="106">
        <f>I58-I59</f>
        <v/>
      </c>
      <c r="U58" s="106">
        <f>J58-J59</f>
        <v/>
      </c>
      <c r="V58" s="106">
        <f>K58-K59</f>
        <v/>
      </c>
    </row>
    <row customFormat="1" customHeight="1" ht="12" r="59" s="107">
      <c r="A59" s="244" t="n">
        <v>43281</v>
      </c>
      <c r="B59" s="245" t="n"/>
      <c r="C59" s="245" t="n">
        <v>295734</v>
      </c>
      <c r="D59" s="245" t="n">
        <v>469878</v>
      </c>
      <c r="E59" s="245" t="n">
        <v>407959</v>
      </c>
      <c r="F59" s="246" t="n">
        <v>34685</v>
      </c>
      <c r="G59" s="246" t="n">
        <v>487677</v>
      </c>
      <c r="H59" s="245" t="n">
        <v>22114</v>
      </c>
      <c r="I59" s="245" t="n">
        <v>186089</v>
      </c>
      <c r="J59" s="245" t="n">
        <v>516405</v>
      </c>
      <c r="K59" s="245" t="n">
        <v>128395</v>
      </c>
      <c r="L59" s="245" t="inlineStr">
        <is>
          <t>2895040원</t>
        </is>
      </c>
      <c r="M59" s="110" t="n"/>
      <c r="N59" s="110">
        <f>C59-C60</f>
        <v/>
      </c>
      <c r="O59" s="110">
        <f>D59-D60</f>
        <v/>
      </c>
      <c r="P59" s="106">
        <f>E59-E60</f>
        <v/>
      </c>
      <c r="Q59" s="106">
        <f>F59-F60</f>
        <v/>
      </c>
      <c r="R59" s="106">
        <f>G59-G60</f>
        <v/>
      </c>
      <c r="S59" s="106">
        <f>H59-H60</f>
        <v/>
      </c>
      <c r="T59" s="106">
        <f>I59-I60</f>
        <v/>
      </c>
      <c r="U59" s="106">
        <f>J59-J60</f>
        <v/>
      </c>
      <c r="V59" s="106">
        <f>K59-K60</f>
        <v/>
      </c>
    </row>
    <row customHeight="1" ht="12" r="60" s="391">
      <c r="A60" s="244" t="n">
        <v>43251</v>
      </c>
      <c r="B60" s="245" t="n"/>
      <c r="C60" s="245" t="n">
        <v>294413</v>
      </c>
      <c r="D60" s="245" t="n">
        <v>460147</v>
      </c>
      <c r="E60" s="245" t="n">
        <v>407335</v>
      </c>
      <c r="F60" s="246" t="n">
        <v>33851</v>
      </c>
      <c r="G60" s="246" t="n">
        <v>485554</v>
      </c>
      <c r="H60" s="245" t="n">
        <v>22099</v>
      </c>
      <c r="I60" s="245" t="n">
        <v>185533</v>
      </c>
      <c r="J60" s="245" t="n">
        <v>513894</v>
      </c>
      <c r="K60" s="245" t="n">
        <v>128008</v>
      </c>
      <c r="L60" s="245" t="inlineStr">
        <is>
          <t>1861950원</t>
        </is>
      </c>
      <c r="N60" s="110">
        <f>C60-C61</f>
        <v/>
      </c>
      <c r="O60" s="110">
        <f>D60-D61</f>
        <v/>
      </c>
      <c r="P60" s="106">
        <f>E60-E61</f>
        <v/>
      </c>
      <c r="Q60" s="106">
        <f>F60-F61</f>
        <v/>
      </c>
      <c r="R60" s="106">
        <f>G60-G61</f>
        <v/>
      </c>
      <c r="S60" s="106">
        <f>H60-H61</f>
        <v/>
      </c>
      <c r="T60" s="106">
        <f>I60-I61</f>
        <v/>
      </c>
      <c r="U60" s="106">
        <f>J60-J61</f>
        <v/>
      </c>
      <c r="V60" s="106">
        <f>K60-K61</f>
        <v/>
      </c>
    </row>
    <row customHeight="1" ht="12" r="61" s="391">
      <c r="A61" s="244" t="n">
        <v>43220</v>
      </c>
      <c r="B61" s="245" t="n"/>
      <c r="C61" s="245" t="n">
        <v>293190</v>
      </c>
      <c r="D61" s="245" t="n">
        <v>451542</v>
      </c>
      <c r="E61" s="245" t="n">
        <v>406804</v>
      </c>
      <c r="F61" s="246" t="n">
        <v>33245</v>
      </c>
      <c r="G61" s="246" t="n">
        <v>484016</v>
      </c>
      <c r="H61" s="245" t="n">
        <v>22094</v>
      </c>
      <c r="I61" s="245" t="n">
        <v>185152</v>
      </c>
      <c r="J61" s="245" t="n">
        <v>512012</v>
      </c>
      <c r="K61" s="245" t="n">
        <v>127606</v>
      </c>
      <c r="L61" s="245" t="inlineStr">
        <is>
          <t>1799600원</t>
        </is>
      </c>
      <c r="N61" s="110">
        <f>C61-C62</f>
        <v/>
      </c>
      <c r="O61" s="110">
        <f>D61-D62</f>
        <v/>
      </c>
      <c r="P61" s="106">
        <f>E61-E62</f>
        <v/>
      </c>
      <c r="Q61" s="106">
        <f>F61-F62</f>
        <v/>
      </c>
      <c r="R61" s="106">
        <f>G61-G62</f>
        <v/>
      </c>
      <c r="S61" s="106">
        <f>H61-H62</f>
        <v/>
      </c>
      <c r="T61" s="106">
        <f>I61-I62</f>
        <v/>
      </c>
      <c r="U61" s="106">
        <f>J61-J62</f>
        <v/>
      </c>
      <c r="V61" s="106">
        <f>K61-K62</f>
        <v/>
      </c>
    </row>
    <row customHeight="1" ht="12" r="62" s="391">
      <c r="A62" s="244" t="n">
        <v>43190</v>
      </c>
      <c r="B62" s="245" t="n"/>
      <c r="C62" s="245" t="n">
        <v>291892</v>
      </c>
      <c r="D62" s="245" t="n">
        <v>444063</v>
      </c>
      <c r="E62" s="245" t="n">
        <v>406230</v>
      </c>
      <c r="F62" s="246" t="n">
        <v>32513</v>
      </c>
      <c r="G62" s="246" t="n">
        <v>482324</v>
      </c>
      <c r="H62" s="245" t="n">
        <v>22092</v>
      </c>
      <c r="I62" s="245" t="n">
        <v>184741</v>
      </c>
      <c r="J62" s="245" t="n">
        <v>509998</v>
      </c>
      <c r="K62" s="245" t="n">
        <v>127193</v>
      </c>
      <c r="L62" s="245" t="inlineStr">
        <is>
          <t>1898430원</t>
        </is>
      </c>
      <c r="N62" s="110">
        <f>C62-C63</f>
        <v/>
      </c>
      <c r="O62" s="110">
        <f>D62-D63</f>
        <v/>
      </c>
      <c r="P62" s="106">
        <f>E62-E63</f>
        <v/>
      </c>
      <c r="Q62" s="106">
        <f>F62-F63</f>
        <v/>
      </c>
      <c r="R62" s="106">
        <f>G62-G63</f>
        <v/>
      </c>
      <c r="S62" s="106">
        <f>H62-H63</f>
        <v/>
      </c>
      <c r="T62" s="106">
        <f>I62-I63</f>
        <v/>
      </c>
      <c r="U62" s="106">
        <f>J62-J63</f>
        <v/>
      </c>
      <c r="V62" s="106">
        <f>K62-K63</f>
        <v/>
      </c>
    </row>
    <row customHeight="1" ht="12" r="63" s="391">
      <c r="A63" s="244" t="n">
        <v>43159</v>
      </c>
      <c r="B63" s="245" t="n"/>
      <c r="C63" s="245" t="n">
        <v>290293</v>
      </c>
      <c r="D63" s="245" t="n">
        <v>437555</v>
      </c>
      <c r="E63" s="245" t="n">
        <v>405438</v>
      </c>
      <c r="F63" s="246" t="n">
        <v>31788</v>
      </c>
      <c r="G63" s="246" t="n">
        <v>479787</v>
      </c>
      <c r="H63" s="245" t="n">
        <v>22077</v>
      </c>
      <c r="I63" s="245" t="n">
        <v>184307</v>
      </c>
      <c r="J63" s="245" t="n">
        <v>507806</v>
      </c>
      <c r="K63" s="245" t="n">
        <v>126804</v>
      </c>
      <c r="L63" s="245" t="inlineStr">
        <is>
          <t>2432200원</t>
        </is>
      </c>
      <c r="N63" s="110">
        <f>C63-C64</f>
        <v/>
      </c>
      <c r="O63" s="110">
        <f>D63-D64</f>
        <v/>
      </c>
      <c r="P63" s="106">
        <f>E63-E64</f>
        <v/>
      </c>
      <c r="Q63" s="106">
        <f>F63-F64</f>
        <v/>
      </c>
      <c r="R63" s="106">
        <f>G63-G64</f>
        <v/>
      </c>
      <c r="S63" s="106">
        <f>H63-H64</f>
        <v/>
      </c>
      <c r="T63" s="106">
        <f>I63-I64</f>
        <v/>
      </c>
      <c r="U63" s="106">
        <f>J63-J64</f>
        <v/>
      </c>
      <c r="V63" s="106">
        <f>K63-K64</f>
        <v/>
      </c>
    </row>
    <row customHeight="1" ht="12" r="64" s="391">
      <c r="A64" s="244" t="n">
        <v>43131</v>
      </c>
      <c r="B64" s="245" t="n"/>
      <c r="C64" s="245" t="n">
        <v>288269</v>
      </c>
      <c r="D64" s="245" t="n">
        <v>432870</v>
      </c>
      <c r="E64" s="245" t="n">
        <v>404372</v>
      </c>
      <c r="F64" s="246" t="n">
        <v>31166</v>
      </c>
      <c r="G64" s="246" t="n">
        <v>476291</v>
      </c>
      <c r="H64" s="245" t="n">
        <v>22077</v>
      </c>
      <c r="I64" s="245" t="n">
        <v>183321</v>
      </c>
      <c r="J64" s="245" t="n">
        <v>505348</v>
      </c>
      <c r="K64" s="245" t="n">
        <v>126453</v>
      </c>
      <c r="L64" s="245" t="inlineStr">
        <is>
          <t>2704850원</t>
        </is>
      </c>
      <c r="N64" s="110">
        <f>C64-C65</f>
        <v/>
      </c>
      <c r="O64" s="110">
        <f>D64-D65</f>
        <v/>
      </c>
      <c r="P64" s="106">
        <f>E64-E65</f>
        <v/>
      </c>
      <c r="Q64" s="106">
        <f>F64-F65</f>
        <v/>
      </c>
      <c r="R64" s="106">
        <f>G64-G65</f>
        <v/>
      </c>
      <c r="S64" s="106">
        <f>H64-H65</f>
        <v/>
      </c>
      <c r="T64" s="106">
        <f>I64-I65</f>
        <v/>
      </c>
      <c r="U64" s="106">
        <f>J64-J65</f>
        <v/>
      </c>
      <c r="V64" s="106">
        <f>K64-K65</f>
        <v/>
      </c>
    </row>
    <row customHeight="1" ht="12" r="65" s="391">
      <c r="A65" s="244" t="n">
        <v>43100</v>
      </c>
      <c r="B65" s="245" t="n"/>
      <c r="C65" s="245" t="n">
        <v>285887</v>
      </c>
      <c r="D65" s="245" t="n">
        <v>427335</v>
      </c>
      <c r="E65" s="245" t="n">
        <v>403065</v>
      </c>
      <c r="F65" s="246" t="n">
        <v>30154</v>
      </c>
      <c r="G65" s="246" t="n">
        <v>472019</v>
      </c>
      <c r="H65" s="245" t="n">
        <v>22076</v>
      </c>
      <c r="I65" s="245" t="n">
        <v>182327</v>
      </c>
      <c r="J65" s="245" t="n">
        <v>502640</v>
      </c>
      <c r="K65" s="245" t="n">
        <v>126036</v>
      </c>
      <c r="L65" s="245" t="inlineStr">
        <is>
          <t>2504510원</t>
        </is>
      </c>
      <c r="N65" s="110">
        <f>C65-C66</f>
        <v/>
      </c>
      <c r="O65" s="110">
        <f>D65-D66</f>
        <v/>
      </c>
      <c r="P65" s="106">
        <f>E65-E66</f>
        <v/>
      </c>
      <c r="Q65" s="106">
        <f>F65-F66</f>
        <v/>
      </c>
      <c r="R65" s="106">
        <f>G65-G66</f>
        <v/>
      </c>
      <c r="S65" s="106">
        <f>H65-H66</f>
        <v/>
      </c>
      <c r="T65" s="106">
        <f>I65-I66</f>
        <v/>
      </c>
      <c r="U65" s="106">
        <f>J65-J66</f>
        <v/>
      </c>
      <c r="V65" s="106">
        <f>K65-K66</f>
        <v/>
      </c>
    </row>
    <row customHeight="1" ht="12" r="66" s="391">
      <c r="A66" s="244" t="n">
        <v>43069</v>
      </c>
      <c r="B66" s="245" t="n"/>
      <c r="C66" s="245" t="n">
        <v>283820</v>
      </c>
      <c r="D66" s="245" t="n">
        <v>422271</v>
      </c>
      <c r="E66" s="245" t="n">
        <v>401807</v>
      </c>
      <c r="F66" s="246" t="n">
        <v>29273</v>
      </c>
      <c r="G66" s="246" t="n">
        <v>468540</v>
      </c>
      <c r="H66" s="245" t="n">
        <v>22067</v>
      </c>
      <c r="I66" s="245" t="n">
        <v>181418</v>
      </c>
      <c r="J66" s="245" t="n">
        <v>500682</v>
      </c>
      <c r="K66" s="245" t="n">
        <v>125661</v>
      </c>
      <c r="L66" s="245" t="inlineStr">
        <is>
          <t>2326620원</t>
        </is>
      </c>
      <c r="N66" s="110">
        <f>C66-C67</f>
        <v/>
      </c>
      <c r="O66" s="110">
        <f>D66-D67</f>
        <v/>
      </c>
      <c r="P66" s="106">
        <f>E66-E67</f>
        <v/>
      </c>
      <c r="Q66" s="106">
        <f>F66-F67</f>
        <v/>
      </c>
      <c r="R66" s="106">
        <f>G66-G67</f>
        <v/>
      </c>
      <c r="S66" s="106">
        <f>H66-H67</f>
        <v/>
      </c>
      <c r="T66" s="106">
        <f>I66-I67</f>
        <v/>
      </c>
      <c r="U66" s="106">
        <f>J66-J67</f>
        <v/>
      </c>
      <c r="V66" s="106">
        <f>K66-K67</f>
        <v/>
      </c>
    </row>
    <row customHeight="1" ht="12" r="67" s="391">
      <c r="A67" s="244" t="n">
        <v>43039</v>
      </c>
      <c r="B67" s="245" t="n"/>
      <c r="C67" s="245" t="n">
        <v>282311</v>
      </c>
      <c r="D67" s="245" t="n">
        <v>415898</v>
      </c>
      <c r="E67" s="245" t="n">
        <v>400921</v>
      </c>
      <c r="F67" s="246" t="n">
        <v>28307</v>
      </c>
      <c r="G67" s="246" t="n">
        <v>466092</v>
      </c>
      <c r="H67" s="245" t="n">
        <v>22051</v>
      </c>
      <c r="I67" s="245" t="n">
        <v>180859</v>
      </c>
      <c r="J67" s="245" t="n">
        <v>498930</v>
      </c>
      <c r="K67" s="245" t="n">
        <v>125267</v>
      </c>
      <c r="L67" s="245" t="inlineStr">
        <is>
          <t>1803830원</t>
        </is>
      </c>
      <c r="N67" s="110">
        <f>C67-C68</f>
        <v/>
      </c>
      <c r="O67" s="110">
        <f>D67-D68</f>
        <v/>
      </c>
      <c r="P67" s="106">
        <f>E67-E68</f>
        <v/>
      </c>
      <c r="Q67" s="106">
        <f>F67-F68</f>
        <v/>
      </c>
      <c r="R67" s="106">
        <f>G67-G68</f>
        <v/>
      </c>
      <c r="S67" s="106">
        <f>H67-H68</f>
        <v/>
      </c>
      <c r="T67" s="106">
        <f>I67-I68</f>
        <v/>
      </c>
      <c r="U67" s="106">
        <f>J67-J68</f>
        <v/>
      </c>
      <c r="V67" s="106">
        <f>K67-K68</f>
        <v/>
      </c>
    </row>
    <row customHeight="1" ht="12" r="68" s="391">
      <c r="A68" s="244" t="n">
        <v>43008</v>
      </c>
      <c r="B68" s="245" t="n"/>
      <c r="C68" s="245" t="n">
        <v>280918</v>
      </c>
      <c r="D68" s="245" t="n">
        <v>407642</v>
      </c>
      <c r="E68" s="245" t="n">
        <v>400317</v>
      </c>
      <c r="F68" s="246" t="n">
        <v>27666</v>
      </c>
      <c r="G68" s="246" t="n">
        <v>464883</v>
      </c>
      <c r="H68" s="245" t="n">
        <v>22033</v>
      </c>
      <c r="I68" s="245" t="n">
        <v>180438</v>
      </c>
      <c r="J68" s="245" t="n">
        <v>497005</v>
      </c>
      <c r="K68" s="245" t="n">
        <v>124823</v>
      </c>
      <c r="L68" s="245" t="inlineStr">
        <is>
          <t>2007030원</t>
        </is>
      </c>
      <c r="N68" s="110">
        <f>C68-C69</f>
        <v/>
      </c>
      <c r="O68" s="110">
        <f>D68-D69</f>
        <v/>
      </c>
      <c r="P68" s="106">
        <f>E68-E69</f>
        <v/>
      </c>
      <c r="Q68" s="106">
        <f>F68-F69</f>
        <v/>
      </c>
      <c r="R68" s="106">
        <f>G68-G69</f>
        <v/>
      </c>
      <c r="S68" s="106">
        <f>H68-H69</f>
        <v/>
      </c>
      <c r="T68" s="106">
        <f>I68-I69</f>
        <v/>
      </c>
      <c r="U68" s="106">
        <f>J68-J69</f>
        <v/>
      </c>
      <c r="V68" s="106">
        <f>K68-K69</f>
        <v/>
      </c>
    </row>
    <row customHeight="1" ht="12" r="69" s="391">
      <c r="A69" s="244" t="n">
        <v>42978</v>
      </c>
      <c r="B69" s="245" t="n"/>
      <c r="C69" s="245" t="n">
        <v>279498</v>
      </c>
      <c r="D69" s="245" t="n">
        <v>399137</v>
      </c>
      <c r="E69" s="245" t="n">
        <v>399617</v>
      </c>
      <c r="F69" s="246" t="n">
        <v>26787</v>
      </c>
      <c r="G69" s="246" t="n">
        <v>463018</v>
      </c>
      <c r="H69" s="245" t="n">
        <v>22017</v>
      </c>
      <c r="I69" s="245" t="n">
        <v>179631</v>
      </c>
      <c r="J69" s="245" t="n">
        <v>494916</v>
      </c>
      <c r="K69" s="245" t="n">
        <v>124391</v>
      </c>
      <c r="L69" s="245" t="inlineStr">
        <is>
          <t>3350890원</t>
        </is>
      </c>
      <c r="N69" s="110">
        <f>C69-C70</f>
        <v/>
      </c>
      <c r="O69" s="110">
        <f>D69-D70</f>
        <v/>
      </c>
      <c r="P69" s="106">
        <f>E69-E70</f>
        <v/>
      </c>
      <c r="Q69" s="106">
        <f>F69-F70</f>
        <v/>
      </c>
      <c r="R69" s="106">
        <f>G69-G70</f>
        <v/>
      </c>
      <c r="S69" s="106">
        <f>H69-H70</f>
        <v/>
      </c>
      <c r="T69" s="106">
        <f>I69-I70</f>
        <v/>
      </c>
      <c r="U69" s="106">
        <f>J69-J70</f>
        <v/>
      </c>
      <c r="V69" s="106">
        <f>K69-K70</f>
        <v/>
      </c>
    </row>
    <row customHeight="1" ht="12" r="70" s="391">
      <c r="A70" s="244" t="n">
        <v>42947</v>
      </c>
      <c r="B70" s="245" t="n"/>
      <c r="C70" s="245" t="n">
        <v>277730</v>
      </c>
      <c r="D70" s="245" t="n">
        <v>389001</v>
      </c>
      <c r="E70" s="245" t="n">
        <v>398874</v>
      </c>
      <c r="F70" s="246" t="n">
        <v>25497</v>
      </c>
      <c r="G70" s="246" t="n">
        <v>460297</v>
      </c>
      <c r="H70" s="245" t="n">
        <v>22003</v>
      </c>
      <c r="I70" s="245" t="n">
        <v>178587</v>
      </c>
      <c r="J70" s="245" t="n">
        <v>491158</v>
      </c>
      <c r="K70" s="245" t="n">
        <v>123972</v>
      </c>
      <c r="L70" s="245" t="inlineStr">
        <is>
          <t>3384900원</t>
        </is>
      </c>
      <c r="N70" s="110">
        <f>C70-C71</f>
        <v/>
      </c>
      <c r="O70" s="110">
        <f>D70-D71</f>
        <v/>
      </c>
      <c r="P70" s="106">
        <f>E70-E71</f>
        <v/>
      </c>
      <c r="Q70" s="106">
        <f>F70-F71</f>
        <v/>
      </c>
      <c r="R70" s="106">
        <f>G70-G71</f>
        <v/>
      </c>
      <c r="S70" s="106">
        <f>H70-H71</f>
        <v/>
      </c>
      <c r="T70" s="106">
        <f>I70-I71</f>
        <v/>
      </c>
      <c r="U70" s="106">
        <f>J70-J71</f>
        <v/>
      </c>
      <c r="V70" s="106">
        <f>K70-K71</f>
        <v/>
      </c>
    </row>
    <row customHeight="1" ht="12" r="71" s="391">
      <c r="A71" s="244" t="n">
        <v>42916</v>
      </c>
      <c r="B71" s="245" t="n"/>
      <c r="C71" s="245" t="n">
        <v>275954</v>
      </c>
      <c r="D71" s="245" t="n">
        <v>377876</v>
      </c>
      <c r="E71" s="245" t="n">
        <v>398142</v>
      </c>
      <c r="F71" s="246" t="n">
        <v>24316</v>
      </c>
      <c r="G71" s="246" t="n">
        <v>457628</v>
      </c>
      <c r="H71" s="245" t="n">
        <v>21989</v>
      </c>
      <c r="I71" s="245" t="n">
        <v>177380</v>
      </c>
      <c r="J71" s="245" t="n">
        <v>488264</v>
      </c>
      <c r="K71" s="245" t="n">
        <v>123563</v>
      </c>
      <c r="L71" s="245" t="inlineStr">
        <is>
          <t>2844210원</t>
        </is>
      </c>
      <c r="N71" s="110">
        <f>C71-C72</f>
        <v/>
      </c>
      <c r="O71" s="110">
        <f>D71-D72</f>
        <v/>
      </c>
      <c r="P71" s="106">
        <f>E71-E72</f>
        <v/>
      </c>
      <c r="Q71" s="106">
        <f>F71-F72</f>
        <v/>
      </c>
      <c r="R71" s="106">
        <f>G71-G72</f>
        <v/>
      </c>
      <c r="S71" s="106">
        <f>H71-H72</f>
        <v/>
      </c>
      <c r="T71" s="106">
        <f>I71-I72</f>
        <v/>
      </c>
      <c r="U71" s="106">
        <f>J71-J72</f>
        <v/>
      </c>
      <c r="V71" s="106">
        <f>K71-K72</f>
        <v/>
      </c>
    </row>
    <row customHeight="1" ht="12" r="72" s="391">
      <c r="A72" s="244" t="n">
        <v>42886</v>
      </c>
      <c r="B72" s="245" t="n"/>
      <c r="C72" s="245" t="n">
        <v>274417</v>
      </c>
      <c r="D72" s="245" t="n">
        <v>368299</v>
      </c>
      <c r="E72" s="245" t="n">
        <v>397603</v>
      </c>
      <c r="F72" s="246" t="n">
        <v>23344</v>
      </c>
      <c r="G72" s="246" t="n">
        <v>455535</v>
      </c>
      <c r="H72" s="245" t="n">
        <v>21972</v>
      </c>
      <c r="I72" s="245" t="n">
        <v>176567</v>
      </c>
      <c r="J72" s="245" t="n">
        <v>486725</v>
      </c>
      <c r="K72" s="245" t="n">
        <v>123181</v>
      </c>
      <c r="L72" s="245" t="inlineStr">
        <is>
          <t>1882780원</t>
        </is>
      </c>
      <c r="N72" s="110">
        <f>C72-C73</f>
        <v/>
      </c>
      <c r="O72" s="110">
        <f>D72-D73</f>
        <v/>
      </c>
      <c r="P72" s="106">
        <f>E72-E73</f>
        <v/>
      </c>
      <c r="Q72" s="106">
        <f>F72-F73</f>
        <v/>
      </c>
      <c r="R72" s="106">
        <f>G72-G73</f>
        <v/>
      </c>
      <c r="S72" s="106">
        <f>H72-H73</f>
        <v/>
      </c>
      <c r="T72" s="106">
        <f>I72-I73</f>
        <v/>
      </c>
      <c r="U72" s="106">
        <f>J72-J73</f>
        <v/>
      </c>
      <c r="V72" s="106">
        <f>K72-K73</f>
        <v/>
      </c>
    </row>
    <row customHeight="1" ht="12" r="73" s="391">
      <c r="A73" s="244" t="n">
        <v>42855</v>
      </c>
      <c r="B73" s="245" t="n"/>
      <c r="C73" s="245" t="n">
        <v>273023</v>
      </c>
      <c r="D73" s="248" t="n">
        <v>357514</v>
      </c>
      <c r="E73" s="245" t="n">
        <v>397145</v>
      </c>
      <c r="F73" s="246" t="n">
        <v>22690</v>
      </c>
      <c r="G73" s="246" t="n">
        <v>454299</v>
      </c>
      <c r="H73" s="245" t="n">
        <v>21965</v>
      </c>
      <c r="I73" s="245" t="n">
        <v>176128</v>
      </c>
      <c r="J73" s="245" t="n">
        <v>485254</v>
      </c>
      <c r="K73" s="245" t="n">
        <v>122798</v>
      </c>
      <c r="L73" s="245" t="inlineStr">
        <is>
          <t>1812360원</t>
        </is>
      </c>
      <c r="N73" s="110">
        <f>C73-C74</f>
        <v/>
      </c>
      <c r="O73" s="110">
        <f>D73-D74</f>
        <v/>
      </c>
      <c r="P73" s="106">
        <f>E73-E74</f>
        <v/>
      </c>
      <c r="Q73" s="106">
        <f>F73-F74</f>
        <v/>
      </c>
      <c r="R73" s="106">
        <f>G73-G74</f>
        <v/>
      </c>
      <c r="S73" s="106">
        <f>H73-H74</f>
        <v/>
      </c>
      <c r="T73" s="106">
        <f>I73-I74</f>
        <v/>
      </c>
      <c r="U73" s="106">
        <f>J73-J74</f>
        <v/>
      </c>
      <c r="V73" s="106">
        <f>K73-K74</f>
        <v/>
      </c>
    </row>
    <row customHeight="1" ht="12" r="74" s="391">
      <c r="A74" s="244" t="n">
        <v>42825</v>
      </c>
      <c r="B74" s="245" t="n"/>
      <c r="C74" s="245" t="n">
        <v>271378</v>
      </c>
      <c r="D74" s="245" t="n">
        <v>351222</v>
      </c>
      <c r="E74" s="245" t="n">
        <v>396672</v>
      </c>
      <c r="F74" s="246" t="n">
        <v>21892</v>
      </c>
      <c r="G74" s="246" t="n">
        <v>452940</v>
      </c>
      <c r="H74" s="245" t="n">
        <v>21964</v>
      </c>
      <c r="I74" s="245" t="n">
        <v>175763</v>
      </c>
      <c r="J74" s="245" t="n">
        <v>483625</v>
      </c>
      <c r="K74" s="245" t="n">
        <v>122392</v>
      </c>
      <c r="L74" s="245" t="inlineStr">
        <is>
          <t>1955210원</t>
        </is>
      </c>
      <c r="N74" s="110">
        <f>C74-C75</f>
        <v/>
      </c>
      <c r="O74" s="110">
        <f>D74-D75</f>
        <v/>
      </c>
      <c r="P74" s="106">
        <f>E74-E75</f>
        <v/>
      </c>
      <c r="Q74" s="106">
        <f>F74-F75</f>
        <v/>
      </c>
      <c r="R74" s="106">
        <f>G74-G75</f>
        <v/>
      </c>
      <c r="S74" s="106">
        <f>H74-H75</f>
        <v/>
      </c>
      <c r="T74" s="106">
        <f>I74-I75</f>
        <v/>
      </c>
      <c r="U74" s="106">
        <f>J74-J75</f>
        <v/>
      </c>
      <c r="V74" s="106">
        <f>K74-K75</f>
        <v/>
      </c>
    </row>
    <row customHeight="1" ht="12" r="75" s="391">
      <c r="A75" s="244" t="n">
        <v>42794</v>
      </c>
      <c r="B75" s="245" t="n"/>
      <c r="C75" s="245" t="n">
        <v>269553</v>
      </c>
      <c r="D75" s="245" t="n">
        <v>343831</v>
      </c>
      <c r="E75" s="245" t="n">
        <v>396001</v>
      </c>
      <c r="F75" s="246" t="n">
        <v>20703</v>
      </c>
      <c r="G75" s="246" t="n">
        <v>450805</v>
      </c>
      <c r="H75" s="245" t="n">
        <v>21964</v>
      </c>
      <c r="I75" s="245" t="n">
        <v>175121</v>
      </c>
      <c r="J75" s="245" t="n">
        <v>481509</v>
      </c>
      <c r="K75" s="245" t="n">
        <v>121977</v>
      </c>
      <c r="L75" s="245" t="inlineStr">
        <is>
          <t>2479430원</t>
        </is>
      </c>
      <c r="N75" s="110">
        <f>C75-C76</f>
        <v/>
      </c>
      <c r="O75" s="110">
        <f>D75-D76</f>
        <v/>
      </c>
      <c r="P75" s="106">
        <f>E75-E76</f>
        <v/>
      </c>
      <c r="Q75" s="106">
        <f>F75-F76</f>
        <v/>
      </c>
      <c r="R75" s="106">
        <f>G75-G76</f>
        <v/>
      </c>
      <c r="S75" s="106">
        <f>H75-H76</f>
        <v/>
      </c>
      <c r="T75" s="106">
        <f>I75-I76</f>
        <v/>
      </c>
      <c r="U75" s="106">
        <f>J75-J76</f>
        <v/>
      </c>
      <c r="V75" s="106">
        <f>K75-K76</f>
        <v/>
      </c>
    </row>
    <row customHeight="1" ht="12" r="76" s="391">
      <c r="A76" s="244" t="n">
        <v>42766</v>
      </c>
      <c r="B76" s="245" t="n"/>
      <c r="C76" s="245" t="n">
        <v>267517</v>
      </c>
      <c r="D76" s="245" t="n">
        <v>337836</v>
      </c>
      <c r="E76" s="245" t="n">
        <v>395268</v>
      </c>
      <c r="F76" s="246" t="n">
        <v>19774</v>
      </c>
      <c r="G76" s="246" t="n">
        <v>447696</v>
      </c>
      <c r="H76" s="245" t="n">
        <v>21959</v>
      </c>
      <c r="I76" s="245" t="n">
        <v>174158</v>
      </c>
      <c r="J76" s="245" t="n">
        <v>479495</v>
      </c>
      <c r="K76" s="245" t="n">
        <v>121621</v>
      </c>
      <c r="L76" s="245" t="inlineStr">
        <is>
          <t>2588470원</t>
        </is>
      </c>
      <c r="N76" s="110">
        <f>C76-C77</f>
        <v/>
      </c>
      <c r="O76" s="110">
        <f>D76-D77</f>
        <v/>
      </c>
      <c r="P76" s="106">
        <f>E76-E77</f>
        <v/>
      </c>
      <c r="Q76" s="106">
        <f>F76-F77</f>
        <v/>
      </c>
      <c r="R76" s="106">
        <f>G76-G77</f>
        <v/>
      </c>
      <c r="S76" s="106">
        <f>H76-H77</f>
        <v/>
      </c>
      <c r="T76" s="106">
        <f>I76-I77</f>
        <v/>
      </c>
      <c r="U76" s="106">
        <f>J76-J77</f>
        <v/>
      </c>
      <c r="V76" s="106">
        <f>K76-K77</f>
        <v/>
      </c>
    </row>
    <row customHeight="1" ht="12" r="77" s="391">
      <c r="A77" s="244" t="n">
        <v>42735</v>
      </c>
      <c r="B77" s="245" t="n"/>
      <c r="C77" s="245" t="n">
        <v>264841</v>
      </c>
      <c r="D77" s="245" t="n">
        <v>330910</v>
      </c>
      <c r="E77" s="245" t="n">
        <v>394413</v>
      </c>
      <c r="F77" s="246" t="n">
        <v>18542</v>
      </c>
      <c r="G77" s="246" t="n">
        <v>444495</v>
      </c>
      <c r="H77" s="245" t="n">
        <v>21951</v>
      </c>
      <c r="I77" s="245" t="n">
        <v>173247</v>
      </c>
      <c r="J77" s="245" t="n">
        <v>477671</v>
      </c>
      <c r="K77" s="245" t="n">
        <v>121221</v>
      </c>
      <c r="L77" s="245" t="inlineStr">
        <is>
          <t>2560130원</t>
        </is>
      </c>
      <c r="N77" s="110">
        <f>C77-C78</f>
        <v/>
      </c>
      <c r="O77" s="110">
        <f>D77-D78</f>
        <v/>
      </c>
      <c r="P77" s="106">
        <f>E77-E78</f>
        <v/>
      </c>
      <c r="Q77" s="106">
        <f>F77-F78</f>
        <v/>
      </c>
      <c r="R77" s="106">
        <f>G77-G78</f>
        <v/>
      </c>
      <c r="S77" s="106">
        <f>H77-H78</f>
        <v/>
      </c>
      <c r="T77" s="106">
        <f>I77-I78</f>
        <v/>
      </c>
      <c r="U77" s="106">
        <f>J77-J78</f>
        <v/>
      </c>
      <c r="V77" s="106">
        <f>K77-K78</f>
        <v/>
      </c>
    </row>
    <row customHeight="1" ht="12" r="78" s="391">
      <c r="A78" s="244" t="n">
        <v>42704</v>
      </c>
      <c r="B78" s="245" t="n"/>
      <c r="C78" s="245" t="n">
        <v>262587</v>
      </c>
      <c r="D78" s="245" t="n">
        <v>324169</v>
      </c>
      <c r="E78" s="245" t="n">
        <v>393976</v>
      </c>
      <c r="F78" s="246" t="n">
        <v>17161</v>
      </c>
      <c r="G78" s="246" t="n">
        <v>441563</v>
      </c>
      <c r="H78" s="245" t="n">
        <v>21951</v>
      </c>
      <c r="I78" s="245" t="n">
        <v>172470</v>
      </c>
      <c r="J78" s="245" t="n">
        <v>475958</v>
      </c>
      <c r="K78" s="245" t="n">
        <v>120832</v>
      </c>
      <c r="L78" s="245" t="inlineStr">
        <is>
          <t>2405860원</t>
        </is>
      </c>
      <c r="N78" s="110">
        <f>C78-C79</f>
        <v/>
      </c>
      <c r="O78" s="110">
        <f>D78-D79</f>
        <v/>
      </c>
      <c r="P78" s="106">
        <f>E78-E79</f>
        <v/>
      </c>
      <c r="Q78" s="106">
        <f>F78-F79</f>
        <v/>
      </c>
      <c r="R78" s="106">
        <f>G78-G79</f>
        <v/>
      </c>
      <c r="S78" s="106">
        <f>H78-H79</f>
        <v/>
      </c>
      <c r="T78" s="106">
        <f>I78-I79</f>
        <v/>
      </c>
      <c r="U78" s="106">
        <f>J78-J79</f>
        <v/>
      </c>
      <c r="V78" s="106">
        <f>K78-K79</f>
        <v/>
      </c>
    </row>
    <row customHeight="1" ht="12" r="79" s="391">
      <c r="A79" s="244" t="n">
        <v>42674</v>
      </c>
      <c r="B79" s="245" t="n"/>
      <c r="C79" s="245" t="n">
        <v>260558</v>
      </c>
      <c r="D79" s="245" t="n">
        <v>316897</v>
      </c>
      <c r="E79" s="245" t="n">
        <v>393921</v>
      </c>
      <c r="F79" s="246" t="n">
        <v>15940</v>
      </c>
      <c r="G79" s="246" t="n">
        <v>439407</v>
      </c>
      <c r="H79" s="245" t="n">
        <v>21939</v>
      </c>
      <c r="I79" s="245" t="n">
        <v>171876</v>
      </c>
      <c r="J79" s="245" t="n">
        <v>474046</v>
      </c>
      <c r="K79" s="245" t="n">
        <v>120411</v>
      </c>
      <c r="L79" s="245" t="inlineStr">
        <is>
          <t>1895090원</t>
        </is>
      </c>
      <c r="N79" s="110">
        <f>C79-C80</f>
        <v/>
      </c>
      <c r="O79" s="110">
        <f>D79-D80</f>
        <v/>
      </c>
      <c r="P79" s="106">
        <f>E79-E80</f>
        <v/>
      </c>
      <c r="Q79" s="106">
        <f>F79-F80</f>
        <v/>
      </c>
      <c r="R79" s="106">
        <f>G79-G80</f>
        <v/>
      </c>
      <c r="S79" s="106">
        <f>H79-H80</f>
        <v/>
      </c>
      <c r="T79" s="106">
        <f>I79-I80</f>
        <v/>
      </c>
      <c r="U79" s="106">
        <f>J79-J80</f>
        <v/>
      </c>
      <c r="V79" s="106">
        <f>K79-K80</f>
        <v/>
      </c>
    </row>
    <row customHeight="1" ht="12" r="80" s="391">
      <c r="A80" s="244" t="n">
        <v>42643</v>
      </c>
      <c r="B80" s="245" t="n"/>
      <c r="C80" s="245" t="n">
        <v>258771</v>
      </c>
      <c r="D80" s="245" t="n">
        <v>307815</v>
      </c>
      <c r="E80" s="245" t="n">
        <v>393863</v>
      </c>
      <c r="F80" s="246" t="n">
        <v>15217</v>
      </c>
      <c r="G80" s="246" t="n">
        <v>438172</v>
      </c>
      <c r="H80" s="245" t="n">
        <v>21933</v>
      </c>
      <c r="I80" s="245" t="n">
        <v>171333</v>
      </c>
      <c r="J80" s="245" t="n">
        <v>472255</v>
      </c>
      <c r="K80" s="245" t="n">
        <v>120010</v>
      </c>
      <c r="L80" s="245" t="inlineStr">
        <is>
          <t>2127420원</t>
        </is>
      </c>
      <c r="N80" s="110">
        <f>C80-C81</f>
        <v/>
      </c>
      <c r="O80" s="110">
        <f>D80-D81</f>
        <v/>
      </c>
      <c r="P80" s="106">
        <f>E80-E81</f>
        <v/>
      </c>
      <c r="Q80" s="106">
        <f>F80-F81</f>
        <v/>
      </c>
      <c r="R80" s="106">
        <f>G80-G81</f>
        <v/>
      </c>
      <c r="S80" s="106">
        <f>H80-H81</f>
        <v/>
      </c>
      <c r="T80" s="106">
        <f>I80-I81</f>
        <v/>
      </c>
      <c r="U80" s="106">
        <f>J80-J81</f>
        <v/>
      </c>
      <c r="V80" s="106">
        <f>K80-K81</f>
        <v/>
      </c>
    </row>
    <row customHeight="1" ht="12" r="81" s="391">
      <c r="A81" s="244" t="n">
        <v>42613</v>
      </c>
      <c r="B81" s="245" t="n"/>
      <c r="C81" s="245" t="n">
        <v>256994</v>
      </c>
      <c r="D81" s="245" t="n">
        <v>297492</v>
      </c>
      <c r="E81" s="245" t="n">
        <v>393804</v>
      </c>
      <c r="F81" s="246" t="n">
        <v>14361</v>
      </c>
      <c r="G81" s="246" t="n">
        <v>436493</v>
      </c>
      <c r="H81" s="245" t="n">
        <v>21927</v>
      </c>
      <c r="I81" s="245" t="n">
        <v>170526</v>
      </c>
      <c r="J81" s="245" t="n">
        <v>469373</v>
      </c>
      <c r="K81" s="245" t="n">
        <v>119626</v>
      </c>
      <c r="L81" s="245" t="inlineStr">
        <is>
          <t>3885690원</t>
        </is>
      </c>
      <c r="N81" s="110">
        <f>C81-C82</f>
        <v/>
      </c>
      <c r="O81" s="110">
        <f>D81-D82</f>
        <v/>
      </c>
      <c r="P81" s="106">
        <f>E81-E82</f>
        <v/>
      </c>
      <c r="Q81" s="106">
        <f>F81-F82</f>
        <v/>
      </c>
      <c r="R81" s="106">
        <f>G81-G82</f>
        <v/>
      </c>
      <c r="S81" s="106">
        <f>H81-H82</f>
        <v/>
      </c>
      <c r="T81" s="106">
        <f>I81-I82</f>
        <v/>
      </c>
      <c r="U81" s="106">
        <f>J81-J82</f>
        <v/>
      </c>
      <c r="V81" s="106">
        <f>K81-K82</f>
        <v/>
      </c>
    </row>
    <row customHeight="1" ht="12" r="82" s="391">
      <c r="A82" s="244" t="n">
        <v>42582</v>
      </c>
      <c r="B82" s="245" t="n"/>
      <c r="C82" s="245" t="n">
        <v>254883</v>
      </c>
      <c r="D82" s="245" t="n">
        <v>285898</v>
      </c>
      <c r="E82" s="245" t="n">
        <v>393746</v>
      </c>
      <c r="F82" s="246" t="n">
        <v>12831</v>
      </c>
      <c r="G82" s="246" t="n">
        <v>433107</v>
      </c>
      <c r="H82" s="245" t="n">
        <v>21923</v>
      </c>
      <c r="I82" s="245" t="n">
        <v>169297</v>
      </c>
      <c r="J82" s="245" t="n">
        <v>464071</v>
      </c>
      <c r="K82" s="245" t="n">
        <v>119246</v>
      </c>
      <c r="L82" s="245" t="inlineStr">
        <is>
          <t>3417220원</t>
        </is>
      </c>
      <c r="N82" s="110">
        <f>C82-C83</f>
        <v/>
      </c>
      <c r="O82" s="110">
        <f>D82-D83</f>
        <v/>
      </c>
      <c r="P82" s="106">
        <f>E82-E83</f>
        <v/>
      </c>
      <c r="Q82" s="106">
        <f>F82-F83</f>
        <v/>
      </c>
      <c r="R82" s="106">
        <f>G82-G83</f>
        <v/>
      </c>
      <c r="S82" s="106">
        <f>H82-H83</f>
        <v/>
      </c>
      <c r="T82" s="106">
        <f>I82-I83</f>
        <v/>
      </c>
      <c r="U82" s="106">
        <f>J82-J83</f>
        <v/>
      </c>
      <c r="V82" s="106">
        <f>K82-K83</f>
        <v/>
      </c>
    </row>
    <row customHeight="1" ht="12" r="83" s="391">
      <c r="A83" s="244" t="n">
        <v>42551</v>
      </c>
      <c r="B83" s="245" t="n"/>
      <c r="C83" s="245" t="n">
        <v>252912</v>
      </c>
      <c r="D83" s="245" t="n">
        <v>274011</v>
      </c>
      <c r="E83" s="245" t="n">
        <v>393683</v>
      </c>
      <c r="F83" s="246" t="n">
        <v>11716</v>
      </c>
      <c r="G83" s="246" t="n">
        <v>430477</v>
      </c>
      <c r="H83" s="245" t="n">
        <v>21917</v>
      </c>
      <c r="I83" s="245" t="n">
        <v>168232</v>
      </c>
      <c r="J83" s="245" t="n">
        <v>460431</v>
      </c>
      <c r="K83" s="245" t="n">
        <v>118788</v>
      </c>
      <c r="L83" s="245" t="inlineStr">
        <is>
          <t>3011980원</t>
        </is>
      </c>
      <c r="N83" s="110">
        <f>C83-C84</f>
        <v/>
      </c>
      <c r="O83" s="110">
        <f>D83-D84</f>
        <v/>
      </c>
      <c r="P83" s="106">
        <f>E83-E84</f>
        <v/>
      </c>
      <c r="Q83" s="106">
        <f>F83-F84</f>
        <v/>
      </c>
      <c r="R83" s="106">
        <f>G83-G84</f>
        <v/>
      </c>
      <c r="S83" s="106">
        <f>H83-H84</f>
        <v/>
      </c>
      <c r="T83" s="106">
        <f>I83-I84</f>
        <v/>
      </c>
      <c r="U83" s="106">
        <f>J83-J84</f>
        <v/>
      </c>
      <c r="V83" s="106">
        <f>K83-K84</f>
        <v/>
      </c>
    </row>
    <row customHeight="1" ht="12" r="84" s="391">
      <c r="A84" s="244" t="n">
        <v>42521</v>
      </c>
      <c r="B84" s="245" t="n"/>
      <c r="C84" s="245" t="n">
        <v>251271</v>
      </c>
      <c r="D84" s="245" t="n">
        <v>263320</v>
      </c>
      <c r="E84" s="245" t="n">
        <v>393625</v>
      </c>
      <c r="F84" s="246" t="n">
        <v>10637</v>
      </c>
      <c r="G84" s="246" t="n">
        <v>428335</v>
      </c>
      <c r="H84" s="245" t="n">
        <v>21912</v>
      </c>
      <c r="I84" s="245" t="n">
        <v>167246</v>
      </c>
      <c r="J84" s="245" t="n">
        <v>458504</v>
      </c>
      <c r="K84" s="245" t="n">
        <v>118347</v>
      </c>
      <c r="L84" s="245" t="inlineStr">
        <is>
          <t>1941270원</t>
        </is>
      </c>
      <c r="N84" s="110">
        <f>C84-C85</f>
        <v/>
      </c>
      <c r="O84" s="110">
        <f>D84-D85</f>
        <v/>
      </c>
      <c r="P84" s="106">
        <f>E84-E85</f>
        <v/>
      </c>
      <c r="Q84" s="106">
        <f>F84-F85</f>
        <v/>
      </c>
      <c r="R84" s="106">
        <f>G84-G85</f>
        <v/>
      </c>
      <c r="S84" s="106">
        <f>H84-H85</f>
        <v/>
      </c>
      <c r="T84" s="106">
        <f>I84-I85</f>
        <v/>
      </c>
      <c r="U84" s="106">
        <f>J84-J85</f>
        <v/>
      </c>
      <c r="V84" s="106">
        <f>K84-K85</f>
        <v/>
      </c>
    </row>
    <row customHeight="1" ht="12" r="85" s="391">
      <c r="A85" s="244" t="n">
        <v>42490</v>
      </c>
      <c r="B85" s="245" t="n"/>
      <c r="C85" s="245" t="n">
        <v>249798</v>
      </c>
      <c r="D85" s="245" t="n">
        <v>253532</v>
      </c>
      <c r="E85" s="245" t="n">
        <v>393565</v>
      </c>
      <c r="F85" s="246" t="n">
        <v>9926</v>
      </c>
      <c r="G85" s="246" t="n">
        <v>426967</v>
      </c>
      <c r="H85" s="245" t="n">
        <v>21897</v>
      </c>
      <c r="I85" s="245" t="n">
        <v>166662</v>
      </c>
      <c r="J85" s="245" t="n">
        <v>456944</v>
      </c>
      <c r="K85" s="245" t="n">
        <v>117927</v>
      </c>
      <c r="L85" s="245" t="inlineStr">
        <is>
          <t>1859500원</t>
        </is>
      </c>
      <c r="N85" s="110">
        <f>C85-C86</f>
        <v/>
      </c>
      <c r="O85" s="110">
        <f>D85-D86</f>
        <v/>
      </c>
      <c r="P85" s="106">
        <f>E85-E86</f>
        <v/>
      </c>
      <c r="Q85" s="106">
        <f>F85-F86</f>
        <v/>
      </c>
      <c r="R85" s="106">
        <f>G85-G86</f>
        <v/>
      </c>
      <c r="S85" s="106">
        <f>H85-H86</f>
        <v/>
      </c>
      <c r="T85" s="106">
        <f>I85-I86</f>
        <v/>
      </c>
      <c r="U85" s="106">
        <f>J85-J86</f>
        <v/>
      </c>
      <c r="V85" s="106">
        <f>K85-K86</f>
        <v/>
      </c>
    </row>
    <row customHeight="1" ht="12" r="86" s="391">
      <c r="A86" s="244" t="n">
        <v>42460</v>
      </c>
      <c r="B86" s="245" t="n"/>
      <c r="C86" s="245" t="n">
        <v>248101</v>
      </c>
      <c r="D86" s="245" t="n">
        <v>244728</v>
      </c>
      <c r="E86" s="245" t="n">
        <v>393499</v>
      </c>
      <c r="F86" s="246" t="n">
        <v>9185</v>
      </c>
      <c r="G86" s="246" t="n">
        <v>425647</v>
      </c>
      <c r="H86" s="245" t="n">
        <v>21871</v>
      </c>
      <c r="I86" s="245" t="n">
        <v>166140</v>
      </c>
      <c r="J86" s="245" t="n">
        <v>455331</v>
      </c>
      <c r="K86" s="245" t="n">
        <v>117544</v>
      </c>
      <c r="L86" s="245" t="inlineStr">
        <is>
          <t>2028750원</t>
        </is>
      </c>
      <c r="N86" s="110">
        <f>C86-C87</f>
        <v/>
      </c>
      <c r="O86" s="110">
        <f>D86-D87</f>
        <v/>
      </c>
      <c r="P86" s="106">
        <f>E86-E87</f>
        <v/>
      </c>
      <c r="Q86" s="106">
        <f>F86-F87</f>
        <v/>
      </c>
      <c r="R86" s="106">
        <f>G86-G87</f>
        <v/>
      </c>
      <c r="S86" s="106">
        <f>H86-H87</f>
        <v/>
      </c>
      <c r="T86" s="106">
        <f>I86-I87</f>
        <v/>
      </c>
      <c r="U86" s="106">
        <f>J86-J87</f>
        <v/>
      </c>
      <c r="V86" s="106">
        <f>K86-K87</f>
        <v/>
      </c>
    </row>
    <row customHeight="1" ht="12" r="87" s="391">
      <c r="A87" s="244" t="n">
        <v>42429</v>
      </c>
      <c r="B87" s="245" t="n"/>
      <c r="C87" s="245" t="n">
        <v>245875</v>
      </c>
      <c r="D87" s="245" t="n">
        <v>236461</v>
      </c>
      <c r="E87" s="245" t="n">
        <v>393442</v>
      </c>
      <c r="F87" s="246" t="n">
        <v>7756</v>
      </c>
      <c r="G87" s="246" t="n">
        <v>423533</v>
      </c>
      <c r="H87" s="245" t="n">
        <v>21854</v>
      </c>
      <c r="I87" s="245" t="n">
        <v>165173</v>
      </c>
      <c r="J87" s="245" t="n">
        <v>453525</v>
      </c>
      <c r="K87" s="245" t="n">
        <v>117115</v>
      </c>
      <c r="L87" s="245" t="inlineStr">
        <is>
          <t>2512590원</t>
        </is>
      </c>
      <c r="N87" s="110">
        <f>C87-C88</f>
        <v/>
      </c>
      <c r="O87" s="110">
        <f>D87-D88</f>
        <v/>
      </c>
      <c r="P87" s="106">
        <f>E87-E88</f>
        <v/>
      </c>
      <c r="Q87" s="106">
        <f>F87-F88</f>
        <v/>
      </c>
      <c r="R87" s="106">
        <f>G87-G88</f>
        <v/>
      </c>
      <c r="S87" s="106">
        <f>H87-H88</f>
        <v/>
      </c>
      <c r="T87" s="106">
        <f>I87-I88</f>
        <v/>
      </c>
      <c r="U87" s="106">
        <f>J87-J88</f>
        <v/>
      </c>
      <c r="V87" s="106">
        <f>K87-K88</f>
        <v/>
      </c>
    </row>
    <row customHeight="1" ht="12" r="88" s="391">
      <c r="A88" s="244" t="n">
        <v>42400</v>
      </c>
      <c r="B88" s="245" t="n"/>
      <c r="C88" s="245" t="n">
        <v>243598</v>
      </c>
      <c r="D88" s="245" t="n">
        <v>229479</v>
      </c>
      <c r="E88" s="245" t="n">
        <v>393392</v>
      </c>
      <c r="F88" s="246" t="n">
        <v>6722</v>
      </c>
      <c r="G88" s="246" t="n">
        <v>420966</v>
      </c>
      <c r="H88" s="245" t="n">
        <v>21846</v>
      </c>
      <c r="I88" s="245" t="n">
        <v>164483</v>
      </c>
      <c r="J88" s="245" t="n">
        <v>451695</v>
      </c>
      <c r="K88" s="245" t="n">
        <v>116717</v>
      </c>
      <c r="L88" s="245" t="inlineStr">
        <is>
          <t>2589830원</t>
        </is>
      </c>
      <c r="N88" s="110">
        <f>C88-C89</f>
        <v/>
      </c>
      <c r="O88" s="110">
        <f>D88-D89</f>
        <v/>
      </c>
      <c r="P88" s="106">
        <f>E88-E89</f>
        <v/>
      </c>
      <c r="Q88" s="106">
        <f>F88-F89</f>
        <v/>
      </c>
      <c r="R88" s="106">
        <f>G88-G89</f>
        <v/>
      </c>
      <c r="S88" s="106">
        <f>H88-H89</f>
        <v/>
      </c>
      <c r="T88" s="106">
        <f>I88-I89</f>
        <v/>
      </c>
      <c r="U88" s="106">
        <f>J88-J89</f>
        <v/>
      </c>
      <c r="V88" s="106">
        <f>K88-K89</f>
        <v/>
      </c>
    </row>
    <row customHeight="1" ht="12" r="89" s="391">
      <c r="A89" s="244" t="n">
        <v>42369</v>
      </c>
      <c r="B89" s="245" t="n"/>
      <c r="C89" s="245" t="n">
        <v>240754</v>
      </c>
      <c r="D89" s="245" t="n">
        <v>221930</v>
      </c>
      <c r="E89" s="245" t="n">
        <v>393335</v>
      </c>
      <c r="F89" s="246" t="n">
        <v>5604</v>
      </c>
      <c r="G89" s="246" t="n">
        <v>417229</v>
      </c>
      <c r="H89" s="245" t="n">
        <v>21837</v>
      </c>
      <c r="I89" s="245" t="n">
        <v>164444</v>
      </c>
      <c r="J89" s="245" t="n">
        <v>449667</v>
      </c>
      <c r="K89" s="245" t="n">
        <v>116259</v>
      </c>
      <c r="L89" s="245" t="inlineStr">
        <is>
          <t>2502830원</t>
        </is>
      </c>
      <c r="N89" s="110">
        <f>C89-C90</f>
        <v/>
      </c>
      <c r="O89" s="110">
        <f>D89-D90</f>
        <v/>
      </c>
      <c r="P89" s="106">
        <f>E89-E90</f>
        <v/>
      </c>
      <c r="Q89" s="106">
        <f>F89-F90</f>
        <v/>
      </c>
      <c r="R89" s="106">
        <f>G89-G90</f>
        <v/>
      </c>
      <c r="S89" s="106">
        <f>H89-H90</f>
        <v/>
      </c>
      <c r="T89" s="106">
        <f>I89-I90</f>
        <v/>
      </c>
      <c r="U89" s="106">
        <f>J89-J90</f>
        <v/>
      </c>
      <c r="V89" s="106">
        <f>K89-K90</f>
        <v/>
      </c>
    </row>
    <row customHeight="1" ht="12" r="90" s="391">
      <c r="A90" s="244" t="n">
        <v>42338</v>
      </c>
      <c r="B90" s="245" t="n"/>
      <c r="C90" s="245" t="n">
        <v>238883</v>
      </c>
      <c r="D90" s="245" t="n">
        <v>213880</v>
      </c>
      <c r="E90" s="245" t="n">
        <v>393280</v>
      </c>
      <c r="F90" s="246" t="n">
        <v>4359</v>
      </c>
      <c r="G90" s="246" t="n">
        <v>414262</v>
      </c>
      <c r="H90" s="245" t="n">
        <v>21821</v>
      </c>
      <c r="I90" s="245" t="n">
        <v>164442</v>
      </c>
      <c r="J90" s="245" t="n">
        <v>447693</v>
      </c>
      <c r="K90" s="245" t="n">
        <v>115816</v>
      </c>
      <c r="L90" s="245" t="inlineStr">
        <is>
          <t>2286850원</t>
        </is>
      </c>
      <c r="N90" s="110">
        <f>C90-C91</f>
        <v/>
      </c>
      <c r="O90" s="110">
        <f>D90-D91</f>
        <v/>
      </c>
      <c r="P90" s="106">
        <f>E90-E91</f>
        <v/>
      </c>
      <c r="Q90" s="106">
        <f>F90-F91</f>
        <v/>
      </c>
      <c r="R90" s="106">
        <f>G90-G91</f>
        <v/>
      </c>
      <c r="S90" s="106">
        <f>H90-H91</f>
        <v/>
      </c>
      <c r="T90" s="106">
        <f>I90-I91</f>
        <v/>
      </c>
      <c r="U90" s="106">
        <f>J90-J91</f>
        <v/>
      </c>
      <c r="V90" s="106">
        <f>K90-K91</f>
        <v/>
      </c>
    </row>
    <row customHeight="1" ht="12" r="91" s="391">
      <c r="A91" s="244" t="n">
        <v>42308</v>
      </c>
      <c r="B91" s="245" t="n"/>
      <c r="C91" s="245" t="n">
        <v>238128</v>
      </c>
      <c r="D91" s="245" t="n">
        <v>205454</v>
      </c>
      <c r="E91" s="245" t="n">
        <v>393223</v>
      </c>
      <c r="F91" s="246" t="n">
        <v>3089</v>
      </c>
      <c r="G91" s="246" t="n">
        <v>412388</v>
      </c>
      <c r="H91" s="245" t="n">
        <v>21808</v>
      </c>
      <c r="I91" s="245" t="n">
        <v>164426</v>
      </c>
      <c r="J91" s="245" t="n">
        <v>445895</v>
      </c>
      <c r="K91" s="245" t="n">
        <v>115371</v>
      </c>
      <c r="L91" s="245" t="inlineStr">
        <is>
          <t>1810470원</t>
        </is>
      </c>
      <c r="N91" s="110">
        <f>C91-C92</f>
        <v/>
      </c>
      <c r="O91" s="110">
        <f>D91-D92</f>
        <v/>
      </c>
      <c r="P91" s="106">
        <f>E91-E92</f>
        <v/>
      </c>
      <c r="Q91" s="106">
        <f>F91-F92</f>
        <v/>
      </c>
      <c r="R91" s="106">
        <f>G91-G92</f>
        <v/>
      </c>
      <c r="S91" s="106">
        <f>H91-H92</f>
        <v/>
      </c>
      <c r="T91" s="106">
        <f>I91-I92</f>
        <v/>
      </c>
      <c r="U91" s="106">
        <f>J91-J92</f>
        <v/>
      </c>
      <c r="V91" s="106">
        <f>K91-K92</f>
        <v/>
      </c>
    </row>
    <row customHeight="1" ht="12" r="92" s="391">
      <c r="A92" s="244" t="n">
        <v>42277</v>
      </c>
      <c r="B92" s="245" t="n"/>
      <c r="C92" s="245" t="n">
        <v>237457</v>
      </c>
      <c r="D92" s="245" t="n">
        <v>196057</v>
      </c>
      <c r="E92" s="245" t="n">
        <v>393166</v>
      </c>
      <c r="F92" s="246" t="n">
        <v>2291</v>
      </c>
      <c r="G92" s="246" t="n">
        <v>411139</v>
      </c>
      <c r="H92" s="245" t="n">
        <v>21802</v>
      </c>
      <c r="I92" s="245" t="n">
        <v>164407</v>
      </c>
      <c r="J92" s="245" t="n">
        <v>444227</v>
      </c>
      <c r="K92" s="245" t="n">
        <v>114926</v>
      </c>
      <c r="L92" s="245" t="inlineStr">
        <is>
          <t>1959910원</t>
        </is>
      </c>
      <c r="N92" s="110">
        <f>C92-C93</f>
        <v/>
      </c>
      <c r="O92" s="110">
        <f>D92-D93</f>
        <v/>
      </c>
      <c r="P92" s="106">
        <f>E92-E93</f>
        <v/>
      </c>
      <c r="Q92" s="106">
        <f>F92-F93</f>
        <v/>
      </c>
      <c r="R92" s="106">
        <f>G92-G93</f>
        <v/>
      </c>
      <c r="S92" s="106">
        <f>H92-H93</f>
        <v/>
      </c>
      <c r="T92" s="106">
        <f>I92-I93</f>
        <v/>
      </c>
      <c r="U92" s="106">
        <f>J92-J93</f>
        <v/>
      </c>
      <c r="V92" s="106">
        <f>K92-K93</f>
        <v/>
      </c>
    </row>
    <row customHeight="1" ht="12" r="93" s="391">
      <c r="A93" s="244" t="n">
        <v>42247</v>
      </c>
      <c r="B93" s="245" t="n"/>
      <c r="C93" s="245" t="n">
        <v>236786</v>
      </c>
      <c r="D93" s="245" t="n">
        <v>184980</v>
      </c>
      <c r="E93" s="245" t="n">
        <v>393106</v>
      </c>
      <c r="F93" s="246" t="n">
        <v>1330</v>
      </c>
      <c r="G93" s="246" t="n">
        <v>409390</v>
      </c>
      <c r="H93" s="245" t="n">
        <v>21798</v>
      </c>
      <c r="I93" s="245" t="n">
        <v>164382</v>
      </c>
      <c r="J93" s="245" t="n">
        <v>442583</v>
      </c>
      <c r="K93" s="245" t="n">
        <v>114454</v>
      </c>
      <c r="L93" s="245" t="inlineStr">
        <is>
          <t>3245490원</t>
        </is>
      </c>
      <c r="N93" s="110">
        <f>C93-C94</f>
        <v/>
      </c>
      <c r="O93" s="110">
        <f>D93-D94</f>
        <v/>
      </c>
      <c r="P93" s="106">
        <f>E93-E94</f>
        <v/>
      </c>
      <c r="Q93" s="106">
        <f>F93-F94</f>
        <v/>
      </c>
      <c r="R93" s="106">
        <f>G93-G94</f>
        <v/>
      </c>
      <c r="S93" s="106">
        <f>H93-H94</f>
        <v/>
      </c>
      <c r="T93" s="106">
        <f>I93-I94</f>
        <v/>
      </c>
      <c r="U93" s="106">
        <f>J93-J94</f>
        <v/>
      </c>
      <c r="V93" s="106">
        <f>K93-K94</f>
        <v/>
      </c>
    </row>
    <row customHeight="1" ht="12" r="94" s="391">
      <c r="A94" s="244" t="n">
        <v>42216</v>
      </c>
      <c r="B94" s="245" t="n"/>
      <c r="C94" s="245" t="n">
        <v>236034</v>
      </c>
      <c r="D94" s="245" t="n">
        <v>172254</v>
      </c>
      <c r="E94" s="245" t="n">
        <v>393048</v>
      </c>
      <c r="F94" s="246" t="n">
        <v>242134</v>
      </c>
      <c r="G94" s="246" t="n">
        <v>406438</v>
      </c>
      <c r="H94" s="245" t="n">
        <v>21798</v>
      </c>
      <c r="I94" s="245" t="n">
        <v>164358</v>
      </c>
      <c r="J94" s="245" t="n">
        <v>440127</v>
      </c>
      <c r="K94" s="245" t="n">
        <v>113980</v>
      </c>
      <c r="L94" s="245" t="inlineStr">
        <is>
          <t>3071590원</t>
        </is>
      </c>
      <c r="N94" s="110">
        <f>C94-C95</f>
        <v/>
      </c>
      <c r="O94" s="110">
        <f>D94-D95</f>
        <v/>
      </c>
      <c r="P94" s="106">
        <f>E94-E95</f>
        <v/>
      </c>
      <c r="Q94" s="106">
        <f>F94-F95</f>
        <v/>
      </c>
      <c r="R94" s="106">
        <f>G94-G95</f>
        <v/>
      </c>
      <c r="S94" s="106">
        <f>H94-H95</f>
        <v/>
      </c>
      <c r="T94" s="106">
        <f>I94-I95</f>
        <v/>
      </c>
      <c r="U94" s="106">
        <f>J94-J95</f>
        <v/>
      </c>
      <c r="V94" s="106">
        <f>K94-K95</f>
        <v/>
      </c>
    </row>
    <row customHeight="1" ht="12" r="95" s="391">
      <c r="A95" s="244" t="n">
        <v>42185</v>
      </c>
      <c r="B95" s="245" t="n"/>
      <c r="C95" s="245" t="n">
        <v>235290</v>
      </c>
      <c r="D95" s="245" t="n">
        <v>160331</v>
      </c>
      <c r="E95" s="245" t="n">
        <v>391286</v>
      </c>
      <c r="F95" s="246" t="n">
        <v>241119</v>
      </c>
      <c r="G95" s="246" t="n">
        <v>403740</v>
      </c>
      <c r="H95" s="245" t="n">
        <v>21798</v>
      </c>
      <c r="I95" s="245" t="n">
        <v>164342</v>
      </c>
      <c r="J95" s="245" t="n">
        <v>438032</v>
      </c>
      <c r="K95" s="245" t="n">
        <v>113510</v>
      </c>
      <c r="L95" s="245" t="inlineStr">
        <is>
          <t>2760320원</t>
        </is>
      </c>
      <c r="N95" s="110">
        <f>C95-C96</f>
        <v/>
      </c>
      <c r="O95" s="110">
        <f>D95-D96</f>
        <v/>
      </c>
      <c r="P95" s="106">
        <f>E95-E96</f>
        <v/>
      </c>
      <c r="Q95" s="106">
        <f>F95-F96</f>
        <v/>
      </c>
      <c r="R95" s="106">
        <f>G95-G96</f>
        <v/>
      </c>
      <c r="S95" s="106">
        <f>H95-H96</f>
        <v/>
      </c>
      <c r="T95" s="106">
        <f>I95-I96</f>
        <v/>
      </c>
      <c r="U95" s="106">
        <f>J95-J96</f>
        <v/>
      </c>
      <c r="V95" s="106">
        <f>K95-K96</f>
        <v/>
      </c>
    </row>
    <row customHeight="1" ht="12" r="96" s="391">
      <c r="A96" s="244" t="n">
        <v>42155</v>
      </c>
      <c r="B96" s="245" t="n"/>
      <c r="C96" s="245" t="n">
        <v>234604</v>
      </c>
      <c r="D96" s="245" t="n">
        <v>149799</v>
      </c>
      <c r="E96" s="245" t="n">
        <v>389958</v>
      </c>
      <c r="F96" s="246" t="n">
        <v>240441</v>
      </c>
      <c r="G96" s="246" t="n">
        <v>401732</v>
      </c>
      <c r="H96" s="245" t="n">
        <v>21791</v>
      </c>
      <c r="I96" s="245" t="n">
        <v>164342</v>
      </c>
      <c r="J96" s="245" t="n">
        <v>436636</v>
      </c>
      <c r="K96" s="245" t="n">
        <v>113087</v>
      </c>
      <c r="L96" s="245" t="inlineStr">
        <is>
          <t>1789530원</t>
        </is>
      </c>
      <c r="N96" s="110">
        <f>C96-C97</f>
        <v/>
      </c>
      <c r="O96" s="110">
        <f>D96-D97</f>
        <v/>
      </c>
      <c r="P96" s="106">
        <f>E96-E97</f>
        <v/>
      </c>
      <c r="Q96" s="106">
        <f>F96-F97</f>
        <v/>
      </c>
      <c r="R96" s="106">
        <f>G96-G97</f>
        <v/>
      </c>
      <c r="S96" s="106">
        <f>H96-H97</f>
        <v/>
      </c>
      <c r="T96" s="106">
        <f>I96-I97</f>
        <v/>
      </c>
      <c r="U96" s="106">
        <f>J96-J97</f>
        <v/>
      </c>
      <c r="V96" s="106">
        <f>K96-K97</f>
        <v/>
      </c>
    </row>
    <row customHeight="1" ht="12" r="97" s="391">
      <c r="A97" s="244" t="n">
        <v>42124</v>
      </c>
      <c r="B97" s="245" t="n"/>
      <c r="C97" s="245" t="n">
        <v>233946</v>
      </c>
      <c r="D97" s="245" t="n">
        <v>139609</v>
      </c>
      <c r="E97" s="245" t="n">
        <v>388976</v>
      </c>
      <c r="F97" s="246" t="n">
        <v>240180</v>
      </c>
      <c r="G97" s="246" t="n">
        <v>400565</v>
      </c>
      <c r="H97" s="245" t="n">
        <v>21786</v>
      </c>
      <c r="I97" s="245" t="n">
        <v>164342</v>
      </c>
      <c r="J97" s="245" t="n">
        <v>435221</v>
      </c>
      <c r="K97" s="245" t="n">
        <v>112620</v>
      </c>
      <c r="L97" s="245" t="inlineStr">
        <is>
          <t>1768100원</t>
        </is>
      </c>
      <c r="N97" s="110">
        <f>C97-C98</f>
        <v/>
      </c>
      <c r="O97" s="110">
        <f>D97-D98</f>
        <v/>
      </c>
      <c r="P97" s="106">
        <f>E97-E98</f>
        <v/>
      </c>
      <c r="Q97" s="106">
        <f>F97-F98</f>
        <v/>
      </c>
      <c r="R97" s="106">
        <f>G97-G98</f>
        <v/>
      </c>
      <c r="S97" s="106">
        <f>H97-H98</f>
        <v/>
      </c>
      <c r="T97" s="106">
        <f>I97-I98</f>
        <v/>
      </c>
      <c r="U97" s="106">
        <f>J97-J98</f>
        <v/>
      </c>
      <c r="V97" s="106">
        <f>K97-K98</f>
        <v/>
      </c>
    </row>
    <row customHeight="1" ht="12" r="98" s="391">
      <c r="A98" s="244" t="n">
        <v>42094</v>
      </c>
      <c r="B98" s="245" t="n"/>
      <c r="C98" s="245" t="n">
        <v>233056</v>
      </c>
      <c r="D98" s="245" t="n">
        <v>131227</v>
      </c>
      <c r="E98" s="245" t="n">
        <v>387623</v>
      </c>
      <c r="F98" s="246" t="n">
        <v>239542</v>
      </c>
      <c r="G98" s="246" t="n">
        <v>399215</v>
      </c>
      <c r="H98" s="245" t="n">
        <v>21773</v>
      </c>
      <c r="I98" s="245" t="n">
        <v>164342</v>
      </c>
      <c r="J98" s="245" t="n">
        <v>433711</v>
      </c>
      <c r="K98" s="245" t="n">
        <v>112177</v>
      </c>
      <c r="L98" s="245" t="inlineStr">
        <is>
          <t>1844910원</t>
        </is>
      </c>
      <c r="N98" s="110">
        <f>C98-C99</f>
        <v/>
      </c>
      <c r="O98" s="110">
        <f>D98-D99</f>
        <v/>
      </c>
      <c r="P98" s="106">
        <f>E98-E99</f>
        <v/>
      </c>
      <c r="Q98" s="106">
        <f>F98-F99</f>
        <v/>
      </c>
      <c r="R98" s="106">
        <f>G98-G99</f>
        <v/>
      </c>
      <c r="S98" s="106">
        <f>H98-H99</f>
        <v/>
      </c>
      <c r="T98" s="106">
        <f>I98-I99</f>
        <v/>
      </c>
      <c r="U98" s="106">
        <f>J98-J99</f>
        <v/>
      </c>
      <c r="V98" s="106">
        <f>K98-K99</f>
        <v/>
      </c>
    </row>
    <row customHeight="1" ht="12" r="99" s="391">
      <c r="A99" s="244" t="n">
        <v>42063</v>
      </c>
      <c r="B99" s="245" t="n"/>
      <c r="C99" s="245" t="n">
        <v>232002</v>
      </c>
      <c r="D99" s="245" t="n">
        <v>123487</v>
      </c>
      <c r="E99" s="245" t="n">
        <v>385689</v>
      </c>
      <c r="F99" s="246" t="n">
        <v>238362</v>
      </c>
      <c r="G99" s="246" t="n">
        <v>397305</v>
      </c>
      <c r="H99" s="245" t="n">
        <v>21769</v>
      </c>
      <c r="I99" s="245" t="n">
        <v>164342</v>
      </c>
      <c r="J99" s="245" t="n">
        <v>432234</v>
      </c>
      <c r="K99" s="245" t="n">
        <v>111725</v>
      </c>
      <c r="L99" s="245" t="inlineStr">
        <is>
          <t>2205520원</t>
        </is>
      </c>
      <c r="P99" s="106" t="n"/>
      <c r="Q99" s="106" t="n"/>
      <c r="R99" s="106" t="n"/>
      <c r="S99" s="106" t="n"/>
      <c r="T99" s="106" t="n"/>
      <c r="U99" s="106" t="n"/>
      <c r="V99" s="106" t="n"/>
    </row>
    <row customHeight="1" ht="12" r="100" s="391">
      <c r="A100" s="244" t="n">
        <v>42035</v>
      </c>
      <c r="B100" s="245" t="n"/>
      <c r="C100" s="245" t="n">
        <v>230694</v>
      </c>
      <c r="D100" s="245" t="n">
        <v>111688</v>
      </c>
      <c r="E100" s="245" t="n">
        <v>383899</v>
      </c>
      <c r="F100" s="246" t="n">
        <v>237190</v>
      </c>
      <c r="G100" s="246" t="n">
        <v>394859</v>
      </c>
      <c r="H100" s="245" t="n">
        <v>21757</v>
      </c>
      <c r="I100" s="245" t="n">
        <v>164342</v>
      </c>
      <c r="J100" s="245" t="n">
        <v>430659</v>
      </c>
      <c r="K100" s="245" t="n">
        <v>111312</v>
      </c>
      <c r="L100" s="245" t="inlineStr">
        <is>
          <t>2462540원</t>
        </is>
      </c>
      <c r="P100" s="106" t="n"/>
      <c r="Q100" s="106" t="n"/>
      <c r="R100" s="106" t="n"/>
      <c r="S100" s="106" t="n"/>
      <c r="T100" s="106" t="n"/>
      <c r="U100" s="106" t="n"/>
      <c r="V100" s="106" t="n"/>
    </row>
    <row customHeight="1" ht="12" r="101" s="391">
      <c r="A101" s="244" t="n">
        <v>42004</v>
      </c>
      <c r="B101" s="245" t="n"/>
      <c r="C101" s="245" t="n">
        <v>229058</v>
      </c>
      <c r="D101" s="245" t="n">
        <v>109578</v>
      </c>
      <c r="E101" s="245" t="n">
        <v>381574</v>
      </c>
      <c r="F101" s="246" t="n">
        <v>235539</v>
      </c>
      <c r="G101" s="246" t="n">
        <v>391808</v>
      </c>
      <c r="H101" s="245" t="n">
        <v>21741</v>
      </c>
      <c r="I101" s="245" t="n">
        <v>164342</v>
      </c>
      <c r="J101" s="245" t="n">
        <v>429109</v>
      </c>
      <c r="K101" s="245" t="n">
        <v>110870</v>
      </c>
      <c r="L101" s="245" t="inlineStr">
        <is>
          <t>2458330원</t>
        </is>
      </c>
      <c r="P101" s="106" t="n"/>
      <c r="Q101" s="106" t="n"/>
      <c r="R101" s="106" t="n"/>
      <c r="S101" s="106" t="n"/>
      <c r="T101" s="106" t="n"/>
      <c r="U101" s="106" t="n"/>
      <c r="V101" s="106" t="n"/>
    </row>
    <row customHeight="1" ht="12" r="102" s="391">
      <c r="A102" s="244" t="n">
        <v>41973</v>
      </c>
      <c r="B102" s="245" t="n"/>
      <c r="C102" s="245" t="n">
        <v>227689</v>
      </c>
      <c r="D102" s="245" t="n">
        <v>103154</v>
      </c>
      <c r="E102" s="245" t="n">
        <v>379206</v>
      </c>
      <c r="F102" s="246" t="n">
        <v>233773</v>
      </c>
      <c r="G102" s="246" t="n">
        <v>388384</v>
      </c>
      <c r="H102" s="245" t="n">
        <v>21729</v>
      </c>
      <c r="I102" s="245" t="n">
        <v>164342</v>
      </c>
      <c r="J102" s="245" t="n">
        <v>427479</v>
      </c>
      <c r="K102" s="245" t="n">
        <v>110423</v>
      </c>
      <c r="L102" s="245" t="inlineStr">
        <is>
          <t>2226200원</t>
        </is>
      </c>
    </row>
    <row customHeight="1" ht="12" r="103" s="391">
      <c r="A103" s="244" t="n">
        <v>41943</v>
      </c>
      <c r="B103" s="245" t="n"/>
      <c r="C103" s="245" t="n">
        <v>226580</v>
      </c>
      <c r="D103" s="245" t="n">
        <v>94948</v>
      </c>
      <c r="E103" s="245" t="n">
        <v>377388</v>
      </c>
      <c r="F103" s="246" t="n">
        <v>232611</v>
      </c>
      <c r="G103" s="246" t="n">
        <v>386736</v>
      </c>
      <c r="H103" s="245" t="n">
        <v>21728</v>
      </c>
      <c r="I103" s="245" t="n">
        <v>164327</v>
      </c>
      <c r="J103" s="245" t="n">
        <v>426088</v>
      </c>
      <c r="K103" s="245" t="n">
        <v>109971</v>
      </c>
      <c r="L103" s="245" t="inlineStr">
        <is>
          <t>1806430원</t>
        </is>
      </c>
    </row>
    <row customHeight="1" ht="12" r="104" s="391">
      <c r="A104" s="244" t="n">
        <v>41912</v>
      </c>
      <c r="B104" s="245" t="n"/>
      <c r="C104" s="245" t="n">
        <v>225623</v>
      </c>
      <c r="D104" s="245" t="n">
        <v>85386</v>
      </c>
      <c r="E104" s="245" t="n">
        <v>376100</v>
      </c>
      <c r="F104" s="246" t="n">
        <v>232071</v>
      </c>
      <c r="G104" s="246" t="n">
        <v>385602</v>
      </c>
      <c r="H104" s="245" t="n">
        <v>21728</v>
      </c>
      <c r="I104" s="245" t="n">
        <v>164307</v>
      </c>
      <c r="J104" s="245" t="n">
        <v>424850</v>
      </c>
      <c r="K104" s="245" t="n">
        <v>109527</v>
      </c>
      <c r="L104" s="245" t="inlineStr">
        <is>
          <t>1929640원</t>
        </is>
      </c>
    </row>
    <row customHeight="1" ht="12" r="105" s="391">
      <c r="A105" s="244" t="n">
        <v>41882</v>
      </c>
      <c r="B105" s="245" t="n"/>
      <c r="C105" s="245" t="n">
        <v>224685</v>
      </c>
      <c r="D105" s="245" t="n">
        <v>75062</v>
      </c>
      <c r="E105" s="245" t="n">
        <v>374730</v>
      </c>
      <c r="F105" s="246" t="n">
        <v>231307</v>
      </c>
      <c r="G105" s="246" t="n">
        <v>384333</v>
      </c>
      <c r="H105" s="245" t="n">
        <v>21725</v>
      </c>
      <c r="I105" s="245" t="n">
        <v>164287</v>
      </c>
      <c r="J105" s="245" t="n">
        <v>423473</v>
      </c>
      <c r="K105" s="245" t="n">
        <v>109070</v>
      </c>
      <c r="L105" s="245" t="inlineStr">
        <is>
          <t>2937590원</t>
        </is>
      </c>
    </row>
    <row customHeight="1" ht="12" r="106" s="391">
      <c r="A106" s="244" t="n">
        <v>41851</v>
      </c>
      <c r="B106" s="245" t="n"/>
      <c r="C106" s="245" t="n">
        <v>223455</v>
      </c>
      <c r="D106" s="245" t="n">
        <v>63052</v>
      </c>
      <c r="E106" s="245" t="n">
        <v>373105</v>
      </c>
      <c r="F106" s="246" t="n">
        <v>230224</v>
      </c>
      <c r="G106" s="246" t="n">
        <v>382539</v>
      </c>
      <c r="H106" s="245" t="n">
        <v>21723</v>
      </c>
      <c r="I106" s="245" t="n">
        <v>164263</v>
      </c>
      <c r="J106" s="245" t="n">
        <v>421488</v>
      </c>
      <c r="K106" s="245" t="n">
        <v>108560</v>
      </c>
      <c r="L106" s="245" t="inlineStr">
        <is>
          <t>3187690원</t>
        </is>
      </c>
    </row>
    <row customHeight="1" ht="12" r="107" s="391">
      <c r="A107" s="244" t="n">
        <v>41820</v>
      </c>
      <c r="B107" s="245" t="n"/>
      <c r="C107" s="245" t="n">
        <v>222227</v>
      </c>
      <c r="D107" s="245" t="n">
        <v>50515.4</v>
      </c>
      <c r="E107" s="245" t="n">
        <v>371148</v>
      </c>
      <c r="F107" s="246" t="n">
        <v>228836</v>
      </c>
      <c r="G107" s="246" t="n">
        <v>380400</v>
      </c>
      <c r="H107" s="245" t="n">
        <v>21720</v>
      </c>
      <c r="I107" s="245" t="n">
        <v>164240</v>
      </c>
      <c r="J107" s="245" t="n">
        <v>419354</v>
      </c>
      <c r="K107" s="245" t="n">
        <v>108066</v>
      </c>
      <c r="L107" s="245" t="inlineStr">
        <is>
          <t>2929810원</t>
        </is>
      </c>
    </row>
    <row customHeight="1" ht="12" r="108" s="391">
      <c r="A108" s="244" t="n">
        <v>41790</v>
      </c>
      <c r="B108" s="245" t="n"/>
      <c r="C108" s="245" t="n">
        <v>221038</v>
      </c>
      <c r="D108" s="245" t="n">
        <v>38398.6</v>
      </c>
      <c r="E108" s="245" t="n">
        <v>369676</v>
      </c>
      <c r="F108" s="246" t="n">
        <v>227844</v>
      </c>
      <c r="G108" s="246" t="n">
        <v>378961</v>
      </c>
      <c r="H108" s="245" t="n">
        <v>21707</v>
      </c>
      <c r="I108" s="245" t="n">
        <v>164219</v>
      </c>
      <c r="J108" s="245" t="n">
        <v>417697</v>
      </c>
      <c r="K108" s="245" t="n">
        <v>107629</v>
      </c>
      <c r="L108" s="245" t="inlineStr">
        <is>
          <t>1929920원</t>
        </is>
      </c>
    </row>
    <row customHeight="1" ht="12" r="109" s="391">
      <c r="A109" s="244" t="n">
        <v>41759</v>
      </c>
      <c r="B109" s="245" t="n"/>
      <c r="C109" s="245" t="n">
        <v>219965</v>
      </c>
      <c r="D109" s="245" t="n">
        <v>27681.9</v>
      </c>
      <c r="E109" s="245" t="n">
        <v>368325</v>
      </c>
      <c r="F109" s="246" t="n">
        <v>227113</v>
      </c>
      <c r="G109" s="246" t="n">
        <v>377791</v>
      </c>
      <c r="H109" s="245" t="n">
        <v>21695</v>
      </c>
      <c r="I109" s="245" t="n">
        <v>164201</v>
      </c>
      <c r="J109" s="245" t="n">
        <v>416110</v>
      </c>
      <c r="K109" s="245" t="n">
        <v>107168</v>
      </c>
      <c r="L109" s="245" t="inlineStr">
        <is>
          <t>1819160원</t>
        </is>
      </c>
    </row>
    <row customHeight="1" ht="12" r="110" s="391">
      <c r="A110" s="244" t="n">
        <v>41729</v>
      </c>
      <c r="B110" s="245" t="n"/>
      <c r="C110" s="245" t="n">
        <v>218770</v>
      </c>
      <c r="D110" s="245" t="n">
        <v>18728.6</v>
      </c>
      <c r="E110" s="245" t="n">
        <v>367092</v>
      </c>
      <c r="F110" s="246" t="n">
        <v>226636</v>
      </c>
      <c r="G110" s="246" t="n">
        <v>376609</v>
      </c>
      <c r="H110" s="245" t="n">
        <v>21684</v>
      </c>
      <c r="I110" s="245" t="n">
        <v>164183</v>
      </c>
      <c r="J110" s="245" t="n">
        <v>414411</v>
      </c>
      <c r="K110" s="245" t="n">
        <v>106700</v>
      </c>
      <c r="L110" s="245" t="inlineStr">
        <is>
          <t>1929540원</t>
        </is>
      </c>
    </row>
    <row customHeight="1" ht="12" r="111" s="391">
      <c r="A111" s="244" t="n">
        <v>41698</v>
      </c>
      <c r="B111" s="245" t="n"/>
      <c r="C111" s="245" t="n">
        <v>216877</v>
      </c>
      <c r="D111" s="245" t="n">
        <v>10583.2</v>
      </c>
      <c r="E111" s="245" t="n">
        <v>365026</v>
      </c>
      <c r="F111" s="246" t="n">
        <v>225182</v>
      </c>
      <c r="G111" s="246" t="n">
        <v>374942</v>
      </c>
      <c r="H111" s="245" t="n">
        <v>21622</v>
      </c>
      <c r="I111" s="245" t="n">
        <v>164136</v>
      </c>
      <c r="J111" s="245" t="n">
        <v>412558</v>
      </c>
      <c r="K111" s="245" t="n">
        <v>106224</v>
      </c>
      <c r="L111" s="245" t="inlineStr">
        <is>
          <t>2380980원</t>
        </is>
      </c>
    </row>
    <row customHeight="1" ht="12" r="112" s="391">
      <c r="A112" s="244" t="n">
        <v>41670</v>
      </c>
      <c r="B112" s="245" t="n"/>
      <c r="C112" s="245" t="n">
        <v>215071</v>
      </c>
      <c r="D112" s="245" t="n">
        <v>4769.8</v>
      </c>
      <c r="E112" s="245" t="n">
        <v>362785</v>
      </c>
      <c r="F112" s="246" t="n">
        <v>223480</v>
      </c>
      <c r="G112" s="246" t="n">
        <v>373015</v>
      </c>
      <c r="H112" s="245" t="n">
        <v>21619</v>
      </c>
      <c r="I112" s="245" t="n">
        <v>163917</v>
      </c>
      <c r="J112" s="245" t="n">
        <v>410972</v>
      </c>
      <c r="K112" s="245" t="n">
        <v>105826</v>
      </c>
      <c r="L112" s="245" t="inlineStr">
        <is>
          <t>2262700원</t>
        </is>
      </c>
    </row>
    <row customHeight="1" ht="12" r="113" s="391">
      <c r="A113" s="244" t="n">
        <v>41639</v>
      </c>
      <c r="B113" s="245" t="n"/>
      <c r="C113" s="245" t="n">
        <v>212635</v>
      </c>
      <c r="D113" s="245" t="n">
        <v>0</v>
      </c>
      <c r="E113" s="245" t="n">
        <v>360338</v>
      </c>
      <c r="F113" s="246" t="n">
        <v>221586</v>
      </c>
      <c r="G113" s="246" t="n">
        <v>370381</v>
      </c>
      <c r="H113" s="245" t="n">
        <v>21551</v>
      </c>
      <c r="I113" s="245" t="n">
        <v>163097</v>
      </c>
      <c r="J113" s="245" t="n">
        <v>408896</v>
      </c>
      <c r="K113" s="245" t="n">
        <v>105252</v>
      </c>
      <c r="L113" s="245" t="inlineStr">
        <is>
          <t>1937900원</t>
        </is>
      </c>
    </row>
    <row customHeight="1" ht="12" r="114" s="391">
      <c r="A114" s="244" t="n">
        <v>41608</v>
      </c>
      <c r="B114" s="245" t="n"/>
      <c r="C114" s="245" t="n">
        <v>210452</v>
      </c>
      <c r="D114" s="245" t="n">
        <v>465410</v>
      </c>
      <c r="E114" s="245" t="n">
        <v>358747</v>
      </c>
      <c r="F114" s="246" t="n">
        <v>220209</v>
      </c>
      <c r="G114" s="246" t="n">
        <v>367949</v>
      </c>
      <c r="H114" s="245" t="n">
        <v>21487</v>
      </c>
      <c r="I114" s="245" t="n">
        <v>162502</v>
      </c>
      <c r="J114" s="245" t="n">
        <v>407147</v>
      </c>
      <c r="K114" s="245" t="n">
        <v>104805</v>
      </c>
      <c r="L114" s="245" t="inlineStr">
        <is>
          <t>1812970원</t>
        </is>
      </c>
    </row>
    <row customHeight="1" ht="12" r="115" s="391">
      <c r="A115" s="244" t="n">
        <v>41578</v>
      </c>
      <c r="B115" s="245" t="n"/>
      <c r="C115" s="245" t="n">
        <v>207634</v>
      </c>
      <c r="D115" s="245" t="n">
        <v>463672</v>
      </c>
      <c r="E115" s="245" t="n">
        <v>356483</v>
      </c>
      <c r="F115" s="246" t="n">
        <v>218809</v>
      </c>
      <c r="G115" s="246" t="n">
        <v>366359</v>
      </c>
      <c r="H115" s="245" t="n">
        <v>21435</v>
      </c>
      <c r="I115" s="245" t="n">
        <v>162008</v>
      </c>
      <c r="J115" s="245" t="n">
        <v>405487</v>
      </c>
      <c r="K115" s="245" t="n">
        <v>104303</v>
      </c>
      <c r="L115" s="245" t="inlineStr">
        <is>
          <t>1357230원</t>
        </is>
      </c>
    </row>
    <row customHeight="1" ht="12" r="116" s="391">
      <c r="A116" s="244" t="n">
        <v>41547</v>
      </c>
      <c r="B116" s="245" t="n"/>
      <c r="C116" s="245" t="n">
        <v>205124</v>
      </c>
      <c r="D116" s="245" t="n">
        <v>462162</v>
      </c>
      <c r="E116" s="245" t="n">
        <v>355218</v>
      </c>
      <c r="F116" s="246" t="n">
        <v>218299</v>
      </c>
      <c r="G116" s="246" t="n">
        <v>365376</v>
      </c>
      <c r="H116" s="245" t="n">
        <v>21384</v>
      </c>
      <c r="I116" s="245" t="n">
        <v>161609</v>
      </c>
      <c r="J116" s="245" t="n">
        <v>403977</v>
      </c>
      <c r="K116" s="245" t="n">
        <v>103779</v>
      </c>
      <c r="L116" s="245" t="inlineStr">
        <is>
          <t>1375450원</t>
        </is>
      </c>
    </row>
    <row customHeight="1" ht="12" r="117" s="391">
      <c r="A117" s="244" t="n">
        <v>41517</v>
      </c>
      <c r="B117" s="245" t="n"/>
      <c r="C117" s="245" t="n">
        <v>202066</v>
      </c>
      <c r="D117" s="245" t="n">
        <v>460821</v>
      </c>
      <c r="E117" s="245" t="n">
        <v>353963</v>
      </c>
      <c r="F117" s="246" t="n">
        <v>217606</v>
      </c>
      <c r="G117" s="246" t="n">
        <v>364302</v>
      </c>
      <c r="H117" s="245" t="n">
        <v>21336</v>
      </c>
      <c r="I117" s="245" t="n">
        <v>161266</v>
      </c>
      <c r="J117" s="245" t="n">
        <v>402570</v>
      </c>
      <c r="K117" s="245" t="n">
        <v>103280</v>
      </c>
      <c r="L117" s="245" t="inlineStr">
        <is>
          <t>2496770원</t>
        </is>
      </c>
    </row>
    <row customHeight="1" ht="12" r="118" s="391">
      <c r="A118" s="244" t="n">
        <v>41486</v>
      </c>
      <c r="B118" s="245" t="n"/>
      <c r="C118" s="245" t="n">
        <v>198396</v>
      </c>
      <c r="D118" s="245" t="n">
        <v>458418</v>
      </c>
      <c r="E118" s="245" t="n">
        <v>351903</v>
      </c>
      <c r="F118" s="246" t="n">
        <v>216033</v>
      </c>
      <c r="G118" s="246" t="n">
        <v>362003</v>
      </c>
      <c r="H118" s="245" t="n">
        <v>21200</v>
      </c>
      <c r="I118" s="245" t="n">
        <v>160742</v>
      </c>
      <c r="J118" s="245" t="n">
        <v>398778</v>
      </c>
      <c r="K118" s="245" t="n">
        <v>102765</v>
      </c>
      <c r="L118" s="245" t="inlineStr">
        <is>
          <t>2157830원</t>
        </is>
      </c>
    </row>
    <row customHeight="1" ht="12" r="119" s="391">
      <c r="A119" s="244" t="n">
        <v>41455</v>
      </c>
      <c r="B119" s="245" t="n"/>
      <c r="C119" s="245" t="n">
        <v>194936</v>
      </c>
      <c r="D119" s="245" t="n">
        <v>456436</v>
      </c>
      <c r="E119" s="245" t="n">
        <v>350063</v>
      </c>
      <c r="F119" s="246" t="n">
        <v>214817</v>
      </c>
      <c r="G119" s="246" t="n">
        <v>360811</v>
      </c>
      <c r="H119" s="245" t="n">
        <v>21047</v>
      </c>
      <c r="I119" s="245" t="n">
        <v>160276</v>
      </c>
      <c r="J119" s="245" t="n">
        <v>396487</v>
      </c>
      <c r="K119" s="245" t="n">
        <v>102269</v>
      </c>
      <c r="L119" s="245" t="inlineStr">
        <is>
          <t>1440020원</t>
        </is>
      </c>
    </row>
    <row customHeight="1" ht="12" r="120" s="391">
      <c r="A120" s="244" t="n">
        <v>41425</v>
      </c>
      <c r="B120" s="245" t="n"/>
      <c r="C120" s="245" t="n">
        <v>191436</v>
      </c>
      <c r="D120" s="245" t="n">
        <v>454862</v>
      </c>
      <c r="E120" s="245" t="n">
        <v>348426</v>
      </c>
      <c r="F120" s="246" t="n">
        <v>213754</v>
      </c>
      <c r="G120" s="246" t="n">
        <v>359850</v>
      </c>
      <c r="H120" s="245" t="n">
        <v>20934</v>
      </c>
      <c r="I120" s="245" t="n">
        <v>159850</v>
      </c>
      <c r="J120" s="245" t="n">
        <v>394834</v>
      </c>
      <c r="K120" s="245" t="n">
        <v>101797</v>
      </c>
      <c r="L120" s="245" t="inlineStr">
        <is>
          <t>1407370원</t>
        </is>
      </c>
    </row>
    <row customHeight="1" ht="12" r="121" s="391">
      <c r="A121" s="244" t="n">
        <v>41394</v>
      </c>
      <c r="B121" s="245" t="n"/>
      <c r="C121" s="245" t="n">
        <v>188484</v>
      </c>
      <c r="D121" s="245" t="n">
        <v>453302</v>
      </c>
      <c r="E121" s="245" t="n">
        <v>347009</v>
      </c>
      <c r="F121" s="246" t="n">
        <v>212998</v>
      </c>
      <c r="G121" s="246" t="n">
        <v>359103</v>
      </c>
      <c r="H121" s="245" t="n">
        <v>20825</v>
      </c>
      <c r="I121" s="245" t="n">
        <v>159320</v>
      </c>
      <c r="J121" s="245" t="n">
        <v>393231</v>
      </c>
      <c r="K121" s="245" t="n">
        <v>101317</v>
      </c>
      <c r="L121" s="245" t="inlineStr">
        <is>
          <t>1329170원</t>
        </is>
      </c>
    </row>
    <row customHeight="1" ht="12" r="122" s="391">
      <c r="A122" s="244" t="n">
        <v>41364</v>
      </c>
      <c r="B122" s="245" t="n"/>
      <c r="C122" s="245" t="n">
        <v>188157</v>
      </c>
      <c r="D122" s="245" t="n">
        <v>451738</v>
      </c>
      <c r="E122" s="245" t="n">
        <v>344830</v>
      </c>
      <c r="F122" s="246" t="n">
        <v>211465</v>
      </c>
      <c r="G122" s="246" t="n">
        <v>358242</v>
      </c>
      <c r="H122" s="245" t="n">
        <v>20718</v>
      </c>
      <c r="I122" s="245" t="n">
        <v>158663</v>
      </c>
      <c r="J122" s="245" t="n">
        <v>391604</v>
      </c>
      <c r="K122" s="245" t="n">
        <v>100872</v>
      </c>
      <c r="L122" s="245" t="inlineStr">
        <is>
          <t>1365970원</t>
        </is>
      </c>
    </row>
    <row customHeight="1" ht="12" r="123" s="391">
      <c r="A123" s="244" t="n">
        <v>41333</v>
      </c>
      <c r="B123" s="245" t="n"/>
      <c r="C123" s="245" t="n">
        <v>187492</v>
      </c>
      <c r="D123" s="245" t="n">
        <v>449975</v>
      </c>
      <c r="E123" s="245" t="n">
        <v>342731</v>
      </c>
      <c r="F123" s="246" t="n">
        <v>210030</v>
      </c>
      <c r="G123" s="246" t="n">
        <v>357060</v>
      </c>
      <c r="H123" s="245" t="n">
        <v>20605</v>
      </c>
      <c r="I123" s="245" t="n">
        <v>157850</v>
      </c>
      <c r="J123" s="245" t="n">
        <v>389797</v>
      </c>
      <c r="K123" s="245" t="n">
        <v>100391</v>
      </c>
      <c r="L123" s="245" t="inlineStr">
        <is>
          <t>1676780원</t>
        </is>
      </c>
    </row>
    <row customHeight="1" ht="12" r="124" s="391">
      <c r="A124" s="244" t="n">
        <v>41305</v>
      </c>
      <c r="B124" s="245" t="n"/>
      <c r="C124" s="245" t="n">
        <v>187052</v>
      </c>
      <c r="D124" s="245" t="n">
        <v>448328</v>
      </c>
      <c r="E124" s="245" t="n">
        <v>340587</v>
      </c>
      <c r="F124" s="246" t="n">
        <v>208480</v>
      </c>
      <c r="G124" s="246" t="n">
        <v>355236</v>
      </c>
      <c r="H124" s="245" t="n">
        <v>20486</v>
      </c>
      <c r="I124" s="245" t="n">
        <v>157002</v>
      </c>
      <c r="J124" s="245" t="n">
        <v>388262</v>
      </c>
      <c r="K124" s="245" t="n">
        <v>99973</v>
      </c>
      <c r="L124" s="245" t="inlineStr">
        <is>
          <t>1878700원</t>
        </is>
      </c>
    </row>
    <row customHeight="1" ht="12" r="125" s="391">
      <c r="A125" s="244" t="n">
        <v>41274</v>
      </c>
      <c r="B125" s="245" t="n"/>
      <c r="C125" s="245" t="n">
        <v>186492</v>
      </c>
      <c r="D125" s="245" t="n">
        <v>446418</v>
      </c>
      <c r="E125" s="245" t="n">
        <v>338080</v>
      </c>
      <c r="F125" s="246" t="n">
        <v>206621</v>
      </c>
      <c r="G125" s="246" t="n">
        <v>352615</v>
      </c>
      <c r="H125" s="245" t="n">
        <v>20216</v>
      </c>
      <c r="I125" s="245" t="n">
        <v>155873</v>
      </c>
      <c r="J125" s="245" t="n">
        <v>386555</v>
      </c>
      <c r="K125" s="245" t="n">
        <v>99512</v>
      </c>
      <c r="L125" s="245" t="inlineStr">
        <is>
          <t>1786520원</t>
        </is>
      </c>
    </row>
    <row customHeight="1" ht="12" r="126" s="391">
      <c r="A126" s="244" t="n">
        <v>41243</v>
      </c>
      <c r="B126" s="245" t="n"/>
      <c r="C126" s="245" t="n">
        <v>185824</v>
      </c>
      <c r="D126" s="245" t="n">
        <v>444474</v>
      </c>
      <c r="E126" s="245" t="n">
        <v>336575</v>
      </c>
      <c r="F126" s="246" t="n">
        <v>205793</v>
      </c>
      <c r="G126" s="246" t="n">
        <v>350208</v>
      </c>
      <c r="H126" s="245" t="n">
        <v>20041</v>
      </c>
      <c r="I126" s="245" t="n">
        <v>154775</v>
      </c>
      <c r="J126" s="245" t="n">
        <v>384680</v>
      </c>
      <c r="K126" s="245" t="n">
        <v>99044</v>
      </c>
      <c r="L126" s="245" t="inlineStr">
        <is>
          <t>1596110원</t>
        </is>
      </c>
    </row>
    <row customHeight="1" ht="12" r="127" s="391">
      <c r="A127" s="244" t="n">
        <v>41213</v>
      </c>
      <c r="B127" s="245" t="n"/>
      <c r="C127" s="245" t="n">
        <v>185200</v>
      </c>
      <c r="D127" s="245" t="n">
        <v>442608</v>
      </c>
      <c r="E127" s="245" t="n">
        <v>334968</v>
      </c>
      <c r="F127" s="246" t="n">
        <v>205025</v>
      </c>
      <c r="G127" s="246" t="n">
        <v>348795</v>
      </c>
      <c r="H127" s="245" t="n">
        <v>19902</v>
      </c>
      <c r="I127" s="245" t="n">
        <v>154112</v>
      </c>
      <c r="J127" s="245" t="n">
        <v>382983</v>
      </c>
      <c r="K127" s="245" t="n">
        <v>98568</v>
      </c>
      <c r="L127" s="245" t="inlineStr">
        <is>
          <t>1215730원</t>
        </is>
      </c>
    </row>
    <row customHeight="1" ht="12" r="128" s="391">
      <c r="A128" s="244" t="n">
        <v>41182</v>
      </c>
      <c r="B128" s="245" t="n"/>
      <c r="C128" s="245" t="n">
        <v>184701</v>
      </c>
      <c r="D128" s="245" t="n">
        <v>440944</v>
      </c>
      <c r="E128" s="245" t="n">
        <v>333723</v>
      </c>
      <c r="F128" s="246" t="n">
        <v>204785</v>
      </c>
      <c r="G128" s="246" t="n">
        <v>347889</v>
      </c>
      <c r="H128" s="245" t="n">
        <v>19749</v>
      </c>
      <c r="I128" s="245" t="n">
        <v>153561</v>
      </c>
      <c r="J128" s="245" t="n">
        <v>381230</v>
      </c>
      <c r="K128" s="245" t="n">
        <v>98014</v>
      </c>
      <c r="L128" s="245" t="inlineStr">
        <is>
          <t>1249710원</t>
        </is>
      </c>
    </row>
    <row customHeight="1" ht="12" r="129" s="391">
      <c r="A129" s="244" t="n">
        <v>41152</v>
      </c>
      <c r="B129" s="245" t="n"/>
      <c r="C129" s="245" t="n">
        <v>184250</v>
      </c>
      <c r="D129" s="245" t="n">
        <v>439483</v>
      </c>
      <c r="E129" s="245" t="n">
        <v>332238</v>
      </c>
      <c r="F129" s="246" t="n">
        <v>204157</v>
      </c>
      <c r="G129" s="246" t="n">
        <v>346924</v>
      </c>
      <c r="H129" s="245" t="n">
        <v>19525</v>
      </c>
      <c r="I129" s="245" t="n">
        <v>152963</v>
      </c>
      <c r="J129" s="245" t="n">
        <v>379387</v>
      </c>
      <c r="K129" s="245" t="n">
        <v>97526</v>
      </c>
      <c r="L129" s="245" t="inlineStr">
        <is>
          <t>1479863원</t>
        </is>
      </c>
    </row>
    <row customHeight="1" ht="12" r="130" s="391">
      <c r="A130" s="244" t="n">
        <v>41121</v>
      </c>
      <c r="B130" s="245" t="n"/>
      <c r="C130" s="245" t="n">
        <v>182335</v>
      </c>
      <c r="D130" s="245" t="n">
        <v>436902</v>
      </c>
      <c r="E130" s="245" t="n">
        <v>329974</v>
      </c>
      <c r="F130" s="246" t="n">
        <v>202372</v>
      </c>
      <c r="G130" s="246" t="n">
        <v>345086</v>
      </c>
      <c r="H130" s="245" t="n">
        <v>19147</v>
      </c>
      <c r="I130" s="245" t="n">
        <v>151756</v>
      </c>
      <c r="J130" s="245" t="n">
        <v>375186</v>
      </c>
      <c r="K130" s="245" t="n">
        <v>97005</v>
      </c>
      <c r="L130" s="245" t="inlineStr">
        <is>
          <t>2072720원</t>
        </is>
      </c>
    </row>
    <row customHeight="1" ht="12" r="131" s="391">
      <c r="A131" s="244" t="n">
        <v>41090</v>
      </c>
      <c r="B131" s="245" t="n"/>
      <c r="C131" s="245" t="n">
        <v>180445</v>
      </c>
      <c r="D131" s="245" t="n">
        <v>434728</v>
      </c>
      <c r="E131" s="245" t="n">
        <v>327976</v>
      </c>
      <c r="F131" s="246" t="n">
        <v>200797</v>
      </c>
      <c r="G131" s="246" t="n">
        <v>343531</v>
      </c>
      <c r="H131" s="245" t="n">
        <v>18788</v>
      </c>
      <c r="I131" s="245" t="n">
        <v>150635</v>
      </c>
      <c r="J131" s="245" t="n">
        <v>372493</v>
      </c>
      <c r="K131" s="245" t="n">
        <v>96473</v>
      </c>
      <c r="L131" s="245" t="inlineStr">
        <is>
          <t>1313030원</t>
        </is>
      </c>
    </row>
    <row customHeight="1" ht="12" r="132" s="391">
      <c r="A132" s="244" t="n">
        <v>41060</v>
      </c>
      <c r="B132" s="245" t="n"/>
      <c r="C132" s="245" t="n">
        <v>179765</v>
      </c>
      <c r="D132" s="245" t="n">
        <v>432954</v>
      </c>
      <c r="E132" s="245" t="n">
        <v>326090</v>
      </c>
      <c r="F132" s="246" t="n">
        <v>199432</v>
      </c>
      <c r="G132" s="246" t="n">
        <v>342182</v>
      </c>
      <c r="H132" s="245" t="n">
        <v>18488</v>
      </c>
      <c r="I132" s="245" t="n">
        <v>149833</v>
      </c>
      <c r="J132" s="245" t="n">
        <v>370672</v>
      </c>
      <c r="K132" s="245" t="n">
        <v>95950</v>
      </c>
      <c r="L132" s="245" t="inlineStr">
        <is>
          <t>1225560원</t>
        </is>
      </c>
      <c r="N132" s="103" t="n"/>
    </row>
    <row customHeight="1" ht="12" r="133" s="391">
      <c r="A133" s="244" t="n">
        <v>41029</v>
      </c>
      <c r="B133" s="245" t="n"/>
      <c r="C133" s="245" t="n">
        <v>179065</v>
      </c>
      <c r="D133" s="245" t="n">
        <v>431322</v>
      </c>
      <c r="E133" s="245" t="n">
        <v>324637</v>
      </c>
      <c r="F133" s="246" t="n">
        <v>198519</v>
      </c>
      <c r="G133" s="246" t="n">
        <v>341113</v>
      </c>
      <c r="H133" s="245" t="n">
        <v>18269</v>
      </c>
      <c r="I133" s="245" t="n">
        <v>148933</v>
      </c>
      <c r="J133" s="245" t="n">
        <v>368925</v>
      </c>
      <c r="K133" s="245" t="n">
        <v>95441</v>
      </c>
      <c r="L133" s="245" t="inlineStr">
        <is>
          <t>1244080원</t>
        </is>
      </c>
      <c r="N133" s="103" t="n"/>
    </row>
    <row customHeight="1" ht="12" r="134" s="391">
      <c r="A134" s="244" t="n">
        <v>40999</v>
      </c>
      <c r="B134" s="245" t="n"/>
      <c r="C134" s="245" t="n">
        <v>178125</v>
      </c>
      <c r="D134" s="245" t="n">
        <v>429617</v>
      </c>
      <c r="E134" s="245" t="n">
        <v>323136</v>
      </c>
      <c r="F134" s="246" t="n">
        <v>197602</v>
      </c>
      <c r="G134" s="246" t="n">
        <v>340177</v>
      </c>
      <c r="H134" s="245" t="n">
        <v>18063</v>
      </c>
      <c r="I134" s="245" t="n">
        <v>148191</v>
      </c>
      <c r="J134" s="245" t="n">
        <v>367114</v>
      </c>
      <c r="K134" s="245" t="n">
        <v>94943</v>
      </c>
      <c r="L134" s="245" t="inlineStr">
        <is>
          <t>1451880원</t>
        </is>
      </c>
      <c r="N134" s="103" t="n"/>
    </row>
    <row customHeight="1" ht="12" r="135" s="391">
      <c r="A135" s="244" t="n">
        <v>40968</v>
      </c>
      <c r="B135" s="245" t="n"/>
      <c r="C135" s="245" t="n">
        <v>176934</v>
      </c>
      <c r="D135" s="245" t="n">
        <v>427773</v>
      </c>
      <c r="E135" s="245" t="n">
        <v>320682</v>
      </c>
      <c r="F135" s="246" t="n">
        <v>195565</v>
      </c>
      <c r="G135" s="246" t="n">
        <v>338687</v>
      </c>
      <c r="H135" s="245" t="n">
        <v>17714</v>
      </c>
      <c r="I135" s="245" t="n">
        <v>147133</v>
      </c>
      <c r="J135" s="245" t="n">
        <v>365281</v>
      </c>
      <c r="K135" s="245" t="n">
        <v>94442</v>
      </c>
      <c r="L135" s="245" t="inlineStr">
        <is>
          <t>1799840원</t>
        </is>
      </c>
      <c r="N135" s="103" t="n"/>
    </row>
    <row customHeight="1" ht="12" r="136" s="391">
      <c r="A136" s="244" t="n">
        <v>40939</v>
      </c>
      <c r="B136" s="245" t="n"/>
      <c r="C136" s="245" t="n">
        <v>175802</v>
      </c>
      <c r="D136" s="245" t="n">
        <v>425937</v>
      </c>
      <c r="E136" s="245" t="n">
        <v>318268</v>
      </c>
      <c r="F136" s="246" t="n">
        <v>193587</v>
      </c>
      <c r="G136" s="246" t="n">
        <v>336820</v>
      </c>
      <c r="H136" s="245" t="n">
        <v>17283</v>
      </c>
      <c r="I136" s="245" t="n">
        <v>145078</v>
      </c>
      <c r="J136" s="245" t="n">
        <v>363459</v>
      </c>
      <c r="K136" s="245" t="n">
        <v>93978</v>
      </c>
      <c r="L136" s="245" t="inlineStr">
        <is>
          <t>1688490원</t>
        </is>
      </c>
      <c r="N136" s="103" t="n"/>
    </row>
    <row customHeight="1" ht="12" r="137" s="391">
      <c r="A137" s="244" t="n">
        <v>40908</v>
      </c>
      <c r="B137" s="245" t="n"/>
      <c r="C137" s="245" t="n">
        <v>174601</v>
      </c>
      <c r="D137" s="245" t="n">
        <v>424088</v>
      </c>
      <c r="E137" s="245" t="n">
        <v>315580</v>
      </c>
      <c r="F137" s="246" t="n">
        <v>191451</v>
      </c>
      <c r="G137" s="246" t="n">
        <v>336122</v>
      </c>
      <c r="H137" s="245" t="n">
        <v>17029</v>
      </c>
      <c r="I137" s="245" t="n">
        <v>145059</v>
      </c>
      <c r="J137" s="245" t="n">
        <v>361439</v>
      </c>
      <c r="K137" s="245" t="n">
        <v>93493</v>
      </c>
      <c r="L137" s="245" t="inlineStr">
        <is>
          <t>1487940원</t>
        </is>
      </c>
    </row>
    <row customHeight="1" ht="12" r="138" s="391">
      <c r="A138" s="244" t="n">
        <v>40877</v>
      </c>
      <c r="B138" s="245" t="n"/>
      <c r="C138" s="245" t="n">
        <v>173303</v>
      </c>
      <c r="D138" s="245" t="n">
        <v>422158</v>
      </c>
      <c r="E138" s="245" t="n">
        <v>313271</v>
      </c>
      <c r="F138" s="246" t="n">
        <v>189747</v>
      </c>
      <c r="G138" s="246" t="n">
        <v>336024</v>
      </c>
      <c r="H138" s="245" t="n">
        <v>17016</v>
      </c>
      <c r="I138" s="245" t="n">
        <v>145023</v>
      </c>
      <c r="J138" s="245" t="n">
        <v>359322</v>
      </c>
      <c r="K138" s="245" t="n">
        <v>93042</v>
      </c>
      <c r="L138" s="245" t="inlineStr">
        <is>
          <t>1336270원</t>
        </is>
      </c>
    </row>
    <row customHeight="1" ht="12" r="139" s="391">
      <c r="A139" s="244" t="n">
        <v>40847</v>
      </c>
      <c r="B139" s="245" t="n"/>
      <c r="C139" s="245" t="n">
        <v>172280</v>
      </c>
      <c r="D139" s="245" t="n">
        <v>420194</v>
      </c>
      <c r="E139" s="245" t="n">
        <v>311540</v>
      </c>
      <c r="F139" s="246" t="n">
        <v>188645</v>
      </c>
      <c r="G139" s="246" t="n">
        <v>336024</v>
      </c>
      <c r="H139" s="245" t="n">
        <v>17001</v>
      </c>
      <c r="I139" s="245" t="n">
        <v>144764</v>
      </c>
      <c r="J139" s="245" t="n">
        <v>357414</v>
      </c>
      <c r="K139" s="245" t="n">
        <v>92616</v>
      </c>
      <c r="L139" s="245" t="inlineStr">
        <is>
          <t>1178470원</t>
        </is>
      </c>
    </row>
    <row customHeight="1" ht="12" r="140" s="391">
      <c r="A140" s="244" t="n">
        <v>40816</v>
      </c>
      <c r="B140" s="245" t="n"/>
      <c r="C140" s="245" t="n">
        <v>171393</v>
      </c>
      <c r="D140" s="245" t="n">
        <v>418306</v>
      </c>
      <c r="E140" s="245" t="n">
        <v>310329</v>
      </c>
      <c r="F140" s="246" t="n">
        <v>188135</v>
      </c>
      <c r="G140" s="246" t="n">
        <v>335679</v>
      </c>
      <c r="H140" s="245" t="n">
        <v>16962</v>
      </c>
      <c r="I140" s="245" t="n">
        <v>144228</v>
      </c>
      <c r="J140" s="245" t="n">
        <v>355534</v>
      </c>
      <c r="K140" s="245" t="n">
        <v>92179</v>
      </c>
      <c r="L140" s="245" t="inlineStr">
        <is>
          <t>1349540원</t>
        </is>
      </c>
    </row>
    <row customHeight="1" ht="12" r="141" s="391">
      <c r="A141" s="244" t="n">
        <v>40786</v>
      </c>
      <c r="B141" s="245" t="n"/>
      <c r="C141" s="245" t="n">
        <v>170638</v>
      </c>
      <c r="D141" s="245" t="n">
        <v>416124</v>
      </c>
      <c r="E141" s="245" t="n">
        <v>308852</v>
      </c>
      <c r="F141" s="246" t="n">
        <v>187064</v>
      </c>
      <c r="G141" s="246" t="n">
        <v>333263</v>
      </c>
      <c r="H141" s="245" t="n">
        <v>16793</v>
      </c>
      <c r="I141" s="245" t="n">
        <v>143539</v>
      </c>
      <c r="J141" s="245" t="n">
        <v>353099</v>
      </c>
      <c r="K141" s="245" t="n">
        <v>91715</v>
      </c>
      <c r="L141" s="245" t="inlineStr">
        <is>
          <t>2173630원</t>
        </is>
      </c>
    </row>
    <row customHeight="1" ht="12" r="142" s="391">
      <c r="A142" s="244" t="n">
        <v>40755</v>
      </c>
      <c r="B142" s="245" t="n"/>
      <c r="C142" s="245" t="n">
        <v>169765</v>
      </c>
      <c r="D142" s="245" t="n">
        <v>413517</v>
      </c>
      <c r="E142" s="245" t="n">
        <v>307138</v>
      </c>
      <c r="F142" s="246" t="n">
        <v>185628</v>
      </c>
      <c r="G142" s="246" t="n">
        <v>329952</v>
      </c>
      <c r="H142" s="245" t="n">
        <v>16604</v>
      </c>
      <c r="I142" s="245" t="n">
        <v>142637</v>
      </c>
      <c r="J142" s="245" t="n">
        <v>349547</v>
      </c>
      <c r="K142" s="245" t="n">
        <v>91225</v>
      </c>
      <c r="L142" s="245" t="inlineStr">
        <is>
          <t>2051970원</t>
        </is>
      </c>
    </row>
    <row customHeight="1" ht="12" r="143" s="391">
      <c r="A143" s="244" t="n">
        <v>40724</v>
      </c>
      <c r="B143" s="245" t="n"/>
      <c r="C143" s="245" t="n">
        <v>168792</v>
      </c>
      <c r="D143" s="245" t="n">
        <v>410905</v>
      </c>
      <c r="E143" s="245" t="n">
        <v>305204</v>
      </c>
      <c r="F143" s="246" t="n">
        <v>184055</v>
      </c>
      <c r="G143" s="246" t="n">
        <v>326894</v>
      </c>
      <c r="H143" s="245" t="n">
        <v>16396</v>
      </c>
      <c r="I143" s="245" t="n">
        <v>141722</v>
      </c>
      <c r="J143" s="245" t="n">
        <v>346057</v>
      </c>
      <c r="K143" s="245" t="n">
        <v>90696</v>
      </c>
      <c r="L143" s="245" t="inlineStr">
        <is>
          <t>1351390원</t>
        </is>
      </c>
    </row>
    <row customHeight="1" ht="12" r="144" s="391">
      <c r="A144" s="244" t="n">
        <v>40694</v>
      </c>
      <c r="B144" s="245" t="n"/>
      <c r="C144" s="245" t="n">
        <v>167980</v>
      </c>
      <c r="D144" s="245" t="n">
        <v>408947</v>
      </c>
      <c r="E144" s="245" t="n">
        <v>303648</v>
      </c>
      <c r="F144" s="246" t="n">
        <v>182880</v>
      </c>
      <c r="G144" s="246" t="n">
        <v>324572</v>
      </c>
      <c r="H144" s="245" t="n">
        <v>16259</v>
      </c>
      <c r="I144" s="245" t="n">
        <v>140685</v>
      </c>
      <c r="J144" s="245" t="n">
        <v>343761</v>
      </c>
      <c r="K144" s="245" t="n">
        <v>90217</v>
      </c>
      <c r="L144" s="245" t="inlineStr">
        <is>
          <t>1290850원</t>
        </is>
      </c>
    </row>
    <row customHeight="1" ht="12" r="145" s="391">
      <c r="A145" s="244" t="n">
        <v>40663</v>
      </c>
      <c r="B145" s="245" t="n"/>
      <c r="C145" s="245" t="n">
        <v>167092</v>
      </c>
      <c r="D145" s="245" t="n">
        <v>407000</v>
      </c>
      <c r="E145" s="245" t="n">
        <v>302404</v>
      </c>
      <c r="F145" s="246" t="n">
        <v>182145</v>
      </c>
      <c r="G145" s="246" t="n">
        <v>322755</v>
      </c>
      <c r="H145" s="245" t="n">
        <v>16136</v>
      </c>
      <c r="I145" s="245" t="n">
        <v>139652</v>
      </c>
      <c r="J145" s="245" t="n">
        <v>341789</v>
      </c>
      <c r="K145" s="245" t="n">
        <v>89739</v>
      </c>
      <c r="L145" s="245" t="inlineStr">
        <is>
          <t>1335980원</t>
        </is>
      </c>
    </row>
    <row customHeight="1" ht="12" r="146" s="391">
      <c r="A146" s="244" t="n">
        <v>40633</v>
      </c>
      <c r="B146" s="245" t="n"/>
      <c r="C146" s="245" t="n">
        <v>166147</v>
      </c>
      <c r="D146" s="245" t="n">
        <v>405110</v>
      </c>
      <c r="E146" s="245" t="n">
        <v>301060</v>
      </c>
      <c r="F146" s="246" t="n">
        <v>181361</v>
      </c>
      <c r="G146" s="249" t="n">
        <v>319563</v>
      </c>
      <c r="H146" s="245" t="n">
        <v>15978</v>
      </c>
      <c r="I146" s="245" t="n">
        <v>138623</v>
      </c>
      <c r="J146" s="245" t="n">
        <v>340030</v>
      </c>
      <c r="K146" s="245" t="n">
        <v>89284</v>
      </c>
      <c r="L146" s="245" t="inlineStr">
        <is>
          <t>1561450원</t>
        </is>
      </c>
      <c r="M146" s="209" t="n"/>
      <c r="O146" s="103" t="n"/>
    </row>
    <row customHeight="1" ht="12" r="147" s="391">
      <c r="A147" s="244" t="n">
        <v>40602</v>
      </c>
      <c r="B147" s="245" t="n"/>
      <c r="C147" s="245" t="n">
        <v>164697</v>
      </c>
      <c r="D147" s="245" t="n">
        <v>402876</v>
      </c>
      <c r="E147" s="245" t="n">
        <v>299242</v>
      </c>
      <c r="F147" s="246" t="n">
        <v>179978</v>
      </c>
      <c r="G147" s="246" t="n">
        <v>315842</v>
      </c>
      <c r="H147" s="245" t="n">
        <v>15756</v>
      </c>
      <c r="I147" s="245" t="n">
        <v>137499</v>
      </c>
      <c r="J147" s="245" t="n">
        <v>338120</v>
      </c>
      <c r="K147" s="245" t="n">
        <v>88812</v>
      </c>
      <c r="L147" s="245" t="inlineStr">
        <is>
          <t>1779850원</t>
        </is>
      </c>
      <c r="M147" s="108" t="n"/>
      <c r="N147" s="109" t="n"/>
      <c r="O147" s="103" t="n"/>
    </row>
    <row customHeight="1" ht="12" r="148" s="391">
      <c r="A148" s="244" t="n">
        <v>40574</v>
      </c>
      <c r="B148" s="245" t="n"/>
      <c r="C148" s="245" t="n">
        <v>163137</v>
      </c>
      <c r="D148" s="245" t="n">
        <v>400982</v>
      </c>
      <c r="E148" s="245" t="n">
        <v>297399</v>
      </c>
      <c r="F148" s="246" t="n">
        <v>178441</v>
      </c>
      <c r="G148" s="246" t="n">
        <v>310794</v>
      </c>
      <c r="H148" s="245" t="n">
        <v>15607</v>
      </c>
      <c r="I148" s="245" t="n">
        <v>136816</v>
      </c>
      <c r="J148" s="245" t="n">
        <v>336380</v>
      </c>
      <c r="K148" s="245" t="n">
        <v>88371</v>
      </c>
      <c r="L148" s="245" t="inlineStr">
        <is>
          <t>2167150원</t>
        </is>
      </c>
    </row>
    <row customHeight="1" ht="12" r="149" s="391">
      <c r="A149" s="244" t="n">
        <v>40543</v>
      </c>
      <c r="B149" s="245" t="n"/>
      <c r="C149" s="245" t="n">
        <v>161068</v>
      </c>
      <c r="D149" s="245" t="n">
        <v>398779</v>
      </c>
      <c r="E149" s="245" t="n">
        <v>295089</v>
      </c>
      <c r="F149" s="246" t="n">
        <v>176514</v>
      </c>
      <c r="G149" s="246" t="n">
        <v>302942</v>
      </c>
      <c r="H149" s="245" t="n">
        <v>15267</v>
      </c>
      <c r="I149" s="245" t="n">
        <v>136712</v>
      </c>
      <c r="J149" s="245" t="n">
        <v>334194</v>
      </c>
      <c r="K149" s="245" t="n">
        <v>87883</v>
      </c>
      <c r="L149" s="245" t="inlineStr">
        <is>
          <t>1837600원</t>
        </is>
      </c>
    </row>
    <row customHeight="1" ht="12" r="150" s="391">
      <c r="A150" s="244" t="n">
        <v>40512</v>
      </c>
      <c r="B150" s="245" t="n"/>
      <c r="C150" s="245" t="n">
        <v>159619</v>
      </c>
      <c r="D150" s="245" t="n">
        <v>396539</v>
      </c>
      <c r="E150" s="245" t="n">
        <v>292954</v>
      </c>
      <c r="F150" s="246" t="n">
        <v>174817</v>
      </c>
      <c r="G150" s="246" t="n">
        <v>298548</v>
      </c>
      <c r="H150" s="245" t="n">
        <v>15118</v>
      </c>
      <c r="I150" s="245" t="n">
        <v>136436</v>
      </c>
      <c r="J150" s="245" t="n">
        <v>331940</v>
      </c>
      <c r="K150" s="245" t="n">
        <v>87396</v>
      </c>
      <c r="L150" s="245" t="inlineStr">
        <is>
          <t>1621870원</t>
        </is>
      </c>
    </row>
    <row customHeight="1" ht="12" r="151" s="391">
      <c r="A151" s="244" t="n">
        <v>40482</v>
      </c>
      <c r="B151" s="245" t="n"/>
      <c r="C151" s="245" t="n">
        <v>158583</v>
      </c>
      <c r="D151" s="245" t="n">
        <v>394528</v>
      </c>
      <c r="E151" s="245" t="n">
        <v>290830</v>
      </c>
      <c r="F151" s="246" t="n">
        <v>173301</v>
      </c>
      <c r="G151" s="246" t="n">
        <v>295760</v>
      </c>
      <c r="H151" s="245" t="n">
        <v>14923</v>
      </c>
      <c r="I151" s="245" t="n">
        <v>136344</v>
      </c>
      <c r="J151" s="245" t="n">
        <v>329891</v>
      </c>
      <c r="K151" s="245" t="n">
        <v>86927</v>
      </c>
      <c r="L151" s="245" t="inlineStr">
        <is>
          <t>1284870원</t>
        </is>
      </c>
    </row>
    <row customHeight="1" ht="12" r="152" s="391">
      <c r="A152" s="244" t="n">
        <v>40451</v>
      </c>
      <c r="B152" s="245" t="n"/>
      <c r="C152" s="245" t="n">
        <v>157596</v>
      </c>
      <c r="D152" s="245" t="n">
        <v>392609</v>
      </c>
      <c r="E152" s="245" t="n">
        <v>288951</v>
      </c>
      <c r="F152" s="250" t="n">
        <v>171913</v>
      </c>
      <c r="G152" s="250" t="n">
        <v>293526</v>
      </c>
      <c r="H152" s="245" t="n">
        <v>14784</v>
      </c>
      <c r="I152" s="245" t="n">
        <v>136342</v>
      </c>
      <c r="J152" s="245" t="n">
        <v>327694</v>
      </c>
      <c r="K152" s="245" t="n">
        <v>86394</v>
      </c>
      <c r="L152" s="245" t="inlineStr">
        <is>
          <t>1426130원</t>
        </is>
      </c>
      <c r="M152" s="209" t="n"/>
      <c r="N152" s="209" t="n"/>
    </row>
    <row customHeight="1" ht="12" r="153" s="391">
      <c r="A153" s="244" t="n">
        <v>40421</v>
      </c>
      <c r="B153" s="245" t="n"/>
      <c r="C153" s="245" t="n">
        <v>156650</v>
      </c>
      <c r="D153" s="245" t="n">
        <v>390559</v>
      </c>
      <c r="E153" s="245" t="n">
        <v>286684</v>
      </c>
      <c r="F153" s="245" t="n">
        <v>170530</v>
      </c>
      <c r="G153" s="245" t="n">
        <v>291154</v>
      </c>
      <c r="H153" s="245" t="n">
        <v>14565</v>
      </c>
      <c r="I153" s="245" t="n">
        <v>136319</v>
      </c>
      <c r="J153" s="245" t="n">
        <v>324365</v>
      </c>
      <c r="K153" s="245" t="n">
        <v>85882</v>
      </c>
      <c r="L153" s="245" t="inlineStr">
        <is>
          <t>2430310원</t>
        </is>
      </c>
      <c r="M153" s="108" t="n"/>
      <c r="N153" s="108" t="n"/>
      <c r="O153" s="109" t="n"/>
    </row>
    <row customHeight="1" ht="12" r="154" s="391">
      <c r="A154" s="244" t="n">
        <v>40390</v>
      </c>
      <c r="B154" s="245" t="n"/>
      <c r="C154" s="245" t="n">
        <v>155617</v>
      </c>
      <c r="D154" s="245" t="n">
        <v>387661</v>
      </c>
      <c r="E154" s="245" t="n">
        <v>283884</v>
      </c>
      <c r="F154" s="245" t="n">
        <v>168671</v>
      </c>
      <c r="G154" s="245" t="n">
        <v>287515</v>
      </c>
      <c r="H154" s="245" t="n">
        <v>14376</v>
      </c>
      <c r="I154" s="245" t="n">
        <v>136298</v>
      </c>
      <c r="J154" s="245" t="n">
        <v>319122</v>
      </c>
      <c r="K154" s="245" t="n">
        <v>85343</v>
      </c>
      <c r="L154" s="245" t="inlineStr">
        <is>
          <t>2583400원</t>
        </is>
      </c>
    </row>
    <row customHeight="1" ht="12" r="155" s="391">
      <c r="A155" s="244" t="n">
        <v>40359</v>
      </c>
      <c r="B155" s="245" t="n"/>
      <c r="C155" s="245" t="n">
        <v>152933</v>
      </c>
      <c r="D155" s="245" t="n">
        <v>384672</v>
      </c>
      <c r="E155" s="245" t="n">
        <v>280840</v>
      </c>
      <c r="F155" s="245" t="n">
        <v>166774</v>
      </c>
      <c r="G155" s="245" t="n">
        <v>283480</v>
      </c>
      <c r="H155" s="245" t="n">
        <v>14227</v>
      </c>
      <c r="I155" s="245" t="n">
        <v>135947</v>
      </c>
      <c r="J155" s="245" t="n">
        <v>314113</v>
      </c>
      <c r="K155" s="245" t="n">
        <v>84798</v>
      </c>
      <c r="L155" s="245" t="inlineStr">
        <is>
          <t>1675660원</t>
        </is>
      </c>
    </row>
    <row customHeight="1" ht="12" r="156" s="391">
      <c r="A156" s="244" t="n">
        <v>40329</v>
      </c>
      <c r="B156" s="245" t="n"/>
      <c r="C156" s="245" t="n">
        <v>150355</v>
      </c>
      <c r="D156" s="245" t="n">
        <v>382332</v>
      </c>
      <c r="E156" s="245" t="n">
        <v>278589</v>
      </c>
      <c r="F156" s="245" t="n">
        <v>165369</v>
      </c>
      <c r="G156" s="245" t="n">
        <v>280990</v>
      </c>
      <c r="H156" s="245" t="n">
        <v>14039</v>
      </c>
      <c r="I156" s="245" t="n">
        <v>135062</v>
      </c>
      <c r="J156" s="245" t="n">
        <v>310873</v>
      </c>
      <c r="K156" s="245" t="n">
        <v>84230</v>
      </c>
      <c r="L156" s="245" t="inlineStr">
        <is>
          <t>1394300원</t>
        </is>
      </c>
    </row>
    <row customHeight="1" ht="12" r="157" s="391">
      <c r="A157" s="244" t="n">
        <v>40298</v>
      </c>
      <c r="B157" s="245" t="n"/>
      <c r="C157" s="245" t="n">
        <v>147665</v>
      </c>
      <c r="D157" s="245" t="n">
        <v>380506</v>
      </c>
      <c r="E157" s="245" t="n">
        <v>277339</v>
      </c>
      <c r="F157" s="245" t="n">
        <v>164704</v>
      </c>
      <c r="G157" s="245" t="n">
        <v>279232</v>
      </c>
      <c r="H157" s="245" t="n">
        <v>13891</v>
      </c>
      <c r="I157" s="245" t="n">
        <v>134527</v>
      </c>
      <c r="J157" s="245" t="n">
        <v>308932</v>
      </c>
      <c r="K157" s="245" t="n">
        <v>83723</v>
      </c>
      <c r="L157" s="245" t="inlineStr">
        <is>
          <t>1418670원</t>
        </is>
      </c>
    </row>
    <row customHeight="1" ht="12" r="158" s="391">
      <c r="A158" s="244" t="n">
        <v>40268</v>
      </c>
      <c r="B158" s="245" t="n"/>
      <c r="C158" s="245" t="n">
        <v>145747</v>
      </c>
      <c r="D158" s="245" t="n">
        <v>378405</v>
      </c>
      <c r="E158" s="245" t="n">
        <v>275509</v>
      </c>
      <c r="F158" s="245" t="n">
        <v>163561</v>
      </c>
      <c r="G158" s="245" t="n">
        <v>277031</v>
      </c>
      <c r="H158" s="245" t="n">
        <v>13698</v>
      </c>
      <c r="I158" s="245" t="n">
        <v>133927</v>
      </c>
      <c r="J158" s="245" t="n">
        <v>307284</v>
      </c>
      <c r="K158" s="245" t="n">
        <v>83245</v>
      </c>
      <c r="L158" s="245" t="inlineStr">
        <is>
          <t>1473940원</t>
        </is>
      </c>
    </row>
    <row customHeight="1" ht="12" r="159" s="391">
      <c r="A159" s="244" t="n">
        <v>40237</v>
      </c>
      <c r="B159" s="245" t="n"/>
      <c r="C159" s="245" t="n">
        <v>144946</v>
      </c>
      <c r="D159" s="245" t="n">
        <v>376326</v>
      </c>
      <c r="E159" s="245" t="n">
        <v>273603</v>
      </c>
      <c r="F159" s="245" t="n">
        <v>162476</v>
      </c>
      <c r="G159" s="245" t="n">
        <v>274031</v>
      </c>
      <c r="H159" s="245" t="n">
        <v>13358</v>
      </c>
      <c r="I159" s="245" t="n">
        <v>133238</v>
      </c>
      <c r="J159" s="245" t="n">
        <v>305587</v>
      </c>
      <c r="K159" s="245" t="n">
        <v>82769</v>
      </c>
      <c r="L159" s="245" t="inlineStr">
        <is>
          <t>1514080원</t>
        </is>
      </c>
    </row>
    <row customHeight="1" ht="12" r="160" s="391">
      <c r="A160" s="244" t="n">
        <v>40209</v>
      </c>
      <c r="B160" s="245" t="n"/>
      <c r="C160" s="245" t="n">
        <v>144215</v>
      </c>
      <c r="D160" s="245" t="n">
        <v>374197</v>
      </c>
      <c r="E160" s="245" t="n">
        <v>271663</v>
      </c>
      <c r="F160" s="245" t="n">
        <v>161220</v>
      </c>
      <c r="G160" s="245" t="n">
        <v>270885</v>
      </c>
      <c r="H160" s="245" t="n">
        <v>13087</v>
      </c>
      <c r="I160" s="245" t="n">
        <v>132483</v>
      </c>
      <c r="J160" s="245" t="n">
        <v>303951</v>
      </c>
      <c r="K160" s="245" t="n">
        <v>82289</v>
      </c>
      <c r="L160" s="245" t="inlineStr">
        <is>
          <t>1771910원</t>
        </is>
      </c>
    </row>
    <row customHeight="1" ht="12" r="161" s="391">
      <c r="A161" s="244" t="n">
        <v>40178</v>
      </c>
      <c r="B161" s="245" t="n"/>
      <c r="C161" s="245" t="n">
        <v>143526</v>
      </c>
      <c r="D161" s="245" t="n">
        <v>371766</v>
      </c>
      <c r="E161" s="245" t="n">
        <v>269223</v>
      </c>
      <c r="F161" s="245" t="n">
        <v>159684</v>
      </c>
      <c r="G161" s="245" t="n">
        <v>265806</v>
      </c>
      <c r="H161" s="245" t="n">
        <v>12659</v>
      </c>
      <c r="I161" s="245" t="n">
        <v>131343</v>
      </c>
      <c r="J161" s="245" t="n">
        <v>301787</v>
      </c>
      <c r="K161" s="245" t="n">
        <v>81747</v>
      </c>
      <c r="L161" s="245" t="inlineStr">
        <is>
          <t>1738610원</t>
        </is>
      </c>
    </row>
    <row customHeight="1" ht="12" r="162" s="391">
      <c r="A162" s="244" t="n">
        <v>40147</v>
      </c>
      <c r="B162" s="245" t="n"/>
      <c r="C162" s="245" t="n">
        <v>142399</v>
      </c>
      <c r="D162" s="245" t="n">
        <v>369346</v>
      </c>
      <c r="E162" s="245" t="n">
        <v>266328</v>
      </c>
      <c r="F162" s="245" t="n">
        <v>157662</v>
      </c>
      <c r="G162" s="245" t="n">
        <v>261800</v>
      </c>
      <c r="H162" s="245" t="n">
        <v>12380</v>
      </c>
      <c r="I162" s="245" t="n">
        <v>130469</v>
      </c>
      <c r="J162" s="245" t="n">
        <v>300037</v>
      </c>
      <c r="K162" s="245" t="n">
        <v>81244</v>
      </c>
      <c r="L162" s="245" t="inlineStr">
        <is>
          <t>1553320원</t>
        </is>
      </c>
    </row>
    <row customHeight="1" ht="12" r="163" s="391">
      <c r="A163" s="244" t="n">
        <v>40117</v>
      </c>
      <c r="B163" s="245" t="n"/>
      <c r="C163" s="245" t="n">
        <v>141494</v>
      </c>
      <c r="D163" s="245" t="n">
        <v>367221</v>
      </c>
      <c r="E163" s="245" t="n">
        <v>263702</v>
      </c>
      <c r="F163" s="245" t="n">
        <v>155947</v>
      </c>
      <c r="G163" s="245" t="n">
        <v>258688</v>
      </c>
      <c r="H163" s="245" t="n">
        <v>12076</v>
      </c>
      <c r="I163" s="245" t="n">
        <v>129632</v>
      </c>
      <c r="J163" s="245" t="n">
        <v>298700</v>
      </c>
      <c r="K163" s="245" t="n">
        <v>80748</v>
      </c>
      <c r="L163" s="245" t="inlineStr">
        <is>
          <t>1315550원</t>
        </is>
      </c>
    </row>
    <row customHeight="1" ht="12" r="164" s="391">
      <c r="A164" s="244" t="n">
        <v>40086</v>
      </c>
      <c r="B164" s="245" t="n"/>
      <c r="C164" s="245" t="n">
        <v>140688</v>
      </c>
      <c r="D164" s="245" t="n">
        <v>365195</v>
      </c>
      <c r="E164" s="245" t="n">
        <v>261753</v>
      </c>
      <c r="F164" s="245" t="n">
        <v>154783</v>
      </c>
      <c r="G164" s="245" t="n">
        <v>257036</v>
      </c>
      <c r="H164" s="245" t="n">
        <v>11968</v>
      </c>
      <c r="I164" s="245" t="n">
        <v>129180</v>
      </c>
      <c r="J164" s="245" t="n">
        <v>297167</v>
      </c>
      <c r="K164" s="245" t="n">
        <v>80237</v>
      </c>
      <c r="L164" s="245" t="inlineStr">
        <is>
          <t>1430810원</t>
        </is>
      </c>
    </row>
    <row customHeight="1" ht="12" r="165" s="391">
      <c r="A165" s="244" t="n">
        <v>40056</v>
      </c>
      <c r="B165" s="245" t="n"/>
      <c r="C165" s="245" t="n">
        <v>139760</v>
      </c>
      <c r="D165" s="245" t="n">
        <v>363010</v>
      </c>
      <c r="E165" s="245" t="n">
        <v>259953</v>
      </c>
      <c r="F165" s="245" t="n">
        <v>153682</v>
      </c>
      <c r="G165" s="245" t="n">
        <v>254399</v>
      </c>
      <c r="H165" s="245" t="n">
        <v>11786</v>
      </c>
      <c r="I165" s="245" t="n">
        <v>128381</v>
      </c>
      <c r="J165" s="245" t="n">
        <v>294818</v>
      </c>
      <c r="K165" s="245" t="n">
        <v>79713</v>
      </c>
      <c r="L165" s="245" t="inlineStr">
        <is>
          <t>17679/2489800</t>
        </is>
      </c>
    </row>
    <row customHeight="1" ht="12" r="166" s="391">
      <c r="A166" s="244" t="n">
        <v>40025</v>
      </c>
      <c r="B166" s="245" t="n"/>
      <c r="C166" s="245" t="n">
        <v>138610</v>
      </c>
      <c r="D166" s="245" t="n">
        <v>360142</v>
      </c>
      <c r="E166" s="245" t="n">
        <v>257596</v>
      </c>
      <c r="F166" s="245" t="n">
        <v>152205</v>
      </c>
      <c r="G166" s="245" t="n">
        <v>249656</v>
      </c>
      <c r="H166" s="245" t="n">
        <v>11238</v>
      </c>
      <c r="I166" s="245" t="n">
        <v>127406</v>
      </c>
      <c r="J166" s="245" t="n">
        <v>290174</v>
      </c>
      <c r="K166" s="245" t="n">
        <v>79149</v>
      </c>
      <c r="L166" s="245" t="inlineStr">
        <is>
          <t>14849/2194890</t>
        </is>
      </c>
    </row>
    <row customHeight="1" ht="12" r="167" s="391">
      <c r="A167" s="244" t="n">
        <v>39994</v>
      </c>
      <c r="B167" s="245" t="n"/>
      <c r="C167" s="245" t="n">
        <v>137611</v>
      </c>
      <c r="D167" s="245" t="n">
        <v>357608</v>
      </c>
      <c r="E167" s="245" t="n">
        <v>255587</v>
      </c>
      <c r="F167" s="245" t="n">
        <v>150946</v>
      </c>
      <c r="G167" s="245" t="n">
        <v>245867</v>
      </c>
      <c r="H167" s="245" t="n">
        <v>11025</v>
      </c>
      <c r="I167" s="245" t="n">
        <v>126449</v>
      </c>
      <c r="J167" s="245" t="n">
        <v>286695</v>
      </c>
      <c r="K167" s="245" t="n">
        <v>78593</v>
      </c>
      <c r="L167" s="245" t="inlineStr">
        <is>
          <t>11506/1421460</t>
        </is>
      </c>
    </row>
    <row customHeight="1" ht="12" r="168" s="391">
      <c r="A168" s="244" t="n">
        <v>39964</v>
      </c>
      <c r="B168" s="245" t="n"/>
      <c r="C168" s="245" t="n">
        <v>136482</v>
      </c>
      <c r="D168" s="245" t="n">
        <v>355430</v>
      </c>
      <c r="E168" s="245" t="n">
        <v>253665</v>
      </c>
      <c r="F168" s="245" t="n">
        <v>149775</v>
      </c>
      <c r="G168" s="245" t="n">
        <v>243432</v>
      </c>
      <c r="H168" s="245" t="n">
        <v>10917</v>
      </c>
      <c r="I168" s="245" t="n">
        <v>125754</v>
      </c>
      <c r="J168" s="245" t="n">
        <v>284596</v>
      </c>
      <c r="K168" s="245" t="n">
        <v>78126</v>
      </c>
      <c r="L168" s="245" t="inlineStr">
        <is>
          <t>9888/1316780</t>
        </is>
      </c>
    </row>
    <row customHeight="1" ht="12" r="169" s="391">
      <c r="A169" s="244" t="n">
        <v>39933</v>
      </c>
      <c r="B169" s="245" t="n"/>
      <c r="C169" s="245" t="n">
        <v>135215</v>
      </c>
      <c r="D169" s="245" t="n">
        <v>353286</v>
      </c>
      <c r="E169" s="245" t="n">
        <v>252082</v>
      </c>
      <c r="F169" s="245" t="n">
        <v>148892</v>
      </c>
      <c r="G169" s="245" t="n">
        <v>241318</v>
      </c>
      <c r="H169" s="245" t="n">
        <v>10795</v>
      </c>
      <c r="I169" s="245" t="n">
        <v>125107</v>
      </c>
      <c r="J169" s="245" t="n">
        <v>282915</v>
      </c>
      <c r="K169" s="245" t="n">
        <v>77609</v>
      </c>
      <c r="L169" s="245" t="inlineStr">
        <is>
          <t>10352/1353100</t>
        </is>
      </c>
    </row>
    <row customHeight="1" ht="12" r="170" s="391">
      <c r="A170" s="244" t="n">
        <v>39903</v>
      </c>
      <c r="B170" s="245" t="n"/>
      <c r="C170" s="245" t="n">
        <v>133834</v>
      </c>
      <c r="D170" s="245" t="n">
        <v>350950</v>
      </c>
      <c r="E170" s="245" t="n">
        <v>250296</v>
      </c>
      <c r="F170" s="245" t="n">
        <v>147975</v>
      </c>
      <c r="G170" s="245" t="n">
        <v>239102</v>
      </c>
      <c r="H170" s="245" t="n">
        <v>10665</v>
      </c>
      <c r="I170" s="245" t="n">
        <v>124451</v>
      </c>
      <c r="J170" s="245" t="n">
        <v>281478</v>
      </c>
      <c r="K170" s="245" t="n">
        <v>77132</v>
      </c>
      <c r="L170" s="245" t="inlineStr">
        <is>
          <t>13440/1544960</t>
        </is>
      </c>
    </row>
    <row customHeight="1" ht="12" r="171" s="391">
      <c r="A171" s="244" t="n">
        <v>39872</v>
      </c>
      <c r="B171" s="245" t="n"/>
      <c r="C171" s="245" t="n">
        <v>132441</v>
      </c>
      <c r="D171" s="245" t="n">
        <v>348519</v>
      </c>
      <c r="E171" s="245" t="n">
        <v>248837</v>
      </c>
      <c r="F171" s="245" t="n">
        <v>146922</v>
      </c>
      <c r="G171" s="245" t="n">
        <v>234883</v>
      </c>
      <c r="H171" s="245" t="n">
        <v>10344</v>
      </c>
      <c r="I171" s="245" t="n">
        <v>124250</v>
      </c>
      <c r="J171" s="245" t="n">
        <v>280115</v>
      </c>
      <c r="K171" s="245" t="n">
        <v>76668</v>
      </c>
      <c r="L171" s="245" t="inlineStr">
        <is>
          <t>880167/243983</t>
        </is>
      </c>
    </row>
    <row customHeight="1" ht="12" r="172" s="391">
      <c r="A172" s="244" t="n">
        <v>39844</v>
      </c>
      <c r="B172" s="245" t="n"/>
      <c r="C172" s="245" t="n">
        <v>131054</v>
      </c>
      <c r="D172" s="245" t="n">
        <v>345941</v>
      </c>
      <c r="E172" s="245" t="n">
        <v>246403</v>
      </c>
      <c r="F172" s="245" t="n">
        <v>145710</v>
      </c>
      <c r="G172" s="245" t="n">
        <v>229908</v>
      </c>
      <c r="H172" s="245" t="n">
        <v>9777</v>
      </c>
      <c r="I172" s="245" t="n">
        <v>124250</v>
      </c>
      <c r="J172" s="245" t="n">
        <v>278735</v>
      </c>
      <c r="K172" s="245" t="n">
        <v>76178</v>
      </c>
      <c r="L172" s="245" t="inlineStr">
        <is>
          <t>853356/237868</t>
        </is>
      </c>
    </row>
    <row customHeight="1" ht="12" r="173" s="391">
      <c r="A173" s="244" t="n">
        <v>39813</v>
      </c>
      <c r="B173" s="245" t="n"/>
      <c r="C173" s="245" t="n">
        <v>129732</v>
      </c>
      <c r="D173" s="245" t="n">
        <v>343171</v>
      </c>
      <c r="E173" s="245" t="n">
        <v>244411</v>
      </c>
      <c r="F173" s="245" t="n">
        <v>144567</v>
      </c>
      <c r="G173" s="245" t="n">
        <v>223580</v>
      </c>
      <c r="H173" s="245" t="n">
        <v>8955</v>
      </c>
      <c r="I173" s="245" t="n">
        <v>124250</v>
      </c>
      <c r="J173" s="245" t="n">
        <v>277341</v>
      </c>
      <c r="K173" s="245" t="n">
        <v>75666</v>
      </c>
      <c r="L173" s="245" t="n"/>
    </row>
    <row customHeight="1" ht="12" r="174" s="391">
      <c r="A174" s="244" t="n">
        <v>39782</v>
      </c>
      <c r="B174" s="245" t="n"/>
      <c r="C174" s="245" t="n">
        <v>128402</v>
      </c>
      <c r="D174" s="245" t="n">
        <v>340406</v>
      </c>
      <c r="E174" s="245" t="n">
        <v>242357</v>
      </c>
      <c r="F174" s="245" t="n">
        <v>143338</v>
      </c>
      <c r="G174" s="245" t="n">
        <v>218714</v>
      </c>
      <c r="H174" s="245" t="n">
        <v>8499</v>
      </c>
      <c r="I174" s="245" t="n">
        <v>124250</v>
      </c>
      <c r="J174" s="245" t="n">
        <v>275707</v>
      </c>
      <c r="K174" s="245" t="n">
        <v>75176</v>
      </c>
      <c r="L174" s="245" t="n"/>
    </row>
    <row customHeight="1" ht="12" r="175" s="391">
      <c r="A175" s="244" t="n">
        <v>39752</v>
      </c>
      <c r="B175" s="245" t="n"/>
      <c r="C175" s="245" t="n">
        <v>127012</v>
      </c>
      <c r="D175" s="245" t="n">
        <v>337755</v>
      </c>
      <c r="E175" s="245" t="n">
        <v>240433</v>
      </c>
      <c r="F175" s="245" t="n">
        <v>142227</v>
      </c>
      <c r="G175" s="245" t="n">
        <v>215227</v>
      </c>
      <c r="H175" s="245" t="n">
        <v>8031</v>
      </c>
      <c r="I175" s="245" t="n">
        <v>124250</v>
      </c>
      <c r="J175" s="245" t="n">
        <v>274072</v>
      </c>
      <c r="K175" s="245" t="n">
        <v>74663</v>
      </c>
      <c r="L175" s="245" t="inlineStr">
        <is>
          <t>771540/10763</t>
        </is>
      </c>
    </row>
    <row customHeight="1" ht="12" r="176" s="391">
      <c r="A176" s="244" t="n">
        <v>39721</v>
      </c>
      <c r="B176" s="245" t="n"/>
      <c r="C176" s="245" t="n">
        <v>125871</v>
      </c>
      <c r="D176" s="245" t="n">
        <v>335474</v>
      </c>
      <c r="E176" s="245" t="n">
        <v>238618</v>
      </c>
      <c r="F176" s="245" t="n">
        <v>141193</v>
      </c>
      <c r="G176" s="245" t="n">
        <v>212683</v>
      </c>
      <c r="H176" s="245" t="n">
        <v>7785</v>
      </c>
      <c r="I176" s="245" t="n">
        <v>123905</v>
      </c>
      <c r="J176" s="245" t="n">
        <v>272391</v>
      </c>
      <c r="K176" s="245" t="n">
        <v>74119</v>
      </c>
      <c r="L176" s="245" t="inlineStr">
        <is>
          <t>751846/13868</t>
        </is>
      </c>
    </row>
    <row customHeight="1" ht="12" r="177" s="391">
      <c r="A177" s="244" t="n">
        <v>39691</v>
      </c>
      <c r="B177" s="245" t="n"/>
      <c r="C177" s="245" t="n">
        <v>124644</v>
      </c>
      <c r="D177" s="245" t="n">
        <v>333269</v>
      </c>
      <c r="E177" s="245" t="n">
        <v>236452</v>
      </c>
      <c r="F177" s="245" t="n">
        <v>139897</v>
      </c>
      <c r="G177" s="245" t="n">
        <v>209342</v>
      </c>
      <c r="H177" s="245" t="n">
        <v>7468</v>
      </c>
      <c r="I177" s="245" t="n">
        <v>122919</v>
      </c>
      <c r="J177" s="245" t="n">
        <v>269786</v>
      </c>
      <c r="K177" s="245" t="n">
        <v>73614</v>
      </c>
      <c r="L177" s="245" t="inlineStr">
        <is>
          <t>726822/17327</t>
        </is>
      </c>
    </row>
    <row customHeight="1" ht="12" r="178" s="391">
      <c r="A178" s="244" t="n">
        <v>39660</v>
      </c>
      <c r="B178" s="245" t="n"/>
      <c r="C178" s="245" t="n">
        <v>123540</v>
      </c>
      <c r="D178" s="245" t="n">
        <v>330367</v>
      </c>
      <c r="E178" s="245" t="n">
        <v>233900</v>
      </c>
      <c r="F178" s="245" t="n">
        <v>138330</v>
      </c>
      <c r="G178" s="245" t="n">
        <v>204402</v>
      </c>
      <c r="H178" s="245" t="n">
        <v>6931</v>
      </c>
      <c r="I178" s="245" t="n">
        <v>121922</v>
      </c>
      <c r="J178" s="245" t="n">
        <v>265568</v>
      </c>
      <c r="K178" s="245" t="n">
        <v>73037</v>
      </c>
      <c r="L178" s="245" t="inlineStr">
        <is>
          <t>695102/16859</t>
        </is>
      </c>
    </row>
    <row customHeight="1" ht="12" r="179" s="391">
      <c r="A179" s="244" t="n">
        <v>39629</v>
      </c>
      <c r="B179" s="245" t="n"/>
      <c r="C179" s="245" t="n">
        <v>122199</v>
      </c>
      <c r="D179" s="245" t="n">
        <v>327430</v>
      </c>
      <c r="E179" s="245" t="n">
        <v>231390</v>
      </c>
      <c r="F179" s="245" t="n">
        <v>136811</v>
      </c>
      <c r="G179" s="245" t="n">
        <v>200551</v>
      </c>
      <c r="H179" s="245" t="n">
        <v>6500</v>
      </c>
      <c r="I179" s="245" t="n">
        <v>120787</v>
      </c>
      <c r="J179" s="245" t="n">
        <v>261816</v>
      </c>
      <c r="K179" s="245" t="n">
        <v>72483</v>
      </c>
      <c r="L179" s="245" t="inlineStr">
        <is>
          <t>66358/12748</t>
        </is>
      </c>
    </row>
    <row customHeight="1" ht="12" r="180" s="391">
      <c r="A180" s="244" t="n">
        <v>39599</v>
      </c>
      <c r="B180" s="245" t="n"/>
      <c r="C180" s="245" t="n">
        <v>120896</v>
      </c>
      <c r="D180" s="245" t="n">
        <v>325346</v>
      </c>
      <c r="E180" s="245" t="n">
        <v>229693</v>
      </c>
      <c r="F180" s="245" t="n">
        <v>135863</v>
      </c>
      <c r="G180" s="245" t="n">
        <v>197735</v>
      </c>
      <c r="H180" s="245" t="n">
        <v>6251</v>
      </c>
      <c r="I180" s="245" t="n">
        <v>119974</v>
      </c>
      <c r="J180" s="245" t="n">
        <v>259176</v>
      </c>
      <c r="K180" s="245" t="n">
        <v>71979</v>
      </c>
      <c r="L180" s="245" t="inlineStr">
        <is>
          <t>640557/10930</t>
        </is>
      </c>
    </row>
    <row customHeight="1" ht="12" r="181" s="391">
      <c r="A181" s="244" t="n">
        <v>39568</v>
      </c>
      <c r="B181" s="245" t="n"/>
      <c r="C181" s="245" t="n">
        <v>119283</v>
      </c>
      <c r="D181" s="245" t="n">
        <v>322939</v>
      </c>
      <c r="E181" s="245" t="n">
        <v>227955</v>
      </c>
      <c r="F181" s="245" t="n">
        <v>134964</v>
      </c>
      <c r="G181" s="245" t="n">
        <v>195343</v>
      </c>
      <c r="H181" s="245" t="n">
        <v>6076</v>
      </c>
      <c r="I181" s="245" t="n">
        <v>119152</v>
      </c>
      <c r="J181" s="245" t="n">
        <v>257585</v>
      </c>
      <c r="K181" s="245" t="n">
        <v>71454</v>
      </c>
      <c r="L181" s="245" t="inlineStr">
        <is>
          <t>619736/161600</t>
        </is>
      </c>
    </row>
    <row customHeight="1" ht="12" r="182" s="391">
      <c r="A182" s="244" t="n">
        <v>39538</v>
      </c>
      <c r="B182" s="245" t="n"/>
      <c r="C182" s="245" t="n">
        <v>117665</v>
      </c>
      <c r="D182" s="245" t="n">
        <v>320551</v>
      </c>
      <c r="E182" s="245" t="n">
        <v>226225</v>
      </c>
      <c r="F182" s="245" t="n">
        <v>134022</v>
      </c>
      <c r="G182" s="245" t="n">
        <v>192971</v>
      </c>
      <c r="H182" s="245" t="n">
        <v>5808</v>
      </c>
      <c r="I182" s="245" t="n">
        <v>118390</v>
      </c>
      <c r="J182" s="245" t="n">
        <v>256078</v>
      </c>
      <c r="K182" s="245" t="n">
        <v>70908</v>
      </c>
      <c r="L182" s="245" t="inlineStr">
        <is>
          <t>598327/154663</t>
        </is>
      </c>
    </row>
    <row customHeight="1" ht="12" r="183" s="391">
      <c r="A183" s="244" t="n">
        <v>39507</v>
      </c>
      <c r="B183" s="245" t="n"/>
      <c r="C183" s="245" t="n">
        <v>115664</v>
      </c>
      <c r="D183" s="245" t="n">
        <v>317723</v>
      </c>
      <c r="E183" s="245" t="n">
        <v>224269</v>
      </c>
      <c r="F183" s="245" t="n">
        <v>132873</v>
      </c>
      <c r="G183" s="245" t="n">
        <v>189316</v>
      </c>
      <c r="H183" s="245" t="n">
        <v>5370</v>
      </c>
      <c r="I183" s="245" t="n">
        <v>117555</v>
      </c>
      <c r="J183" s="245" t="n">
        <v>254429</v>
      </c>
      <c r="K183" s="245" t="n">
        <v>70480</v>
      </c>
      <c r="L183" s="245" t="inlineStr">
        <is>
          <t>570839/146693</t>
        </is>
      </c>
    </row>
    <row customHeight="1" ht="12" r="184" s="391">
      <c r="A184" s="244" t="n">
        <v>39478</v>
      </c>
      <c r="B184" s="245" t="n"/>
      <c r="C184" s="245" t="n">
        <v>114175</v>
      </c>
      <c r="D184" s="245" t="n">
        <v>315041</v>
      </c>
      <c r="E184" s="245" t="n">
        <v>222376</v>
      </c>
      <c r="F184" s="245" t="n">
        <v>131721</v>
      </c>
      <c r="G184" s="245" t="n">
        <v>184290</v>
      </c>
      <c r="H184" s="245" t="n">
        <v>4783</v>
      </c>
      <c r="I184" s="245" t="n">
        <v>116723</v>
      </c>
      <c r="J184" s="245" t="n">
        <v>252953</v>
      </c>
      <c r="K184" s="245" t="n">
        <v>70012</v>
      </c>
      <c r="L184" s="245" t="inlineStr">
        <is>
          <t>541235/139465</t>
        </is>
      </c>
    </row>
    <row customHeight="1" ht="12" r="185" s="391">
      <c r="A185" s="244" t="n">
        <v>39447</v>
      </c>
      <c r="B185" s="245" t="n"/>
      <c r="C185" s="245" t="n">
        <v>112734</v>
      </c>
      <c r="D185" s="245" t="n">
        <v>311994</v>
      </c>
      <c r="E185" s="245" t="n">
        <v>220243</v>
      </c>
      <c r="F185" s="245" t="n">
        <v>130514</v>
      </c>
      <c r="G185" s="245" t="n">
        <v>178721</v>
      </c>
      <c r="H185" s="245" t="n">
        <v>4147</v>
      </c>
      <c r="I185" s="245" t="n">
        <v>115761</v>
      </c>
      <c r="J185" s="245" t="n">
        <v>251233</v>
      </c>
      <c r="K185" s="245" t="n">
        <v>69490</v>
      </c>
      <c r="L185" s="245" t="inlineStr">
        <is>
          <t>507991/131887</t>
        </is>
      </c>
    </row>
    <row customHeight="1" ht="12" r="186" s="391">
      <c r="A186" s="244" t="n">
        <v>39416</v>
      </c>
      <c r="B186" s="245" t="n"/>
      <c r="C186" s="245" t="n">
        <v>111065</v>
      </c>
      <c r="D186" s="245" t="n">
        <v>308880</v>
      </c>
      <c r="E186" s="245" t="n">
        <v>218303</v>
      </c>
      <c r="F186" s="245" t="n">
        <v>129461</v>
      </c>
      <c r="G186" s="245" t="n">
        <v>174351</v>
      </c>
      <c r="H186" s="245" t="n">
        <v>3764</v>
      </c>
      <c r="I186" s="245" t="n">
        <v>114809</v>
      </c>
      <c r="J186" s="245" t="n">
        <v>249586</v>
      </c>
      <c r="K186" s="245" t="n">
        <v>68982</v>
      </c>
      <c r="L186" s="245" t="inlineStr">
        <is>
          <t>478301/124557</t>
        </is>
      </c>
    </row>
    <row customHeight="1" ht="12" r="187" s="391">
      <c r="A187" s="244" t="n">
        <v>39386</v>
      </c>
      <c r="B187" s="245" t="n"/>
      <c r="C187" s="245" t="n">
        <v>109486</v>
      </c>
      <c r="D187" s="245" t="n">
        <v>306064</v>
      </c>
      <c r="E187" s="245" t="n">
        <v>216360</v>
      </c>
      <c r="F187" s="245" t="n">
        <v>128474</v>
      </c>
      <c r="G187" s="245" t="n">
        <v>171204</v>
      </c>
      <c r="H187" s="245" t="n">
        <v>3150</v>
      </c>
      <c r="I187" s="245" t="n">
        <v>113892</v>
      </c>
      <c r="J187" s="245" t="n">
        <v>248069</v>
      </c>
      <c r="K187" s="245" t="n">
        <v>68479</v>
      </c>
      <c r="L187" s="245" t="inlineStr">
        <is>
          <t>455034/116690</t>
        </is>
      </c>
    </row>
    <row customHeight="1" ht="12" r="188" s="391">
      <c r="A188" s="244" t="n">
        <v>39355</v>
      </c>
      <c r="B188" s="245" t="n"/>
      <c r="C188" s="245" t="n">
        <v>107775</v>
      </c>
      <c r="D188" s="245" t="n">
        <v>303509</v>
      </c>
      <c r="E188" s="245" t="n">
        <v>214455</v>
      </c>
      <c r="F188" s="245" t="n">
        <v>127485</v>
      </c>
      <c r="G188" s="245" t="n">
        <v>168824</v>
      </c>
      <c r="H188" s="245" t="n">
        <v>2656</v>
      </c>
      <c r="I188" s="245" t="n">
        <v>113013</v>
      </c>
      <c r="J188" s="245" t="n">
        <v>246534</v>
      </c>
      <c r="K188" s="245" t="n">
        <v>67976</v>
      </c>
      <c r="L188" s="245" t="inlineStr">
        <is>
          <t>430677/108842</t>
        </is>
      </c>
    </row>
    <row customHeight="1" ht="12" r="189" s="391">
      <c r="A189" s="244" t="n">
        <v>39325</v>
      </c>
      <c r="B189" s="245" t="n"/>
      <c r="C189" s="245" t="n">
        <v>106263</v>
      </c>
      <c r="D189" s="245" t="n">
        <v>301148</v>
      </c>
      <c r="E189" s="245" t="n">
        <v>212492</v>
      </c>
      <c r="F189" s="245" t="n">
        <v>126415</v>
      </c>
      <c r="G189" s="245" t="n">
        <v>165367</v>
      </c>
      <c r="H189" s="245" t="n">
        <v>1902</v>
      </c>
      <c r="I189" s="245" t="n">
        <v>111855</v>
      </c>
      <c r="J189" s="245" t="n">
        <v>244099</v>
      </c>
      <c r="K189" s="245" t="n">
        <v>67423</v>
      </c>
      <c r="L189" s="245" t="inlineStr">
        <is>
          <t>404837/098829</t>
        </is>
      </c>
    </row>
    <row customHeight="1" ht="12" r="190" s="391">
      <c r="A190" s="244" t="n">
        <v>39294</v>
      </c>
      <c r="B190" s="245" t="n"/>
      <c r="C190" s="245" t="n">
        <v>104620</v>
      </c>
      <c r="D190" s="245" t="n">
        <v>297865</v>
      </c>
      <c r="E190" s="245" t="n">
        <v>209788</v>
      </c>
      <c r="F190" s="245" t="n">
        <v>124917</v>
      </c>
      <c r="G190" s="245" t="n">
        <v>160483</v>
      </c>
      <c r="H190" s="245" t="n">
        <v>677</v>
      </c>
      <c r="I190" s="245" t="n">
        <v>110540</v>
      </c>
      <c r="J190" s="245" t="n">
        <v>239298</v>
      </c>
      <c r="K190" s="245" t="n">
        <v>66818</v>
      </c>
      <c r="L190" s="245" t="inlineStr">
        <is>
          <t>366407/086052</t>
        </is>
      </c>
    </row>
    <row customHeight="1" ht="12" r="191" s="391">
      <c r="A191" s="244" t="n">
        <v>39263</v>
      </c>
      <c r="B191" s="245" t="n"/>
      <c r="C191" s="245" t="n">
        <v>102889</v>
      </c>
      <c r="D191" s="245" t="n">
        <v>294796</v>
      </c>
      <c r="E191" s="245" t="n">
        <v>207361</v>
      </c>
      <c r="F191" s="245" t="n">
        <v>123452</v>
      </c>
      <c r="G191" s="245" t="n">
        <v>156596</v>
      </c>
      <c r="H191" s="245" t="n">
        <v>0</v>
      </c>
      <c r="I191" s="245" t="n">
        <v>109263</v>
      </c>
      <c r="J191" s="245" t="n">
        <v>235652</v>
      </c>
      <c r="K191" s="245" t="n">
        <v>66220</v>
      </c>
      <c r="L191" s="245" t="inlineStr">
        <is>
          <t>334187/074929</t>
        </is>
      </c>
    </row>
    <row customHeight="1" ht="12" r="192" s="391">
      <c r="A192" s="244" t="n">
        <v>39233</v>
      </c>
      <c r="B192" s="245" t="n"/>
      <c r="C192" s="245" t="n">
        <v>101229</v>
      </c>
      <c r="D192" s="245" t="n">
        <v>292047</v>
      </c>
      <c r="E192" s="245" t="n">
        <v>204986</v>
      </c>
      <c r="F192" s="245" t="n">
        <v>121938</v>
      </c>
      <c r="G192" s="245" t="n">
        <v>153040</v>
      </c>
      <c r="H192" s="245" t="n"/>
      <c r="I192" s="245" t="n">
        <v>107762</v>
      </c>
      <c r="J192" s="245" t="n">
        <v>233208</v>
      </c>
      <c r="K192" s="245" t="n">
        <v>65691</v>
      </c>
      <c r="L192" s="245" t="inlineStr">
        <is>
          <t>305900/65845</t>
        </is>
      </c>
    </row>
    <row customHeight="1" ht="12" r="193" s="391">
      <c r="A193" s="244" t="n">
        <v>39202</v>
      </c>
      <c r="B193" s="245" t="n"/>
      <c r="C193" s="245" t="n">
        <v>99746</v>
      </c>
      <c r="D193" s="245" t="n">
        <v>289500</v>
      </c>
      <c r="E193" s="245" t="n">
        <v>203301</v>
      </c>
      <c r="F193" s="245" t="n">
        <v>120934</v>
      </c>
      <c r="G193" s="245" t="n">
        <v>150542</v>
      </c>
      <c r="H193" s="245" t="n"/>
      <c r="I193" s="245" t="n">
        <v>106752</v>
      </c>
      <c r="J193" s="245" t="n">
        <v>231775</v>
      </c>
      <c r="K193" s="245" t="n">
        <v>65157</v>
      </c>
      <c r="L193" s="245" t="inlineStr">
        <is>
          <t>284151/058929</t>
        </is>
      </c>
    </row>
    <row customHeight="1" ht="12" r="194" s="391">
      <c r="A194" s="244" t="n">
        <v>39172</v>
      </c>
      <c r="B194" s="245" t="n"/>
      <c r="C194" s="245" t="n">
        <v>98096</v>
      </c>
      <c r="D194" s="245" t="n">
        <v>286778</v>
      </c>
      <c r="E194" s="245" t="n">
        <v>201404</v>
      </c>
      <c r="F194" s="245" t="n">
        <v>119883</v>
      </c>
      <c r="G194" s="245" t="n">
        <v>148331</v>
      </c>
      <c r="H194" s="245" t="n"/>
      <c r="I194" s="245" t="n">
        <v>105863</v>
      </c>
      <c r="J194" s="245" t="n">
        <v>230187</v>
      </c>
      <c r="K194" s="245" t="n">
        <v>64634</v>
      </c>
      <c r="L194" s="245" t="inlineStr">
        <is>
          <t>261620/051853</t>
        </is>
      </c>
    </row>
    <row customHeight="1" ht="12" r="195" s="391">
      <c r="A195" s="244" t="n">
        <v>39141</v>
      </c>
      <c r="B195" s="245" t="n"/>
      <c r="C195" s="245" t="n">
        <v>96329</v>
      </c>
      <c r="D195" s="245" t="n">
        <v>283624</v>
      </c>
      <c r="E195" s="245" t="n">
        <v>199260</v>
      </c>
      <c r="F195" s="245" t="n">
        <v>118610</v>
      </c>
      <c r="G195" s="245" t="n">
        <v>145433</v>
      </c>
      <c r="H195" s="245" t="n"/>
      <c r="I195" s="245" t="n">
        <v>104730</v>
      </c>
      <c r="J195" s="245" t="n">
        <v>228432</v>
      </c>
      <c r="K195" s="245" t="n">
        <v>64099</v>
      </c>
      <c r="L195" s="245" t="inlineStr">
        <is>
          <t>234633/044428</t>
        </is>
      </c>
    </row>
    <row customHeight="1" ht="12" r="196" s="391">
      <c r="A196" s="244" t="n">
        <v>39113</v>
      </c>
      <c r="B196" s="245" t="n"/>
      <c r="C196" s="245" t="n">
        <v>94629</v>
      </c>
      <c r="D196" s="245" t="n">
        <v>280694</v>
      </c>
      <c r="E196" s="245" t="n">
        <v>197139</v>
      </c>
      <c r="F196" s="245" t="n">
        <v>117271</v>
      </c>
      <c r="G196" s="245" t="n">
        <v>141974</v>
      </c>
      <c r="H196" s="245" t="n"/>
      <c r="I196" s="245" t="n">
        <v>103742</v>
      </c>
      <c r="J196" s="245" t="n">
        <v>226766</v>
      </c>
      <c r="K196" s="245" t="n">
        <v>63656</v>
      </c>
      <c r="L196" s="245" t="inlineStr">
        <is>
          <t>206853/038116</t>
        </is>
      </c>
    </row>
    <row customHeight="1" ht="12" r="197" s="391">
      <c r="A197" s="244" t="n">
        <v>39082</v>
      </c>
      <c r="B197" s="245" t="n"/>
      <c r="C197" s="245" t="n">
        <v>92905</v>
      </c>
      <c r="D197" s="245" t="n">
        <v>277583</v>
      </c>
      <c r="E197" s="245" t="n">
        <v>194772</v>
      </c>
      <c r="F197" s="245" t="n">
        <v>115810</v>
      </c>
      <c r="G197" s="245" t="n">
        <v>136983</v>
      </c>
      <c r="H197" s="245" t="n"/>
      <c r="I197" s="245" t="n">
        <v>102699</v>
      </c>
      <c r="J197" s="245" t="n">
        <v>225117</v>
      </c>
      <c r="K197" s="245" t="n">
        <v>63186</v>
      </c>
      <c r="L197" s="245" t="inlineStr">
        <is>
          <t>166847/174576</t>
        </is>
      </c>
    </row>
    <row customHeight="1" ht="12" r="198" s="391">
      <c r="A198" s="244" t="n">
        <v>39051</v>
      </c>
      <c r="B198" s="245" t="n"/>
      <c r="C198" s="245" t="n">
        <v>90931</v>
      </c>
      <c r="D198" s="245" t="n">
        <v>274096</v>
      </c>
      <c r="E198" s="245" t="n">
        <v>192095</v>
      </c>
      <c r="F198" s="245" t="n">
        <v>114156</v>
      </c>
      <c r="G198" s="245" t="n">
        <v>133486</v>
      </c>
      <c r="H198" s="245" t="n"/>
      <c r="I198" s="245" t="n">
        <v>101613</v>
      </c>
      <c r="J198" s="245" t="n">
        <v>223215</v>
      </c>
      <c r="K198" s="245" t="n">
        <v>62679</v>
      </c>
      <c r="L198" s="245" t="inlineStr">
        <is>
          <t>142430/024397</t>
        </is>
      </c>
    </row>
    <row customHeight="1" ht="12" r="199" s="391">
      <c r="A199" s="244" t="n">
        <v>39021</v>
      </c>
      <c r="B199" s="245" t="n"/>
      <c r="C199" s="245" t="n">
        <v>88958</v>
      </c>
      <c r="D199" s="245" t="n">
        <v>270943</v>
      </c>
      <c r="E199" s="245" t="n">
        <v>189952</v>
      </c>
      <c r="F199" s="245" t="n">
        <v>112917</v>
      </c>
      <c r="G199" s="245" t="n">
        <v>130697</v>
      </c>
      <c r="H199" s="245" t="n"/>
      <c r="I199" s="245" t="n">
        <v>100543</v>
      </c>
      <c r="J199" s="245" t="n">
        <v>221199</v>
      </c>
      <c r="K199" s="245" t="n">
        <v>62174</v>
      </c>
      <c r="L199" s="245" t="inlineStr">
        <is>
          <t>114333/017271</t>
        </is>
      </c>
    </row>
    <row customHeight="1" ht="12" r="200" s="391">
      <c r="A200" s="244" t="n">
        <v>38990</v>
      </c>
      <c r="B200" s="245" t="n"/>
      <c r="C200" s="245" t="n">
        <v>87068</v>
      </c>
      <c r="D200" s="245" t="n">
        <v>268046</v>
      </c>
      <c r="E200" s="245" t="n">
        <v>187848</v>
      </c>
      <c r="F200" s="245" t="n">
        <v>111610</v>
      </c>
      <c r="G200" s="245" t="n">
        <v>127748</v>
      </c>
      <c r="H200" s="245" t="n"/>
      <c r="I200" s="245" t="n">
        <v>99384</v>
      </c>
      <c r="J200" s="245" t="n">
        <v>218895</v>
      </c>
      <c r="K200" s="245" t="n">
        <v>61659</v>
      </c>
      <c r="L200" s="245" t="inlineStr">
        <is>
          <t>087244/009209</t>
        </is>
      </c>
    </row>
    <row customHeight="1" ht="12" r="201" s="391">
      <c r="A201" s="244" t="n">
        <v>38960</v>
      </c>
      <c r="B201" s="245" t="n"/>
      <c r="C201" s="245" t="n">
        <v>85300</v>
      </c>
      <c r="D201" s="245" t="n">
        <v>264928</v>
      </c>
      <c r="E201" s="245" t="n">
        <v>185442</v>
      </c>
      <c r="F201" s="245" t="n">
        <v>110153</v>
      </c>
      <c r="G201" s="245" t="n">
        <v>124503</v>
      </c>
      <c r="H201" s="245" t="n"/>
      <c r="I201" s="245" t="n">
        <v>97648</v>
      </c>
      <c r="J201" s="245" t="n">
        <v>215806</v>
      </c>
      <c r="K201" s="245" t="n">
        <v>61153</v>
      </c>
      <c r="L201" s="245" t="inlineStr">
        <is>
          <t>056208/000012</t>
        </is>
      </c>
    </row>
    <row customHeight="1" ht="12" r="202" s="391">
      <c r="A202" s="244" t="n">
        <v>38929</v>
      </c>
      <c r="B202" s="245" t="n"/>
      <c r="C202" s="245" t="n">
        <v>84782</v>
      </c>
      <c r="D202" s="245" t="n">
        <v>263748</v>
      </c>
      <c r="E202" s="245" t="n">
        <v>184591</v>
      </c>
      <c r="F202" s="245" t="n">
        <v>109673</v>
      </c>
      <c r="G202" s="245" t="n">
        <v>123237</v>
      </c>
      <c r="H202" s="245" t="n"/>
      <c r="I202" s="245" t="n">
        <v>97272</v>
      </c>
      <c r="J202" s="245" t="n">
        <v>214313</v>
      </c>
      <c r="K202" s="245" t="n">
        <v>61018</v>
      </c>
      <c r="L202" s="245" t="inlineStr">
        <is>
          <t>004211/611517</t>
        </is>
      </c>
    </row>
    <row customHeight="1" ht="12" r="203" s="391">
      <c r="A203" s="244" t="n">
        <v>38898</v>
      </c>
      <c r="B203" s="245" t="n"/>
      <c r="C203" s="245" t="n">
        <v>81269</v>
      </c>
      <c r="D203" s="245" t="n">
        <v>257340</v>
      </c>
      <c r="E203" s="245" t="n">
        <v>180142</v>
      </c>
      <c r="F203" s="245" t="n">
        <v>107170</v>
      </c>
      <c r="G203" s="245" t="n">
        <v>116321</v>
      </c>
      <c r="H203" s="245" t="n"/>
      <c r="I203" s="245" t="n">
        <v>97263</v>
      </c>
      <c r="J203" s="245" t="n">
        <v>206026</v>
      </c>
      <c r="K203" s="245" t="n">
        <v>60215</v>
      </c>
      <c r="L203" s="245" t="inlineStr">
        <is>
          <t>964699/590227</t>
        </is>
      </c>
    </row>
    <row customHeight="1" ht="12" r="204" s="391">
      <c r="A204" s="244" t="n">
        <v>38868</v>
      </c>
      <c r="B204" s="245" t="n"/>
      <c r="C204" s="245" t="n">
        <v>79324</v>
      </c>
      <c r="D204" s="245" t="n">
        <v>254056</v>
      </c>
      <c r="E204" s="245" t="n">
        <v>178107</v>
      </c>
      <c r="F204" s="245" t="n">
        <v>105900</v>
      </c>
      <c r="G204" s="245" t="n">
        <v>116029</v>
      </c>
      <c r="H204" s="245" t="n"/>
      <c r="I204" s="245" t="n">
        <v>97263</v>
      </c>
      <c r="J204" s="245" t="n">
        <v>203196</v>
      </c>
      <c r="K204" s="245" t="n">
        <v>59818</v>
      </c>
      <c r="L204" s="245" t="inlineStr">
        <is>
          <t>936935/573256</t>
        </is>
      </c>
    </row>
    <row customHeight="1" ht="12" r="205" s="391">
      <c r="A205" s="244" t="n">
        <v>38837</v>
      </c>
      <c r="B205" s="245" t="n"/>
      <c r="C205" s="245" t="n">
        <v>77083</v>
      </c>
      <c r="D205" s="245" t="n">
        <v>250971</v>
      </c>
      <c r="E205" s="245" t="n">
        <v>176389</v>
      </c>
      <c r="F205" s="245" t="n">
        <v>105014</v>
      </c>
      <c r="G205" s="245" t="n">
        <v>116029</v>
      </c>
      <c r="H205" s="245" t="n"/>
      <c r="I205" s="245" t="n">
        <v>97263</v>
      </c>
      <c r="J205" s="245" t="n">
        <v>201402</v>
      </c>
      <c r="K205" s="245" t="n">
        <v>59378</v>
      </c>
      <c r="L205" s="245" t="inlineStr">
        <is>
          <t>913135/557528</t>
        </is>
      </c>
    </row>
    <row customHeight="1" ht="12" r="206" s="391">
      <c r="A206" s="244" t="n">
        <v>38807</v>
      </c>
      <c r="B206" s="245" t="n"/>
      <c r="C206" s="245" t="n">
        <v>74892</v>
      </c>
      <c r="D206" s="245" t="n">
        <v>247735</v>
      </c>
      <c r="E206" s="245" t="n">
        <v>174433</v>
      </c>
      <c r="F206" s="245" t="n">
        <v>103950</v>
      </c>
      <c r="G206" s="245" t="n">
        <v>116029</v>
      </c>
      <c r="H206" s="245" t="n"/>
      <c r="I206" s="245" t="n">
        <v>97263</v>
      </c>
      <c r="J206" s="245" t="n">
        <v>199358</v>
      </c>
      <c r="K206" s="245" t="n">
        <v>58960</v>
      </c>
      <c r="L206" s="245" t="inlineStr">
        <is>
          <t>887948/540834</t>
        </is>
      </c>
    </row>
    <row customHeight="1" ht="12" r="207" s="391">
      <c r="A207" s="244" t="n">
        <v>38776</v>
      </c>
      <c r="B207" s="245" t="n"/>
      <c r="C207" s="245" t="n">
        <v>72826</v>
      </c>
      <c r="D207" s="245" t="n">
        <v>244235</v>
      </c>
      <c r="E207" s="245" t="n">
        <v>172270</v>
      </c>
      <c r="F207" s="245" t="n">
        <v>102721</v>
      </c>
      <c r="G207" s="245" t="n">
        <v>116013</v>
      </c>
      <c r="H207" s="245" t="n"/>
      <c r="I207" s="245" t="n">
        <v>97253</v>
      </c>
      <c r="J207" s="245" t="n">
        <v>197216</v>
      </c>
      <c r="K207" s="245" t="n">
        <v>58542</v>
      </c>
      <c r="L207" s="245" t="inlineStr">
        <is>
          <t>861327/523388</t>
        </is>
      </c>
    </row>
    <row customHeight="1" ht="12" r="208" s="391">
      <c r="A208" s="244" t="n">
        <v>38748</v>
      </c>
      <c r="B208" s="245" t="n"/>
      <c r="C208" s="245" t="n">
        <v>71103</v>
      </c>
      <c r="D208" s="245" t="n">
        <v>240034</v>
      </c>
      <c r="E208" s="245" t="n">
        <v>170195</v>
      </c>
      <c r="F208" s="245" t="n">
        <v>101535</v>
      </c>
      <c r="G208" s="245" t="n">
        <v>115659</v>
      </c>
      <c r="H208" s="245" t="n"/>
      <c r="I208" s="245" t="n">
        <v>96980</v>
      </c>
      <c r="J208" s="245" t="n">
        <v>195149</v>
      </c>
      <c r="K208" s="245" t="n">
        <v>58158</v>
      </c>
      <c r="L208" s="245" t="inlineStr">
        <is>
          <t>835059/506654</t>
        </is>
      </c>
    </row>
    <row customHeight="1" ht="12" r="209" s="391">
      <c r="A209" s="244" t="n">
        <v>38717</v>
      </c>
      <c r="B209" s="245" t="n"/>
      <c r="C209" s="245" t="n">
        <v>69417</v>
      </c>
      <c r="D209" s="245" t="n">
        <v>237200</v>
      </c>
      <c r="E209" s="245" t="n">
        <v>167960</v>
      </c>
      <c r="F209" s="245" t="n">
        <v>100383</v>
      </c>
      <c r="G209" s="245" t="n">
        <v>114491</v>
      </c>
      <c r="H209" s="245" t="n"/>
      <c r="I209" s="245" t="n">
        <v>95857</v>
      </c>
      <c r="J209" s="245" t="n">
        <v>193054</v>
      </c>
      <c r="K209" s="245" t="n">
        <v>57737</v>
      </c>
      <c r="L209" s="245" t="inlineStr">
        <is>
          <t>803833/488338</t>
        </is>
      </c>
    </row>
    <row customHeight="1" ht="12" r="210" s="391">
      <c r="A210" s="244" t="n">
        <v>38686</v>
      </c>
      <c r="B210" s="245" t="n"/>
      <c r="C210" s="245" t="n">
        <v>67590</v>
      </c>
      <c r="D210" s="245" t="n">
        <v>233422</v>
      </c>
      <c r="E210" s="245" t="n">
        <v>165534</v>
      </c>
      <c r="F210" s="245" t="n">
        <v>99022</v>
      </c>
      <c r="G210" s="245" t="n">
        <v>113097</v>
      </c>
      <c r="H210" s="245" t="n"/>
      <c r="I210" s="245" t="n">
        <v>94700</v>
      </c>
      <c r="J210" s="245" t="n">
        <v>191140</v>
      </c>
      <c r="K210" s="245" t="n">
        <v>57345</v>
      </c>
      <c r="L210" s="245" t="inlineStr">
        <is>
          <t>770043/468650</t>
        </is>
      </c>
    </row>
    <row customHeight="1" ht="12" r="211" s="391">
      <c r="A211" s="244" t="n">
        <v>38656</v>
      </c>
      <c r="B211" s="245" t="n"/>
      <c r="C211" s="245" t="n">
        <v>65686</v>
      </c>
      <c r="D211" s="245" t="n">
        <v>229855</v>
      </c>
      <c r="E211" s="245" t="n">
        <v>163446</v>
      </c>
      <c r="F211" s="245" t="n">
        <v>97995</v>
      </c>
      <c r="G211" s="245" t="n">
        <v>111757</v>
      </c>
      <c r="H211" s="245" t="n"/>
      <c r="I211" s="245" t="n">
        <v>93708</v>
      </c>
      <c r="J211" s="245" t="n">
        <v>189416</v>
      </c>
      <c r="K211" s="245" t="n">
        <v>56908</v>
      </c>
      <c r="L211" s="245" t="inlineStr">
        <is>
          <t>739183/449678</t>
        </is>
      </c>
    </row>
    <row customHeight="1" ht="12" r="212" s="391">
      <c r="A212" s="244" t="n">
        <v>38625</v>
      </c>
      <c r="B212" s="245" t="n"/>
      <c r="C212" s="245" t="n">
        <v>64501</v>
      </c>
      <c r="D212" s="245" t="n">
        <v>226696</v>
      </c>
      <c r="E212" s="245" t="n">
        <v>161475</v>
      </c>
      <c r="F212" s="245" t="n">
        <v>96922</v>
      </c>
      <c r="G212" s="245" t="n">
        <v>110482</v>
      </c>
      <c r="H212" s="245" t="n"/>
      <c r="I212" s="245" t="n">
        <v>92769</v>
      </c>
      <c r="J212" s="245" t="n">
        <v>187763</v>
      </c>
      <c r="K212" s="245" t="n">
        <v>56436</v>
      </c>
      <c r="L212" s="245" t="inlineStr">
        <is>
          <t>711705/431601</t>
        </is>
      </c>
    </row>
    <row customHeight="1" ht="12" r="213" s="391">
      <c r="A213" s="244" t="n">
        <v>38595</v>
      </c>
      <c r="B213" s="245" t="n"/>
      <c r="C213" s="245" t="n">
        <v>64169</v>
      </c>
      <c r="D213" s="245" t="n">
        <v>223753</v>
      </c>
      <c r="E213" s="245" t="n">
        <v>159147</v>
      </c>
      <c r="F213" s="245" t="n">
        <v>95560</v>
      </c>
      <c r="G213" s="245" t="n">
        <v>108720</v>
      </c>
      <c r="H213" s="245" t="n"/>
      <c r="I213" s="245" t="n">
        <v>91521</v>
      </c>
      <c r="J213" s="245" t="n">
        <v>185023</v>
      </c>
      <c r="K213" s="245" t="n">
        <v>55986</v>
      </c>
      <c r="L213" s="245" t="inlineStr">
        <is>
          <t>681638/413052</t>
        </is>
      </c>
    </row>
    <row customHeight="1" ht="12" r="214" s="391">
      <c r="A214" s="244" t="n">
        <v>38564</v>
      </c>
      <c r="B214" s="245" t="n"/>
      <c r="C214" s="245" t="n">
        <v>63352</v>
      </c>
      <c r="D214" s="245" t="n">
        <v>220861</v>
      </c>
      <c r="E214" s="245" t="n">
        <v>156411</v>
      </c>
      <c r="F214" s="245" t="n">
        <v>93755</v>
      </c>
      <c r="G214" s="245" t="n">
        <v>106759</v>
      </c>
      <c r="H214" s="245" t="n"/>
      <c r="I214" s="245" t="n">
        <v>90163</v>
      </c>
      <c r="J214" s="245" t="n">
        <v>180826</v>
      </c>
      <c r="K214" s="245" t="n">
        <v>55532</v>
      </c>
      <c r="L214" s="245" t="inlineStr">
        <is>
          <t>644693/392891</t>
        </is>
      </c>
    </row>
    <row customHeight="1" ht="12" r="215" s="391">
      <c r="A215" s="244" t="n">
        <v>38533</v>
      </c>
      <c r="B215" s="245" t="n"/>
      <c r="C215" s="245" t="n">
        <v>62368</v>
      </c>
      <c r="D215" s="245" t="n">
        <v>217284</v>
      </c>
      <c r="E215" s="245" t="n">
        <v>153358</v>
      </c>
      <c r="F215" s="245" t="n">
        <v>92255</v>
      </c>
      <c r="G215" s="245" t="n">
        <v>104242</v>
      </c>
      <c r="H215" s="245" t="n"/>
      <c r="I215" s="245" t="n">
        <v>88555</v>
      </c>
      <c r="J215" s="245" t="n">
        <v>176162</v>
      </c>
      <c r="K215" s="245" t="n">
        <v>55039</v>
      </c>
      <c r="L215" s="245" t="inlineStr">
        <is>
          <t>602049/369971</t>
        </is>
      </c>
    </row>
    <row customHeight="1" ht="12" r="216" s="391">
      <c r="A216" s="244" t="n">
        <v>38503</v>
      </c>
      <c r="B216" s="245" t="n"/>
      <c r="C216" s="245" t="n">
        <v>61526</v>
      </c>
      <c r="D216" s="245" t="n">
        <v>214529</v>
      </c>
      <c r="E216" s="245" t="n">
        <v>151088</v>
      </c>
      <c r="F216" s="245" t="n">
        <v>90942</v>
      </c>
      <c r="G216" s="245" t="n">
        <v>102139</v>
      </c>
      <c r="H216" s="245" t="n"/>
      <c r="I216" s="245" t="n">
        <v>87310</v>
      </c>
      <c r="J216" s="245" t="n">
        <v>173093</v>
      </c>
      <c r="K216" s="245" t="n">
        <v>54603</v>
      </c>
      <c r="L216" s="245" t="inlineStr">
        <is>
          <t>569401/351128</t>
        </is>
      </c>
    </row>
    <row customHeight="1" ht="12" r="217" s="391">
      <c r="A217" s="244" t="n">
        <v>38472</v>
      </c>
      <c r="B217" s="245" t="n"/>
      <c r="C217" s="245" t="n">
        <v>60793</v>
      </c>
      <c r="D217" s="245" t="n">
        <v>212256</v>
      </c>
      <c r="E217" s="245" t="n">
        <v>149237</v>
      </c>
      <c r="F217" s="245" t="n">
        <v>89977</v>
      </c>
      <c r="G217" s="245" t="n">
        <v>100717</v>
      </c>
      <c r="H217" s="245" t="n"/>
      <c r="I217" s="245" t="n">
        <v>86407</v>
      </c>
      <c r="J217" s="245" t="n">
        <v>171481</v>
      </c>
      <c r="K217" s="245" t="n">
        <v>54157</v>
      </c>
      <c r="L217" s="245" t="inlineStr">
        <is>
          <t>544866/335582</t>
        </is>
      </c>
    </row>
    <row customHeight="1" ht="12" r="218" s="391">
      <c r="A218" s="244" t="n">
        <v>38442</v>
      </c>
      <c r="B218" s="245" t="n"/>
      <c r="C218" s="245" t="n">
        <v>59924</v>
      </c>
      <c r="D218" s="245" t="n">
        <v>209524</v>
      </c>
      <c r="E218" s="245" t="n">
        <v>147117</v>
      </c>
      <c r="F218" s="245" t="n">
        <v>88850</v>
      </c>
      <c r="G218" s="245" t="n">
        <v>99264</v>
      </c>
      <c r="H218" s="245" t="n"/>
      <c r="I218" s="245" t="n">
        <v>85283</v>
      </c>
      <c r="J218" s="245" t="n">
        <v>169746</v>
      </c>
      <c r="K218" s="245" t="n">
        <v>53509</v>
      </c>
      <c r="L218" s="245" t="inlineStr">
        <is>
          <t>517924/317875</t>
        </is>
      </c>
    </row>
    <row customHeight="1" ht="12" r="219" s="391">
      <c r="A219" s="244" t="n">
        <v>38411</v>
      </c>
      <c r="B219" s="245" t="n"/>
      <c r="C219" s="245" t="n">
        <v>59100</v>
      </c>
      <c r="D219" s="245" t="n">
        <v>206480</v>
      </c>
      <c r="E219" s="245" t="n">
        <v>144675</v>
      </c>
      <c r="F219" s="245" t="n">
        <v>87480</v>
      </c>
      <c r="G219" s="245" t="n">
        <v>97620</v>
      </c>
      <c r="H219" s="245" t="n"/>
      <c r="I219" s="245" t="n">
        <v>82971</v>
      </c>
      <c r="J219" s="245" t="n">
        <v>168084</v>
      </c>
      <c r="K219" s="245" t="n">
        <v>52878</v>
      </c>
      <c r="L219" s="245" t="inlineStr">
        <is>
          <t>485344/299441</t>
        </is>
      </c>
    </row>
    <row customHeight="1" ht="12" r="220" s="391">
      <c r="A220" s="244" t="n">
        <v>38383</v>
      </c>
      <c r="B220" s="245" t="n"/>
      <c r="C220" s="245" t="n">
        <v>58431</v>
      </c>
      <c r="D220" s="245" t="n">
        <v>203799</v>
      </c>
      <c r="E220" s="245" t="n">
        <v>142433</v>
      </c>
      <c r="F220" s="245" t="n">
        <v>86236</v>
      </c>
      <c r="G220" s="245" t="n">
        <v>96341</v>
      </c>
      <c r="H220" s="245" t="n"/>
      <c r="I220" s="245" t="n">
        <v>81307</v>
      </c>
      <c r="J220" s="245" t="n">
        <v>166489</v>
      </c>
      <c r="K220" s="245" t="n">
        <v>52302</v>
      </c>
      <c r="L220" s="245" t="inlineStr">
        <is>
          <t>457600/282748</t>
        </is>
      </c>
    </row>
    <row customHeight="1" ht="12" r="221" s="391">
      <c r="A221" s="244" t="n">
        <v>38352</v>
      </c>
      <c r="B221" s="245" t="n"/>
      <c r="C221" s="245" t="n">
        <v>57715</v>
      </c>
      <c r="D221" s="245" t="n">
        <v>200612</v>
      </c>
      <c r="E221" s="245" t="n">
        <v>139658</v>
      </c>
      <c r="F221" s="245" t="n">
        <v>84647</v>
      </c>
      <c r="G221" s="245" t="n">
        <v>94735</v>
      </c>
      <c r="H221" s="245" t="n"/>
      <c r="I221" s="245" t="n">
        <v>79606</v>
      </c>
      <c r="J221" s="245" t="n">
        <v>164788</v>
      </c>
      <c r="K221" s="245" t="n">
        <v>51663</v>
      </c>
      <c r="L221" s="245" t="inlineStr">
        <is>
          <t>425839/263588</t>
        </is>
      </c>
    </row>
    <row customHeight="1" ht="12" r="222" s="391">
      <c r="A222" s="244" t="n">
        <v>38321</v>
      </c>
      <c r="B222" s="245" t="n"/>
      <c r="C222" s="245" t="n">
        <v>56948</v>
      </c>
      <c r="D222" s="245" t="n">
        <v>197415</v>
      </c>
      <c r="E222" s="245" t="n">
        <v>137016</v>
      </c>
      <c r="F222" s="245" t="n">
        <v>83160</v>
      </c>
      <c r="G222" s="245" t="n">
        <v>93251</v>
      </c>
      <c r="H222" s="245" t="n"/>
      <c r="I222" s="245" t="n">
        <v>77590</v>
      </c>
      <c r="J222" s="245" t="n">
        <v>162962</v>
      </c>
      <c r="K222" s="245" t="n">
        <v>50915</v>
      </c>
      <c r="L222" s="245" t="inlineStr">
        <is>
          <t>393257/243459</t>
        </is>
      </c>
    </row>
    <row customHeight="1" ht="12" r="223" s="391">
      <c r="A223" s="244" t="n">
        <v>38291</v>
      </c>
      <c r="B223" s="245" t="n"/>
      <c r="C223" s="245" t="n">
        <v>56126</v>
      </c>
      <c r="D223" s="245" t="n">
        <v>194462</v>
      </c>
      <c r="E223" s="245" t="n">
        <v>134447</v>
      </c>
      <c r="F223" s="245" t="n">
        <v>81751</v>
      </c>
      <c r="G223" s="245" t="n">
        <v>91692</v>
      </c>
      <c r="H223" s="245" t="n"/>
      <c r="I223" s="245" t="n">
        <v>76664</v>
      </c>
      <c r="J223" s="245" t="n">
        <v>161372</v>
      </c>
      <c r="K223" s="245" t="n">
        <v>50262</v>
      </c>
      <c r="L223" s="245" t="inlineStr">
        <is>
          <t>364865/224054</t>
        </is>
      </c>
    </row>
    <row customHeight="1" ht="12" r="224" s="391">
      <c r="A224" s="244" t="n">
        <v>38260</v>
      </c>
      <c r="B224" s="245" t="n"/>
      <c r="C224" s="245" t="n">
        <v>55220</v>
      </c>
      <c r="D224" s="245" t="n">
        <v>191687</v>
      </c>
      <c r="E224" s="245" t="n">
        <v>132113</v>
      </c>
      <c r="F224" s="245" t="n">
        <v>80562</v>
      </c>
      <c r="G224" s="245" t="n">
        <v>90001</v>
      </c>
      <c r="H224" s="245" t="n"/>
      <c r="I224" s="245" t="n">
        <v>75533</v>
      </c>
      <c r="J224" s="245" t="n">
        <v>159485</v>
      </c>
      <c r="K224" s="245" t="n">
        <v>49583</v>
      </c>
      <c r="L224" s="245" t="inlineStr">
        <is>
          <t>335878/203005</t>
        </is>
      </c>
    </row>
    <row customHeight="1" ht="12" r="225" s="391">
      <c r="A225" s="244" t="n">
        <v>38230</v>
      </c>
      <c r="B225" s="245" t="n"/>
      <c r="C225" s="245" t="n">
        <v>54294</v>
      </c>
      <c r="D225" s="245" t="n">
        <v>189222</v>
      </c>
      <c r="E225" s="245" t="n">
        <v>129972</v>
      </c>
      <c r="F225" s="245" t="n">
        <v>79421</v>
      </c>
      <c r="G225" s="245" t="n">
        <v>88267</v>
      </c>
      <c r="H225" s="245" t="n"/>
      <c r="I225" s="245" t="n">
        <v>74001</v>
      </c>
      <c r="J225" s="245" t="n">
        <v>157197</v>
      </c>
      <c r="K225" s="245" t="n">
        <v>48987</v>
      </c>
      <c r="L225" s="245" t="inlineStr">
        <is>
          <t>306171/183451</t>
        </is>
      </c>
    </row>
    <row customHeight="1" ht="12" r="226" s="391">
      <c r="A226" s="244" t="n">
        <v>38199</v>
      </c>
      <c r="B226" s="245" t="n"/>
      <c r="C226" s="245" t="n">
        <v>53382</v>
      </c>
      <c r="D226" s="245" t="n">
        <v>186165</v>
      </c>
      <c r="E226" s="245" t="n">
        <v>126571</v>
      </c>
      <c r="F226" s="245" t="n">
        <v>77393</v>
      </c>
      <c r="G226" s="245" t="n">
        <v>85936</v>
      </c>
      <c r="H226" s="245" t="n"/>
      <c r="I226" s="245" t="n">
        <v>72745</v>
      </c>
      <c r="J226" s="245" t="n">
        <v>153223</v>
      </c>
      <c r="K226" s="245" t="n">
        <v>48330</v>
      </c>
      <c r="L226" s="245" t="inlineStr">
        <is>
          <t>265991/159748</t>
        </is>
      </c>
    </row>
    <row customHeight="1" ht="12" r="227" s="391">
      <c r="A227" s="244" t="n">
        <v>38168</v>
      </c>
      <c r="B227" s="245" t="n"/>
      <c r="C227" s="245" t="n">
        <v>52434</v>
      </c>
      <c r="D227" s="245" t="n">
        <v>182783</v>
      </c>
      <c r="E227" s="245" t="n">
        <v>123710</v>
      </c>
      <c r="F227" s="245" t="n">
        <v>75894</v>
      </c>
      <c r="G227" s="245" t="n">
        <v>83715</v>
      </c>
      <c r="H227" s="245" t="n"/>
      <c r="I227" s="245" t="n">
        <v>71240</v>
      </c>
      <c r="J227" s="245" t="n">
        <v>149482</v>
      </c>
      <c r="K227" s="245" t="n">
        <v>47605</v>
      </c>
      <c r="L227" s="245" t="inlineStr">
        <is>
          <t>228046/138085</t>
        </is>
      </c>
    </row>
    <row customHeight="1" ht="12" r="228" s="391">
      <c r="A228" s="244" t="n">
        <v>38138</v>
      </c>
      <c r="B228" s="245" t="n"/>
      <c r="C228" s="245" t="n">
        <v>51577</v>
      </c>
      <c r="D228" s="245" t="n">
        <v>180122</v>
      </c>
      <c r="E228" s="245" t="n">
        <v>121063</v>
      </c>
      <c r="F228" s="245" t="n">
        <v>74334</v>
      </c>
      <c r="G228" s="245" t="n">
        <v>81768</v>
      </c>
      <c r="H228" s="245" t="n"/>
      <c r="I228" s="245" t="n">
        <v>69693</v>
      </c>
      <c r="J228" s="245" t="n">
        <v>147389</v>
      </c>
      <c r="K228" s="245" t="n">
        <v>46911</v>
      </c>
      <c r="L228" s="245" t="inlineStr">
        <is>
          <t>196371/119199</t>
        </is>
      </c>
    </row>
    <row customHeight="1" ht="12" r="229" s="391">
      <c r="A229" s="244" t="n">
        <v>38107</v>
      </c>
      <c r="B229" s="245" t="n"/>
      <c r="C229" s="245" t="n">
        <v>50896</v>
      </c>
      <c r="D229" s="245" t="n">
        <v>177673</v>
      </c>
      <c r="E229" s="245" t="n">
        <v>118967</v>
      </c>
      <c r="F229" s="245" t="n">
        <v>73276</v>
      </c>
      <c r="G229" s="245" t="n">
        <v>80291</v>
      </c>
      <c r="H229" s="245" t="n"/>
      <c r="I229" s="245" t="n">
        <v>67711</v>
      </c>
      <c r="J229" s="245" t="n">
        <v>145895</v>
      </c>
      <c r="K229" s="245" t="n">
        <v>46182</v>
      </c>
      <c r="L229" s="245" t="inlineStr">
        <is>
          <t>169088/101798</t>
        </is>
      </c>
    </row>
    <row customHeight="1" ht="12" r="230" s="391">
      <c r="A230" s="244" t="n">
        <v>38077</v>
      </c>
      <c r="B230" s="245" t="n"/>
      <c r="C230" s="245" t="n">
        <v>50260</v>
      </c>
      <c r="D230" s="245" t="n">
        <v>175293</v>
      </c>
      <c r="E230" s="245" t="n">
        <v>116958</v>
      </c>
      <c r="F230" s="245" t="n">
        <v>72274</v>
      </c>
      <c r="G230" s="245" t="n">
        <v>78872</v>
      </c>
      <c r="H230" s="245" t="n"/>
      <c r="I230" s="245" t="n">
        <v>65620</v>
      </c>
      <c r="J230" s="245" t="n">
        <v>144509</v>
      </c>
      <c r="K230" s="245" t="n">
        <v>45549</v>
      </c>
      <c r="L230" s="245" t="inlineStr">
        <is>
          <t>140997/84993</t>
        </is>
      </c>
    </row>
    <row customHeight="1" ht="12" r="231" s="391">
      <c r="A231" s="244" t="n">
        <v>38046</v>
      </c>
      <c r="B231" s="245" t="n"/>
      <c r="C231" s="245" t="n">
        <v>49587</v>
      </c>
      <c r="D231" s="245" t="n">
        <v>172567</v>
      </c>
      <c r="E231" s="245" t="n">
        <v>114645</v>
      </c>
      <c r="F231" s="245" t="n">
        <v>71054</v>
      </c>
      <c r="G231" s="245" t="n">
        <v>76917</v>
      </c>
      <c r="H231" s="245" t="n"/>
      <c r="I231" s="245" t="n">
        <v>64477</v>
      </c>
      <c r="J231" s="245" t="n">
        <v>143018</v>
      </c>
      <c r="K231" s="245" t="n">
        <v>44889</v>
      </c>
      <c r="L231" s="245" t="inlineStr">
        <is>
          <t>109368/67340</t>
        </is>
      </c>
    </row>
    <row customHeight="1" ht="12" r="232" s="391">
      <c r="A232" s="244" t="n">
        <v>38017</v>
      </c>
      <c r="B232" s="245" t="n"/>
      <c r="C232" s="245" t="n">
        <v>48971</v>
      </c>
      <c r="D232" s="245" t="n">
        <v>169814</v>
      </c>
      <c r="E232" s="245" t="n">
        <v>112243</v>
      </c>
      <c r="F232" s="245" t="n">
        <v>69739</v>
      </c>
      <c r="G232" s="245" t="n">
        <v>75024</v>
      </c>
      <c r="H232" s="245" t="n"/>
      <c r="I232" s="245" t="n">
        <v>61617</v>
      </c>
      <c r="J232" s="245" t="n">
        <v>141445</v>
      </c>
      <c r="K232" s="245" t="n">
        <v>44286</v>
      </c>
      <c r="L232" s="245" t="inlineStr">
        <is>
          <t>79189/49936</t>
        </is>
      </c>
    </row>
    <row customHeight="1" ht="12" r="233" s="391">
      <c r="A233" s="244" t="n">
        <v>37986</v>
      </c>
      <c r="B233" s="245" t="n"/>
      <c r="C233" s="245" t="n">
        <v>48296</v>
      </c>
      <c r="D233" s="245" t="n">
        <v>166859</v>
      </c>
      <c r="E233" s="245" t="n">
        <v>109593</v>
      </c>
      <c r="F233" s="245" t="n">
        <v>68332</v>
      </c>
      <c r="G233" s="245" t="n">
        <v>73297</v>
      </c>
      <c r="H233" s="245" t="n"/>
      <c r="I233" s="245" t="n">
        <v>60085</v>
      </c>
      <c r="J233" s="245" t="n">
        <v>139547</v>
      </c>
      <c r="K233" s="245" t="n">
        <v>43641</v>
      </c>
      <c r="L233" s="245" t="inlineStr">
        <is>
          <t>49420/30869</t>
        </is>
      </c>
    </row>
    <row customHeight="1" ht="12" r="234" s="391">
      <c r="A234" s="244" t="n">
        <v>37955</v>
      </c>
      <c r="B234" s="245" t="n"/>
      <c r="C234" s="245" t="n">
        <v>47622</v>
      </c>
      <c r="D234" s="245" t="n">
        <v>163962</v>
      </c>
      <c r="E234" s="245" t="n">
        <v>106931</v>
      </c>
      <c r="F234" s="245" t="n">
        <v>66902</v>
      </c>
      <c r="G234" s="245" t="n">
        <v>71372</v>
      </c>
      <c r="H234" s="245" t="n"/>
      <c r="I234" s="245" t="n">
        <v>58209</v>
      </c>
      <c r="J234" s="245" t="n">
        <v>137893</v>
      </c>
      <c r="K234" s="245" t="n">
        <v>43120</v>
      </c>
      <c r="L234" s="245" t="inlineStr">
        <is>
          <t>16829/11247</t>
        </is>
      </c>
    </row>
    <row customHeight="1" ht="12" r="235" s="391">
      <c r="A235" s="244" t="n">
        <v>37925</v>
      </c>
      <c r="B235" s="245" t="n">
        <v>6293</v>
      </c>
      <c r="C235" s="245" t="n">
        <v>46772</v>
      </c>
      <c r="D235" s="245" t="n">
        <v>161020</v>
      </c>
      <c r="E235" s="245" t="n">
        <v>104335</v>
      </c>
      <c r="F235" s="245" t="n">
        <v>65519</v>
      </c>
      <c r="G235" s="245" t="n">
        <v>69779</v>
      </c>
      <c r="H235" s="245" t="n"/>
      <c r="I235" s="245" t="n">
        <v>57255</v>
      </c>
      <c r="J235" s="245" t="n">
        <v>136218</v>
      </c>
      <c r="K235" s="245" t="n">
        <v>42661</v>
      </c>
      <c r="L235" s="245" t="n"/>
    </row>
    <row customHeight="1" ht="12" r="236" s="391">
      <c r="A236" s="244" t="n">
        <v>37894</v>
      </c>
      <c r="B236" s="245" t="n">
        <v>6061</v>
      </c>
      <c r="C236" s="245" t="n">
        <v>46029</v>
      </c>
      <c r="D236" s="245" t="n">
        <v>158398</v>
      </c>
      <c r="E236" s="245" t="n">
        <v>102119</v>
      </c>
      <c r="F236" s="245" t="n">
        <v>64373</v>
      </c>
      <c r="G236" s="245" t="n">
        <v>68706</v>
      </c>
      <c r="H236" s="245" t="n"/>
      <c r="I236" s="245" t="n">
        <v>56992</v>
      </c>
      <c r="J236" s="245" t="n">
        <v>134837</v>
      </c>
      <c r="K236" s="245" t="n">
        <v>42149</v>
      </c>
      <c r="L236" s="245" t="n"/>
    </row>
    <row customHeight="1" ht="12" r="237" s="391">
      <c r="A237" s="244" t="n">
        <v>37864</v>
      </c>
      <c r="B237" s="245" t="n">
        <v>5839</v>
      </c>
      <c r="C237" s="245" t="n">
        <v>45326</v>
      </c>
      <c r="D237" s="245" t="n">
        <v>155750</v>
      </c>
      <c r="E237" s="245" t="n">
        <v>99758</v>
      </c>
      <c r="F237" s="245" t="n">
        <v>63151</v>
      </c>
      <c r="G237" s="245" t="n">
        <v>67560</v>
      </c>
      <c r="H237" s="245" t="n"/>
      <c r="I237" s="245" t="n">
        <v>56742</v>
      </c>
      <c r="J237" s="245" t="n">
        <v>133971</v>
      </c>
      <c r="K237" s="245" t="n">
        <v>41581</v>
      </c>
      <c r="L237" s="245" t="n"/>
    </row>
    <row customHeight="1" ht="12" r="238" s="391">
      <c r="A238" s="244" t="n">
        <v>37833</v>
      </c>
      <c r="B238" s="245" t="n">
        <v>5598</v>
      </c>
      <c r="C238" s="245" t="n">
        <v>44582</v>
      </c>
      <c r="D238" s="245" t="n">
        <v>153175</v>
      </c>
      <c r="E238" s="245" t="n">
        <v>97039</v>
      </c>
      <c r="F238" s="245" t="n">
        <v>61644</v>
      </c>
      <c r="G238" s="245" t="n">
        <v>66457</v>
      </c>
      <c r="H238" s="245" t="n"/>
      <c r="I238" s="245" t="n">
        <v>56216</v>
      </c>
      <c r="J238" s="245" t="n">
        <v>132895</v>
      </c>
      <c r="K238" s="245" t="n">
        <v>41042</v>
      </c>
      <c r="L238" s="245" t="n"/>
    </row>
    <row customHeight="1" ht="12" r="239" s="391">
      <c r="A239" s="244" t="n">
        <v>37802</v>
      </c>
      <c r="B239" s="245" t="n">
        <v>5270</v>
      </c>
      <c r="C239" s="245" t="n">
        <v>43722</v>
      </c>
      <c r="D239" s="245" t="n">
        <v>149636</v>
      </c>
      <c r="E239" s="245" t="n">
        <v>93930</v>
      </c>
      <c r="F239" s="245" t="n">
        <v>59999</v>
      </c>
      <c r="G239" s="245" t="n">
        <v>64928</v>
      </c>
      <c r="H239" s="245" t="n"/>
      <c r="I239" s="245" t="n">
        <v>55496</v>
      </c>
      <c r="J239" s="245" t="n">
        <v>130653</v>
      </c>
      <c r="K239" s="245" t="n">
        <v>40386</v>
      </c>
      <c r="L239" s="245" t="n"/>
    </row>
    <row customHeight="1" ht="12" r="240" s="391">
      <c r="A240" s="244" t="n">
        <v>37772</v>
      </c>
      <c r="B240" s="245" t="n">
        <v>5037</v>
      </c>
      <c r="C240" s="245" t="n">
        <v>43064</v>
      </c>
      <c r="D240" s="245" t="n">
        <v>147494</v>
      </c>
      <c r="E240" s="245" t="n">
        <v>91701</v>
      </c>
      <c r="F240" s="245" t="n">
        <v>58737</v>
      </c>
      <c r="G240" s="245" t="n">
        <v>63952</v>
      </c>
      <c r="H240" s="245" t="n"/>
      <c r="I240" s="245" t="n">
        <v>55015</v>
      </c>
      <c r="J240" s="245" t="n">
        <v>128821</v>
      </c>
      <c r="K240" s="245" t="n">
        <v>39821</v>
      </c>
      <c r="L240" s="245" t="n"/>
    </row>
    <row customHeight="1" ht="12" r="241" s="391">
      <c r="A241" s="244" t="n">
        <v>37741</v>
      </c>
      <c r="B241" s="245" t="n">
        <v>4777</v>
      </c>
      <c r="C241" s="245" t="n">
        <v>42373</v>
      </c>
      <c r="D241" s="245" t="n">
        <v>144835</v>
      </c>
      <c r="E241" s="245" t="n">
        <v>89605</v>
      </c>
      <c r="F241" s="245" t="n">
        <v>57787</v>
      </c>
      <c r="G241" s="245" t="n">
        <v>62805</v>
      </c>
      <c r="H241" s="245" t="n"/>
      <c r="I241" s="245" t="n">
        <v>54500</v>
      </c>
      <c r="J241" s="245" t="n">
        <v>126734</v>
      </c>
      <c r="K241" s="245" t="n">
        <v>39164</v>
      </c>
      <c r="L241" s="245" t="n"/>
    </row>
    <row customHeight="1" ht="12" r="242" s="391">
      <c r="A242" s="244" t="n">
        <v>37711</v>
      </c>
      <c r="B242" s="245" t="n">
        <v>4513</v>
      </c>
      <c r="C242" s="245" t="n">
        <v>41684</v>
      </c>
      <c r="D242" s="245" t="n">
        <v>142225</v>
      </c>
      <c r="E242" s="245" t="n">
        <v>87682</v>
      </c>
      <c r="F242" s="245" t="n">
        <v>56960</v>
      </c>
      <c r="G242" s="245" t="n">
        <v>61491</v>
      </c>
      <c r="H242" s="245" t="n"/>
      <c r="I242" s="245" t="n">
        <v>53622</v>
      </c>
      <c r="J242" s="245" t="n">
        <v>124919</v>
      </c>
      <c r="K242" s="245" t="n">
        <v>38561</v>
      </c>
      <c r="L242" s="245" t="n"/>
    </row>
    <row customHeight="1" ht="12" r="243" s="391">
      <c r="A243" s="244" t="n">
        <v>37680</v>
      </c>
      <c r="B243" s="245" t="n">
        <v>4229</v>
      </c>
      <c r="C243" s="245" t="n">
        <v>40829</v>
      </c>
      <c r="D243" s="245" t="n">
        <v>139577</v>
      </c>
      <c r="E243" s="245" t="n">
        <v>85380</v>
      </c>
      <c r="F243" s="245" t="n">
        <v>55753</v>
      </c>
      <c r="G243" s="245" t="n">
        <v>60362</v>
      </c>
      <c r="H243" s="245" t="n"/>
      <c r="I243" s="245" t="n">
        <v>52457</v>
      </c>
      <c r="J243" s="245" t="n">
        <v>123017</v>
      </c>
      <c r="K243" s="245" t="n">
        <v>37940</v>
      </c>
      <c r="L243" s="245" t="n"/>
    </row>
    <row customHeight="1" ht="12" r="244" s="391">
      <c r="A244" s="244" t="n">
        <v>37652</v>
      </c>
      <c r="B244" s="245" t="n">
        <v>3959</v>
      </c>
      <c r="C244" s="245" t="n">
        <v>40098</v>
      </c>
      <c r="D244" s="245" t="n">
        <v>136793</v>
      </c>
      <c r="E244" s="245" t="n">
        <v>83080</v>
      </c>
      <c r="F244" s="245" t="n">
        <v>54533</v>
      </c>
      <c r="G244" s="245" t="n">
        <v>59344</v>
      </c>
      <c r="H244" s="245" t="n"/>
      <c r="I244" s="245" t="n">
        <v>51476</v>
      </c>
      <c r="J244" s="245" t="n">
        <v>121213</v>
      </c>
      <c r="K244" s="245" t="n">
        <v>37362</v>
      </c>
      <c r="L244" s="245" t="n"/>
    </row>
    <row customHeight="1" ht="12" r="245" s="391">
      <c r="A245" s="244" t="n">
        <v>37621</v>
      </c>
      <c r="B245" s="245" t="n">
        <v>3667</v>
      </c>
      <c r="C245" s="245" t="n">
        <v>39245</v>
      </c>
      <c r="D245" s="245" t="n">
        <v>134126</v>
      </c>
      <c r="E245" s="245" t="n">
        <v>80791</v>
      </c>
      <c r="F245" s="245" t="n">
        <v>53325</v>
      </c>
      <c r="G245" s="245" t="n">
        <v>58262</v>
      </c>
      <c r="H245" s="245" t="n"/>
      <c r="I245" s="245" t="n">
        <v>50204</v>
      </c>
      <c r="J245" s="245" t="n">
        <v>119325</v>
      </c>
      <c r="K245" s="245" t="n">
        <v>36780</v>
      </c>
      <c r="L245" s="245" t="n"/>
    </row>
    <row customHeight="1" ht="12" r="246" s="391">
      <c r="A246" s="244" t="n">
        <v>37590</v>
      </c>
      <c r="B246" s="245" t="n">
        <v>3358</v>
      </c>
      <c r="C246" s="245" t="n">
        <v>38272</v>
      </c>
      <c r="D246" s="245" t="n">
        <v>131064</v>
      </c>
      <c r="E246" s="245" t="n">
        <v>78335</v>
      </c>
      <c r="F246" s="245" t="n">
        <v>52043</v>
      </c>
      <c r="G246" s="245" t="n">
        <v>57070</v>
      </c>
      <c r="H246" s="245" t="n"/>
      <c r="I246" s="245" t="n">
        <v>49147</v>
      </c>
      <c r="J246" s="245" t="n">
        <v>117262</v>
      </c>
      <c r="K246" s="245" t="n">
        <v>36111</v>
      </c>
      <c r="L246" s="245" t="n"/>
    </row>
    <row customHeight="1" ht="12" r="247" s="391">
      <c r="A247" s="244" t="n">
        <v>37560</v>
      </c>
      <c r="B247" s="245" t="n">
        <v>3038</v>
      </c>
      <c r="C247" s="245" t="n">
        <v>37334</v>
      </c>
      <c r="D247" s="245" t="n">
        <v>127686</v>
      </c>
      <c r="E247" s="245" t="n">
        <v>75585</v>
      </c>
      <c r="F247" s="245" t="n">
        <v>50531</v>
      </c>
      <c r="G247" s="245" t="n">
        <v>55905</v>
      </c>
      <c r="H247" s="245" t="n"/>
      <c r="I247" s="245" t="n">
        <v>48066</v>
      </c>
      <c r="J247" s="245" t="n">
        <v>115246</v>
      </c>
      <c r="K247" s="245" t="n">
        <v>35443</v>
      </c>
      <c r="L247" s="245" t="n"/>
    </row>
    <row customHeight="1" ht="12" r="248" s="391">
      <c r="A248" s="244" t="n">
        <v>37529</v>
      </c>
      <c r="B248" s="245" t="n">
        <v>2748</v>
      </c>
      <c r="C248" s="245" t="n">
        <v>36434</v>
      </c>
      <c r="D248" s="245" t="n">
        <v>124592</v>
      </c>
      <c r="E248" s="245" t="n">
        <v>73282</v>
      </c>
      <c r="F248" s="245" t="n">
        <v>49339</v>
      </c>
      <c r="G248" s="245" t="n">
        <v>54632</v>
      </c>
      <c r="H248" s="245" t="n"/>
      <c r="I248" s="245" t="n">
        <v>47371</v>
      </c>
      <c r="J248" s="245" t="n">
        <v>113147</v>
      </c>
      <c r="K248" s="245" t="n">
        <v>34843</v>
      </c>
      <c r="L248" s="245" t="n"/>
    </row>
    <row customHeight="1" ht="12" r="249" s="391">
      <c r="A249" s="244" t="n">
        <v>37499</v>
      </c>
      <c r="B249" s="245" t="n">
        <v>2474</v>
      </c>
      <c r="C249" s="245" t="n">
        <v>35754</v>
      </c>
      <c r="D249" s="245" t="n">
        <v>121809</v>
      </c>
      <c r="E249" s="245" t="n">
        <v>71472</v>
      </c>
      <c r="F249" s="245" t="n">
        <v>48248</v>
      </c>
      <c r="G249" s="245" t="n">
        <v>53359</v>
      </c>
      <c r="H249" s="245" t="n"/>
      <c r="I249" s="245" t="n">
        <v>46577</v>
      </c>
      <c r="J249" s="245" t="n">
        <v>110743</v>
      </c>
      <c r="K249" s="245" t="n">
        <v>34224</v>
      </c>
      <c r="L249" s="245" t="n"/>
    </row>
    <row customHeight="1" ht="12" r="250" s="391">
      <c r="A250" s="244" t="n">
        <v>37468</v>
      </c>
      <c r="B250" s="245" t="n">
        <v>2178</v>
      </c>
      <c r="C250" s="245" t="n">
        <v>35072</v>
      </c>
      <c r="D250" s="245" t="n">
        <v>118528</v>
      </c>
      <c r="E250" s="245" t="n">
        <v>69939</v>
      </c>
      <c r="F250" s="245" t="n">
        <v>46873</v>
      </c>
      <c r="G250" s="245" t="n">
        <v>51843</v>
      </c>
      <c r="H250" s="245" t="n"/>
      <c r="I250" s="245" t="n">
        <v>45694</v>
      </c>
      <c r="J250" s="245" t="n">
        <v>107772</v>
      </c>
      <c r="K250" s="245" t="n">
        <v>33583</v>
      </c>
      <c r="L250" s="245" t="n"/>
    </row>
    <row customHeight="1" ht="12" r="251" s="391">
      <c r="A251" s="244" t="n">
        <v>37437</v>
      </c>
      <c r="B251" s="245" t="n">
        <v>1898</v>
      </c>
      <c r="C251" s="245" t="n">
        <v>34422</v>
      </c>
      <c r="D251" s="245" t="n">
        <v>115530</v>
      </c>
      <c r="E251" s="245" t="n">
        <v>68381</v>
      </c>
      <c r="F251" s="245" t="n">
        <v>45444</v>
      </c>
      <c r="G251" s="245" t="n">
        <v>50517</v>
      </c>
      <c r="H251" s="245" t="n"/>
      <c r="I251" s="245" t="n">
        <v>44812</v>
      </c>
      <c r="J251" s="245" t="n">
        <v>105097</v>
      </c>
      <c r="K251" s="245" t="n">
        <v>32992</v>
      </c>
      <c r="L251" s="245" t="n"/>
    </row>
    <row customHeight="1" ht="12" r="252" s="391">
      <c r="A252" s="244" t="n">
        <v>37407</v>
      </c>
      <c r="B252" s="245" t="n">
        <v>1658</v>
      </c>
      <c r="C252" s="245" t="n">
        <v>33824</v>
      </c>
      <c r="D252" s="245" t="n">
        <v>112844</v>
      </c>
      <c r="E252" s="245" t="n">
        <v>67134</v>
      </c>
      <c r="F252" s="245" t="n">
        <v>44355</v>
      </c>
      <c r="G252" s="245" t="n">
        <v>49323</v>
      </c>
      <c r="H252" s="245" t="n"/>
      <c r="I252" s="245" t="n">
        <v>44054</v>
      </c>
      <c r="J252" s="245" t="n">
        <v>102950</v>
      </c>
      <c r="K252" s="245" t="n">
        <v>32400</v>
      </c>
      <c r="L252" s="245" t="n"/>
    </row>
    <row customHeight="1" ht="12" r="253" s="391">
      <c r="A253" s="244" t="n">
        <v>37376</v>
      </c>
      <c r="B253" s="245" t="n">
        <v>1395</v>
      </c>
      <c r="C253" s="245" t="n">
        <v>33239</v>
      </c>
      <c r="D253" s="245" t="n">
        <v>110134</v>
      </c>
      <c r="E253" s="245" t="n">
        <v>65959</v>
      </c>
      <c r="F253" s="245" t="n">
        <v>43385</v>
      </c>
      <c r="G253" s="245" t="n">
        <v>48040</v>
      </c>
      <c r="H253" s="245" t="n"/>
      <c r="I253" s="245" t="n">
        <v>42658</v>
      </c>
      <c r="J253" s="245" t="n">
        <v>100791</v>
      </c>
      <c r="K253" s="245" t="n">
        <v>31753</v>
      </c>
      <c r="L253" s="245" t="n"/>
    </row>
    <row customHeight="1" ht="12" r="254" s="391">
      <c r="A254" s="244" t="n">
        <v>37346</v>
      </c>
      <c r="B254" s="245" t="n">
        <v>1130</v>
      </c>
      <c r="C254" s="245" t="n">
        <v>32752</v>
      </c>
      <c r="D254" s="245" t="n">
        <v>107594</v>
      </c>
      <c r="E254" s="245" t="n">
        <v>64601</v>
      </c>
      <c r="F254" s="245" t="n">
        <v>42491</v>
      </c>
      <c r="G254" s="245" t="n">
        <v>46856</v>
      </c>
      <c r="H254" s="245" t="n"/>
      <c r="I254" s="245" t="n">
        <v>41426</v>
      </c>
      <c r="J254" s="245" t="n">
        <v>98388</v>
      </c>
      <c r="K254" s="245" t="n">
        <v>31150</v>
      </c>
      <c r="L254" s="245" t="n"/>
    </row>
    <row customHeight="1" ht="12" r="255" s="391">
      <c r="A255" s="244" t="n">
        <v>37315</v>
      </c>
      <c r="B255" s="245" t="n">
        <v>836</v>
      </c>
      <c r="C255" s="245" t="n">
        <v>32028</v>
      </c>
      <c r="D255" s="245" t="n">
        <v>104974</v>
      </c>
      <c r="E255" s="245" t="n">
        <v>62710</v>
      </c>
      <c r="F255" s="245" t="n">
        <v>41291</v>
      </c>
      <c r="G255" s="245" t="n">
        <v>45726</v>
      </c>
      <c r="H255" s="245" t="n"/>
      <c r="I255" s="245" t="n">
        <v>39489</v>
      </c>
      <c r="J255" s="245" t="n">
        <v>96221</v>
      </c>
      <c r="K255" s="245" t="n">
        <v>30524</v>
      </c>
      <c r="L255" s="245" t="n"/>
    </row>
    <row customHeight="1" ht="12" r="256" s="391">
      <c r="A256" s="244" t="n">
        <v>37287</v>
      </c>
      <c r="B256" s="245" t="n">
        <v>550</v>
      </c>
      <c r="C256" s="245" t="n">
        <v>31348</v>
      </c>
      <c r="D256" s="245" t="n">
        <v>102243</v>
      </c>
      <c r="E256" s="245" t="n">
        <v>60851</v>
      </c>
      <c r="F256" s="245" t="n">
        <v>39998</v>
      </c>
      <c r="G256" s="245" t="n">
        <v>44664</v>
      </c>
      <c r="H256" s="245" t="n"/>
      <c r="I256" s="245" t="n">
        <v>37953</v>
      </c>
      <c r="J256" s="245" t="n">
        <v>93945</v>
      </c>
      <c r="K256" s="245" t="n">
        <v>29930</v>
      </c>
      <c r="L256" s="245" t="n"/>
    </row>
    <row customHeight="1" ht="12" r="257" s="391">
      <c r="A257" s="244" t="n">
        <v>37256</v>
      </c>
      <c r="B257" s="245" t="n">
        <v>247</v>
      </c>
      <c r="C257" s="245" t="n">
        <v>30476</v>
      </c>
      <c r="D257" s="245" t="n">
        <v>99634</v>
      </c>
      <c r="E257" s="245" t="n">
        <v>58606</v>
      </c>
      <c r="F257" s="245" t="n">
        <v>38380</v>
      </c>
      <c r="G257" s="245" t="n">
        <v>43519</v>
      </c>
      <c r="H257" s="245" t="n"/>
      <c r="I257" s="245" t="n">
        <v>36341</v>
      </c>
      <c r="J257" s="245" t="n">
        <v>91904</v>
      </c>
      <c r="K257" s="245" t="n">
        <v>29306</v>
      </c>
      <c r="L257" s="245" t="n"/>
    </row>
    <row customHeight="1" ht="12" r="258" s="391">
      <c r="A258" s="244" t="n">
        <v>37225</v>
      </c>
      <c r="B258" s="245" t="n">
        <v>9921</v>
      </c>
      <c r="C258" s="245" t="n">
        <v>29312</v>
      </c>
      <c r="D258" s="245" t="n">
        <v>96553</v>
      </c>
      <c r="E258" s="245" t="n">
        <v>56091</v>
      </c>
      <c r="F258" s="245" t="n">
        <v>36456</v>
      </c>
      <c r="G258" s="245" t="n">
        <v>42443</v>
      </c>
      <c r="H258" s="245" t="n"/>
      <c r="I258" s="245" t="n">
        <v>34921</v>
      </c>
      <c r="J258" s="245" t="n">
        <v>89685</v>
      </c>
      <c r="K258" s="245" t="n">
        <v>28697</v>
      </c>
      <c r="L258" s="245" t="n"/>
    </row>
    <row customHeight="1" ht="12" r="259" s="391">
      <c r="A259" s="244" t="n">
        <v>37195</v>
      </c>
      <c r="B259" s="245" t="n">
        <v>9612</v>
      </c>
      <c r="C259" s="245" t="n">
        <v>28502</v>
      </c>
      <c r="D259" s="245" t="n">
        <v>93340</v>
      </c>
      <c r="E259" s="245" t="n">
        <v>53957</v>
      </c>
      <c r="F259" s="245" t="n">
        <v>34923</v>
      </c>
      <c r="G259" s="245" t="n">
        <v>41193</v>
      </c>
      <c r="H259" s="245" t="n"/>
      <c r="I259" s="245" t="n">
        <v>33702</v>
      </c>
      <c r="J259" s="245" t="n">
        <v>87315</v>
      </c>
      <c r="K259" s="245" t="n">
        <v>28067</v>
      </c>
      <c r="L259" s="245" t="n"/>
    </row>
    <row customHeight="1" ht="12" r="260" s="391">
      <c r="A260" s="244" t="n">
        <v>37164</v>
      </c>
      <c r="B260" s="245" t="n">
        <v>9340</v>
      </c>
      <c r="C260" s="245" t="n">
        <v>27800</v>
      </c>
      <c r="D260" s="245" t="n">
        <v>90258</v>
      </c>
      <c r="E260" s="245" t="n">
        <v>52390</v>
      </c>
      <c r="F260" s="245" t="n">
        <v>33748</v>
      </c>
      <c r="G260" s="245" t="n">
        <v>40105</v>
      </c>
      <c r="H260" s="245" t="n"/>
      <c r="I260" s="245" t="n">
        <v>33244</v>
      </c>
      <c r="J260" s="245" t="n">
        <v>84710</v>
      </c>
      <c r="K260" s="245" t="n">
        <v>27345</v>
      </c>
      <c r="L260" s="245" t="n"/>
    </row>
    <row customHeight="1" ht="12" r="261" s="391">
      <c r="A261" s="244" t="n">
        <v>37134</v>
      </c>
      <c r="B261" s="245" t="n">
        <v>9085</v>
      </c>
      <c r="C261" s="245" t="n">
        <v>27195</v>
      </c>
      <c r="D261" s="245" t="n">
        <v>87512</v>
      </c>
      <c r="E261" s="245" t="n">
        <v>50609</v>
      </c>
      <c r="F261" s="245" t="n">
        <v>32500</v>
      </c>
      <c r="G261" s="245" t="n">
        <v>38904</v>
      </c>
      <c r="H261" s="245" t="n"/>
      <c r="I261" s="245" t="n">
        <v>32529</v>
      </c>
      <c r="J261" s="245" t="n">
        <v>82702</v>
      </c>
      <c r="K261" s="245" t="n">
        <v>26715</v>
      </c>
      <c r="L261" s="245" t="n"/>
    </row>
    <row customHeight="1" ht="12" r="262" s="391">
      <c r="A262" s="244" t="n">
        <v>37103</v>
      </c>
      <c r="B262" s="245" t="n">
        <v>8757</v>
      </c>
      <c r="C262" s="245" t="n">
        <v>26545</v>
      </c>
      <c r="D262" s="245" t="n">
        <v>84003</v>
      </c>
      <c r="E262" s="245" t="n">
        <v>48342</v>
      </c>
      <c r="F262" s="245" t="n">
        <v>31228</v>
      </c>
      <c r="G262" s="245" t="n">
        <v>37300</v>
      </c>
      <c r="H262" s="245" t="n"/>
      <c r="I262" s="245" t="n">
        <v>31534</v>
      </c>
      <c r="J262" s="245" t="n">
        <v>79893</v>
      </c>
      <c r="K262" s="245" t="n">
        <v>25990</v>
      </c>
      <c r="L262" s="245" t="n"/>
    </row>
    <row customHeight="1" ht="12" r="263" s="391">
      <c r="A263" s="244" t="n">
        <v>37072</v>
      </c>
      <c r="B263" s="245" t="n">
        <v>8446</v>
      </c>
      <c r="C263" s="245" t="n">
        <v>25862</v>
      </c>
      <c r="D263" s="245" t="n">
        <v>80804</v>
      </c>
      <c r="E263" s="245" t="n">
        <v>46210</v>
      </c>
      <c r="F263" s="245" t="n">
        <v>29902</v>
      </c>
      <c r="G263" s="245" t="n">
        <v>35801</v>
      </c>
      <c r="H263" s="245" t="n"/>
      <c r="I263" s="245" t="n">
        <v>30510</v>
      </c>
      <c r="J263" s="245" t="n">
        <v>77184</v>
      </c>
      <c r="K263" s="245" t="n">
        <v>25284</v>
      </c>
      <c r="L263" s="245" t="n"/>
    </row>
    <row customHeight="1" ht="12" r="264" s="391">
      <c r="A264" s="244" t="n">
        <v>37042</v>
      </c>
      <c r="B264" s="245" t="n">
        <v>8158</v>
      </c>
      <c r="C264" s="245" t="n">
        <v>25234</v>
      </c>
      <c r="D264" s="245" t="n">
        <v>77803</v>
      </c>
      <c r="E264" s="245" t="n">
        <v>44508</v>
      </c>
      <c r="F264" s="245" t="n">
        <v>28750</v>
      </c>
      <c r="G264" s="245" t="n">
        <v>34511</v>
      </c>
      <c r="H264" s="245" t="n"/>
      <c r="I264" s="245" t="n">
        <v>29556</v>
      </c>
      <c r="J264" s="245" t="n">
        <v>74470</v>
      </c>
      <c r="K264" s="245" t="n">
        <v>24570</v>
      </c>
      <c r="L264" s="245" t="n"/>
      <c r="M264" s="115" t="n"/>
      <c r="N264" s="115" t="n"/>
      <c r="O264" s="115" t="n"/>
    </row>
    <row customHeight="1" ht="12" r="265" s="391">
      <c r="A265" s="244" t="n">
        <v>37011</v>
      </c>
      <c r="B265" s="245" t="n">
        <v>7905</v>
      </c>
      <c r="C265" s="245" t="n">
        <v>24587</v>
      </c>
      <c r="D265" s="245" t="n">
        <v>74043</v>
      </c>
      <c r="E265" s="245" t="n">
        <v>43093</v>
      </c>
      <c r="F265" s="245" t="n">
        <v>27828</v>
      </c>
      <c r="G265" s="245" t="n">
        <v>33383</v>
      </c>
      <c r="H265" s="245" t="n"/>
      <c r="I265" s="245" t="n">
        <v>29151</v>
      </c>
      <c r="J265" s="245" t="n">
        <v>72002</v>
      </c>
      <c r="K265" s="245" t="n">
        <v>23877</v>
      </c>
      <c r="L265" s="245" t="n"/>
      <c r="M265" s="115" t="n"/>
      <c r="N265" s="115" t="n"/>
      <c r="O265" s="115" t="n"/>
    </row>
    <row customHeight="1" ht="12" r="266" s="391">
      <c r="A266" s="244" t="n">
        <v>36981</v>
      </c>
      <c r="B266" s="245" t="n">
        <v>7664</v>
      </c>
      <c r="C266" s="245" t="n">
        <v>23985</v>
      </c>
      <c r="D266" s="245" t="n">
        <v>71101</v>
      </c>
      <c r="E266" s="245" t="n">
        <v>41505</v>
      </c>
      <c r="F266" s="245" t="n">
        <v>26870</v>
      </c>
      <c r="G266" s="245" t="n">
        <v>32453</v>
      </c>
      <c r="H266" s="245" t="n"/>
      <c r="I266" s="245" t="n">
        <v>28753</v>
      </c>
      <c r="J266" s="245" t="n">
        <v>69620</v>
      </c>
      <c r="K266" s="245" t="n">
        <v>23187</v>
      </c>
      <c r="L266" s="245" t="n"/>
      <c r="M266" s="115" t="n"/>
      <c r="N266" s="115" t="n"/>
      <c r="O266" s="115" t="n"/>
    </row>
    <row customHeight="1" ht="12" r="267" s="391">
      <c r="A267" s="244" t="n">
        <v>36950</v>
      </c>
      <c r="B267" s="245" t="n">
        <v>7399</v>
      </c>
      <c r="C267" s="245" t="n">
        <v>23331</v>
      </c>
      <c r="D267" s="245" t="n">
        <v>69236</v>
      </c>
      <c r="E267" s="245" t="n">
        <v>39544</v>
      </c>
      <c r="F267" s="245" t="n">
        <v>25711</v>
      </c>
      <c r="G267" s="245" t="n">
        <v>31520</v>
      </c>
      <c r="H267" s="245" t="n"/>
      <c r="I267" s="245" t="n">
        <v>28401</v>
      </c>
      <c r="J267" s="245" t="n">
        <v>67544</v>
      </c>
      <c r="K267" s="245" t="n">
        <v>22501</v>
      </c>
      <c r="L267" s="245" t="n"/>
      <c r="M267" s="115" t="n"/>
      <c r="N267" s="115" t="n"/>
      <c r="O267" s="115" t="n"/>
    </row>
    <row customHeight="1" ht="12" r="268" s="391">
      <c r="A268" s="244" t="n">
        <v>36922</v>
      </c>
      <c r="B268" s="245" t="n">
        <v>7151</v>
      </c>
      <c r="C268" s="245" t="n">
        <v>22701</v>
      </c>
      <c r="D268" s="245" t="n">
        <v>66438</v>
      </c>
      <c r="E268" s="245" t="n">
        <v>37465</v>
      </c>
      <c r="F268" s="245" t="n">
        <v>24540</v>
      </c>
      <c r="G268" s="245" t="n">
        <v>30692</v>
      </c>
      <c r="H268" s="245" t="n"/>
      <c r="I268" s="245" t="n">
        <v>27976</v>
      </c>
      <c r="J268" s="245" t="n">
        <v>65716</v>
      </c>
      <c r="K268" s="245" t="n">
        <v>21847</v>
      </c>
      <c r="L268" s="245" t="n"/>
      <c r="M268" s="115" t="n"/>
      <c r="N268" s="115" t="n"/>
      <c r="O268" s="115" t="n"/>
    </row>
    <row customHeight="1" ht="12" r="269" s="391">
      <c r="A269" s="244" t="n">
        <v>36891</v>
      </c>
      <c r="B269" s="245" t="n">
        <v>6852</v>
      </c>
      <c r="C269" s="245" t="n">
        <v>22015</v>
      </c>
      <c r="D269" s="245" t="n">
        <v>63204</v>
      </c>
      <c r="E269" s="245" t="n">
        <v>35127</v>
      </c>
      <c r="F269" s="245" t="n">
        <v>23214</v>
      </c>
      <c r="G269" s="245" t="n">
        <v>29820</v>
      </c>
      <c r="H269" s="245" t="n"/>
      <c r="I269" s="245" t="n">
        <v>26823</v>
      </c>
      <c r="J269" s="245" t="n">
        <v>63594</v>
      </c>
      <c r="K269" s="245" t="n">
        <v>21078</v>
      </c>
      <c r="L269" s="245" t="n"/>
      <c r="M269" s="115" t="n"/>
      <c r="N269" s="115" t="n"/>
      <c r="O269" s="115" t="n"/>
    </row>
    <row customHeight="1" ht="12" r="270" s="391">
      <c r="A270" s="244" t="n">
        <v>36860</v>
      </c>
      <c r="B270" s="245" t="n">
        <v>6557</v>
      </c>
      <c r="C270" s="245" t="n">
        <v>21184</v>
      </c>
      <c r="D270" s="245" t="n">
        <v>59840</v>
      </c>
      <c r="E270" s="245" t="n">
        <v>32878</v>
      </c>
      <c r="F270" s="245" t="n">
        <v>21931</v>
      </c>
      <c r="G270" s="245" t="n">
        <v>28873</v>
      </c>
      <c r="H270" s="245" t="n"/>
      <c r="I270" s="245" t="n">
        <v>25584</v>
      </c>
      <c r="J270" s="245" t="n">
        <v>61715</v>
      </c>
      <c r="K270" s="245" t="n">
        <v>20349</v>
      </c>
      <c r="L270" s="245" t="n"/>
      <c r="M270" s="115" t="n"/>
      <c r="N270" s="115" t="n"/>
      <c r="O270" s="115" t="n"/>
    </row>
    <row customHeight="1" ht="12" r="271" s="391">
      <c r="A271" s="244" t="n">
        <v>36830</v>
      </c>
      <c r="B271" s="245" t="n">
        <v>6245</v>
      </c>
      <c r="C271" s="245" t="n">
        <v>20295</v>
      </c>
      <c r="D271" s="245" t="n">
        <v>56534</v>
      </c>
      <c r="E271" s="245" t="n">
        <v>30564</v>
      </c>
      <c r="F271" s="245" t="n">
        <v>20643</v>
      </c>
      <c r="G271" s="245" t="n">
        <v>27847</v>
      </c>
      <c r="H271" s="245" t="n"/>
      <c r="I271" s="245" t="n">
        <v>24252</v>
      </c>
      <c r="J271" s="245" t="n">
        <v>59596</v>
      </c>
      <c r="K271" s="245" t="n">
        <v>19603</v>
      </c>
      <c r="L271" s="245" t="n"/>
      <c r="M271" s="209" t="n"/>
      <c r="N271" s="209" t="n"/>
      <c r="O271" s="209" t="n"/>
    </row>
    <row customHeight="1" ht="12" r="272" s="391">
      <c r="A272" s="244" t="n">
        <v>36799</v>
      </c>
      <c r="B272" s="245" t="n">
        <v>5997</v>
      </c>
      <c r="C272" s="245" t="n">
        <v>19362</v>
      </c>
      <c r="D272" s="245" t="n">
        <v>53430</v>
      </c>
      <c r="E272" s="245" t="n">
        <v>28397</v>
      </c>
      <c r="F272" s="245" t="n">
        <v>19455</v>
      </c>
      <c r="G272" s="245" t="n">
        <v>26898</v>
      </c>
      <c r="H272" s="245" t="n"/>
      <c r="I272" s="245" t="n">
        <v>24123</v>
      </c>
      <c r="J272" s="245" t="n">
        <v>57373</v>
      </c>
      <c r="K272" s="245" t="n">
        <v>18820</v>
      </c>
      <c r="L272" s="245" t="inlineStr">
        <is>
          <t>약국 10/18: 55184</t>
        </is>
      </c>
      <c r="M272" s="209" t="n"/>
      <c r="N272" s="209" t="n"/>
      <c r="O272" s="209" t="n"/>
    </row>
    <row customHeight="1" ht="12" r="273" s="391">
      <c r="A273" s="244" t="n">
        <v>36769</v>
      </c>
      <c r="B273" s="245" t="n">
        <v>5719</v>
      </c>
      <c r="C273" s="245" t="n">
        <v>18548</v>
      </c>
      <c r="D273" s="245" t="n">
        <v>50654</v>
      </c>
      <c r="E273" s="245" t="n">
        <v>26267</v>
      </c>
      <c r="F273" s="245" t="n">
        <v>18446</v>
      </c>
      <c r="G273" s="245" t="n">
        <v>25911</v>
      </c>
      <c r="H273" s="245" t="n"/>
      <c r="I273" s="245" t="n">
        <v>23876</v>
      </c>
      <c r="J273" s="245" t="n">
        <v>55140</v>
      </c>
      <c r="K273" s="245" t="n">
        <v>18062</v>
      </c>
      <c r="L273" s="245" t="n"/>
      <c r="M273" s="209" t="n"/>
      <c r="N273" s="209" t="n"/>
      <c r="O273" s="209" t="n"/>
    </row>
    <row customHeight="1" ht="12" r="274" s="391">
      <c r="A274" s="244" t="n">
        <v>36738</v>
      </c>
      <c r="B274" s="245" t="n">
        <v>5352</v>
      </c>
      <c r="C274" s="245" t="n">
        <v>17417</v>
      </c>
      <c r="D274" s="245" t="n">
        <v>46390</v>
      </c>
      <c r="E274" s="245" t="n">
        <v>23016</v>
      </c>
      <c r="F274" s="245" t="n">
        <v>16780</v>
      </c>
      <c r="G274" s="245" t="n">
        <v>24557</v>
      </c>
      <c r="H274" s="245" t="n"/>
      <c r="I274" s="245" t="n">
        <v>23681</v>
      </c>
      <c r="J274" s="245" t="n">
        <v>51915</v>
      </c>
      <c r="K274" s="245" t="n">
        <v>17154</v>
      </c>
      <c r="L274" s="245" t="n"/>
      <c r="M274" s="209" t="n"/>
      <c r="N274" s="209" t="n"/>
      <c r="O274" s="209" t="n"/>
    </row>
    <row customHeight="1" ht="12" r="275" s="391">
      <c r="A275" s="244" t="n">
        <v>36707</v>
      </c>
      <c r="B275" s="245" t="n">
        <v>5062</v>
      </c>
      <c r="C275" s="245" t="n">
        <v>16348</v>
      </c>
      <c r="D275" s="245" t="n">
        <v>43320</v>
      </c>
      <c r="E275" s="245" t="n">
        <v>20481</v>
      </c>
      <c r="F275" s="245" t="n">
        <v>15615</v>
      </c>
      <c r="G275" s="245" t="n">
        <v>23440</v>
      </c>
      <c r="H275" s="245" t="n"/>
      <c r="I275" s="245" t="n">
        <v>22993</v>
      </c>
      <c r="J275" s="245" t="n">
        <v>49710</v>
      </c>
      <c r="K275" s="245" t="n">
        <v>16450</v>
      </c>
      <c r="L275" s="245" t="n"/>
      <c r="M275" s="209" t="n"/>
      <c r="N275" s="209" t="n"/>
      <c r="O275" s="209" t="n"/>
    </row>
    <row customHeight="1" ht="12" r="276" s="391">
      <c r="A276" s="244" t="n">
        <v>36677</v>
      </c>
      <c r="B276" s="245" t="n">
        <v>4752</v>
      </c>
      <c r="C276" s="245" t="n">
        <v>15145</v>
      </c>
      <c r="D276" s="245" t="n">
        <v>40307</v>
      </c>
      <c r="E276" s="245" t="n">
        <v>17954</v>
      </c>
      <c r="F276" s="245" t="n">
        <v>14411</v>
      </c>
      <c r="G276" s="245" t="n">
        <v>22150</v>
      </c>
      <c r="H276" s="245" t="n"/>
      <c r="I276" s="245" t="n">
        <v>21779</v>
      </c>
      <c r="J276" s="245" t="n">
        <v>47692</v>
      </c>
      <c r="K276" s="245" t="n">
        <v>15670</v>
      </c>
      <c r="L276" s="245" t="n"/>
      <c r="M276" s="209" t="n"/>
      <c r="N276" s="209" t="n"/>
      <c r="O276" s="209" t="n"/>
    </row>
    <row customHeight="1" ht="12" r="277" s="391">
      <c r="A277" s="244" t="n">
        <v>36646</v>
      </c>
      <c r="B277" s="245" t="n">
        <v>4446</v>
      </c>
      <c r="C277" s="245" t="n">
        <v>14148</v>
      </c>
      <c r="D277" s="245" t="n">
        <v>37079</v>
      </c>
      <c r="E277" s="245" t="n">
        <v>15935</v>
      </c>
      <c r="F277" s="245" t="n">
        <v>13507</v>
      </c>
      <c r="G277" s="245" t="n">
        <v>20937</v>
      </c>
      <c r="H277" s="245" t="n"/>
      <c r="I277" s="245" t="n">
        <v>20515</v>
      </c>
      <c r="J277" s="245" t="n">
        <v>45498</v>
      </c>
      <c r="K277" s="245" t="n">
        <v>14783</v>
      </c>
      <c r="L277" s="245" t="n"/>
      <c r="M277" s="209" t="n"/>
      <c r="N277" s="209" t="n"/>
      <c r="O277" s="209" t="n"/>
    </row>
    <row customHeight="1" ht="12" r="278" s="391">
      <c r="A278" s="244" t="n">
        <v>36616</v>
      </c>
      <c r="B278" s="245" t="n">
        <v>4185</v>
      </c>
      <c r="C278" s="245" t="n">
        <v>13475</v>
      </c>
      <c r="D278" s="245" t="n">
        <v>34068</v>
      </c>
      <c r="E278" s="245" t="n">
        <v>14525</v>
      </c>
      <c r="F278" s="245" t="n">
        <v>12691</v>
      </c>
      <c r="G278" s="245" t="n">
        <v>19885</v>
      </c>
      <c r="H278" s="245" t="n"/>
      <c r="I278" s="245" t="n">
        <v>19048</v>
      </c>
      <c r="J278" s="245" t="n">
        <v>43883</v>
      </c>
      <c r="K278" s="245" t="n">
        <v>14055</v>
      </c>
      <c r="L278" s="245" t="inlineStr">
        <is>
          <t>2층 04/06 : 14677</t>
        </is>
      </c>
      <c r="M278" s="209" t="n"/>
      <c r="N278" s="209" t="n"/>
      <c r="O278" s="209" t="n"/>
    </row>
    <row customHeight="1" ht="12" r="279" s="391">
      <c r="A279" s="244" t="n">
        <v>36585</v>
      </c>
      <c r="B279" s="245" t="n">
        <v>3875</v>
      </c>
      <c r="C279" s="245" t="n">
        <v>12658</v>
      </c>
      <c r="D279" s="245" t="n">
        <v>30543</v>
      </c>
      <c r="E279" s="245" t="n">
        <v>13510</v>
      </c>
      <c r="F279" s="245" t="n">
        <v>11804</v>
      </c>
      <c r="G279" s="245" t="n">
        <v>18601</v>
      </c>
      <c r="H279" s="245" t="n"/>
      <c r="I279" s="245" t="n">
        <v>16385</v>
      </c>
      <c r="J279" s="245" t="n">
        <v>41859</v>
      </c>
      <c r="K279" s="245" t="n">
        <v>13226</v>
      </c>
      <c r="L279" s="245" t="n"/>
      <c r="M279" s="209" t="n"/>
      <c r="N279" s="209" t="n"/>
      <c r="O279" s="209" t="n"/>
    </row>
    <row customHeight="1" ht="12" r="280" s="391">
      <c r="A280" s="244" t="n">
        <v>36556</v>
      </c>
      <c r="B280" s="245" t="n">
        <v>3605</v>
      </c>
      <c r="C280" s="245" t="n">
        <v>12064</v>
      </c>
      <c r="D280" s="245" t="n">
        <v>27947</v>
      </c>
      <c r="E280" s="245" t="n">
        <v>12577</v>
      </c>
      <c r="F280" s="245" t="n">
        <v>10998</v>
      </c>
      <c r="G280" s="245" t="n">
        <v>17509</v>
      </c>
      <c r="H280" s="245" t="n"/>
      <c r="I280" s="245" t="n">
        <v>14681</v>
      </c>
      <c r="J280" s="245" t="n">
        <v>39823</v>
      </c>
      <c r="K280" s="245" t="n">
        <v>12465</v>
      </c>
      <c r="L280" s="245" t="inlineStr">
        <is>
          <t>약국 02/09 : 28109</t>
        </is>
      </c>
      <c r="M280" s="209" t="n"/>
      <c r="N280" s="209" t="n"/>
      <c r="O280" s="209" t="n"/>
    </row>
    <row customHeight="1" ht="12" r="281" s="391">
      <c r="A281" s="244" t="n">
        <v>36525</v>
      </c>
      <c r="B281" s="245" t="n">
        <v>3334</v>
      </c>
      <c r="C281" s="245" t="n">
        <v>11377</v>
      </c>
      <c r="D281" s="245" t="n">
        <v>26341</v>
      </c>
      <c r="E281" s="245" t="n">
        <v>11200</v>
      </c>
      <c r="F281" s="245" t="n">
        <v>9746</v>
      </c>
      <c r="G281" s="245" t="n">
        <v>16321</v>
      </c>
      <c r="H281" s="245" t="n"/>
      <c r="I281" s="245" t="n">
        <v>12536</v>
      </c>
      <c r="J281" s="245" t="n">
        <v>37535</v>
      </c>
      <c r="K281" s="245" t="n">
        <v>11628</v>
      </c>
      <c r="L281" s="245" t="n"/>
      <c r="M281" s="209" t="n"/>
      <c r="N281" s="209" t="n"/>
      <c r="O281" s="209" t="n"/>
    </row>
    <row customHeight="1" ht="12" r="282" s="391">
      <c r="A282" s="244" t="n">
        <v>36494</v>
      </c>
      <c r="B282" s="245" t="n">
        <v>3056</v>
      </c>
      <c r="C282" s="245" t="n">
        <v>10592</v>
      </c>
      <c r="D282" s="245" t="n">
        <v>24601</v>
      </c>
      <c r="E282" s="245" t="n">
        <v>9828</v>
      </c>
      <c r="F282" s="245" t="n">
        <v>8420</v>
      </c>
      <c r="G282" s="245" t="n">
        <v>15226</v>
      </c>
      <c r="H282" s="245" t="n"/>
      <c r="I282" s="245" t="n">
        <v>10080</v>
      </c>
      <c r="J282" s="245" t="n">
        <v>35194</v>
      </c>
      <c r="K282" s="245" t="n">
        <v>10836</v>
      </c>
      <c r="L282" s="245" t="n"/>
      <c r="M282" s="209" t="n"/>
      <c r="N282" s="209" t="n"/>
      <c r="O282" s="209" t="n"/>
    </row>
    <row customHeight="1" ht="12" r="283" s="391">
      <c r="A283" s="244" t="n">
        <v>36464</v>
      </c>
      <c r="B283" s="245" t="n">
        <v>2793</v>
      </c>
      <c r="C283" s="245" t="n">
        <v>9706</v>
      </c>
      <c r="D283" s="245" t="n">
        <v>22755</v>
      </c>
      <c r="E283" s="245" t="n">
        <v>8402</v>
      </c>
      <c r="F283" s="245" t="n">
        <v>7095</v>
      </c>
      <c r="G283" s="245" t="n">
        <v>13991</v>
      </c>
      <c r="H283" s="245" t="n"/>
      <c r="I283" s="245" t="n">
        <v>9171</v>
      </c>
      <c r="J283" s="245" t="n">
        <v>32422</v>
      </c>
      <c r="K283" s="245" t="n">
        <v>9989</v>
      </c>
      <c r="L283" s="245" t="n"/>
      <c r="M283" s="209" t="n"/>
      <c r="N283" s="209" t="n"/>
      <c r="O283" s="209" t="n"/>
    </row>
    <row customHeight="1" ht="12" r="284" s="391">
      <c r="A284" s="244" t="n">
        <v>36433</v>
      </c>
      <c r="B284" s="245" t="n">
        <v>2576</v>
      </c>
      <c r="C284" s="245" t="n">
        <v>8896</v>
      </c>
      <c r="D284" s="245" t="n">
        <v>20036</v>
      </c>
      <c r="E284" s="245" t="n">
        <v>7233</v>
      </c>
      <c r="F284" s="245" t="n">
        <v>6005</v>
      </c>
      <c r="G284" s="245" t="n">
        <v>12881</v>
      </c>
      <c r="H284" s="245" t="n"/>
      <c r="I284" s="245" t="n">
        <v>8587</v>
      </c>
      <c r="J284" s="245" t="n">
        <v>30220</v>
      </c>
      <c r="K284" s="245" t="n">
        <v>9232</v>
      </c>
      <c r="L284" s="245" t="n"/>
      <c r="M284" s="209" t="n"/>
      <c r="N284" s="209" t="n"/>
      <c r="O284" s="209" t="n"/>
    </row>
    <row customHeight="1" ht="12" r="285" s="391">
      <c r="A285" s="244" t="n">
        <v>36403</v>
      </c>
      <c r="B285" s="245" t="n">
        <v>2328</v>
      </c>
      <c r="C285" s="245" t="n">
        <v>8152</v>
      </c>
      <c r="D285" s="245" t="n">
        <v>19080</v>
      </c>
      <c r="E285" s="251" t="n">
        <v>5850</v>
      </c>
      <c r="F285" s="251" t="n">
        <v>4681</v>
      </c>
      <c r="G285" s="245" t="n">
        <v>11568</v>
      </c>
      <c r="H285" s="245" t="n"/>
      <c r="I285" s="245" t="n">
        <v>7946</v>
      </c>
      <c r="J285" s="245" t="n">
        <v>27444</v>
      </c>
      <c r="K285" s="245" t="n">
        <v>8417</v>
      </c>
      <c r="L285" s="245" t="n"/>
      <c r="M285" s="209" t="n"/>
      <c r="N285" s="209" t="n"/>
      <c r="O285" s="209" t="n"/>
    </row>
    <row customHeight="1" ht="12" r="286" s="391">
      <c r="A286" s="244" t="n">
        <v>36372</v>
      </c>
      <c r="B286" s="245" t="n">
        <v>2050</v>
      </c>
      <c r="C286" s="245" t="n">
        <v>7371</v>
      </c>
      <c r="D286" s="245" t="n">
        <v>16608</v>
      </c>
      <c r="E286" s="251" t="n">
        <v>4215</v>
      </c>
      <c r="F286" s="251" t="n">
        <v>3123</v>
      </c>
      <c r="G286" s="245" t="n">
        <v>9951</v>
      </c>
      <c r="H286" s="245" t="n"/>
      <c r="I286" s="245" t="n">
        <v>7186</v>
      </c>
      <c r="J286" s="245" t="n">
        <v>24675</v>
      </c>
      <c r="K286" s="245" t="n">
        <v>7565</v>
      </c>
      <c r="L286" s="245" t="n"/>
      <c r="M286" s="209" t="n"/>
      <c r="N286" s="209" t="n"/>
      <c r="O286" s="209" t="n"/>
    </row>
    <row customHeight="1" ht="12" r="287" s="391">
      <c r="A287" s="244" t="n">
        <v>36341</v>
      </c>
      <c r="B287" s="245" t="n">
        <v>1776</v>
      </c>
      <c r="C287" s="251" t="n">
        <v>6636</v>
      </c>
      <c r="D287" s="251" t="n">
        <v>13960</v>
      </c>
      <c r="E287" s="251" t="n">
        <v>2829</v>
      </c>
      <c r="F287" s="251" t="n">
        <v>1818</v>
      </c>
      <c r="G287" s="245" t="n">
        <v>8294</v>
      </c>
      <c r="H287" s="245" t="n"/>
      <c r="I287" s="245" t="n">
        <v>6456</v>
      </c>
      <c r="J287" s="245" t="n">
        <v>21955</v>
      </c>
      <c r="K287" s="245" t="n">
        <v>6710</v>
      </c>
      <c r="L287" s="245" t="n"/>
      <c r="M287" s="209" t="n"/>
      <c r="N287" s="209" t="n"/>
      <c r="O287" s="209" t="n"/>
    </row>
    <row customHeight="1" ht="12" r="288" s="391">
      <c r="A288" s="244" t="n">
        <v>36311</v>
      </c>
      <c r="B288" s="245" t="n">
        <v>1539</v>
      </c>
      <c r="C288" s="251" t="n">
        <v>5868</v>
      </c>
      <c r="D288" s="251" t="n">
        <v>11590</v>
      </c>
      <c r="E288" s="251" t="n">
        <v>1713</v>
      </c>
      <c r="F288" s="251" t="n">
        <v>828</v>
      </c>
      <c r="G288" s="245" t="n">
        <v>6947</v>
      </c>
      <c r="H288" s="245" t="n"/>
      <c r="I288" s="245" t="n">
        <v>5962</v>
      </c>
      <c r="J288" s="245" t="n">
        <v>19605</v>
      </c>
      <c r="K288" s="245" t="n">
        <v>5932</v>
      </c>
      <c r="L288" s="245" t="n"/>
      <c r="M288" s="209" t="n"/>
      <c r="N288" s="209" t="n"/>
      <c r="O288" s="209" t="n"/>
    </row>
    <row customHeight="1" ht="12" r="289" s="391">
      <c r="A289" s="244" t="n">
        <v>36280</v>
      </c>
      <c r="B289" s="245" t="n">
        <v>1303</v>
      </c>
      <c r="C289" s="251" t="n">
        <v>5037</v>
      </c>
      <c r="D289" s="251" t="n">
        <v>9521</v>
      </c>
      <c r="E289" s="251" t="n">
        <v>709</v>
      </c>
      <c r="F289" s="251" t="n">
        <v>79</v>
      </c>
      <c r="G289" s="245" t="n">
        <v>5845</v>
      </c>
      <c r="H289" s="245" t="n"/>
      <c r="I289" s="245" t="n">
        <v>5475</v>
      </c>
      <c r="J289" s="245" t="n">
        <v>16833</v>
      </c>
      <c r="K289" s="245" t="n">
        <v>5113</v>
      </c>
      <c r="L289" s="245" t="n"/>
      <c r="M289" s="209" t="n"/>
      <c r="N289" s="209" t="n"/>
      <c r="O289" s="209" t="n"/>
    </row>
    <row customHeight="1" ht="12" r="290" s="391">
      <c r="A290" s="244" t="n">
        <v>36250</v>
      </c>
      <c r="B290" s="245" t="n">
        <v>1049</v>
      </c>
      <c r="C290" s="251" t="n">
        <v>4010</v>
      </c>
      <c r="D290" s="251" t="n">
        <v>7518</v>
      </c>
      <c r="E290" s="372" t="n">
        <v>536</v>
      </c>
      <c r="F290" s="348" t="n"/>
      <c r="G290" s="245" t="n">
        <v>4428</v>
      </c>
      <c r="H290" s="245" t="n"/>
      <c r="I290" s="245" t="n">
        <v>4231</v>
      </c>
      <c r="J290" s="245" t="n">
        <v>13944</v>
      </c>
      <c r="K290" s="245" t="n">
        <v>4295</v>
      </c>
      <c r="L290" s="245" t="n"/>
      <c r="M290" s="209" t="n"/>
      <c r="N290" s="209" t="n"/>
      <c r="O290" s="209" t="n"/>
    </row>
    <row customHeight="1" ht="12" r="291" s="391">
      <c r="A291" s="244" t="n">
        <v>36219</v>
      </c>
      <c r="B291" s="245" t="n">
        <v>744</v>
      </c>
      <c r="C291" s="251" t="n">
        <v>2936</v>
      </c>
      <c r="D291" s="251" t="n">
        <v>5294</v>
      </c>
      <c r="E291" s="372" t="n">
        <v>280</v>
      </c>
      <c r="F291" s="348" t="n"/>
      <c r="G291" s="245" t="n">
        <v>3089</v>
      </c>
      <c r="H291" s="245" t="n"/>
      <c r="I291" s="245" t="n">
        <v>2353</v>
      </c>
      <c r="J291" s="245" t="n">
        <v>11259</v>
      </c>
      <c r="K291" s="245" t="n">
        <v>3497</v>
      </c>
      <c r="L291" s="245" t="inlineStr">
        <is>
          <t>문구점 2/18:2782</t>
        </is>
      </c>
      <c r="M291" s="209" t="n"/>
      <c r="N291" s="209" t="n"/>
      <c r="O291" s="103" t="n"/>
    </row>
    <row customHeight="1" ht="12" r="292" s="391">
      <c r="A292" s="244" t="n">
        <v>36191</v>
      </c>
      <c r="B292" s="245" t="n">
        <v>568</v>
      </c>
      <c r="C292" s="251" t="n">
        <v>2530</v>
      </c>
      <c r="D292" s="251" t="n">
        <v>3398</v>
      </c>
      <c r="E292" s="372" t="n">
        <v>229</v>
      </c>
      <c r="F292" s="348" t="n"/>
      <c r="G292" s="245" t="n">
        <v>2157</v>
      </c>
      <c r="H292" s="245" t="n"/>
      <c r="I292" s="245" t="n">
        <v>1349</v>
      </c>
      <c r="J292" s="245" t="n">
        <v>8525</v>
      </c>
      <c r="K292" s="245" t="n">
        <v>2851</v>
      </c>
      <c r="L292" s="245" t="inlineStr">
        <is>
          <t>약국 12/19:1953 (영업)</t>
        </is>
      </c>
    </row>
    <row customHeight="1" ht="12" r="293" s="391">
      <c r="A293" s="244" t="n">
        <v>36160</v>
      </c>
      <c r="B293" s="245" t="n">
        <v>342</v>
      </c>
      <c r="C293" s="251" t="n">
        <v>2082</v>
      </c>
      <c r="D293" s="251" t="n">
        <v>965</v>
      </c>
      <c r="E293" s="372" t="n">
        <v>167</v>
      </c>
      <c r="F293" s="348" t="n"/>
      <c r="G293" s="245" t="n">
        <v>1031</v>
      </c>
      <c r="H293" s="245" t="n"/>
      <c r="I293" s="245" t="n">
        <v>485</v>
      </c>
      <c r="J293" s="245" t="n">
        <v>5197</v>
      </c>
      <c r="K293" s="245" t="n">
        <v>2073</v>
      </c>
      <c r="L293" s="245" t="inlineStr">
        <is>
          <t>약국 12/14:1750 (인테리어)</t>
        </is>
      </c>
    </row>
    <row customHeight="1" ht="12" r="294" s="391">
      <c r="A294" s="244" t="n">
        <v>36129</v>
      </c>
      <c r="B294" s="245" t="n">
        <v>138</v>
      </c>
      <c r="C294" s="372" t="n">
        <v>1236</v>
      </c>
      <c r="D294" s="348" t="n"/>
      <c r="E294" s="372" t="n">
        <v>86</v>
      </c>
      <c r="F294" s="348" t="n"/>
      <c r="G294" s="245" t="n">
        <v>282</v>
      </c>
      <c r="H294" s="245" t="n"/>
      <c r="I294" s="245" t="n">
        <v>170</v>
      </c>
      <c r="J294" s="245" t="n">
        <v>1972</v>
      </c>
      <c r="K294" s="245" t="n">
        <v>1360</v>
      </c>
      <c r="L294" s="245" t="n"/>
    </row>
    <row customHeight="1" ht="12" r="295" s="391">
      <c r="A295" s="182" t="n"/>
      <c r="B295" s="106" t="n"/>
      <c r="C295" s="106" t="n"/>
      <c r="D295" s="106" t="n"/>
      <c r="E295" s="106" t="n"/>
      <c r="F295" s="183" t="n"/>
      <c r="G295" s="183" t="n"/>
      <c r="H295" s="106" t="n"/>
      <c r="I295" s="106" t="n"/>
      <c r="J295" s="106" t="n"/>
      <c r="K295" s="106" t="n"/>
      <c r="L295" s="184" t="n"/>
    </row>
    <row customFormat="1" customHeight="1" ht="12" r="296" s="110">
      <c r="B296" s="151" t="inlineStr">
        <is>
          <t>월</t>
        </is>
      </c>
      <c r="L296" s="151" t="inlineStr">
        <is>
          <t>합계</t>
        </is>
      </c>
    </row>
    <row customFormat="1" customHeight="1" ht="11.1" r="297" s="110">
      <c r="B297" s="110" t="n">
        <v>3</v>
      </c>
      <c r="C297" s="110">
        <f>C225-C224</f>
        <v/>
      </c>
      <c r="D297" s="110">
        <f>D225-D224</f>
        <v/>
      </c>
      <c r="E297" s="110">
        <f>E225-E224</f>
        <v/>
      </c>
      <c r="F297" s="110">
        <f>F225-F224</f>
        <v/>
      </c>
      <c r="G297" s="110">
        <f>G225-G224</f>
        <v/>
      </c>
      <c r="H297" s="110">
        <f>H225-H224</f>
        <v/>
      </c>
      <c r="I297" s="110">
        <f>I225-I224</f>
        <v/>
      </c>
      <c r="J297" s="110">
        <f>J225-J224</f>
        <v/>
      </c>
      <c r="K297" s="110">
        <f>K225-K224</f>
        <v/>
      </c>
      <c r="L297" s="110">
        <f>SUM(B297:K297)</f>
        <v/>
      </c>
      <c r="M297" s="151">
        <f>L225</f>
        <v/>
      </c>
    </row>
    <row customFormat="1" customHeight="1" ht="11.1" r="298" s="110">
      <c r="B298" s="110" t="n">
        <v>4</v>
      </c>
      <c r="C298" s="110">
        <f>C226-C225</f>
        <v/>
      </c>
      <c r="D298" s="110">
        <f>D226-D225</f>
        <v/>
      </c>
      <c r="E298" s="110">
        <f>E226-E225</f>
        <v/>
      </c>
      <c r="F298" s="110">
        <f>F226-F225</f>
        <v/>
      </c>
      <c r="G298" s="110">
        <f>G226-G225</f>
        <v/>
      </c>
      <c r="H298" s="110">
        <f>H226-H225</f>
        <v/>
      </c>
      <c r="I298" s="110">
        <f>I226-I225</f>
        <v/>
      </c>
      <c r="J298" s="110">
        <f>J226-J225</f>
        <v/>
      </c>
      <c r="K298" s="110">
        <f>K226-K225</f>
        <v/>
      </c>
      <c r="L298" s="110">
        <f>SUM(B298:K298)</f>
        <v/>
      </c>
      <c r="M298" s="151">
        <f>L226</f>
        <v/>
      </c>
    </row>
    <row customFormat="1" customHeight="1" ht="11.1" r="299" s="110">
      <c r="B299" s="110" t="n">
        <v>5</v>
      </c>
      <c r="C299" s="110">
        <f>C227-C226</f>
        <v/>
      </c>
      <c r="D299" s="110">
        <f>D227-D226</f>
        <v/>
      </c>
      <c r="E299" s="110">
        <f>E227-E226</f>
        <v/>
      </c>
      <c r="F299" s="110">
        <f>F227-F226</f>
        <v/>
      </c>
      <c r="G299" s="110">
        <f>G227-G226</f>
        <v/>
      </c>
      <c r="H299" s="110">
        <f>H227-H226</f>
        <v/>
      </c>
      <c r="I299" s="110">
        <f>I227-I226</f>
        <v/>
      </c>
      <c r="J299" s="110">
        <f>J227-J226</f>
        <v/>
      </c>
      <c r="K299" s="110">
        <f>K227-K226</f>
        <v/>
      </c>
      <c r="L299" s="110">
        <f>SUM(B299:K299)</f>
        <v/>
      </c>
      <c r="M299" s="151">
        <f>L227</f>
        <v/>
      </c>
    </row>
    <row customFormat="1" customHeight="1" ht="11.1" r="300" s="110">
      <c r="B300" s="110" t="n">
        <v>6</v>
      </c>
      <c r="C300" s="110">
        <f>C228-C227</f>
        <v/>
      </c>
      <c r="D300" s="110">
        <f>D228-D227</f>
        <v/>
      </c>
      <c r="E300" s="110">
        <f>E228-E227</f>
        <v/>
      </c>
      <c r="F300" s="110">
        <f>F228-F227</f>
        <v/>
      </c>
      <c r="G300" s="110">
        <f>G228-G227</f>
        <v/>
      </c>
      <c r="H300" s="110">
        <f>H228-H227</f>
        <v/>
      </c>
      <c r="I300" s="110">
        <f>I228-I227</f>
        <v/>
      </c>
      <c r="J300" s="110">
        <f>J228-J227</f>
        <v/>
      </c>
      <c r="K300" s="110">
        <f>K228-K227</f>
        <v/>
      </c>
      <c r="L300" s="110">
        <f>SUM(B300:K300)</f>
        <v/>
      </c>
      <c r="M300" s="151">
        <f>L228</f>
        <v/>
      </c>
    </row>
    <row customFormat="1" customHeight="1" ht="11.1" r="301" s="110">
      <c r="B301" s="110" t="n">
        <v>7</v>
      </c>
      <c r="C301" s="110">
        <f>C229-C228</f>
        <v/>
      </c>
      <c r="D301" s="110">
        <f>D229-D228</f>
        <v/>
      </c>
      <c r="E301" s="110">
        <f>E229-E228</f>
        <v/>
      </c>
      <c r="F301" s="110">
        <f>F229-F228</f>
        <v/>
      </c>
      <c r="G301" s="110">
        <f>G229-G228</f>
        <v/>
      </c>
      <c r="H301" s="110">
        <f>H229-H228</f>
        <v/>
      </c>
      <c r="I301" s="110">
        <f>I229-I228</f>
        <v/>
      </c>
      <c r="J301" s="110">
        <f>J229-J228</f>
        <v/>
      </c>
      <c r="K301" s="110">
        <f>K229-K228</f>
        <v/>
      </c>
      <c r="L301" s="110">
        <f>SUM(B301:K301)</f>
        <v/>
      </c>
      <c r="M301" s="151">
        <f>L229</f>
        <v/>
      </c>
    </row>
    <row customFormat="1" customHeight="1" ht="11.1" r="302" s="110">
      <c r="B302" s="110" t="n">
        <v>8</v>
      </c>
      <c r="C302" s="110">
        <f>C230-C229</f>
        <v/>
      </c>
      <c r="D302" s="110">
        <f>D230-D229</f>
        <v/>
      </c>
      <c r="E302" s="110">
        <f>E230-E229</f>
        <v/>
      </c>
      <c r="F302" s="110">
        <f>F230-F229</f>
        <v/>
      </c>
      <c r="G302" s="110">
        <f>G230-G229</f>
        <v/>
      </c>
      <c r="H302" s="110">
        <f>H230-H229</f>
        <v/>
      </c>
      <c r="I302" s="110">
        <f>I230-I229</f>
        <v/>
      </c>
      <c r="J302" s="110">
        <f>J230-J229</f>
        <v/>
      </c>
      <c r="K302" s="110">
        <f>K230-K229</f>
        <v/>
      </c>
      <c r="L302" s="110">
        <f>SUM(B302:K302)</f>
        <v/>
      </c>
      <c r="M302" s="151">
        <f>L230</f>
        <v/>
      </c>
    </row>
    <row customFormat="1" customHeight="1" ht="11.1" r="303" s="110">
      <c r="B303" s="110" t="n">
        <v>9</v>
      </c>
      <c r="C303" s="110">
        <f>C231-C230</f>
        <v/>
      </c>
      <c r="D303" s="110">
        <f>D231-D230</f>
        <v/>
      </c>
      <c r="E303" s="110">
        <f>E231-E230</f>
        <v/>
      </c>
      <c r="F303" s="110">
        <f>F231-F230</f>
        <v/>
      </c>
      <c r="G303" s="110">
        <f>G231-G230</f>
        <v/>
      </c>
      <c r="H303" s="110">
        <f>H231-H230</f>
        <v/>
      </c>
      <c r="I303" s="110">
        <f>I231-I230</f>
        <v/>
      </c>
      <c r="J303" s="110">
        <f>J231-J230</f>
        <v/>
      </c>
      <c r="K303" s="110">
        <f>K231-K230</f>
        <v/>
      </c>
      <c r="L303" s="110">
        <f>SUM(B303:K303)</f>
        <v/>
      </c>
      <c r="M303" s="151">
        <f>L231</f>
        <v/>
      </c>
    </row>
    <row customFormat="1" customHeight="1" ht="11.1" r="304" s="110">
      <c r="B304" s="110" t="n">
        <v>10</v>
      </c>
      <c r="C304" s="110">
        <f>C232-C231</f>
        <v/>
      </c>
      <c r="D304" s="110">
        <f>D232-D231</f>
        <v/>
      </c>
      <c r="E304" s="110">
        <f>E232-E231</f>
        <v/>
      </c>
      <c r="F304" s="110">
        <f>F232-F231</f>
        <v/>
      </c>
      <c r="G304" s="110">
        <f>G232-G231</f>
        <v/>
      </c>
      <c r="H304" s="110">
        <f>H232-H231</f>
        <v/>
      </c>
      <c r="I304" s="110">
        <f>I232-I231</f>
        <v/>
      </c>
      <c r="J304" s="110">
        <f>J232-J231</f>
        <v/>
      </c>
      <c r="K304" s="110">
        <f>K232-K231</f>
        <v/>
      </c>
      <c r="L304" s="110">
        <f>SUM(B304:K304)</f>
        <v/>
      </c>
      <c r="M304" s="151">
        <f>L232</f>
        <v/>
      </c>
    </row>
    <row customFormat="1" customHeight="1" ht="11.1" r="305" s="110">
      <c r="B305" s="110" t="n">
        <v>11</v>
      </c>
      <c r="C305" s="110">
        <f>C233-C232</f>
        <v/>
      </c>
      <c r="D305" s="110">
        <f>D233-D232</f>
        <v/>
      </c>
      <c r="E305" s="110">
        <f>E233-E232</f>
        <v/>
      </c>
      <c r="F305" s="110">
        <f>F233-F232</f>
        <v/>
      </c>
      <c r="G305" s="110">
        <f>G233-G232</f>
        <v/>
      </c>
      <c r="H305" s="110">
        <f>H233-H232</f>
        <v/>
      </c>
      <c r="I305" s="110">
        <f>I233-I232</f>
        <v/>
      </c>
      <c r="J305" s="110">
        <f>J233-J232</f>
        <v/>
      </c>
      <c r="K305" s="110">
        <f>K233-K232</f>
        <v/>
      </c>
      <c r="L305" s="110">
        <f>SUM(B305:K305)</f>
        <v/>
      </c>
      <c r="M305" s="151">
        <f>L233</f>
        <v/>
      </c>
    </row>
    <row customFormat="1" customHeight="1" ht="11.1" r="306" s="110">
      <c r="B306" s="110" t="n">
        <v>12</v>
      </c>
      <c r="C306" s="110">
        <f>C234-C233</f>
        <v/>
      </c>
      <c r="D306" s="110">
        <f>D234-D233</f>
        <v/>
      </c>
      <c r="E306" s="110">
        <f>E234-E233</f>
        <v/>
      </c>
      <c r="F306" s="110">
        <f>F234-F233</f>
        <v/>
      </c>
      <c r="G306" s="110">
        <f>G234-G233</f>
        <v/>
      </c>
      <c r="H306" s="110">
        <f>H234-H233</f>
        <v/>
      </c>
      <c r="I306" s="110">
        <f>I234-I233</f>
        <v/>
      </c>
      <c r="J306" s="110">
        <f>J234-J233</f>
        <v/>
      </c>
      <c r="K306" s="110">
        <f>K234-K233</f>
        <v/>
      </c>
      <c r="L306" s="110">
        <f>SUM(B306:K306)</f>
        <v/>
      </c>
      <c r="M306" s="151">
        <f>L234</f>
        <v/>
      </c>
    </row>
    <row customFormat="1" customHeight="1" ht="11.1" r="307" s="110">
      <c r="B307" s="110" t="n">
        <v>1</v>
      </c>
      <c r="C307" s="110">
        <f>C235-C234</f>
        <v/>
      </c>
      <c r="D307" s="110">
        <f>D235-D234</f>
        <v/>
      </c>
      <c r="E307" s="110">
        <f>E235-E234</f>
        <v/>
      </c>
      <c r="F307" s="110">
        <f>F235-F234</f>
        <v/>
      </c>
      <c r="G307" s="110">
        <f>G235-G234</f>
        <v/>
      </c>
      <c r="H307" s="110">
        <f>H235-H234</f>
        <v/>
      </c>
      <c r="I307" s="110">
        <f>I235-I234</f>
        <v/>
      </c>
      <c r="J307" s="110">
        <f>J235-J234</f>
        <v/>
      </c>
      <c r="K307" s="110">
        <f>K235-K234</f>
        <v/>
      </c>
      <c r="L307" s="110">
        <f>SUM(B307:K307)</f>
        <v/>
      </c>
      <c r="M307" s="151">
        <f>L235</f>
        <v/>
      </c>
    </row>
    <row customFormat="1" customHeight="1" ht="11.1" r="308" s="110">
      <c r="B308" s="110" t="n">
        <v>2</v>
      </c>
      <c r="C308" s="110">
        <f>C236-C235</f>
        <v/>
      </c>
      <c r="D308" s="110">
        <f>D236-D235</f>
        <v/>
      </c>
      <c r="E308" s="110">
        <f>E236-E235</f>
        <v/>
      </c>
      <c r="F308" s="110">
        <f>F236-F235</f>
        <v/>
      </c>
      <c r="G308" s="110">
        <f>G236-G235</f>
        <v/>
      </c>
      <c r="H308" s="110">
        <f>H236-H235</f>
        <v/>
      </c>
      <c r="I308" s="110">
        <f>I236-I235</f>
        <v/>
      </c>
      <c r="J308" s="110">
        <f>J236-J235</f>
        <v/>
      </c>
      <c r="K308" s="110">
        <f>K236-K235</f>
        <v/>
      </c>
      <c r="L308" s="110">
        <f>SUM(B308:K308)</f>
        <v/>
      </c>
      <c r="M308" s="151">
        <f>L236</f>
        <v/>
      </c>
    </row>
    <row customFormat="1" customHeight="1" ht="11.1" r="309" s="110">
      <c r="B309" s="110" t="n">
        <v>3</v>
      </c>
      <c r="C309" s="110">
        <f>C237-C236</f>
        <v/>
      </c>
      <c r="D309" s="110">
        <f>D237-D236</f>
        <v/>
      </c>
      <c r="E309" s="110">
        <f>E237-E236</f>
        <v/>
      </c>
      <c r="F309" s="110">
        <f>F237-F236</f>
        <v/>
      </c>
      <c r="G309" s="110">
        <f>G237-G236</f>
        <v/>
      </c>
      <c r="H309" s="110">
        <f>H237-H236</f>
        <v/>
      </c>
      <c r="I309" s="110">
        <f>I237-I236</f>
        <v/>
      </c>
      <c r="J309" s="110">
        <f>J237-J236</f>
        <v/>
      </c>
      <c r="K309" s="110">
        <f>K237-K236</f>
        <v/>
      </c>
      <c r="L309" s="110">
        <f>SUM(B309:K309)</f>
        <v/>
      </c>
      <c r="M309" s="151">
        <f>L237</f>
        <v/>
      </c>
    </row>
    <row customFormat="1" customHeight="1" ht="11.1" r="310" s="110">
      <c r="B310" s="110" t="n">
        <v>4</v>
      </c>
      <c r="C310" s="110">
        <f>C238-C237</f>
        <v/>
      </c>
      <c r="D310" s="110">
        <f>D238-D237</f>
        <v/>
      </c>
      <c r="E310" s="110">
        <f>E238-E237</f>
        <v/>
      </c>
      <c r="F310" s="110">
        <f>F238-F237</f>
        <v/>
      </c>
      <c r="G310" s="110">
        <f>G238-G237</f>
        <v/>
      </c>
      <c r="H310" s="110">
        <f>H238-H237</f>
        <v/>
      </c>
      <c r="I310" s="110">
        <f>I238-I237</f>
        <v/>
      </c>
      <c r="J310" s="110">
        <f>J238-J237</f>
        <v/>
      </c>
      <c r="K310" s="110">
        <f>K238-K237</f>
        <v/>
      </c>
      <c r="L310" s="110">
        <f>SUM(B310:K310)</f>
        <v/>
      </c>
      <c r="M310" s="151">
        <f>L238</f>
        <v/>
      </c>
    </row>
    <row customFormat="1" customHeight="1" ht="11.1" r="311" s="110">
      <c r="B311" s="110" t="n">
        <v>5</v>
      </c>
      <c r="C311" s="110">
        <f>C239-C238</f>
        <v/>
      </c>
      <c r="D311" s="110">
        <f>D239-D238</f>
        <v/>
      </c>
      <c r="E311" s="110">
        <f>E239-E238</f>
        <v/>
      </c>
      <c r="F311" s="110">
        <f>F239-F238</f>
        <v/>
      </c>
      <c r="G311" s="110">
        <f>G239-G238</f>
        <v/>
      </c>
      <c r="H311" s="110">
        <f>H239-H238</f>
        <v/>
      </c>
      <c r="I311" s="110">
        <f>I239-I238</f>
        <v/>
      </c>
      <c r="J311" s="110">
        <f>J239-J238</f>
        <v/>
      </c>
      <c r="K311" s="110">
        <f>K239-K238</f>
        <v/>
      </c>
      <c r="L311" s="110">
        <f>SUM(B311:K311)</f>
        <v/>
      </c>
      <c r="M311" s="151">
        <f>L239</f>
        <v/>
      </c>
    </row>
    <row customFormat="1" customHeight="1" ht="11.1" r="312" s="110">
      <c r="B312" s="110" t="n">
        <v>6</v>
      </c>
      <c r="C312" s="110">
        <f>C240-C239</f>
        <v/>
      </c>
      <c r="D312" s="110">
        <f>D240-D239</f>
        <v/>
      </c>
      <c r="E312" s="110">
        <f>E240-E239</f>
        <v/>
      </c>
      <c r="F312" s="110">
        <f>F240-F239</f>
        <v/>
      </c>
      <c r="G312" s="110">
        <f>G240-G239</f>
        <v/>
      </c>
      <c r="H312" s="110">
        <f>H240-H239</f>
        <v/>
      </c>
      <c r="I312" s="110">
        <f>I240-I239</f>
        <v/>
      </c>
      <c r="J312" s="110">
        <f>J240-J239</f>
        <v/>
      </c>
      <c r="K312" s="110">
        <f>K240-K239</f>
        <v/>
      </c>
      <c r="L312" s="110">
        <f>SUM(B312:K312)</f>
        <v/>
      </c>
      <c r="M312" s="151">
        <f>L240</f>
        <v/>
      </c>
    </row>
    <row customFormat="1" customHeight="1" ht="11.1" r="313" s="110">
      <c r="B313" s="110" t="n">
        <v>7</v>
      </c>
      <c r="C313" s="110">
        <f>C241-C240</f>
        <v/>
      </c>
      <c r="D313" s="110">
        <f>D241-D240</f>
        <v/>
      </c>
      <c r="E313" s="110">
        <f>E241-E240</f>
        <v/>
      </c>
      <c r="F313" s="110">
        <f>F241-F240</f>
        <v/>
      </c>
      <c r="G313" s="110">
        <f>G241-G240</f>
        <v/>
      </c>
      <c r="H313" s="110">
        <f>H241-H240</f>
        <v/>
      </c>
      <c r="I313" s="110">
        <f>I241-I240</f>
        <v/>
      </c>
      <c r="J313" s="110">
        <f>J241-J240</f>
        <v/>
      </c>
      <c r="K313" s="110">
        <f>K241-K240</f>
        <v/>
      </c>
      <c r="L313" s="110">
        <f>SUM(B313:K313)</f>
        <v/>
      </c>
      <c r="M313" s="151">
        <f>L241</f>
        <v/>
      </c>
    </row>
    <row customFormat="1" customHeight="1" ht="11.1" r="314" s="110">
      <c r="B314" s="110" t="n">
        <v>8</v>
      </c>
      <c r="C314" s="110">
        <f>C242-C241</f>
        <v/>
      </c>
      <c r="D314" s="110">
        <f>D242-D241</f>
        <v/>
      </c>
      <c r="E314" s="110">
        <f>E242-E241</f>
        <v/>
      </c>
      <c r="F314" s="110">
        <f>F242-F241</f>
        <v/>
      </c>
      <c r="G314" s="110">
        <f>G242-G241</f>
        <v/>
      </c>
      <c r="H314" s="110">
        <f>H242-H241</f>
        <v/>
      </c>
      <c r="I314" s="110">
        <f>I242-I241</f>
        <v/>
      </c>
      <c r="J314" s="110">
        <f>J242-J241</f>
        <v/>
      </c>
      <c r="K314" s="110">
        <f>K242-K241</f>
        <v/>
      </c>
      <c r="L314" s="110">
        <f>SUM(B314:K314)</f>
        <v/>
      </c>
      <c r="M314" s="151">
        <f>L242</f>
        <v/>
      </c>
    </row>
    <row customFormat="1" customHeight="1" ht="11.1" r="315" s="110">
      <c r="B315" s="110" t="n">
        <v>9</v>
      </c>
      <c r="C315" s="110">
        <f>C243-C242</f>
        <v/>
      </c>
      <c r="D315" s="110">
        <f>D243-D242</f>
        <v/>
      </c>
      <c r="E315" s="110">
        <f>E243-E242</f>
        <v/>
      </c>
      <c r="F315" s="110">
        <f>F243-F242</f>
        <v/>
      </c>
      <c r="G315" s="110">
        <f>G243-G242</f>
        <v/>
      </c>
      <c r="H315" s="110">
        <f>H243-H242</f>
        <v/>
      </c>
      <c r="I315" s="110">
        <f>I243-I242</f>
        <v/>
      </c>
      <c r="J315" s="110">
        <f>J243-J242</f>
        <v/>
      </c>
      <c r="K315" s="110">
        <f>K243-K242</f>
        <v/>
      </c>
      <c r="L315" s="110">
        <f>SUM(B315:K315)</f>
        <v/>
      </c>
      <c r="M315" s="151">
        <f>L243</f>
        <v/>
      </c>
    </row>
    <row customFormat="1" customHeight="1" ht="11.1" r="316" s="110">
      <c r="B316" s="110" t="n">
        <v>10</v>
      </c>
      <c r="C316" s="110">
        <f>C244-C243</f>
        <v/>
      </c>
      <c r="D316" s="110">
        <f>D244-D243</f>
        <v/>
      </c>
      <c r="E316" s="110">
        <f>E244-E243</f>
        <v/>
      </c>
      <c r="F316" s="110">
        <f>F244-F243</f>
        <v/>
      </c>
      <c r="G316" s="110">
        <f>G244-G243</f>
        <v/>
      </c>
      <c r="H316" s="110">
        <f>H244-H243</f>
        <v/>
      </c>
      <c r="I316" s="110">
        <f>I244-I243</f>
        <v/>
      </c>
      <c r="J316" s="110">
        <f>J244-J243</f>
        <v/>
      </c>
      <c r="K316" s="110">
        <f>K244-K243</f>
        <v/>
      </c>
      <c r="L316" s="110">
        <f>SUM(B316:K316)</f>
        <v/>
      </c>
      <c r="M316" s="151">
        <f>L244</f>
        <v/>
      </c>
    </row>
    <row customFormat="1" customHeight="1" ht="11.1" r="317" s="110">
      <c r="B317" s="110" t="n">
        <v>11</v>
      </c>
      <c r="C317" s="110">
        <f>C245-C244</f>
        <v/>
      </c>
      <c r="D317" s="110">
        <f>D245-D244</f>
        <v/>
      </c>
      <c r="E317" s="110">
        <f>E245-E244</f>
        <v/>
      </c>
      <c r="F317" s="110">
        <f>F245-F244</f>
        <v/>
      </c>
      <c r="G317" s="110">
        <f>G245-G244</f>
        <v/>
      </c>
      <c r="H317" s="110">
        <f>H245-H244</f>
        <v/>
      </c>
      <c r="I317" s="110">
        <f>I245-I244</f>
        <v/>
      </c>
      <c r="J317" s="110">
        <f>J245-J244</f>
        <v/>
      </c>
      <c r="K317" s="110">
        <f>K245-K244</f>
        <v/>
      </c>
      <c r="L317" s="110">
        <f>SUM(B317:K317)</f>
        <v/>
      </c>
      <c r="M317" s="151">
        <f>L245</f>
        <v/>
      </c>
    </row>
    <row customFormat="1" customHeight="1" ht="11.1" r="318" s="110">
      <c r="B318" s="110" t="n">
        <v>12</v>
      </c>
      <c r="C318" s="110">
        <f>C246-C245</f>
        <v/>
      </c>
      <c r="D318" s="110">
        <f>D246-D245</f>
        <v/>
      </c>
      <c r="E318" s="110">
        <f>E246-E245</f>
        <v/>
      </c>
      <c r="F318" s="110">
        <f>F246-F245</f>
        <v/>
      </c>
      <c r="G318" s="110">
        <f>G246-G245</f>
        <v/>
      </c>
      <c r="H318" s="110">
        <f>H246-H245</f>
        <v/>
      </c>
      <c r="I318" s="110">
        <f>I246-I245</f>
        <v/>
      </c>
      <c r="J318" s="110">
        <f>J246-J245</f>
        <v/>
      </c>
      <c r="K318" s="110">
        <f>K246-K245</f>
        <v/>
      </c>
      <c r="L318" s="110">
        <f>SUM(B318:K318)</f>
        <v/>
      </c>
      <c r="M318" s="151">
        <f>L246</f>
        <v/>
      </c>
    </row>
    <row customFormat="1" customHeight="1" ht="11.1" r="319" s="110">
      <c r="B319" s="110" t="n">
        <v>1</v>
      </c>
      <c r="C319" s="110">
        <f>C247-C246</f>
        <v/>
      </c>
      <c r="D319" s="110">
        <f>D247-D246</f>
        <v/>
      </c>
      <c r="E319" s="110">
        <f>E247-E246</f>
        <v/>
      </c>
      <c r="F319" s="110">
        <f>F247-F246</f>
        <v/>
      </c>
      <c r="G319" s="110">
        <f>G247-G246</f>
        <v/>
      </c>
      <c r="H319" s="110">
        <f>H247-H246</f>
        <v/>
      </c>
      <c r="I319" s="110">
        <f>I247-I246</f>
        <v/>
      </c>
      <c r="J319" s="110">
        <f>J247-J246</f>
        <v/>
      </c>
      <c r="K319" s="110">
        <f>K247-K246</f>
        <v/>
      </c>
      <c r="L319" s="110">
        <f>SUM(B319:K319)</f>
        <v/>
      </c>
      <c r="M319" s="151">
        <f>L247</f>
        <v/>
      </c>
    </row>
    <row customFormat="1" customHeight="1" ht="11.1" r="320" s="110">
      <c r="B320" s="110" t="n">
        <v>2</v>
      </c>
      <c r="C320" s="110">
        <f>C248-C247</f>
        <v/>
      </c>
      <c r="D320" s="110">
        <f>D248-D247</f>
        <v/>
      </c>
      <c r="E320" s="110">
        <f>E248-E247</f>
        <v/>
      </c>
      <c r="F320" s="110">
        <f>F248-F247</f>
        <v/>
      </c>
      <c r="G320" s="110">
        <f>G248-G247</f>
        <v/>
      </c>
      <c r="H320" s="110">
        <f>H248-H247</f>
        <v/>
      </c>
      <c r="I320" s="110">
        <f>I248-I247</f>
        <v/>
      </c>
      <c r="J320" s="110">
        <f>J248-J247</f>
        <v/>
      </c>
      <c r="K320" s="110">
        <f>K248-K247</f>
        <v/>
      </c>
      <c r="L320" s="110">
        <f>SUM(B320:K320)</f>
        <v/>
      </c>
      <c r="M320" s="151">
        <f>L248</f>
        <v/>
      </c>
    </row>
    <row customFormat="1" customHeight="1" ht="11.1" r="321" s="110">
      <c r="B321" s="110" t="n">
        <v>3</v>
      </c>
      <c r="C321" s="110">
        <f>C249-C248</f>
        <v/>
      </c>
      <c r="D321" s="110">
        <f>D249-D248</f>
        <v/>
      </c>
      <c r="E321" s="110">
        <f>E249-E248</f>
        <v/>
      </c>
      <c r="F321" s="110">
        <f>F249-F248</f>
        <v/>
      </c>
      <c r="G321" s="110">
        <f>G249-G248</f>
        <v/>
      </c>
      <c r="H321" s="110">
        <f>H249-H248</f>
        <v/>
      </c>
      <c r="I321" s="110">
        <f>I249-I248</f>
        <v/>
      </c>
      <c r="J321" s="110">
        <f>J249-J248</f>
        <v/>
      </c>
      <c r="K321" s="110">
        <f>K249-K248</f>
        <v/>
      </c>
      <c r="L321" s="110">
        <f>SUM(B321:K321)</f>
        <v/>
      </c>
      <c r="M321" s="151">
        <f>L249</f>
        <v/>
      </c>
    </row>
    <row customFormat="1" customHeight="1" ht="11.1" r="322" s="110">
      <c r="B322" s="110" t="n">
        <v>4</v>
      </c>
      <c r="C322" s="110">
        <f>C250-C249</f>
        <v/>
      </c>
      <c r="D322" s="110">
        <f>D250-D249</f>
        <v/>
      </c>
      <c r="E322" s="110">
        <f>E250-E249</f>
        <v/>
      </c>
      <c r="F322" s="110">
        <f>F250-F249</f>
        <v/>
      </c>
      <c r="G322" s="110">
        <f>G250-G249</f>
        <v/>
      </c>
      <c r="H322" s="110">
        <f>H250-H249</f>
        <v/>
      </c>
      <c r="I322" s="110">
        <f>I250-I249</f>
        <v/>
      </c>
      <c r="J322" s="110">
        <f>J250-J249</f>
        <v/>
      </c>
      <c r="K322" s="110">
        <f>K250-K249</f>
        <v/>
      </c>
      <c r="L322" s="110">
        <f>SUM(B322:K322)</f>
        <v/>
      </c>
      <c r="M322" s="151">
        <f>L250</f>
        <v/>
      </c>
    </row>
    <row customFormat="1" customHeight="1" ht="11.1" r="323" s="110">
      <c r="B323" s="110" t="n">
        <v>5</v>
      </c>
      <c r="C323" s="110">
        <f>C251-C250</f>
        <v/>
      </c>
      <c r="D323" s="110">
        <f>D251-D250</f>
        <v/>
      </c>
      <c r="E323" s="110">
        <f>E251-E250</f>
        <v/>
      </c>
      <c r="F323" s="110">
        <f>F251-F250</f>
        <v/>
      </c>
      <c r="G323" s="110">
        <f>G251-G250</f>
        <v/>
      </c>
      <c r="H323" s="110">
        <f>H251-H250</f>
        <v/>
      </c>
      <c r="I323" s="110">
        <f>I251-I250</f>
        <v/>
      </c>
      <c r="J323" s="110">
        <f>J251-J250</f>
        <v/>
      </c>
      <c r="K323" s="110">
        <f>K251-K250</f>
        <v/>
      </c>
      <c r="L323" s="110">
        <f>SUM(B323:K323)</f>
        <v/>
      </c>
      <c r="M323" s="151">
        <f>L251</f>
        <v/>
      </c>
    </row>
    <row customFormat="1" customHeight="1" ht="11.1" r="324" s="110">
      <c r="B324" s="110" t="n">
        <v>6</v>
      </c>
      <c r="C324" s="110">
        <f>C252-C251</f>
        <v/>
      </c>
      <c r="D324" s="110">
        <f>D252-D251</f>
        <v/>
      </c>
      <c r="E324" s="110">
        <f>E252-E251</f>
        <v/>
      </c>
      <c r="F324" s="110">
        <f>F252-F251</f>
        <v/>
      </c>
      <c r="G324" s="110">
        <f>G252-G251</f>
        <v/>
      </c>
      <c r="H324" s="110">
        <f>H252-H251</f>
        <v/>
      </c>
      <c r="I324" s="110">
        <f>I252-I251</f>
        <v/>
      </c>
      <c r="J324" s="110">
        <f>J252-J251</f>
        <v/>
      </c>
      <c r="K324" s="110">
        <f>K252-K251</f>
        <v/>
      </c>
      <c r="L324" s="110">
        <f>SUM(B324:K324)</f>
        <v/>
      </c>
      <c r="M324" s="151">
        <f>L252</f>
        <v/>
      </c>
    </row>
    <row customFormat="1" customHeight="1" ht="11.1" r="325" s="110">
      <c r="B325" s="110" t="n">
        <v>7</v>
      </c>
      <c r="C325" s="110">
        <f>C253-C252</f>
        <v/>
      </c>
      <c r="D325" s="110">
        <f>D253-D252</f>
        <v/>
      </c>
      <c r="E325" s="110">
        <f>E253-E252</f>
        <v/>
      </c>
      <c r="F325" s="110">
        <f>F253-F252</f>
        <v/>
      </c>
      <c r="G325" s="110">
        <f>G253-G252</f>
        <v/>
      </c>
      <c r="H325" s="110">
        <f>H253-H252</f>
        <v/>
      </c>
      <c r="I325" s="110">
        <f>I253-I252</f>
        <v/>
      </c>
      <c r="J325" s="110">
        <f>J253-J252</f>
        <v/>
      </c>
      <c r="K325" s="110">
        <f>K253-K252</f>
        <v/>
      </c>
      <c r="L325" s="110">
        <f>SUM(B325:K325)</f>
        <v/>
      </c>
      <c r="M325" s="151">
        <f>L253</f>
        <v/>
      </c>
    </row>
    <row customFormat="1" customHeight="1" ht="11.1" r="326" s="110">
      <c r="B326" s="110" t="n">
        <v>8</v>
      </c>
      <c r="C326" s="110">
        <f>C254-C253</f>
        <v/>
      </c>
      <c r="D326" s="110">
        <f>D254-D253</f>
        <v/>
      </c>
      <c r="E326" s="110">
        <f>E254-E253</f>
        <v/>
      </c>
      <c r="F326" s="110">
        <f>F254-F253</f>
        <v/>
      </c>
      <c r="G326" s="110">
        <f>G254-G253</f>
        <v/>
      </c>
      <c r="H326" s="110">
        <f>H254-H253</f>
        <v/>
      </c>
      <c r="I326" s="110">
        <f>I254-I253</f>
        <v/>
      </c>
      <c r="J326" s="110">
        <f>J254-J253</f>
        <v/>
      </c>
      <c r="K326" s="110">
        <f>K254-K253</f>
        <v/>
      </c>
      <c r="L326" s="110">
        <f>SUM(B326:K326)</f>
        <v/>
      </c>
      <c r="M326" s="151">
        <f>L254</f>
        <v/>
      </c>
    </row>
    <row customFormat="1" customHeight="1" ht="11.1" r="327" s="110">
      <c r="B327" s="110" t="n">
        <v>9</v>
      </c>
      <c r="C327" s="110">
        <f>C255-C254</f>
        <v/>
      </c>
      <c r="D327" s="110">
        <f>D255-D254</f>
        <v/>
      </c>
      <c r="E327" s="110">
        <f>E255-E254</f>
        <v/>
      </c>
      <c r="F327" s="110">
        <f>F255-F254</f>
        <v/>
      </c>
      <c r="G327" s="110">
        <f>G255-G254</f>
        <v/>
      </c>
      <c r="H327" s="110">
        <f>H255-H254</f>
        <v/>
      </c>
      <c r="I327" s="110">
        <f>I255-I254</f>
        <v/>
      </c>
      <c r="J327" s="110">
        <f>J255-J254</f>
        <v/>
      </c>
      <c r="K327" s="110">
        <f>K255-K254</f>
        <v/>
      </c>
      <c r="L327" s="110">
        <f>SUM(B327:K327)</f>
        <v/>
      </c>
      <c r="M327" s="151">
        <f>L255</f>
        <v/>
      </c>
    </row>
    <row customFormat="1" customHeight="1" ht="11.1" r="328" s="110">
      <c r="B328" s="110" t="n">
        <v>10</v>
      </c>
      <c r="C328" s="110">
        <f>C256-C255</f>
        <v/>
      </c>
      <c r="D328" s="110">
        <f>D256-D255</f>
        <v/>
      </c>
      <c r="E328" s="110">
        <f>E256-E255</f>
        <v/>
      </c>
      <c r="F328" s="110">
        <f>F256-F255</f>
        <v/>
      </c>
      <c r="G328" s="110">
        <f>G256-G255</f>
        <v/>
      </c>
      <c r="H328" s="110">
        <f>H256-H255</f>
        <v/>
      </c>
      <c r="I328" s="110">
        <f>I256-I255</f>
        <v/>
      </c>
      <c r="J328" s="110">
        <f>J256-J255</f>
        <v/>
      </c>
      <c r="K328" s="110">
        <f>K256-K255</f>
        <v/>
      </c>
      <c r="L328" s="110">
        <f>SUM(B328:K328)</f>
        <v/>
      </c>
      <c r="M328" s="151">
        <f>L256</f>
        <v/>
      </c>
    </row>
    <row customFormat="1" customHeight="1" ht="11.1" r="329" s="110">
      <c r="B329" s="110" t="n">
        <v>11</v>
      </c>
      <c r="C329" s="110">
        <f>C257-C256</f>
        <v/>
      </c>
      <c r="D329" s="110">
        <f>D257-D256</f>
        <v/>
      </c>
      <c r="E329" s="110">
        <f>E257-E256</f>
        <v/>
      </c>
      <c r="F329" s="110">
        <f>F257-F256</f>
        <v/>
      </c>
      <c r="G329" s="110">
        <f>G257-G256</f>
        <v/>
      </c>
      <c r="H329" s="110">
        <f>H257-H256</f>
        <v/>
      </c>
      <c r="I329" s="110">
        <f>I257-I256</f>
        <v/>
      </c>
      <c r="J329" s="110">
        <f>J257-J256</f>
        <v/>
      </c>
      <c r="K329" s="110">
        <f>K257-K256</f>
        <v/>
      </c>
      <c r="L329" s="110">
        <f>SUM(B329:K329)</f>
        <v/>
      </c>
      <c r="M329" s="151">
        <f>L257</f>
        <v/>
      </c>
    </row>
    <row customFormat="1" customHeight="1" ht="11.1" r="330" s="110">
      <c r="B330" s="110" t="n">
        <v>12</v>
      </c>
      <c r="C330" s="110">
        <f>C258-C257</f>
        <v/>
      </c>
      <c r="D330" s="110">
        <f>D258-D257</f>
        <v/>
      </c>
      <c r="E330" s="110">
        <f>E258-E257</f>
        <v/>
      </c>
      <c r="F330" s="110">
        <f>F258-F257</f>
        <v/>
      </c>
      <c r="G330" s="110">
        <f>G258-G257</f>
        <v/>
      </c>
      <c r="H330" s="110">
        <f>H258-H257</f>
        <v/>
      </c>
      <c r="I330" s="110">
        <f>I258-I257</f>
        <v/>
      </c>
      <c r="J330" s="110">
        <f>J258-J257</f>
        <v/>
      </c>
      <c r="K330" s="110">
        <f>K258-K257</f>
        <v/>
      </c>
      <c r="L330" s="110">
        <f>SUM(B330:K330)</f>
        <v/>
      </c>
      <c r="M330" s="151">
        <f>L258</f>
        <v/>
      </c>
    </row>
    <row customFormat="1" customHeight="1" ht="11.1" r="331" s="110">
      <c r="B331" s="110" t="n">
        <v>1</v>
      </c>
      <c r="C331" s="110">
        <f>C259-C258</f>
        <v/>
      </c>
      <c r="D331" s="110">
        <f>D259-D258</f>
        <v/>
      </c>
      <c r="E331" s="110">
        <f>E259-E258</f>
        <v/>
      </c>
      <c r="F331" s="110">
        <f>F259-F258</f>
        <v/>
      </c>
      <c r="G331" s="110">
        <f>G259-G258</f>
        <v/>
      </c>
      <c r="H331" s="110">
        <f>H259-H258</f>
        <v/>
      </c>
      <c r="I331" s="110">
        <f>I259-I258</f>
        <v/>
      </c>
      <c r="J331" s="110">
        <f>J259-J258</f>
        <v/>
      </c>
      <c r="K331" s="110">
        <f>K259-K258</f>
        <v/>
      </c>
      <c r="L331" s="110">
        <f>SUM(B331:K331)</f>
        <v/>
      </c>
      <c r="M331" s="151">
        <f>L259</f>
        <v/>
      </c>
    </row>
    <row customFormat="1" customHeight="1" ht="11.1" r="332" s="110">
      <c r="B332" s="110" t="n">
        <v>2</v>
      </c>
      <c r="C332" s="110">
        <f>C260-C259</f>
        <v/>
      </c>
      <c r="D332" s="110">
        <f>D260-D259</f>
        <v/>
      </c>
      <c r="E332" s="110">
        <f>E260-E259</f>
        <v/>
      </c>
      <c r="F332" s="110">
        <f>F260-F259</f>
        <v/>
      </c>
      <c r="G332" s="110">
        <f>G260-G259</f>
        <v/>
      </c>
      <c r="H332" s="110">
        <f>H260-H259</f>
        <v/>
      </c>
      <c r="I332" s="110">
        <f>I260-I259</f>
        <v/>
      </c>
      <c r="J332" s="110">
        <f>J260-J259</f>
        <v/>
      </c>
      <c r="K332" s="110">
        <f>K260-K259</f>
        <v/>
      </c>
      <c r="L332" s="110">
        <f>SUM(B332:K332)</f>
        <v/>
      </c>
      <c r="M332" s="151">
        <f>L260</f>
        <v/>
      </c>
    </row>
    <row customFormat="1" customHeight="1" ht="11.1" r="333" s="110">
      <c r="B333" s="110" t="n">
        <v>3</v>
      </c>
      <c r="C333" s="110">
        <f>C261-C260</f>
        <v/>
      </c>
      <c r="D333" s="110">
        <f>D261-D260</f>
        <v/>
      </c>
      <c r="E333" s="110">
        <f>E261-E260</f>
        <v/>
      </c>
      <c r="F333" s="110">
        <f>F261-F260</f>
        <v/>
      </c>
      <c r="G333" s="110">
        <f>G261-G260</f>
        <v/>
      </c>
      <c r="H333" s="110">
        <f>H261-H260</f>
        <v/>
      </c>
      <c r="I333" s="110">
        <f>I261-I260</f>
        <v/>
      </c>
      <c r="J333" s="110">
        <f>J261-J260</f>
        <v/>
      </c>
      <c r="K333" s="110">
        <f>K261-K260</f>
        <v/>
      </c>
      <c r="L333" s="110">
        <f>SUM(B333:K333)</f>
        <v/>
      </c>
      <c r="M333" s="151">
        <f>L261</f>
        <v/>
      </c>
    </row>
    <row customFormat="1" customHeight="1" ht="11.1" r="334" s="110">
      <c r="B334" s="110" t="n">
        <v>4</v>
      </c>
      <c r="C334" s="110">
        <f>C262-C261</f>
        <v/>
      </c>
      <c r="D334" s="110">
        <f>D262-D261</f>
        <v/>
      </c>
      <c r="E334" s="110">
        <f>E262-E261</f>
        <v/>
      </c>
      <c r="F334" s="110">
        <f>F262-F261</f>
        <v/>
      </c>
      <c r="G334" s="110">
        <f>G262-G261</f>
        <v/>
      </c>
      <c r="H334" s="110">
        <f>H262-H261</f>
        <v/>
      </c>
      <c r="I334" s="110">
        <f>I262-I261</f>
        <v/>
      </c>
      <c r="J334" s="110">
        <f>J262-J261</f>
        <v/>
      </c>
      <c r="K334" s="110">
        <f>K262-K261</f>
        <v/>
      </c>
      <c r="L334" s="110">
        <f>SUM(B334:K334)</f>
        <v/>
      </c>
      <c r="M334" s="151">
        <f>L262</f>
        <v/>
      </c>
    </row>
    <row customFormat="1" customHeight="1" ht="11.1" r="335" s="110">
      <c r="B335" s="110" t="n">
        <v>5</v>
      </c>
      <c r="C335" s="110">
        <f>C263-C262</f>
        <v/>
      </c>
      <c r="D335" s="110">
        <f>D263-D262</f>
        <v/>
      </c>
      <c r="E335" s="110">
        <f>E263-E262</f>
        <v/>
      </c>
      <c r="F335" s="110">
        <f>F263-F262</f>
        <v/>
      </c>
      <c r="G335" s="110">
        <f>G263-G262</f>
        <v/>
      </c>
      <c r="H335" s="110">
        <f>H263-H262</f>
        <v/>
      </c>
      <c r="I335" s="110">
        <f>I263-I262</f>
        <v/>
      </c>
      <c r="J335" s="110">
        <f>J263-J262</f>
        <v/>
      </c>
      <c r="K335" s="110">
        <f>K263-K262</f>
        <v/>
      </c>
      <c r="L335" s="110">
        <f>SUM(B335:K335)</f>
        <v/>
      </c>
      <c r="M335" s="151">
        <f>L263</f>
        <v/>
      </c>
    </row>
    <row customFormat="1" customHeight="1" ht="11.1" r="336" s="110">
      <c r="B336" s="110" t="n">
        <v>6</v>
      </c>
      <c r="C336" s="110">
        <f>C264-C263</f>
        <v/>
      </c>
      <c r="D336" s="110">
        <f>D264-D263</f>
        <v/>
      </c>
      <c r="E336" s="110">
        <f>E264-E263</f>
        <v/>
      </c>
      <c r="F336" s="110">
        <f>F264-F263</f>
        <v/>
      </c>
      <c r="G336" s="110">
        <f>G264-G263</f>
        <v/>
      </c>
      <c r="H336" s="110">
        <f>H264-H263</f>
        <v/>
      </c>
      <c r="I336" s="110">
        <f>I264-I263</f>
        <v/>
      </c>
      <c r="J336" s="110">
        <f>J264-J263</f>
        <v/>
      </c>
      <c r="K336" s="110">
        <f>K264-K263</f>
        <v/>
      </c>
      <c r="L336" s="110">
        <f>SUM(B336:K336)</f>
        <v/>
      </c>
      <c r="M336" s="151">
        <f>L264</f>
        <v/>
      </c>
    </row>
    <row customFormat="1" customHeight="1" ht="11.1" r="337" s="110">
      <c r="B337" s="110" t="n">
        <v>7</v>
      </c>
      <c r="C337" s="110">
        <f>C265-C264</f>
        <v/>
      </c>
      <c r="D337" s="110">
        <f>D265-D264</f>
        <v/>
      </c>
      <c r="E337" s="110">
        <f>E265-E264</f>
        <v/>
      </c>
      <c r="F337" s="110">
        <f>F265-F264</f>
        <v/>
      </c>
      <c r="G337" s="110">
        <f>G265-G264</f>
        <v/>
      </c>
      <c r="H337" s="110">
        <f>H265-H264</f>
        <v/>
      </c>
      <c r="I337" s="110">
        <f>I265-I264</f>
        <v/>
      </c>
      <c r="J337" s="110">
        <f>J265-J264</f>
        <v/>
      </c>
      <c r="K337" s="110">
        <f>K265-K264</f>
        <v/>
      </c>
      <c r="L337" s="110">
        <f>SUM(B337:K337)</f>
        <v/>
      </c>
      <c r="M337" s="151">
        <f>L265</f>
        <v/>
      </c>
    </row>
    <row customFormat="1" customHeight="1" ht="11.1" r="338" s="110">
      <c r="B338" s="110" t="n">
        <v>8</v>
      </c>
      <c r="C338" s="110">
        <f>C266-C265</f>
        <v/>
      </c>
      <c r="D338" s="110">
        <f>D266-D265</f>
        <v/>
      </c>
      <c r="E338" s="110">
        <f>E266-E265</f>
        <v/>
      </c>
      <c r="F338" s="110">
        <f>F266-F265</f>
        <v/>
      </c>
      <c r="G338" s="110">
        <f>G266-G265</f>
        <v/>
      </c>
      <c r="H338" s="110">
        <f>H266-H265</f>
        <v/>
      </c>
      <c r="I338" s="110">
        <f>I266-I265</f>
        <v/>
      </c>
      <c r="J338" s="110">
        <f>J266-J265</f>
        <v/>
      </c>
      <c r="K338" s="110">
        <f>K266-K265</f>
        <v/>
      </c>
      <c r="L338" s="110">
        <f>SUM(B338:K338)</f>
        <v/>
      </c>
      <c r="M338" s="151">
        <f>L266</f>
        <v/>
      </c>
    </row>
    <row customFormat="1" customHeight="1" ht="11.1" r="339" s="110">
      <c r="B339" s="110" t="n">
        <v>9</v>
      </c>
      <c r="C339" s="110">
        <f>C267-C266</f>
        <v/>
      </c>
      <c r="D339" s="110">
        <f>D267-D266</f>
        <v/>
      </c>
      <c r="E339" s="110">
        <f>E267-E266</f>
        <v/>
      </c>
      <c r="F339" s="110">
        <f>F267-F266</f>
        <v/>
      </c>
      <c r="G339" s="110">
        <f>G267-G266</f>
        <v/>
      </c>
      <c r="H339" s="110">
        <f>H267-H266</f>
        <v/>
      </c>
      <c r="I339" s="110">
        <f>I267-I266</f>
        <v/>
      </c>
      <c r="J339" s="110">
        <f>J267-J266</f>
        <v/>
      </c>
      <c r="K339" s="110">
        <f>K267-K266</f>
        <v/>
      </c>
      <c r="L339" s="110">
        <f>SUM(B339:K339)</f>
        <v/>
      </c>
      <c r="M339" s="151">
        <f>L267</f>
        <v/>
      </c>
    </row>
    <row customFormat="1" customHeight="1" ht="11.1" r="340" s="110">
      <c r="B340" s="110" t="n">
        <v>10</v>
      </c>
      <c r="C340" s="110">
        <f>C268-C267</f>
        <v/>
      </c>
      <c r="D340" s="110">
        <f>D268-D267</f>
        <v/>
      </c>
      <c r="E340" s="110">
        <f>E268-E267</f>
        <v/>
      </c>
      <c r="F340" s="110">
        <f>F268-F267</f>
        <v/>
      </c>
      <c r="G340" s="110">
        <f>G268-G267</f>
        <v/>
      </c>
      <c r="H340" s="110">
        <f>H268-H267</f>
        <v/>
      </c>
      <c r="I340" s="110">
        <f>I268-I267</f>
        <v/>
      </c>
      <c r="J340" s="110">
        <f>J268-J267</f>
        <v/>
      </c>
      <c r="K340" s="110">
        <f>K268-K267</f>
        <v/>
      </c>
      <c r="L340" s="110">
        <f>SUM(B340:K340)</f>
        <v/>
      </c>
      <c r="M340" s="151">
        <f>L268</f>
        <v/>
      </c>
    </row>
    <row customFormat="1" customHeight="1" ht="11.1" r="341" s="110">
      <c r="B341" s="110" t="n">
        <v>11</v>
      </c>
      <c r="C341" s="110">
        <f>C269-C268</f>
        <v/>
      </c>
      <c r="D341" s="110">
        <f>D269-D268</f>
        <v/>
      </c>
      <c r="E341" s="110">
        <f>E269-E268</f>
        <v/>
      </c>
      <c r="F341" s="110">
        <f>F269-F268</f>
        <v/>
      </c>
      <c r="G341" s="110">
        <f>G269-G268</f>
        <v/>
      </c>
      <c r="H341" s="110">
        <f>H269-H268</f>
        <v/>
      </c>
      <c r="I341" s="110">
        <f>I269-I268</f>
        <v/>
      </c>
      <c r="J341" s="110">
        <f>J269-J268</f>
        <v/>
      </c>
      <c r="K341" s="110">
        <f>K269-K268</f>
        <v/>
      </c>
      <c r="L341" s="110">
        <f>SUM(B341:K341)</f>
        <v/>
      </c>
      <c r="M341" s="151">
        <f>L269</f>
        <v/>
      </c>
    </row>
    <row customFormat="1" customHeight="1" ht="11.1" r="342" s="110">
      <c r="B342" s="110" t="n">
        <v>12</v>
      </c>
      <c r="C342" s="110">
        <f>C270-C269</f>
        <v/>
      </c>
      <c r="D342" s="110">
        <f>D270-D269</f>
        <v/>
      </c>
      <c r="E342" s="110">
        <f>E270-E269</f>
        <v/>
      </c>
      <c r="F342" s="110">
        <f>F270-F269</f>
        <v/>
      </c>
      <c r="G342" s="110">
        <f>G270-G269</f>
        <v/>
      </c>
      <c r="H342" s="110">
        <f>H270-H269</f>
        <v/>
      </c>
      <c r="I342" s="110">
        <f>I270-I269</f>
        <v/>
      </c>
      <c r="J342" s="110">
        <f>J270-J269</f>
        <v/>
      </c>
      <c r="K342" s="110">
        <f>K270-K269</f>
        <v/>
      </c>
      <c r="L342" s="110">
        <f>SUM(B342:K342)</f>
        <v/>
      </c>
      <c r="M342" s="151">
        <f>L270</f>
        <v/>
      </c>
    </row>
    <row customFormat="1" customHeight="1" ht="11.1" r="343" s="110">
      <c r="B343" s="110" t="n">
        <v>1</v>
      </c>
      <c r="C343" s="110">
        <f>C271-C270</f>
        <v/>
      </c>
      <c r="D343" s="110">
        <f>D271-D270</f>
        <v/>
      </c>
      <c r="E343" s="110">
        <f>E271-E270</f>
        <v/>
      </c>
      <c r="F343" s="110">
        <f>F271-F270</f>
        <v/>
      </c>
      <c r="G343" s="110">
        <f>G271-G270</f>
        <v/>
      </c>
      <c r="H343" s="110">
        <f>H271-H270</f>
        <v/>
      </c>
      <c r="I343" s="110">
        <f>I271-I270</f>
        <v/>
      </c>
      <c r="J343" s="110">
        <f>J271-J270</f>
        <v/>
      </c>
      <c r="K343" s="110">
        <f>K271-K270</f>
        <v/>
      </c>
      <c r="L343" s="110">
        <f>SUM(B343:K343)</f>
        <v/>
      </c>
      <c r="M343" s="151">
        <f>L271</f>
        <v/>
      </c>
    </row>
    <row customFormat="1" customHeight="1" ht="11.1" r="344" s="110">
      <c r="B344" s="110" t="n">
        <v>2</v>
      </c>
      <c r="C344" s="110">
        <f>C272-C271</f>
        <v/>
      </c>
      <c r="D344" s="110">
        <f>D272-D271</f>
        <v/>
      </c>
      <c r="E344" s="110">
        <f>E272-E271</f>
        <v/>
      </c>
      <c r="F344" s="110">
        <f>F272-F271</f>
        <v/>
      </c>
      <c r="G344" s="110">
        <f>G272-G271</f>
        <v/>
      </c>
      <c r="H344" s="110">
        <f>H272-H271</f>
        <v/>
      </c>
      <c r="I344" s="110">
        <f>I272-I271</f>
        <v/>
      </c>
      <c r="J344" s="110">
        <f>J272-J271</f>
        <v/>
      </c>
      <c r="K344" s="110">
        <f>K272-K271</f>
        <v/>
      </c>
      <c r="L344" s="110">
        <f>SUM(B344:K344)</f>
        <v/>
      </c>
      <c r="M344" s="151">
        <f>L272</f>
        <v/>
      </c>
    </row>
    <row customFormat="1" customHeight="1" ht="11.1" r="345" s="110">
      <c r="B345" s="110" t="n">
        <v>3</v>
      </c>
      <c r="C345" s="110">
        <f>C273-C272</f>
        <v/>
      </c>
      <c r="D345" s="110">
        <f>D273-D272</f>
        <v/>
      </c>
      <c r="E345" s="110">
        <f>E273-E272</f>
        <v/>
      </c>
      <c r="F345" s="110">
        <f>F273-F272</f>
        <v/>
      </c>
      <c r="G345" s="110">
        <f>G273-G272</f>
        <v/>
      </c>
      <c r="H345" s="110">
        <f>H273-H272</f>
        <v/>
      </c>
      <c r="I345" s="110">
        <f>I273-I272</f>
        <v/>
      </c>
      <c r="J345" s="110">
        <f>J273-J272</f>
        <v/>
      </c>
      <c r="K345" s="110">
        <f>K273-K272</f>
        <v/>
      </c>
      <c r="L345" s="110">
        <f>SUM(B345:K345)</f>
        <v/>
      </c>
      <c r="M345" s="151">
        <f>L273</f>
        <v/>
      </c>
    </row>
    <row customFormat="1" customHeight="1" ht="11.1" r="346" s="110">
      <c r="B346" s="110" t="n">
        <v>4</v>
      </c>
      <c r="C346" s="110">
        <f>C274-C273</f>
        <v/>
      </c>
      <c r="D346" s="110">
        <f>D274-D273</f>
        <v/>
      </c>
      <c r="E346" s="110">
        <f>E274-E273</f>
        <v/>
      </c>
      <c r="F346" s="110">
        <f>F274-F273</f>
        <v/>
      </c>
      <c r="G346" s="110">
        <f>G274-G273</f>
        <v/>
      </c>
      <c r="H346" s="110">
        <f>H274-H273</f>
        <v/>
      </c>
      <c r="I346" s="110">
        <f>I274-I273</f>
        <v/>
      </c>
      <c r="J346" s="110">
        <f>J274-J273</f>
        <v/>
      </c>
      <c r="K346" s="110">
        <f>K274-K273</f>
        <v/>
      </c>
      <c r="L346" s="110">
        <f>SUM(B346:K346)</f>
        <v/>
      </c>
      <c r="M346" s="151">
        <f>L274</f>
        <v/>
      </c>
    </row>
    <row customFormat="1" customHeight="1" ht="11.1" r="347" s="110">
      <c r="B347" s="110" t="n">
        <v>5</v>
      </c>
      <c r="C347" s="110">
        <f>C275-C274</f>
        <v/>
      </c>
      <c r="D347" s="110">
        <f>D275-D274</f>
        <v/>
      </c>
      <c r="E347" s="110">
        <f>E275-E274</f>
        <v/>
      </c>
      <c r="F347" s="110">
        <f>F275-F274</f>
        <v/>
      </c>
      <c r="G347" s="110">
        <f>G275-G274</f>
        <v/>
      </c>
      <c r="H347" s="110">
        <f>H275-H274</f>
        <v/>
      </c>
      <c r="I347" s="110">
        <f>I275-I274</f>
        <v/>
      </c>
      <c r="J347" s="110">
        <f>J275-J274</f>
        <v/>
      </c>
      <c r="K347" s="110">
        <f>K275-K274</f>
        <v/>
      </c>
      <c r="L347" s="110">
        <f>SUM(B347:K347)</f>
        <v/>
      </c>
      <c r="M347" s="151">
        <f>L275</f>
        <v/>
      </c>
    </row>
    <row customFormat="1" customHeight="1" ht="11.1" r="348" s="110">
      <c r="B348" s="110" t="n">
        <v>6</v>
      </c>
      <c r="C348" s="110">
        <f>C276-C275</f>
        <v/>
      </c>
      <c r="D348" s="110">
        <f>D276-D275</f>
        <v/>
      </c>
      <c r="E348" s="110">
        <f>E276-E275</f>
        <v/>
      </c>
      <c r="F348" s="110">
        <f>F276-F275</f>
        <v/>
      </c>
      <c r="G348" s="110">
        <f>G276-G275</f>
        <v/>
      </c>
      <c r="H348" s="110">
        <f>H276-H275</f>
        <v/>
      </c>
      <c r="I348" s="110">
        <f>I276-I275</f>
        <v/>
      </c>
      <c r="J348" s="110">
        <f>J276-J275</f>
        <v/>
      </c>
      <c r="K348" s="110">
        <f>K276-K275</f>
        <v/>
      </c>
      <c r="L348" s="110">
        <f>SUM(B348:K348)</f>
        <v/>
      </c>
      <c r="M348" s="151">
        <f>L276</f>
        <v/>
      </c>
    </row>
    <row customFormat="1" customHeight="1" ht="11.1" r="349" s="110">
      <c r="B349" s="110" t="n">
        <v>7</v>
      </c>
      <c r="C349" s="110">
        <f>C277-C276</f>
        <v/>
      </c>
      <c r="D349" s="110">
        <f>D277-D276</f>
        <v/>
      </c>
      <c r="E349" s="110">
        <f>E277-E276</f>
        <v/>
      </c>
      <c r="F349" s="110">
        <f>F277-F276</f>
        <v/>
      </c>
      <c r="G349" s="110">
        <f>G277-G276</f>
        <v/>
      </c>
      <c r="H349" s="110">
        <f>H277-H276</f>
        <v/>
      </c>
      <c r="I349" s="110">
        <f>I277-I276</f>
        <v/>
      </c>
      <c r="J349" s="110">
        <f>J277-J276</f>
        <v/>
      </c>
      <c r="K349" s="110">
        <f>K277-K276</f>
        <v/>
      </c>
      <c r="L349" s="110">
        <f>SUM(B349:K349)</f>
        <v/>
      </c>
      <c r="M349" s="151">
        <f>L277</f>
        <v/>
      </c>
    </row>
    <row customFormat="1" customHeight="1" ht="11.1" r="350" s="110">
      <c r="B350" s="110" t="n">
        <v>8</v>
      </c>
      <c r="C350" s="110">
        <f>C278-C277</f>
        <v/>
      </c>
      <c r="D350" s="110">
        <f>D278-D277</f>
        <v/>
      </c>
      <c r="E350" s="110">
        <f>E278-E277</f>
        <v/>
      </c>
      <c r="F350" s="110">
        <f>F278-F277</f>
        <v/>
      </c>
      <c r="G350" s="110">
        <f>G278-G277</f>
        <v/>
      </c>
      <c r="H350" s="110">
        <f>H278-H277</f>
        <v/>
      </c>
      <c r="I350" s="110">
        <f>I278-I277</f>
        <v/>
      </c>
      <c r="J350" s="110">
        <f>J278-J277</f>
        <v/>
      </c>
      <c r="K350" s="110">
        <f>K278-K277</f>
        <v/>
      </c>
      <c r="L350" s="110">
        <f>SUM(B350:K350)</f>
        <v/>
      </c>
      <c r="M350" s="151">
        <f>L278</f>
        <v/>
      </c>
    </row>
    <row customFormat="1" customHeight="1" ht="11.1" r="351" s="110">
      <c r="B351" s="110" t="n">
        <v>9</v>
      </c>
      <c r="C351" s="110">
        <f>C279-C278</f>
        <v/>
      </c>
      <c r="D351" s="110">
        <f>D279-D278</f>
        <v/>
      </c>
      <c r="E351" s="110">
        <f>E279-E278</f>
        <v/>
      </c>
      <c r="F351" s="110">
        <f>F279-F278</f>
        <v/>
      </c>
      <c r="G351" s="110">
        <f>G279-G278</f>
        <v/>
      </c>
      <c r="H351" s="110">
        <f>H279-H278</f>
        <v/>
      </c>
      <c r="I351" s="110">
        <f>I279-I278</f>
        <v/>
      </c>
      <c r="J351" s="110">
        <f>J279-J278</f>
        <v/>
      </c>
      <c r="K351" s="110">
        <f>K279-K278</f>
        <v/>
      </c>
      <c r="L351" s="110">
        <f>SUM(B351:K351)</f>
        <v/>
      </c>
      <c r="M351" s="151">
        <f>L279</f>
        <v/>
      </c>
    </row>
    <row customFormat="1" customHeight="1" ht="11.1" r="352" s="110">
      <c r="B352" s="110" t="n">
        <v>10</v>
      </c>
      <c r="C352" s="110">
        <f>C280-C279</f>
        <v/>
      </c>
      <c r="D352" s="110">
        <f>D280-D279</f>
        <v/>
      </c>
      <c r="E352" s="110">
        <f>E280-E279</f>
        <v/>
      </c>
      <c r="F352" s="110">
        <f>F280-F279</f>
        <v/>
      </c>
      <c r="G352" s="110">
        <f>G280-G279</f>
        <v/>
      </c>
      <c r="H352" s="110">
        <f>H280-H279</f>
        <v/>
      </c>
      <c r="I352" s="110">
        <f>I280-I279</f>
        <v/>
      </c>
      <c r="J352" s="110">
        <f>J280-J279</f>
        <v/>
      </c>
      <c r="K352" s="110">
        <f>K280-K279</f>
        <v/>
      </c>
      <c r="L352" s="110">
        <f>SUM(B352:K352)</f>
        <v/>
      </c>
      <c r="M352" s="151">
        <f>L280</f>
        <v/>
      </c>
    </row>
    <row customFormat="1" customHeight="1" ht="11.1" r="353" s="110">
      <c r="B353" s="110" t="n">
        <v>11</v>
      </c>
      <c r="C353" s="110">
        <f>C281-C280</f>
        <v/>
      </c>
      <c r="D353" s="110">
        <f>D281-D280</f>
        <v/>
      </c>
      <c r="E353" s="110">
        <f>E281-E280</f>
        <v/>
      </c>
      <c r="F353" s="110">
        <f>F281-F280</f>
        <v/>
      </c>
      <c r="G353" s="110">
        <f>G281-G280</f>
        <v/>
      </c>
      <c r="H353" s="110">
        <f>H281-H280</f>
        <v/>
      </c>
      <c r="I353" s="110">
        <f>I281-I280</f>
        <v/>
      </c>
      <c r="J353" s="110">
        <f>J281-J280</f>
        <v/>
      </c>
      <c r="K353" s="110">
        <f>K281-K280</f>
        <v/>
      </c>
      <c r="L353" s="110">
        <f>SUM(B353:K353)</f>
        <v/>
      </c>
      <c r="M353" s="151">
        <f>L281</f>
        <v/>
      </c>
    </row>
    <row customFormat="1" customHeight="1" ht="11.1" r="354" s="110">
      <c r="B354" s="110" t="n">
        <v>12</v>
      </c>
      <c r="C354" s="110">
        <f>C282-C281</f>
        <v/>
      </c>
      <c r="D354" s="110">
        <f>D282-D281</f>
        <v/>
      </c>
      <c r="E354" s="110">
        <f>E282-E281</f>
        <v/>
      </c>
      <c r="F354" s="110">
        <f>F282-F281</f>
        <v/>
      </c>
      <c r="G354" s="110">
        <f>G282-G281</f>
        <v/>
      </c>
      <c r="H354" s="110">
        <f>H282-H281</f>
        <v/>
      </c>
      <c r="I354" s="110">
        <f>I282-I281</f>
        <v/>
      </c>
      <c r="J354" s="110">
        <f>J282-J281</f>
        <v/>
      </c>
      <c r="K354" s="110">
        <f>K282-K281</f>
        <v/>
      </c>
      <c r="L354" s="110">
        <f>SUM(B354:K354)</f>
        <v/>
      </c>
      <c r="M354" s="151">
        <f>L282</f>
        <v/>
      </c>
    </row>
    <row customHeight="1" ht="11.1" r="355" s="391">
      <c r="B355" s="110" t="n">
        <v>1</v>
      </c>
      <c r="C355" s="110">
        <f>C283-C282</f>
        <v/>
      </c>
      <c r="D355" s="110">
        <f>D283-D282</f>
        <v/>
      </c>
      <c r="E355" s="110">
        <f>E283-E282</f>
        <v/>
      </c>
      <c r="F355" s="110">
        <f>F283-F282</f>
        <v/>
      </c>
      <c r="G355" s="110">
        <f>G283-G282</f>
        <v/>
      </c>
      <c r="H355" s="110">
        <f>H283-H282</f>
        <v/>
      </c>
      <c r="I355" s="110">
        <f>I283-I282</f>
        <v/>
      </c>
      <c r="J355" s="110">
        <f>J283-J282</f>
        <v/>
      </c>
      <c r="K355" s="110">
        <f>K283-K282</f>
        <v/>
      </c>
      <c r="L355" s="110">
        <f>SUM(B355:K355)</f>
        <v/>
      </c>
      <c r="M355" s="151">
        <f>L283</f>
        <v/>
      </c>
    </row>
    <row r="356">
      <c r="B356" s="110" t="n">
        <v>2</v>
      </c>
      <c r="C356" s="110">
        <f>C284-C283</f>
        <v/>
      </c>
      <c r="D356" s="110">
        <f>D284-D283</f>
        <v/>
      </c>
      <c r="E356" s="110">
        <f>E284-E283</f>
        <v/>
      </c>
      <c r="F356" s="110">
        <f>F284-F283</f>
        <v/>
      </c>
      <c r="G356" s="110">
        <f>G284-G283</f>
        <v/>
      </c>
      <c r="H356" s="110">
        <f>H284-H283</f>
        <v/>
      </c>
      <c r="I356" s="110">
        <f>I284-I283</f>
        <v/>
      </c>
      <c r="J356" s="110">
        <f>J284-J283</f>
        <v/>
      </c>
      <c r="K356" s="110">
        <f>K284-K283</f>
        <v/>
      </c>
      <c r="L356" s="110">
        <f>SUM(B356:K356)</f>
        <v/>
      </c>
      <c r="M356" s="151">
        <f>L284</f>
        <v/>
      </c>
    </row>
    <row r="357">
      <c r="B357" s="110" t="n">
        <v>3</v>
      </c>
      <c r="C357" s="110">
        <f>C285-C284</f>
        <v/>
      </c>
      <c r="D357" s="110">
        <f>D285-D284</f>
        <v/>
      </c>
      <c r="E357" s="110">
        <f>E285-E284</f>
        <v/>
      </c>
      <c r="F357" s="110">
        <f>F285-F284</f>
        <v/>
      </c>
      <c r="G357" s="110">
        <f>G285-G284</f>
        <v/>
      </c>
      <c r="H357" s="110">
        <f>H285-H284</f>
        <v/>
      </c>
      <c r="I357" s="110">
        <f>I285-I284</f>
        <v/>
      </c>
      <c r="J357" s="110">
        <f>J285-J284</f>
        <v/>
      </c>
      <c r="K357" s="110">
        <f>K285-K284</f>
        <v/>
      </c>
      <c r="L357" s="110">
        <f>SUM(B357:K357)</f>
        <v/>
      </c>
      <c r="M357" s="151">
        <f>L285</f>
        <v/>
      </c>
    </row>
    <row r="358">
      <c r="B358" s="110" t="n">
        <v>4</v>
      </c>
      <c r="C358" s="110">
        <f>C286-C285</f>
        <v/>
      </c>
      <c r="D358" s="110">
        <f>D286-D285</f>
        <v/>
      </c>
      <c r="E358" s="110">
        <f>E286-E285</f>
        <v/>
      </c>
      <c r="F358" s="110">
        <f>F286-F285</f>
        <v/>
      </c>
      <c r="G358" s="110">
        <f>G286-G285</f>
        <v/>
      </c>
      <c r="H358" s="110">
        <f>H286-H285</f>
        <v/>
      </c>
      <c r="I358" s="110">
        <f>I286-I285</f>
        <v/>
      </c>
      <c r="J358" s="110">
        <f>J286-J285</f>
        <v/>
      </c>
      <c r="K358" s="110">
        <f>K286-K285</f>
        <v/>
      </c>
      <c r="L358" s="110">
        <f>SUM(B358:K358)</f>
        <v/>
      </c>
      <c r="M358" s="151">
        <f>L286</f>
        <v/>
      </c>
    </row>
    <row r="359">
      <c r="B359" s="110" t="n">
        <v>5</v>
      </c>
      <c r="C359" s="110">
        <f>C287-C286</f>
        <v/>
      </c>
      <c r="D359" s="110">
        <f>D287-D286</f>
        <v/>
      </c>
      <c r="E359" s="110">
        <f>E287-E286</f>
        <v/>
      </c>
      <c r="F359" s="110">
        <f>F287-F286</f>
        <v/>
      </c>
      <c r="G359" s="110">
        <f>G287-G286</f>
        <v/>
      </c>
      <c r="H359" s="110">
        <f>H287-H286</f>
        <v/>
      </c>
      <c r="I359" s="110">
        <f>I287-I286</f>
        <v/>
      </c>
      <c r="J359" s="110">
        <f>J287-J286</f>
        <v/>
      </c>
      <c r="K359" s="110">
        <f>K287-K286</f>
        <v/>
      </c>
      <c r="L359" s="110">
        <f>SUM(B359:K359)</f>
        <v/>
      </c>
      <c r="M359" s="151">
        <f>L287</f>
        <v/>
      </c>
    </row>
    <row r="360">
      <c r="B360" s="110" t="n">
        <v>6</v>
      </c>
      <c r="C360" s="110">
        <f>C288-C287</f>
        <v/>
      </c>
      <c r="D360" s="110">
        <f>D288-D287</f>
        <v/>
      </c>
      <c r="E360" s="110">
        <f>E288-E287</f>
        <v/>
      </c>
      <c r="F360" s="110">
        <f>F288-F287</f>
        <v/>
      </c>
      <c r="G360" s="110">
        <f>G288-G287</f>
        <v/>
      </c>
      <c r="H360" s="110">
        <f>H288-H287</f>
        <v/>
      </c>
      <c r="I360" s="110">
        <f>I288-I287</f>
        <v/>
      </c>
      <c r="J360" s="110">
        <f>J288-J287</f>
        <v/>
      </c>
      <c r="K360" s="110">
        <f>K288-K287</f>
        <v/>
      </c>
      <c r="L360" s="110">
        <f>SUM(B360:K360)</f>
        <v/>
      </c>
      <c r="M360" s="151">
        <f>L288</f>
        <v/>
      </c>
    </row>
    <row r="361">
      <c r="B361" s="110" t="n">
        <v>7</v>
      </c>
      <c r="C361" s="110">
        <f>C289-C288</f>
        <v/>
      </c>
      <c r="D361" s="110">
        <f>D289-D288</f>
        <v/>
      </c>
      <c r="E361" s="110">
        <f>E289-E288</f>
        <v/>
      </c>
      <c r="F361" s="110">
        <f>F289-F288</f>
        <v/>
      </c>
      <c r="G361" s="110">
        <f>G289-G288</f>
        <v/>
      </c>
      <c r="H361" s="110">
        <f>H289-H288</f>
        <v/>
      </c>
      <c r="I361" s="110">
        <f>I289-I288</f>
        <v/>
      </c>
      <c r="J361" s="110">
        <f>J289-J288</f>
        <v/>
      </c>
      <c r="K361" s="110">
        <f>K289-K288</f>
        <v/>
      </c>
      <c r="L361" s="110">
        <f>SUM(B361:K361)</f>
        <v/>
      </c>
      <c r="M361" s="151">
        <f>L289</f>
        <v/>
      </c>
    </row>
  </sheetData>
  <mergeCells count="13">
    <mergeCell ref="L3:L4"/>
    <mergeCell ref="K3:K4"/>
    <mergeCell ref="A3:A4"/>
    <mergeCell ref="B3:B4"/>
    <mergeCell ref="C3:D3"/>
    <mergeCell ref="E3:F3"/>
    <mergeCell ref="H3:I3"/>
    <mergeCell ref="E290:F290"/>
    <mergeCell ref="C294:D294"/>
    <mergeCell ref="E294:F294"/>
    <mergeCell ref="E293:F293"/>
    <mergeCell ref="E292:F292"/>
    <mergeCell ref="E291:F291"/>
  </mergeCells>
  <pageMargins bottom="1" footer="0.5" header="0.5" left="0.75" right="0.75" top="1"/>
  <pageSetup horizontalDpi="300" orientation="landscape" paperSize="9" verticalDpi="300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294"/>
  <sheetViews>
    <sheetView workbookViewId="0">
      <pane activePane="bottomLeft" state="frozen" topLeftCell="A5" ySplit="4"/>
      <selection activeCell="M9" pane="bottomLeft" sqref="M9"/>
    </sheetView>
  </sheetViews>
  <sheetFormatPr baseColWidth="8" defaultColWidth="8.77734375" defaultRowHeight="12"/>
  <cols>
    <col customWidth="1" max="1" min="1" style="103" width="10.6640625"/>
    <col customWidth="1" max="2" min="2" style="103" width="5.77734375"/>
    <col customWidth="1" max="4" min="3" style="103" width="7.44140625"/>
    <col customWidth="1" max="5" min="5" style="103" width="9.33203125"/>
    <col customWidth="1" max="6" min="6" style="103" width="7.44140625"/>
    <col customWidth="1" max="7" min="7" style="103" width="8.77734375"/>
    <col customWidth="1" max="8" min="8" style="103" width="9.21875"/>
    <col customWidth="1" max="9" min="9" style="103" width="8.33203125"/>
    <col customWidth="1" max="10" min="10" style="103" width="5.6640625"/>
    <col customWidth="1" max="11" min="11" style="103" width="6.33203125"/>
    <col customWidth="1" max="12" min="12" style="103" width="5.6640625"/>
    <col customWidth="1" max="13" min="13" style="110" width="36"/>
    <col customWidth="1" max="14" min="14" style="103" width="9.88671875"/>
    <col customWidth="1" max="256" min="15" style="103" width="8.77734375"/>
    <col customWidth="1" max="257" min="257" style="103" width="12.109375"/>
    <col customWidth="1" max="258" min="258" style="103" width="7.109375"/>
    <col customWidth="1" max="259" min="259" style="103" width="9.44140625"/>
    <col customWidth="1" max="260" min="260" style="103" width="8.6640625"/>
    <col customWidth="1" max="261" min="261" style="103" width="6.109375"/>
    <col customWidth="1" max="262" min="262" style="103" width="8.109375"/>
    <col customWidth="1" max="263" min="263" style="103" width="10.44140625"/>
    <col customWidth="1" max="264" min="264" style="103" width="9.44140625"/>
    <col customWidth="1" max="265" min="265" style="103" width="9.6640625"/>
    <col customWidth="1" max="266" min="266" style="103" width="5.6640625"/>
    <col customWidth="1" max="267" min="267" style="103" width="6.33203125"/>
    <col customWidth="1" max="268" min="268" style="103" width="6.44140625"/>
    <col customWidth="1" max="269" min="269" style="103" width="36.5546875"/>
    <col customWidth="1" max="270" min="270" style="103" width="27.33203125"/>
    <col customWidth="1" max="512" min="271" style="103" width="8.77734375"/>
    <col customWidth="1" max="513" min="513" style="103" width="12.109375"/>
    <col customWidth="1" max="514" min="514" style="103" width="7.109375"/>
    <col customWidth="1" max="515" min="515" style="103" width="9.44140625"/>
    <col customWidth="1" max="516" min="516" style="103" width="8.6640625"/>
    <col customWidth="1" max="517" min="517" style="103" width="6.109375"/>
    <col customWidth="1" max="518" min="518" style="103" width="8.109375"/>
    <col customWidth="1" max="519" min="519" style="103" width="10.44140625"/>
    <col customWidth="1" max="520" min="520" style="103" width="9.44140625"/>
    <col customWidth="1" max="521" min="521" style="103" width="9.6640625"/>
    <col customWidth="1" max="522" min="522" style="103" width="5.6640625"/>
    <col customWidth="1" max="523" min="523" style="103" width="6.33203125"/>
    <col customWidth="1" max="524" min="524" style="103" width="6.44140625"/>
    <col customWidth="1" max="525" min="525" style="103" width="36.5546875"/>
    <col customWidth="1" max="526" min="526" style="103" width="27.33203125"/>
    <col customWidth="1" max="768" min="527" style="103" width="8.77734375"/>
    <col customWidth="1" max="769" min="769" style="103" width="12.109375"/>
    <col customWidth="1" max="770" min="770" style="103" width="7.109375"/>
    <col customWidth="1" max="771" min="771" style="103" width="9.44140625"/>
    <col customWidth="1" max="772" min="772" style="103" width="8.6640625"/>
    <col customWidth="1" max="773" min="773" style="103" width="6.109375"/>
    <col customWidth="1" max="774" min="774" style="103" width="8.109375"/>
    <col customWidth="1" max="775" min="775" style="103" width="10.44140625"/>
    <col customWidth="1" max="776" min="776" style="103" width="9.44140625"/>
    <col customWidth="1" max="777" min="777" style="103" width="9.6640625"/>
    <col customWidth="1" max="778" min="778" style="103" width="5.6640625"/>
    <col customWidth="1" max="779" min="779" style="103" width="6.33203125"/>
    <col customWidth="1" max="780" min="780" style="103" width="6.44140625"/>
    <col customWidth="1" max="781" min="781" style="103" width="36.5546875"/>
    <col customWidth="1" max="782" min="782" style="103" width="27.33203125"/>
    <col customWidth="1" max="1024" min="783" style="103" width="8.77734375"/>
    <col customWidth="1" max="1025" min="1025" style="103" width="12.109375"/>
    <col customWidth="1" max="1026" min="1026" style="103" width="7.109375"/>
    <col customWidth="1" max="1027" min="1027" style="103" width="9.44140625"/>
    <col customWidth="1" max="1028" min="1028" style="103" width="8.6640625"/>
    <col customWidth="1" max="1029" min="1029" style="103" width="6.109375"/>
    <col customWidth="1" max="1030" min="1030" style="103" width="8.109375"/>
    <col customWidth="1" max="1031" min="1031" style="103" width="10.44140625"/>
    <col customWidth="1" max="1032" min="1032" style="103" width="9.44140625"/>
    <col customWidth="1" max="1033" min="1033" style="103" width="9.6640625"/>
    <col customWidth="1" max="1034" min="1034" style="103" width="5.6640625"/>
    <col customWidth="1" max="1035" min="1035" style="103" width="6.33203125"/>
    <col customWidth="1" max="1036" min="1036" style="103" width="6.44140625"/>
    <col customWidth="1" max="1037" min="1037" style="103" width="36.5546875"/>
    <col customWidth="1" max="1038" min="1038" style="103" width="27.33203125"/>
    <col customWidth="1" max="1280" min="1039" style="103" width="8.77734375"/>
    <col customWidth="1" max="1281" min="1281" style="103" width="12.109375"/>
    <col customWidth="1" max="1282" min="1282" style="103" width="7.109375"/>
    <col customWidth="1" max="1283" min="1283" style="103" width="9.44140625"/>
    <col customWidth="1" max="1284" min="1284" style="103" width="8.6640625"/>
    <col customWidth="1" max="1285" min="1285" style="103" width="6.109375"/>
    <col customWidth="1" max="1286" min="1286" style="103" width="8.109375"/>
    <col customWidth="1" max="1287" min="1287" style="103" width="10.44140625"/>
    <col customWidth="1" max="1288" min="1288" style="103" width="9.44140625"/>
    <col customWidth="1" max="1289" min="1289" style="103" width="9.6640625"/>
    <col customWidth="1" max="1290" min="1290" style="103" width="5.6640625"/>
    <col customWidth="1" max="1291" min="1291" style="103" width="6.33203125"/>
    <col customWidth="1" max="1292" min="1292" style="103" width="6.44140625"/>
    <col customWidth="1" max="1293" min="1293" style="103" width="36.5546875"/>
    <col customWidth="1" max="1294" min="1294" style="103" width="27.33203125"/>
    <col customWidth="1" max="1536" min="1295" style="103" width="8.77734375"/>
    <col customWidth="1" max="1537" min="1537" style="103" width="12.109375"/>
    <col customWidth="1" max="1538" min="1538" style="103" width="7.109375"/>
    <col customWidth="1" max="1539" min="1539" style="103" width="9.44140625"/>
    <col customWidth="1" max="1540" min="1540" style="103" width="8.6640625"/>
    <col customWidth="1" max="1541" min="1541" style="103" width="6.109375"/>
    <col customWidth="1" max="1542" min="1542" style="103" width="8.109375"/>
    <col customWidth="1" max="1543" min="1543" style="103" width="10.44140625"/>
    <col customWidth="1" max="1544" min="1544" style="103" width="9.44140625"/>
    <col customWidth="1" max="1545" min="1545" style="103" width="9.6640625"/>
    <col customWidth="1" max="1546" min="1546" style="103" width="5.6640625"/>
    <col customWidth="1" max="1547" min="1547" style="103" width="6.33203125"/>
    <col customWidth="1" max="1548" min="1548" style="103" width="6.44140625"/>
    <col customWidth="1" max="1549" min="1549" style="103" width="36.5546875"/>
    <col customWidth="1" max="1550" min="1550" style="103" width="27.33203125"/>
    <col customWidth="1" max="1792" min="1551" style="103" width="8.77734375"/>
    <col customWidth="1" max="1793" min="1793" style="103" width="12.109375"/>
    <col customWidth="1" max="1794" min="1794" style="103" width="7.109375"/>
    <col customWidth="1" max="1795" min="1795" style="103" width="9.44140625"/>
    <col customWidth="1" max="1796" min="1796" style="103" width="8.6640625"/>
    <col customWidth="1" max="1797" min="1797" style="103" width="6.109375"/>
    <col customWidth="1" max="1798" min="1798" style="103" width="8.109375"/>
    <col customWidth="1" max="1799" min="1799" style="103" width="10.44140625"/>
    <col customWidth="1" max="1800" min="1800" style="103" width="9.44140625"/>
    <col customWidth="1" max="1801" min="1801" style="103" width="9.6640625"/>
    <col customWidth="1" max="1802" min="1802" style="103" width="5.6640625"/>
    <col customWidth="1" max="1803" min="1803" style="103" width="6.33203125"/>
    <col customWidth="1" max="1804" min="1804" style="103" width="6.44140625"/>
    <col customWidth="1" max="1805" min="1805" style="103" width="36.5546875"/>
    <col customWidth="1" max="1806" min="1806" style="103" width="27.33203125"/>
    <col customWidth="1" max="2048" min="1807" style="103" width="8.77734375"/>
    <col customWidth="1" max="2049" min="2049" style="103" width="12.109375"/>
    <col customWidth="1" max="2050" min="2050" style="103" width="7.109375"/>
    <col customWidth="1" max="2051" min="2051" style="103" width="9.44140625"/>
    <col customWidth="1" max="2052" min="2052" style="103" width="8.6640625"/>
    <col customWidth="1" max="2053" min="2053" style="103" width="6.109375"/>
    <col customWidth="1" max="2054" min="2054" style="103" width="8.109375"/>
    <col customWidth="1" max="2055" min="2055" style="103" width="10.44140625"/>
    <col customWidth="1" max="2056" min="2056" style="103" width="9.44140625"/>
    <col customWidth="1" max="2057" min="2057" style="103" width="9.6640625"/>
    <col customWidth="1" max="2058" min="2058" style="103" width="5.6640625"/>
    <col customWidth="1" max="2059" min="2059" style="103" width="6.33203125"/>
    <col customWidth="1" max="2060" min="2060" style="103" width="6.44140625"/>
    <col customWidth="1" max="2061" min="2061" style="103" width="36.5546875"/>
    <col customWidth="1" max="2062" min="2062" style="103" width="27.33203125"/>
    <col customWidth="1" max="2304" min="2063" style="103" width="8.77734375"/>
    <col customWidth="1" max="2305" min="2305" style="103" width="12.109375"/>
    <col customWidth="1" max="2306" min="2306" style="103" width="7.109375"/>
    <col customWidth="1" max="2307" min="2307" style="103" width="9.44140625"/>
    <col customWidth="1" max="2308" min="2308" style="103" width="8.6640625"/>
    <col customWidth="1" max="2309" min="2309" style="103" width="6.109375"/>
    <col customWidth="1" max="2310" min="2310" style="103" width="8.109375"/>
    <col customWidth="1" max="2311" min="2311" style="103" width="10.44140625"/>
    <col customWidth="1" max="2312" min="2312" style="103" width="9.44140625"/>
    <col customWidth="1" max="2313" min="2313" style="103" width="9.6640625"/>
    <col customWidth="1" max="2314" min="2314" style="103" width="5.6640625"/>
    <col customWidth="1" max="2315" min="2315" style="103" width="6.33203125"/>
    <col customWidth="1" max="2316" min="2316" style="103" width="6.44140625"/>
    <col customWidth="1" max="2317" min="2317" style="103" width="36.5546875"/>
    <col customWidth="1" max="2318" min="2318" style="103" width="27.33203125"/>
    <col customWidth="1" max="2560" min="2319" style="103" width="8.77734375"/>
    <col customWidth="1" max="2561" min="2561" style="103" width="12.109375"/>
    <col customWidth="1" max="2562" min="2562" style="103" width="7.109375"/>
    <col customWidth="1" max="2563" min="2563" style="103" width="9.44140625"/>
    <col customWidth="1" max="2564" min="2564" style="103" width="8.6640625"/>
    <col customWidth="1" max="2565" min="2565" style="103" width="6.109375"/>
    <col customWidth="1" max="2566" min="2566" style="103" width="8.109375"/>
    <col customWidth="1" max="2567" min="2567" style="103" width="10.44140625"/>
    <col customWidth="1" max="2568" min="2568" style="103" width="9.44140625"/>
    <col customWidth="1" max="2569" min="2569" style="103" width="9.6640625"/>
    <col customWidth="1" max="2570" min="2570" style="103" width="5.6640625"/>
    <col customWidth="1" max="2571" min="2571" style="103" width="6.33203125"/>
    <col customWidth="1" max="2572" min="2572" style="103" width="6.44140625"/>
    <col customWidth="1" max="2573" min="2573" style="103" width="36.5546875"/>
    <col customWidth="1" max="2574" min="2574" style="103" width="27.33203125"/>
    <col customWidth="1" max="2816" min="2575" style="103" width="8.77734375"/>
    <col customWidth="1" max="2817" min="2817" style="103" width="12.109375"/>
    <col customWidth="1" max="2818" min="2818" style="103" width="7.109375"/>
    <col customWidth="1" max="2819" min="2819" style="103" width="9.44140625"/>
    <col customWidth="1" max="2820" min="2820" style="103" width="8.6640625"/>
    <col customWidth="1" max="2821" min="2821" style="103" width="6.109375"/>
    <col customWidth="1" max="2822" min="2822" style="103" width="8.109375"/>
    <col customWidth="1" max="2823" min="2823" style="103" width="10.44140625"/>
    <col customWidth="1" max="2824" min="2824" style="103" width="9.44140625"/>
    <col customWidth="1" max="2825" min="2825" style="103" width="9.6640625"/>
    <col customWidth="1" max="2826" min="2826" style="103" width="5.6640625"/>
    <col customWidth="1" max="2827" min="2827" style="103" width="6.33203125"/>
    <col customWidth="1" max="2828" min="2828" style="103" width="6.44140625"/>
    <col customWidth="1" max="2829" min="2829" style="103" width="36.5546875"/>
    <col customWidth="1" max="2830" min="2830" style="103" width="27.33203125"/>
    <col customWidth="1" max="3072" min="2831" style="103" width="8.77734375"/>
    <col customWidth="1" max="3073" min="3073" style="103" width="12.109375"/>
    <col customWidth="1" max="3074" min="3074" style="103" width="7.109375"/>
    <col customWidth="1" max="3075" min="3075" style="103" width="9.44140625"/>
    <col customWidth="1" max="3076" min="3076" style="103" width="8.6640625"/>
    <col customWidth="1" max="3077" min="3077" style="103" width="6.109375"/>
    <col customWidth="1" max="3078" min="3078" style="103" width="8.109375"/>
    <col customWidth="1" max="3079" min="3079" style="103" width="10.44140625"/>
    <col customWidth="1" max="3080" min="3080" style="103" width="9.44140625"/>
    <col customWidth="1" max="3081" min="3081" style="103" width="9.6640625"/>
    <col customWidth="1" max="3082" min="3082" style="103" width="5.6640625"/>
    <col customWidth="1" max="3083" min="3083" style="103" width="6.33203125"/>
    <col customWidth="1" max="3084" min="3084" style="103" width="6.44140625"/>
    <col customWidth="1" max="3085" min="3085" style="103" width="36.5546875"/>
    <col customWidth="1" max="3086" min="3086" style="103" width="27.33203125"/>
    <col customWidth="1" max="3328" min="3087" style="103" width="8.77734375"/>
    <col customWidth="1" max="3329" min="3329" style="103" width="12.109375"/>
    <col customWidth="1" max="3330" min="3330" style="103" width="7.109375"/>
    <col customWidth="1" max="3331" min="3331" style="103" width="9.44140625"/>
    <col customWidth="1" max="3332" min="3332" style="103" width="8.6640625"/>
    <col customWidth="1" max="3333" min="3333" style="103" width="6.109375"/>
    <col customWidth="1" max="3334" min="3334" style="103" width="8.109375"/>
    <col customWidth="1" max="3335" min="3335" style="103" width="10.44140625"/>
    <col customWidth="1" max="3336" min="3336" style="103" width="9.44140625"/>
    <col customWidth="1" max="3337" min="3337" style="103" width="9.6640625"/>
    <col customWidth="1" max="3338" min="3338" style="103" width="5.6640625"/>
    <col customWidth="1" max="3339" min="3339" style="103" width="6.33203125"/>
    <col customWidth="1" max="3340" min="3340" style="103" width="6.44140625"/>
    <col customWidth="1" max="3341" min="3341" style="103" width="36.5546875"/>
    <col customWidth="1" max="3342" min="3342" style="103" width="27.33203125"/>
    <col customWidth="1" max="3584" min="3343" style="103" width="8.77734375"/>
    <col customWidth="1" max="3585" min="3585" style="103" width="12.109375"/>
    <col customWidth="1" max="3586" min="3586" style="103" width="7.109375"/>
    <col customWidth="1" max="3587" min="3587" style="103" width="9.44140625"/>
    <col customWidth="1" max="3588" min="3588" style="103" width="8.6640625"/>
    <col customWidth="1" max="3589" min="3589" style="103" width="6.109375"/>
    <col customWidth="1" max="3590" min="3590" style="103" width="8.109375"/>
    <col customWidth="1" max="3591" min="3591" style="103" width="10.44140625"/>
    <col customWidth="1" max="3592" min="3592" style="103" width="9.44140625"/>
    <col customWidth="1" max="3593" min="3593" style="103" width="9.6640625"/>
    <col customWidth="1" max="3594" min="3594" style="103" width="5.6640625"/>
    <col customWidth="1" max="3595" min="3595" style="103" width="6.33203125"/>
    <col customWidth="1" max="3596" min="3596" style="103" width="6.44140625"/>
    <col customWidth="1" max="3597" min="3597" style="103" width="36.5546875"/>
    <col customWidth="1" max="3598" min="3598" style="103" width="27.33203125"/>
    <col customWidth="1" max="3840" min="3599" style="103" width="8.77734375"/>
    <col customWidth="1" max="3841" min="3841" style="103" width="12.109375"/>
    <col customWidth="1" max="3842" min="3842" style="103" width="7.109375"/>
    <col customWidth="1" max="3843" min="3843" style="103" width="9.44140625"/>
    <col customWidth="1" max="3844" min="3844" style="103" width="8.6640625"/>
    <col customWidth="1" max="3845" min="3845" style="103" width="6.109375"/>
    <col customWidth="1" max="3846" min="3846" style="103" width="8.109375"/>
    <col customWidth="1" max="3847" min="3847" style="103" width="10.44140625"/>
    <col customWidth="1" max="3848" min="3848" style="103" width="9.44140625"/>
    <col customWidth="1" max="3849" min="3849" style="103" width="9.6640625"/>
    <col customWidth="1" max="3850" min="3850" style="103" width="5.6640625"/>
    <col customWidth="1" max="3851" min="3851" style="103" width="6.33203125"/>
    <col customWidth="1" max="3852" min="3852" style="103" width="6.44140625"/>
    <col customWidth="1" max="3853" min="3853" style="103" width="36.5546875"/>
    <col customWidth="1" max="3854" min="3854" style="103" width="27.33203125"/>
    <col customWidth="1" max="4096" min="3855" style="103" width="8.77734375"/>
    <col customWidth="1" max="4097" min="4097" style="103" width="12.109375"/>
    <col customWidth="1" max="4098" min="4098" style="103" width="7.109375"/>
    <col customWidth="1" max="4099" min="4099" style="103" width="9.44140625"/>
    <col customWidth="1" max="4100" min="4100" style="103" width="8.6640625"/>
    <col customWidth="1" max="4101" min="4101" style="103" width="6.109375"/>
    <col customWidth="1" max="4102" min="4102" style="103" width="8.109375"/>
    <col customWidth="1" max="4103" min="4103" style="103" width="10.44140625"/>
    <col customWidth="1" max="4104" min="4104" style="103" width="9.44140625"/>
    <col customWidth="1" max="4105" min="4105" style="103" width="9.6640625"/>
    <col customWidth="1" max="4106" min="4106" style="103" width="5.6640625"/>
    <col customWidth="1" max="4107" min="4107" style="103" width="6.33203125"/>
    <col customWidth="1" max="4108" min="4108" style="103" width="6.44140625"/>
    <col customWidth="1" max="4109" min="4109" style="103" width="36.5546875"/>
    <col customWidth="1" max="4110" min="4110" style="103" width="27.33203125"/>
    <col customWidth="1" max="4352" min="4111" style="103" width="8.77734375"/>
    <col customWidth="1" max="4353" min="4353" style="103" width="12.109375"/>
    <col customWidth="1" max="4354" min="4354" style="103" width="7.109375"/>
    <col customWidth="1" max="4355" min="4355" style="103" width="9.44140625"/>
    <col customWidth="1" max="4356" min="4356" style="103" width="8.6640625"/>
    <col customWidth="1" max="4357" min="4357" style="103" width="6.109375"/>
    <col customWidth="1" max="4358" min="4358" style="103" width="8.109375"/>
    <col customWidth="1" max="4359" min="4359" style="103" width="10.44140625"/>
    <col customWidth="1" max="4360" min="4360" style="103" width="9.44140625"/>
    <col customWidth="1" max="4361" min="4361" style="103" width="9.6640625"/>
    <col customWidth="1" max="4362" min="4362" style="103" width="5.6640625"/>
    <col customWidth="1" max="4363" min="4363" style="103" width="6.33203125"/>
    <col customWidth="1" max="4364" min="4364" style="103" width="6.44140625"/>
    <col customWidth="1" max="4365" min="4365" style="103" width="36.5546875"/>
    <col customWidth="1" max="4366" min="4366" style="103" width="27.33203125"/>
    <col customWidth="1" max="4608" min="4367" style="103" width="8.77734375"/>
    <col customWidth="1" max="4609" min="4609" style="103" width="12.109375"/>
    <col customWidth="1" max="4610" min="4610" style="103" width="7.109375"/>
    <col customWidth="1" max="4611" min="4611" style="103" width="9.44140625"/>
    <col customWidth="1" max="4612" min="4612" style="103" width="8.6640625"/>
    <col customWidth="1" max="4613" min="4613" style="103" width="6.109375"/>
    <col customWidth="1" max="4614" min="4614" style="103" width="8.109375"/>
    <col customWidth="1" max="4615" min="4615" style="103" width="10.44140625"/>
    <col customWidth="1" max="4616" min="4616" style="103" width="9.44140625"/>
    <col customWidth="1" max="4617" min="4617" style="103" width="9.6640625"/>
    <col customWidth="1" max="4618" min="4618" style="103" width="5.6640625"/>
    <col customWidth="1" max="4619" min="4619" style="103" width="6.33203125"/>
    <col customWidth="1" max="4620" min="4620" style="103" width="6.44140625"/>
    <col customWidth="1" max="4621" min="4621" style="103" width="36.5546875"/>
    <col customWidth="1" max="4622" min="4622" style="103" width="27.33203125"/>
    <col customWidth="1" max="4864" min="4623" style="103" width="8.77734375"/>
    <col customWidth="1" max="4865" min="4865" style="103" width="12.109375"/>
    <col customWidth="1" max="4866" min="4866" style="103" width="7.109375"/>
    <col customWidth="1" max="4867" min="4867" style="103" width="9.44140625"/>
    <col customWidth="1" max="4868" min="4868" style="103" width="8.6640625"/>
    <col customWidth="1" max="4869" min="4869" style="103" width="6.109375"/>
    <col customWidth="1" max="4870" min="4870" style="103" width="8.109375"/>
    <col customWidth="1" max="4871" min="4871" style="103" width="10.44140625"/>
    <col customWidth="1" max="4872" min="4872" style="103" width="9.44140625"/>
    <col customWidth="1" max="4873" min="4873" style="103" width="9.6640625"/>
    <col customWidth="1" max="4874" min="4874" style="103" width="5.6640625"/>
    <col customWidth="1" max="4875" min="4875" style="103" width="6.33203125"/>
    <col customWidth="1" max="4876" min="4876" style="103" width="6.44140625"/>
    <col customWidth="1" max="4877" min="4877" style="103" width="36.5546875"/>
    <col customWidth="1" max="4878" min="4878" style="103" width="27.33203125"/>
    <col customWidth="1" max="5120" min="4879" style="103" width="8.77734375"/>
    <col customWidth="1" max="5121" min="5121" style="103" width="12.109375"/>
    <col customWidth="1" max="5122" min="5122" style="103" width="7.109375"/>
    <col customWidth="1" max="5123" min="5123" style="103" width="9.44140625"/>
    <col customWidth="1" max="5124" min="5124" style="103" width="8.6640625"/>
    <col customWidth="1" max="5125" min="5125" style="103" width="6.109375"/>
    <col customWidth="1" max="5126" min="5126" style="103" width="8.109375"/>
    <col customWidth="1" max="5127" min="5127" style="103" width="10.44140625"/>
    <col customWidth="1" max="5128" min="5128" style="103" width="9.44140625"/>
    <col customWidth="1" max="5129" min="5129" style="103" width="9.6640625"/>
    <col customWidth="1" max="5130" min="5130" style="103" width="5.6640625"/>
    <col customWidth="1" max="5131" min="5131" style="103" width="6.33203125"/>
    <col customWidth="1" max="5132" min="5132" style="103" width="6.44140625"/>
    <col customWidth="1" max="5133" min="5133" style="103" width="36.5546875"/>
    <col customWidth="1" max="5134" min="5134" style="103" width="27.33203125"/>
    <col customWidth="1" max="5376" min="5135" style="103" width="8.77734375"/>
    <col customWidth="1" max="5377" min="5377" style="103" width="12.109375"/>
    <col customWidth="1" max="5378" min="5378" style="103" width="7.109375"/>
    <col customWidth="1" max="5379" min="5379" style="103" width="9.44140625"/>
    <col customWidth="1" max="5380" min="5380" style="103" width="8.6640625"/>
    <col customWidth="1" max="5381" min="5381" style="103" width="6.109375"/>
    <col customWidth="1" max="5382" min="5382" style="103" width="8.109375"/>
    <col customWidth="1" max="5383" min="5383" style="103" width="10.44140625"/>
    <col customWidth="1" max="5384" min="5384" style="103" width="9.44140625"/>
    <col customWidth="1" max="5385" min="5385" style="103" width="9.6640625"/>
    <col customWidth="1" max="5386" min="5386" style="103" width="5.6640625"/>
    <col customWidth="1" max="5387" min="5387" style="103" width="6.33203125"/>
    <col customWidth="1" max="5388" min="5388" style="103" width="6.44140625"/>
    <col customWidth="1" max="5389" min="5389" style="103" width="36.5546875"/>
    <col customWidth="1" max="5390" min="5390" style="103" width="27.33203125"/>
    <col customWidth="1" max="5632" min="5391" style="103" width="8.77734375"/>
    <col customWidth="1" max="5633" min="5633" style="103" width="12.109375"/>
    <col customWidth="1" max="5634" min="5634" style="103" width="7.109375"/>
    <col customWidth="1" max="5635" min="5635" style="103" width="9.44140625"/>
    <col customWidth="1" max="5636" min="5636" style="103" width="8.6640625"/>
    <col customWidth="1" max="5637" min="5637" style="103" width="6.109375"/>
    <col customWidth="1" max="5638" min="5638" style="103" width="8.109375"/>
    <col customWidth="1" max="5639" min="5639" style="103" width="10.44140625"/>
    <col customWidth="1" max="5640" min="5640" style="103" width="9.44140625"/>
    <col customWidth="1" max="5641" min="5641" style="103" width="9.6640625"/>
    <col customWidth="1" max="5642" min="5642" style="103" width="5.6640625"/>
    <col customWidth="1" max="5643" min="5643" style="103" width="6.33203125"/>
    <col customWidth="1" max="5644" min="5644" style="103" width="6.44140625"/>
    <col customWidth="1" max="5645" min="5645" style="103" width="36.5546875"/>
    <col customWidth="1" max="5646" min="5646" style="103" width="27.33203125"/>
    <col customWidth="1" max="5888" min="5647" style="103" width="8.77734375"/>
    <col customWidth="1" max="5889" min="5889" style="103" width="12.109375"/>
    <col customWidth="1" max="5890" min="5890" style="103" width="7.109375"/>
    <col customWidth="1" max="5891" min="5891" style="103" width="9.44140625"/>
    <col customWidth="1" max="5892" min="5892" style="103" width="8.6640625"/>
    <col customWidth="1" max="5893" min="5893" style="103" width="6.109375"/>
    <col customWidth="1" max="5894" min="5894" style="103" width="8.109375"/>
    <col customWidth="1" max="5895" min="5895" style="103" width="10.44140625"/>
    <col customWidth="1" max="5896" min="5896" style="103" width="9.44140625"/>
    <col customWidth="1" max="5897" min="5897" style="103" width="9.6640625"/>
    <col customWidth="1" max="5898" min="5898" style="103" width="5.6640625"/>
    <col customWidth="1" max="5899" min="5899" style="103" width="6.33203125"/>
    <col customWidth="1" max="5900" min="5900" style="103" width="6.44140625"/>
    <col customWidth="1" max="5901" min="5901" style="103" width="36.5546875"/>
    <col customWidth="1" max="5902" min="5902" style="103" width="27.33203125"/>
    <col customWidth="1" max="6144" min="5903" style="103" width="8.77734375"/>
    <col customWidth="1" max="6145" min="6145" style="103" width="12.109375"/>
    <col customWidth="1" max="6146" min="6146" style="103" width="7.109375"/>
    <col customWidth="1" max="6147" min="6147" style="103" width="9.44140625"/>
    <col customWidth="1" max="6148" min="6148" style="103" width="8.6640625"/>
    <col customWidth="1" max="6149" min="6149" style="103" width="6.109375"/>
    <col customWidth="1" max="6150" min="6150" style="103" width="8.109375"/>
    <col customWidth="1" max="6151" min="6151" style="103" width="10.44140625"/>
    <col customWidth="1" max="6152" min="6152" style="103" width="9.44140625"/>
    <col customWidth="1" max="6153" min="6153" style="103" width="9.6640625"/>
    <col customWidth="1" max="6154" min="6154" style="103" width="5.6640625"/>
    <col customWidth="1" max="6155" min="6155" style="103" width="6.33203125"/>
    <col customWidth="1" max="6156" min="6156" style="103" width="6.44140625"/>
    <col customWidth="1" max="6157" min="6157" style="103" width="36.5546875"/>
    <col customWidth="1" max="6158" min="6158" style="103" width="27.33203125"/>
    <col customWidth="1" max="6400" min="6159" style="103" width="8.77734375"/>
    <col customWidth="1" max="6401" min="6401" style="103" width="12.109375"/>
    <col customWidth="1" max="6402" min="6402" style="103" width="7.109375"/>
    <col customWidth="1" max="6403" min="6403" style="103" width="9.44140625"/>
    <col customWidth="1" max="6404" min="6404" style="103" width="8.6640625"/>
    <col customWidth="1" max="6405" min="6405" style="103" width="6.109375"/>
    <col customWidth="1" max="6406" min="6406" style="103" width="8.109375"/>
    <col customWidth="1" max="6407" min="6407" style="103" width="10.44140625"/>
    <col customWidth="1" max="6408" min="6408" style="103" width="9.44140625"/>
    <col customWidth="1" max="6409" min="6409" style="103" width="9.6640625"/>
    <col customWidth="1" max="6410" min="6410" style="103" width="5.6640625"/>
    <col customWidth="1" max="6411" min="6411" style="103" width="6.33203125"/>
    <col customWidth="1" max="6412" min="6412" style="103" width="6.44140625"/>
    <col customWidth="1" max="6413" min="6413" style="103" width="36.5546875"/>
    <col customWidth="1" max="6414" min="6414" style="103" width="27.33203125"/>
    <col customWidth="1" max="6656" min="6415" style="103" width="8.77734375"/>
    <col customWidth="1" max="6657" min="6657" style="103" width="12.109375"/>
    <col customWidth="1" max="6658" min="6658" style="103" width="7.109375"/>
    <col customWidth="1" max="6659" min="6659" style="103" width="9.44140625"/>
    <col customWidth="1" max="6660" min="6660" style="103" width="8.6640625"/>
    <col customWidth="1" max="6661" min="6661" style="103" width="6.109375"/>
    <col customWidth="1" max="6662" min="6662" style="103" width="8.109375"/>
    <col customWidth="1" max="6663" min="6663" style="103" width="10.44140625"/>
    <col customWidth="1" max="6664" min="6664" style="103" width="9.44140625"/>
    <col customWidth="1" max="6665" min="6665" style="103" width="9.6640625"/>
    <col customWidth="1" max="6666" min="6666" style="103" width="5.6640625"/>
    <col customWidth="1" max="6667" min="6667" style="103" width="6.33203125"/>
    <col customWidth="1" max="6668" min="6668" style="103" width="6.44140625"/>
    <col customWidth="1" max="6669" min="6669" style="103" width="36.5546875"/>
    <col customWidth="1" max="6670" min="6670" style="103" width="27.33203125"/>
    <col customWidth="1" max="6912" min="6671" style="103" width="8.77734375"/>
    <col customWidth="1" max="6913" min="6913" style="103" width="12.109375"/>
    <col customWidth="1" max="6914" min="6914" style="103" width="7.109375"/>
    <col customWidth="1" max="6915" min="6915" style="103" width="9.44140625"/>
    <col customWidth="1" max="6916" min="6916" style="103" width="8.6640625"/>
    <col customWidth="1" max="6917" min="6917" style="103" width="6.109375"/>
    <col customWidth="1" max="6918" min="6918" style="103" width="8.109375"/>
    <col customWidth="1" max="6919" min="6919" style="103" width="10.44140625"/>
    <col customWidth="1" max="6920" min="6920" style="103" width="9.44140625"/>
    <col customWidth="1" max="6921" min="6921" style="103" width="9.6640625"/>
    <col customWidth="1" max="6922" min="6922" style="103" width="5.6640625"/>
    <col customWidth="1" max="6923" min="6923" style="103" width="6.33203125"/>
    <col customWidth="1" max="6924" min="6924" style="103" width="6.44140625"/>
    <col customWidth="1" max="6925" min="6925" style="103" width="36.5546875"/>
    <col customWidth="1" max="6926" min="6926" style="103" width="27.33203125"/>
    <col customWidth="1" max="7168" min="6927" style="103" width="8.77734375"/>
    <col customWidth="1" max="7169" min="7169" style="103" width="12.109375"/>
    <col customWidth="1" max="7170" min="7170" style="103" width="7.109375"/>
    <col customWidth="1" max="7171" min="7171" style="103" width="9.44140625"/>
    <col customWidth="1" max="7172" min="7172" style="103" width="8.6640625"/>
    <col customWidth="1" max="7173" min="7173" style="103" width="6.109375"/>
    <col customWidth="1" max="7174" min="7174" style="103" width="8.109375"/>
    <col customWidth="1" max="7175" min="7175" style="103" width="10.44140625"/>
    <col customWidth="1" max="7176" min="7176" style="103" width="9.44140625"/>
    <col customWidth="1" max="7177" min="7177" style="103" width="9.6640625"/>
    <col customWidth="1" max="7178" min="7178" style="103" width="5.6640625"/>
    <col customWidth="1" max="7179" min="7179" style="103" width="6.33203125"/>
    <col customWidth="1" max="7180" min="7180" style="103" width="6.44140625"/>
    <col customWidth="1" max="7181" min="7181" style="103" width="36.5546875"/>
    <col customWidth="1" max="7182" min="7182" style="103" width="27.33203125"/>
    <col customWidth="1" max="7424" min="7183" style="103" width="8.77734375"/>
    <col customWidth="1" max="7425" min="7425" style="103" width="12.109375"/>
    <col customWidth="1" max="7426" min="7426" style="103" width="7.109375"/>
    <col customWidth="1" max="7427" min="7427" style="103" width="9.44140625"/>
    <col customWidth="1" max="7428" min="7428" style="103" width="8.6640625"/>
    <col customWidth="1" max="7429" min="7429" style="103" width="6.109375"/>
    <col customWidth="1" max="7430" min="7430" style="103" width="8.109375"/>
    <col customWidth="1" max="7431" min="7431" style="103" width="10.44140625"/>
    <col customWidth="1" max="7432" min="7432" style="103" width="9.44140625"/>
    <col customWidth="1" max="7433" min="7433" style="103" width="9.6640625"/>
    <col customWidth="1" max="7434" min="7434" style="103" width="5.6640625"/>
    <col customWidth="1" max="7435" min="7435" style="103" width="6.33203125"/>
    <col customWidth="1" max="7436" min="7436" style="103" width="6.44140625"/>
    <col customWidth="1" max="7437" min="7437" style="103" width="36.5546875"/>
    <col customWidth="1" max="7438" min="7438" style="103" width="27.33203125"/>
    <col customWidth="1" max="7680" min="7439" style="103" width="8.77734375"/>
    <col customWidth="1" max="7681" min="7681" style="103" width="12.109375"/>
    <col customWidth="1" max="7682" min="7682" style="103" width="7.109375"/>
    <col customWidth="1" max="7683" min="7683" style="103" width="9.44140625"/>
    <col customWidth="1" max="7684" min="7684" style="103" width="8.6640625"/>
    <col customWidth="1" max="7685" min="7685" style="103" width="6.109375"/>
    <col customWidth="1" max="7686" min="7686" style="103" width="8.109375"/>
    <col customWidth="1" max="7687" min="7687" style="103" width="10.44140625"/>
    <col customWidth="1" max="7688" min="7688" style="103" width="9.44140625"/>
    <col customWidth="1" max="7689" min="7689" style="103" width="9.6640625"/>
    <col customWidth="1" max="7690" min="7690" style="103" width="5.6640625"/>
    <col customWidth="1" max="7691" min="7691" style="103" width="6.33203125"/>
    <col customWidth="1" max="7692" min="7692" style="103" width="6.44140625"/>
    <col customWidth="1" max="7693" min="7693" style="103" width="36.5546875"/>
    <col customWidth="1" max="7694" min="7694" style="103" width="27.33203125"/>
    <col customWidth="1" max="7936" min="7695" style="103" width="8.77734375"/>
    <col customWidth="1" max="7937" min="7937" style="103" width="12.109375"/>
    <col customWidth="1" max="7938" min="7938" style="103" width="7.109375"/>
    <col customWidth="1" max="7939" min="7939" style="103" width="9.44140625"/>
    <col customWidth="1" max="7940" min="7940" style="103" width="8.6640625"/>
    <col customWidth="1" max="7941" min="7941" style="103" width="6.109375"/>
    <col customWidth="1" max="7942" min="7942" style="103" width="8.109375"/>
    <col customWidth="1" max="7943" min="7943" style="103" width="10.44140625"/>
    <col customWidth="1" max="7944" min="7944" style="103" width="9.44140625"/>
    <col customWidth="1" max="7945" min="7945" style="103" width="9.6640625"/>
    <col customWidth="1" max="7946" min="7946" style="103" width="5.6640625"/>
    <col customWidth="1" max="7947" min="7947" style="103" width="6.33203125"/>
    <col customWidth="1" max="7948" min="7948" style="103" width="6.44140625"/>
    <col customWidth="1" max="7949" min="7949" style="103" width="36.5546875"/>
    <col customWidth="1" max="7950" min="7950" style="103" width="27.33203125"/>
    <col customWidth="1" max="8192" min="7951" style="103" width="8.77734375"/>
    <col customWidth="1" max="8193" min="8193" style="103" width="12.109375"/>
    <col customWidth="1" max="8194" min="8194" style="103" width="7.109375"/>
    <col customWidth="1" max="8195" min="8195" style="103" width="9.44140625"/>
    <col customWidth="1" max="8196" min="8196" style="103" width="8.6640625"/>
    <col customWidth="1" max="8197" min="8197" style="103" width="6.109375"/>
    <col customWidth="1" max="8198" min="8198" style="103" width="8.109375"/>
    <col customWidth="1" max="8199" min="8199" style="103" width="10.44140625"/>
    <col customWidth="1" max="8200" min="8200" style="103" width="9.44140625"/>
    <col customWidth="1" max="8201" min="8201" style="103" width="9.6640625"/>
    <col customWidth="1" max="8202" min="8202" style="103" width="5.6640625"/>
    <col customWidth="1" max="8203" min="8203" style="103" width="6.33203125"/>
    <col customWidth="1" max="8204" min="8204" style="103" width="6.44140625"/>
    <col customWidth="1" max="8205" min="8205" style="103" width="36.5546875"/>
    <col customWidth="1" max="8206" min="8206" style="103" width="27.33203125"/>
    <col customWidth="1" max="8448" min="8207" style="103" width="8.77734375"/>
    <col customWidth="1" max="8449" min="8449" style="103" width="12.109375"/>
    <col customWidth="1" max="8450" min="8450" style="103" width="7.109375"/>
    <col customWidth="1" max="8451" min="8451" style="103" width="9.44140625"/>
    <col customWidth="1" max="8452" min="8452" style="103" width="8.6640625"/>
    <col customWidth="1" max="8453" min="8453" style="103" width="6.109375"/>
    <col customWidth="1" max="8454" min="8454" style="103" width="8.109375"/>
    <col customWidth="1" max="8455" min="8455" style="103" width="10.44140625"/>
    <col customWidth="1" max="8456" min="8456" style="103" width="9.44140625"/>
    <col customWidth="1" max="8457" min="8457" style="103" width="9.6640625"/>
    <col customWidth="1" max="8458" min="8458" style="103" width="5.6640625"/>
    <col customWidth="1" max="8459" min="8459" style="103" width="6.33203125"/>
    <col customWidth="1" max="8460" min="8460" style="103" width="6.44140625"/>
    <col customWidth="1" max="8461" min="8461" style="103" width="36.5546875"/>
    <col customWidth="1" max="8462" min="8462" style="103" width="27.33203125"/>
    <col customWidth="1" max="8704" min="8463" style="103" width="8.77734375"/>
    <col customWidth="1" max="8705" min="8705" style="103" width="12.109375"/>
    <col customWidth="1" max="8706" min="8706" style="103" width="7.109375"/>
    <col customWidth="1" max="8707" min="8707" style="103" width="9.44140625"/>
    <col customWidth="1" max="8708" min="8708" style="103" width="8.6640625"/>
    <col customWidth="1" max="8709" min="8709" style="103" width="6.109375"/>
    <col customWidth="1" max="8710" min="8710" style="103" width="8.109375"/>
    <col customWidth="1" max="8711" min="8711" style="103" width="10.44140625"/>
    <col customWidth="1" max="8712" min="8712" style="103" width="9.44140625"/>
    <col customWidth="1" max="8713" min="8713" style="103" width="9.6640625"/>
    <col customWidth="1" max="8714" min="8714" style="103" width="5.6640625"/>
    <col customWidth="1" max="8715" min="8715" style="103" width="6.33203125"/>
    <col customWidth="1" max="8716" min="8716" style="103" width="6.44140625"/>
    <col customWidth="1" max="8717" min="8717" style="103" width="36.5546875"/>
    <col customWidth="1" max="8718" min="8718" style="103" width="27.33203125"/>
    <col customWidth="1" max="8960" min="8719" style="103" width="8.77734375"/>
    <col customWidth="1" max="8961" min="8961" style="103" width="12.109375"/>
    <col customWidth="1" max="8962" min="8962" style="103" width="7.109375"/>
    <col customWidth="1" max="8963" min="8963" style="103" width="9.44140625"/>
    <col customWidth="1" max="8964" min="8964" style="103" width="8.6640625"/>
    <col customWidth="1" max="8965" min="8965" style="103" width="6.109375"/>
    <col customWidth="1" max="8966" min="8966" style="103" width="8.109375"/>
    <col customWidth="1" max="8967" min="8967" style="103" width="10.44140625"/>
    <col customWidth="1" max="8968" min="8968" style="103" width="9.44140625"/>
    <col customWidth="1" max="8969" min="8969" style="103" width="9.6640625"/>
    <col customWidth="1" max="8970" min="8970" style="103" width="5.6640625"/>
    <col customWidth="1" max="8971" min="8971" style="103" width="6.33203125"/>
    <col customWidth="1" max="8972" min="8972" style="103" width="6.44140625"/>
    <col customWidth="1" max="8973" min="8973" style="103" width="36.5546875"/>
    <col customWidth="1" max="8974" min="8974" style="103" width="27.33203125"/>
    <col customWidth="1" max="9216" min="8975" style="103" width="8.77734375"/>
    <col customWidth="1" max="9217" min="9217" style="103" width="12.109375"/>
    <col customWidth="1" max="9218" min="9218" style="103" width="7.109375"/>
    <col customWidth="1" max="9219" min="9219" style="103" width="9.44140625"/>
    <col customWidth="1" max="9220" min="9220" style="103" width="8.6640625"/>
    <col customWidth="1" max="9221" min="9221" style="103" width="6.109375"/>
    <col customWidth="1" max="9222" min="9222" style="103" width="8.109375"/>
    <col customWidth="1" max="9223" min="9223" style="103" width="10.44140625"/>
    <col customWidth="1" max="9224" min="9224" style="103" width="9.44140625"/>
    <col customWidth="1" max="9225" min="9225" style="103" width="9.6640625"/>
    <col customWidth="1" max="9226" min="9226" style="103" width="5.6640625"/>
    <col customWidth="1" max="9227" min="9227" style="103" width="6.33203125"/>
    <col customWidth="1" max="9228" min="9228" style="103" width="6.44140625"/>
    <col customWidth="1" max="9229" min="9229" style="103" width="36.5546875"/>
    <col customWidth="1" max="9230" min="9230" style="103" width="27.33203125"/>
    <col customWidth="1" max="9472" min="9231" style="103" width="8.77734375"/>
    <col customWidth="1" max="9473" min="9473" style="103" width="12.109375"/>
    <col customWidth="1" max="9474" min="9474" style="103" width="7.109375"/>
    <col customWidth="1" max="9475" min="9475" style="103" width="9.44140625"/>
    <col customWidth="1" max="9476" min="9476" style="103" width="8.6640625"/>
    <col customWidth="1" max="9477" min="9477" style="103" width="6.109375"/>
    <col customWidth="1" max="9478" min="9478" style="103" width="8.109375"/>
    <col customWidth="1" max="9479" min="9479" style="103" width="10.44140625"/>
    <col customWidth="1" max="9480" min="9480" style="103" width="9.44140625"/>
    <col customWidth="1" max="9481" min="9481" style="103" width="9.6640625"/>
    <col customWidth="1" max="9482" min="9482" style="103" width="5.6640625"/>
    <col customWidth="1" max="9483" min="9483" style="103" width="6.33203125"/>
    <col customWidth="1" max="9484" min="9484" style="103" width="6.44140625"/>
    <col customWidth="1" max="9485" min="9485" style="103" width="36.5546875"/>
    <col customWidth="1" max="9486" min="9486" style="103" width="27.33203125"/>
    <col customWidth="1" max="9728" min="9487" style="103" width="8.77734375"/>
    <col customWidth="1" max="9729" min="9729" style="103" width="12.109375"/>
    <col customWidth="1" max="9730" min="9730" style="103" width="7.109375"/>
    <col customWidth="1" max="9731" min="9731" style="103" width="9.44140625"/>
    <col customWidth="1" max="9732" min="9732" style="103" width="8.6640625"/>
    <col customWidth="1" max="9733" min="9733" style="103" width="6.109375"/>
    <col customWidth="1" max="9734" min="9734" style="103" width="8.109375"/>
    <col customWidth="1" max="9735" min="9735" style="103" width="10.44140625"/>
    <col customWidth="1" max="9736" min="9736" style="103" width="9.44140625"/>
    <col customWidth="1" max="9737" min="9737" style="103" width="9.6640625"/>
    <col customWidth="1" max="9738" min="9738" style="103" width="5.6640625"/>
    <col customWidth="1" max="9739" min="9739" style="103" width="6.33203125"/>
    <col customWidth="1" max="9740" min="9740" style="103" width="6.44140625"/>
    <col customWidth="1" max="9741" min="9741" style="103" width="36.5546875"/>
    <col customWidth="1" max="9742" min="9742" style="103" width="27.33203125"/>
    <col customWidth="1" max="9984" min="9743" style="103" width="8.77734375"/>
    <col customWidth="1" max="9985" min="9985" style="103" width="12.109375"/>
    <col customWidth="1" max="9986" min="9986" style="103" width="7.109375"/>
    <col customWidth="1" max="9987" min="9987" style="103" width="9.44140625"/>
    <col customWidth="1" max="9988" min="9988" style="103" width="8.6640625"/>
    <col customWidth="1" max="9989" min="9989" style="103" width="6.109375"/>
    <col customWidth="1" max="9990" min="9990" style="103" width="8.109375"/>
    <col customWidth="1" max="9991" min="9991" style="103" width="10.44140625"/>
    <col customWidth="1" max="9992" min="9992" style="103" width="9.44140625"/>
    <col customWidth="1" max="9993" min="9993" style="103" width="9.6640625"/>
    <col customWidth="1" max="9994" min="9994" style="103" width="5.6640625"/>
    <col customWidth="1" max="9995" min="9995" style="103" width="6.33203125"/>
    <col customWidth="1" max="9996" min="9996" style="103" width="6.44140625"/>
    <col customWidth="1" max="9997" min="9997" style="103" width="36.5546875"/>
    <col customWidth="1" max="9998" min="9998" style="103" width="27.33203125"/>
    <col customWidth="1" max="10240" min="9999" style="103" width="8.77734375"/>
    <col customWidth="1" max="10241" min="10241" style="103" width="12.109375"/>
    <col customWidth="1" max="10242" min="10242" style="103" width="7.109375"/>
    <col customWidth="1" max="10243" min="10243" style="103" width="9.44140625"/>
    <col customWidth="1" max="10244" min="10244" style="103" width="8.6640625"/>
    <col customWidth="1" max="10245" min="10245" style="103" width="6.109375"/>
    <col customWidth="1" max="10246" min="10246" style="103" width="8.109375"/>
    <col customWidth="1" max="10247" min="10247" style="103" width="10.44140625"/>
    <col customWidth="1" max="10248" min="10248" style="103" width="9.44140625"/>
    <col customWidth="1" max="10249" min="10249" style="103" width="9.6640625"/>
    <col customWidth="1" max="10250" min="10250" style="103" width="5.6640625"/>
    <col customWidth="1" max="10251" min="10251" style="103" width="6.33203125"/>
    <col customWidth="1" max="10252" min="10252" style="103" width="6.44140625"/>
    <col customWidth="1" max="10253" min="10253" style="103" width="36.5546875"/>
    <col customWidth="1" max="10254" min="10254" style="103" width="27.33203125"/>
    <col customWidth="1" max="10496" min="10255" style="103" width="8.77734375"/>
    <col customWidth="1" max="10497" min="10497" style="103" width="12.109375"/>
    <col customWidth="1" max="10498" min="10498" style="103" width="7.109375"/>
    <col customWidth="1" max="10499" min="10499" style="103" width="9.44140625"/>
    <col customWidth="1" max="10500" min="10500" style="103" width="8.6640625"/>
    <col customWidth="1" max="10501" min="10501" style="103" width="6.109375"/>
    <col customWidth="1" max="10502" min="10502" style="103" width="8.109375"/>
    <col customWidth="1" max="10503" min="10503" style="103" width="10.44140625"/>
    <col customWidth="1" max="10504" min="10504" style="103" width="9.44140625"/>
    <col customWidth="1" max="10505" min="10505" style="103" width="9.6640625"/>
    <col customWidth="1" max="10506" min="10506" style="103" width="5.6640625"/>
    <col customWidth="1" max="10507" min="10507" style="103" width="6.33203125"/>
    <col customWidth="1" max="10508" min="10508" style="103" width="6.44140625"/>
    <col customWidth="1" max="10509" min="10509" style="103" width="36.5546875"/>
    <col customWidth="1" max="10510" min="10510" style="103" width="27.33203125"/>
    <col customWidth="1" max="10752" min="10511" style="103" width="8.77734375"/>
    <col customWidth="1" max="10753" min="10753" style="103" width="12.109375"/>
    <col customWidth="1" max="10754" min="10754" style="103" width="7.109375"/>
    <col customWidth="1" max="10755" min="10755" style="103" width="9.44140625"/>
    <col customWidth="1" max="10756" min="10756" style="103" width="8.6640625"/>
    <col customWidth="1" max="10757" min="10757" style="103" width="6.109375"/>
    <col customWidth="1" max="10758" min="10758" style="103" width="8.109375"/>
    <col customWidth="1" max="10759" min="10759" style="103" width="10.44140625"/>
    <col customWidth="1" max="10760" min="10760" style="103" width="9.44140625"/>
    <col customWidth="1" max="10761" min="10761" style="103" width="9.6640625"/>
    <col customWidth="1" max="10762" min="10762" style="103" width="5.6640625"/>
    <col customWidth="1" max="10763" min="10763" style="103" width="6.33203125"/>
    <col customWidth="1" max="10764" min="10764" style="103" width="6.44140625"/>
    <col customWidth="1" max="10765" min="10765" style="103" width="36.5546875"/>
    <col customWidth="1" max="10766" min="10766" style="103" width="27.33203125"/>
    <col customWidth="1" max="11008" min="10767" style="103" width="8.77734375"/>
    <col customWidth="1" max="11009" min="11009" style="103" width="12.109375"/>
    <col customWidth="1" max="11010" min="11010" style="103" width="7.109375"/>
    <col customWidth="1" max="11011" min="11011" style="103" width="9.44140625"/>
    <col customWidth="1" max="11012" min="11012" style="103" width="8.6640625"/>
    <col customWidth="1" max="11013" min="11013" style="103" width="6.109375"/>
    <col customWidth="1" max="11014" min="11014" style="103" width="8.109375"/>
    <col customWidth="1" max="11015" min="11015" style="103" width="10.44140625"/>
    <col customWidth="1" max="11016" min="11016" style="103" width="9.44140625"/>
    <col customWidth="1" max="11017" min="11017" style="103" width="9.6640625"/>
    <col customWidth="1" max="11018" min="11018" style="103" width="5.6640625"/>
    <col customWidth="1" max="11019" min="11019" style="103" width="6.33203125"/>
    <col customWidth="1" max="11020" min="11020" style="103" width="6.44140625"/>
    <col customWidth="1" max="11021" min="11021" style="103" width="36.5546875"/>
    <col customWidth="1" max="11022" min="11022" style="103" width="27.33203125"/>
    <col customWidth="1" max="11264" min="11023" style="103" width="8.77734375"/>
    <col customWidth="1" max="11265" min="11265" style="103" width="12.109375"/>
    <col customWidth="1" max="11266" min="11266" style="103" width="7.109375"/>
    <col customWidth="1" max="11267" min="11267" style="103" width="9.44140625"/>
    <col customWidth="1" max="11268" min="11268" style="103" width="8.6640625"/>
    <col customWidth="1" max="11269" min="11269" style="103" width="6.109375"/>
    <col customWidth="1" max="11270" min="11270" style="103" width="8.109375"/>
    <col customWidth="1" max="11271" min="11271" style="103" width="10.44140625"/>
    <col customWidth="1" max="11272" min="11272" style="103" width="9.44140625"/>
    <col customWidth="1" max="11273" min="11273" style="103" width="9.6640625"/>
    <col customWidth="1" max="11274" min="11274" style="103" width="5.6640625"/>
    <col customWidth="1" max="11275" min="11275" style="103" width="6.33203125"/>
    <col customWidth="1" max="11276" min="11276" style="103" width="6.44140625"/>
    <col customWidth="1" max="11277" min="11277" style="103" width="36.5546875"/>
    <col customWidth="1" max="11278" min="11278" style="103" width="27.33203125"/>
    <col customWidth="1" max="11520" min="11279" style="103" width="8.77734375"/>
    <col customWidth="1" max="11521" min="11521" style="103" width="12.109375"/>
    <col customWidth="1" max="11522" min="11522" style="103" width="7.109375"/>
    <col customWidth="1" max="11523" min="11523" style="103" width="9.44140625"/>
    <col customWidth="1" max="11524" min="11524" style="103" width="8.6640625"/>
    <col customWidth="1" max="11525" min="11525" style="103" width="6.109375"/>
    <col customWidth="1" max="11526" min="11526" style="103" width="8.109375"/>
    <col customWidth="1" max="11527" min="11527" style="103" width="10.44140625"/>
    <col customWidth="1" max="11528" min="11528" style="103" width="9.44140625"/>
    <col customWidth="1" max="11529" min="11529" style="103" width="9.6640625"/>
    <col customWidth="1" max="11530" min="11530" style="103" width="5.6640625"/>
    <col customWidth="1" max="11531" min="11531" style="103" width="6.33203125"/>
    <col customWidth="1" max="11532" min="11532" style="103" width="6.44140625"/>
    <col customWidth="1" max="11533" min="11533" style="103" width="36.5546875"/>
    <col customWidth="1" max="11534" min="11534" style="103" width="27.33203125"/>
    <col customWidth="1" max="11776" min="11535" style="103" width="8.77734375"/>
    <col customWidth="1" max="11777" min="11777" style="103" width="12.109375"/>
    <col customWidth="1" max="11778" min="11778" style="103" width="7.109375"/>
    <col customWidth="1" max="11779" min="11779" style="103" width="9.44140625"/>
    <col customWidth="1" max="11780" min="11780" style="103" width="8.6640625"/>
    <col customWidth="1" max="11781" min="11781" style="103" width="6.109375"/>
    <col customWidth="1" max="11782" min="11782" style="103" width="8.109375"/>
    <col customWidth="1" max="11783" min="11783" style="103" width="10.44140625"/>
    <col customWidth="1" max="11784" min="11784" style="103" width="9.44140625"/>
    <col customWidth="1" max="11785" min="11785" style="103" width="9.6640625"/>
    <col customWidth="1" max="11786" min="11786" style="103" width="5.6640625"/>
    <col customWidth="1" max="11787" min="11787" style="103" width="6.33203125"/>
    <col customWidth="1" max="11788" min="11788" style="103" width="6.44140625"/>
    <col customWidth="1" max="11789" min="11789" style="103" width="36.5546875"/>
    <col customWidth="1" max="11790" min="11790" style="103" width="27.33203125"/>
    <col customWidth="1" max="12032" min="11791" style="103" width="8.77734375"/>
    <col customWidth="1" max="12033" min="12033" style="103" width="12.109375"/>
    <col customWidth="1" max="12034" min="12034" style="103" width="7.109375"/>
    <col customWidth="1" max="12035" min="12035" style="103" width="9.44140625"/>
    <col customWidth="1" max="12036" min="12036" style="103" width="8.6640625"/>
    <col customWidth="1" max="12037" min="12037" style="103" width="6.109375"/>
    <col customWidth="1" max="12038" min="12038" style="103" width="8.109375"/>
    <col customWidth="1" max="12039" min="12039" style="103" width="10.44140625"/>
    <col customWidth="1" max="12040" min="12040" style="103" width="9.44140625"/>
    <col customWidth="1" max="12041" min="12041" style="103" width="9.6640625"/>
    <col customWidth="1" max="12042" min="12042" style="103" width="5.6640625"/>
    <col customWidth="1" max="12043" min="12043" style="103" width="6.33203125"/>
    <col customWidth="1" max="12044" min="12044" style="103" width="6.44140625"/>
    <col customWidth="1" max="12045" min="12045" style="103" width="36.5546875"/>
    <col customWidth="1" max="12046" min="12046" style="103" width="27.33203125"/>
    <col customWidth="1" max="12288" min="12047" style="103" width="8.77734375"/>
    <col customWidth="1" max="12289" min="12289" style="103" width="12.109375"/>
    <col customWidth="1" max="12290" min="12290" style="103" width="7.109375"/>
    <col customWidth="1" max="12291" min="12291" style="103" width="9.44140625"/>
    <col customWidth="1" max="12292" min="12292" style="103" width="8.6640625"/>
    <col customWidth="1" max="12293" min="12293" style="103" width="6.109375"/>
    <col customWidth="1" max="12294" min="12294" style="103" width="8.109375"/>
    <col customWidth="1" max="12295" min="12295" style="103" width="10.44140625"/>
    <col customWidth="1" max="12296" min="12296" style="103" width="9.44140625"/>
    <col customWidth="1" max="12297" min="12297" style="103" width="9.6640625"/>
    <col customWidth="1" max="12298" min="12298" style="103" width="5.6640625"/>
    <col customWidth="1" max="12299" min="12299" style="103" width="6.33203125"/>
    <col customWidth="1" max="12300" min="12300" style="103" width="6.44140625"/>
    <col customWidth="1" max="12301" min="12301" style="103" width="36.5546875"/>
    <col customWidth="1" max="12302" min="12302" style="103" width="27.33203125"/>
    <col customWidth="1" max="12544" min="12303" style="103" width="8.77734375"/>
    <col customWidth="1" max="12545" min="12545" style="103" width="12.109375"/>
    <col customWidth="1" max="12546" min="12546" style="103" width="7.109375"/>
    <col customWidth="1" max="12547" min="12547" style="103" width="9.44140625"/>
    <col customWidth="1" max="12548" min="12548" style="103" width="8.6640625"/>
    <col customWidth="1" max="12549" min="12549" style="103" width="6.109375"/>
    <col customWidth="1" max="12550" min="12550" style="103" width="8.109375"/>
    <col customWidth="1" max="12551" min="12551" style="103" width="10.44140625"/>
    <col customWidth="1" max="12552" min="12552" style="103" width="9.44140625"/>
    <col customWidth="1" max="12553" min="12553" style="103" width="9.6640625"/>
    <col customWidth="1" max="12554" min="12554" style="103" width="5.6640625"/>
    <col customWidth="1" max="12555" min="12555" style="103" width="6.33203125"/>
    <col customWidth="1" max="12556" min="12556" style="103" width="6.44140625"/>
    <col customWidth="1" max="12557" min="12557" style="103" width="36.5546875"/>
    <col customWidth="1" max="12558" min="12558" style="103" width="27.33203125"/>
    <col customWidth="1" max="12800" min="12559" style="103" width="8.77734375"/>
    <col customWidth="1" max="12801" min="12801" style="103" width="12.109375"/>
    <col customWidth="1" max="12802" min="12802" style="103" width="7.109375"/>
    <col customWidth="1" max="12803" min="12803" style="103" width="9.44140625"/>
    <col customWidth="1" max="12804" min="12804" style="103" width="8.6640625"/>
    <col customWidth="1" max="12805" min="12805" style="103" width="6.109375"/>
    <col customWidth="1" max="12806" min="12806" style="103" width="8.109375"/>
    <col customWidth="1" max="12807" min="12807" style="103" width="10.44140625"/>
    <col customWidth="1" max="12808" min="12808" style="103" width="9.44140625"/>
    <col customWidth="1" max="12809" min="12809" style="103" width="9.6640625"/>
    <col customWidth="1" max="12810" min="12810" style="103" width="5.6640625"/>
    <col customWidth="1" max="12811" min="12811" style="103" width="6.33203125"/>
    <col customWidth="1" max="12812" min="12812" style="103" width="6.44140625"/>
    <col customWidth="1" max="12813" min="12813" style="103" width="36.5546875"/>
    <col customWidth="1" max="12814" min="12814" style="103" width="27.33203125"/>
    <col customWidth="1" max="13056" min="12815" style="103" width="8.77734375"/>
    <col customWidth="1" max="13057" min="13057" style="103" width="12.109375"/>
    <col customWidth="1" max="13058" min="13058" style="103" width="7.109375"/>
    <col customWidth="1" max="13059" min="13059" style="103" width="9.44140625"/>
    <col customWidth="1" max="13060" min="13060" style="103" width="8.6640625"/>
    <col customWidth="1" max="13061" min="13061" style="103" width="6.109375"/>
    <col customWidth="1" max="13062" min="13062" style="103" width="8.109375"/>
    <col customWidth="1" max="13063" min="13063" style="103" width="10.44140625"/>
    <col customWidth="1" max="13064" min="13064" style="103" width="9.44140625"/>
    <col customWidth="1" max="13065" min="13065" style="103" width="9.6640625"/>
    <col customWidth="1" max="13066" min="13066" style="103" width="5.6640625"/>
    <col customWidth="1" max="13067" min="13067" style="103" width="6.33203125"/>
    <col customWidth="1" max="13068" min="13068" style="103" width="6.44140625"/>
    <col customWidth="1" max="13069" min="13069" style="103" width="36.5546875"/>
    <col customWidth="1" max="13070" min="13070" style="103" width="27.33203125"/>
    <col customWidth="1" max="13312" min="13071" style="103" width="8.77734375"/>
    <col customWidth="1" max="13313" min="13313" style="103" width="12.109375"/>
    <col customWidth="1" max="13314" min="13314" style="103" width="7.109375"/>
    <col customWidth="1" max="13315" min="13315" style="103" width="9.44140625"/>
    <col customWidth="1" max="13316" min="13316" style="103" width="8.6640625"/>
    <col customWidth="1" max="13317" min="13317" style="103" width="6.109375"/>
    <col customWidth="1" max="13318" min="13318" style="103" width="8.109375"/>
    <col customWidth="1" max="13319" min="13319" style="103" width="10.44140625"/>
    <col customWidth="1" max="13320" min="13320" style="103" width="9.44140625"/>
    <col customWidth="1" max="13321" min="13321" style="103" width="9.6640625"/>
    <col customWidth="1" max="13322" min="13322" style="103" width="5.6640625"/>
    <col customWidth="1" max="13323" min="13323" style="103" width="6.33203125"/>
    <col customWidth="1" max="13324" min="13324" style="103" width="6.44140625"/>
    <col customWidth="1" max="13325" min="13325" style="103" width="36.5546875"/>
    <col customWidth="1" max="13326" min="13326" style="103" width="27.33203125"/>
    <col customWidth="1" max="13568" min="13327" style="103" width="8.77734375"/>
    <col customWidth="1" max="13569" min="13569" style="103" width="12.109375"/>
    <col customWidth="1" max="13570" min="13570" style="103" width="7.109375"/>
    <col customWidth="1" max="13571" min="13571" style="103" width="9.44140625"/>
    <col customWidth="1" max="13572" min="13572" style="103" width="8.6640625"/>
    <col customWidth="1" max="13573" min="13573" style="103" width="6.109375"/>
    <col customWidth="1" max="13574" min="13574" style="103" width="8.109375"/>
    <col customWidth="1" max="13575" min="13575" style="103" width="10.44140625"/>
    <col customWidth="1" max="13576" min="13576" style="103" width="9.44140625"/>
    <col customWidth="1" max="13577" min="13577" style="103" width="9.6640625"/>
    <col customWidth="1" max="13578" min="13578" style="103" width="5.6640625"/>
    <col customWidth="1" max="13579" min="13579" style="103" width="6.33203125"/>
    <col customWidth="1" max="13580" min="13580" style="103" width="6.44140625"/>
    <col customWidth="1" max="13581" min="13581" style="103" width="36.5546875"/>
    <col customWidth="1" max="13582" min="13582" style="103" width="27.33203125"/>
    <col customWidth="1" max="13824" min="13583" style="103" width="8.77734375"/>
    <col customWidth="1" max="13825" min="13825" style="103" width="12.109375"/>
    <col customWidth="1" max="13826" min="13826" style="103" width="7.109375"/>
    <col customWidth="1" max="13827" min="13827" style="103" width="9.44140625"/>
    <col customWidth="1" max="13828" min="13828" style="103" width="8.6640625"/>
    <col customWidth="1" max="13829" min="13829" style="103" width="6.109375"/>
    <col customWidth="1" max="13830" min="13830" style="103" width="8.109375"/>
    <col customWidth="1" max="13831" min="13831" style="103" width="10.44140625"/>
    <col customWidth="1" max="13832" min="13832" style="103" width="9.44140625"/>
    <col customWidth="1" max="13833" min="13833" style="103" width="9.6640625"/>
    <col customWidth="1" max="13834" min="13834" style="103" width="5.6640625"/>
    <col customWidth="1" max="13835" min="13835" style="103" width="6.33203125"/>
    <col customWidth="1" max="13836" min="13836" style="103" width="6.44140625"/>
    <col customWidth="1" max="13837" min="13837" style="103" width="36.5546875"/>
    <col customWidth="1" max="13838" min="13838" style="103" width="27.33203125"/>
    <col customWidth="1" max="14080" min="13839" style="103" width="8.77734375"/>
    <col customWidth="1" max="14081" min="14081" style="103" width="12.109375"/>
    <col customWidth="1" max="14082" min="14082" style="103" width="7.109375"/>
    <col customWidth="1" max="14083" min="14083" style="103" width="9.44140625"/>
    <col customWidth="1" max="14084" min="14084" style="103" width="8.6640625"/>
    <col customWidth="1" max="14085" min="14085" style="103" width="6.109375"/>
    <col customWidth="1" max="14086" min="14086" style="103" width="8.109375"/>
    <col customWidth="1" max="14087" min="14087" style="103" width="10.44140625"/>
    <col customWidth="1" max="14088" min="14088" style="103" width="9.44140625"/>
    <col customWidth="1" max="14089" min="14089" style="103" width="9.6640625"/>
    <col customWidth="1" max="14090" min="14090" style="103" width="5.6640625"/>
    <col customWidth="1" max="14091" min="14091" style="103" width="6.33203125"/>
    <col customWidth="1" max="14092" min="14092" style="103" width="6.44140625"/>
    <col customWidth="1" max="14093" min="14093" style="103" width="36.5546875"/>
    <col customWidth="1" max="14094" min="14094" style="103" width="27.33203125"/>
    <col customWidth="1" max="14336" min="14095" style="103" width="8.77734375"/>
    <col customWidth="1" max="14337" min="14337" style="103" width="12.109375"/>
    <col customWidth="1" max="14338" min="14338" style="103" width="7.109375"/>
    <col customWidth="1" max="14339" min="14339" style="103" width="9.44140625"/>
    <col customWidth="1" max="14340" min="14340" style="103" width="8.6640625"/>
    <col customWidth="1" max="14341" min="14341" style="103" width="6.109375"/>
    <col customWidth="1" max="14342" min="14342" style="103" width="8.109375"/>
    <col customWidth="1" max="14343" min="14343" style="103" width="10.44140625"/>
    <col customWidth="1" max="14344" min="14344" style="103" width="9.44140625"/>
    <col customWidth="1" max="14345" min="14345" style="103" width="9.6640625"/>
    <col customWidth="1" max="14346" min="14346" style="103" width="5.6640625"/>
    <col customWidth="1" max="14347" min="14347" style="103" width="6.33203125"/>
    <col customWidth="1" max="14348" min="14348" style="103" width="6.44140625"/>
    <col customWidth="1" max="14349" min="14349" style="103" width="36.5546875"/>
    <col customWidth="1" max="14350" min="14350" style="103" width="27.33203125"/>
    <col customWidth="1" max="14592" min="14351" style="103" width="8.77734375"/>
    <col customWidth="1" max="14593" min="14593" style="103" width="12.109375"/>
    <col customWidth="1" max="14594" min="14594" style="103" width="7.109375"/>
    <col customWidth="1" max="14595" min="14595" style="103" width="9.44140625"/>
    <col customWidth="1" max="14596" min="14596" style="103" width="8.6640625"/>
    <col customWidth="1" max="14597" min="14597" style="103" width="6.109375"/>
    <col customWidth="1" max="14598" min="14598" style="103" width="8.109375"/>
    <col customWidth="1" max="14599" min="14599" style="103" width="10.44140625"/>
    <col customWidth="1" max="14600" min="14600" style="103" width="9.44140625"/>
    <col customWidth="1" max="14601" min="14601" style="103" width="9.6640625"/>
    <col customWidth="1" max="14602" min="14602" style="103" width="5.6640625"/>
    <col customWidth="1" max="14603" min="14603" style="103" width="6.33203125"/>
    <col customWidth="1" max="14604" min="14604" style="103" width="6.44140625"/>
    <col customWidth="1" max="14605" min="14605" style="103" width="36.5546875"/>
    <col customWidth="1" max="14606" min="14606" style="103" width="27.33203125"/>
    <col customWidth="1" max="14848" min="14607" style="103" width="8.77734375"/>
    <col customWidth="1" max="14849" min="14849" style="103" width="12.109375"/>
    <col customWidth="1" max="14850" min="14850" style="103" width="7.109375"/>
    <col customWidth="1" max="14851" min="14851" style="103" width="9.44140625"/>
    <col customWidth="1" max="14852" min="14852" style="103" width="8.6640625"/>
    <col customWidth="1" max="14853" min="14853" style="103" width="6.109375"/>
    <col customWidth="1" max="14854" min="14854" style="103" width="8.109375"/>
    <col customWidth="1" max="14855" min="14855" style="103" width="10.44140625"/>
    <col customWidth="1" max="14856" min="14856" style="103" width="9.44140625"/>
    <col customWidth="1" max="14857" min="14857" style="103" width="9.6640625"/>
    <col customWidth="1" max="14858" min="14858" style="103" width="5.6640625"/>
    <col customWidth="1" max="14859" min="14859" style="103" width="6.33203125"/>
    <col customWidth="1" max="14860" min="14860" style="103" width="6.44140625"/>
    <col customWidth="1" max="14861" min="14861" style="103" width="36.5546875"/>
    <col customWidth="1" max="14862" min="14862" style="103" width="27.33203125"/>
    <col customWidth="1" max="15104" min="14863" style="103" width="8.77734375"/>
    <col customWidth="1" max="15105" min="15105" style="103" width="12.109375"/>
    <col customWidth="1" max="15106" min="15106" style="103" width="7.109375"/>
    <col customWidth="1" max="15107" min="15107" style="103" width="9.44140625"/>
    <col customWidth="1" max="15108" min="15108" style="103" width="8.6640625"/>
    <col customWidth="1" max="15109" min="15109" style="103" width="6.109375"/>
    <col customWidth="1" max="15110" min="15110" style="103" width="8.109375"/>
    <col customWidth="1" max="15111" min="15111" style="103" width="10.44140625"/>
    <col customWidth="1" max="15112" min="15112" style="103" width="9.44140625"/>
    <col customWidth="1" max="15113" min="15113" style="103" width="9.6640625"/>
    <col customWidth="1" max="15114" min="15114" style="103" width="5.6640625"/>
    <col customWidth="1" max="15115" min="15115" style="103" width="6.33203125"/>
    <col customWidth="1" max="15116" min="15116" style="103" width="6.44140625"/>
    <col customWidth="1" max="15117" min="15117" style="103" width="36.5546875"/>
    <col customWidth="1" max="15118" min="15118" style="103" width="27.33203125"/>
    <col customWidth="1" max="15360" min="15119" style="103" width="8.77734375"/>
    <col customWidth="1" max="15361" min="15361" style="103" width="12.109375"/>
    <col customWidth="1" max="15362" min="15362" style="103" width="7.109375"/>
    <col customWidth="1" max="15363" min="15363" style="103" width="9.44140625"/>
    <col customWidth="1" max="15364" min="15364" style="103" width="8.6640625"/>
    <col customWidth="1" max="15365" min="15365" style="103" width="6.109375"/>
    <col customWidth="1" max="15366" min="15366" style="103" width="8.109375"/>
    <col customWidth="1" max="15367" min="15367" style="103" width="10.44140625"/>
    <col customWidth="1" max="15368" min="15368" style="103" width="9.44140625"/>
    <col customWidth="1" max="15369" min="15369" style="103" width="9.6640625"/>
    <col customWidth="1" max="15370" min="15370" style="103" width="5.6640625"/>
    <col customWidth="1" max="15371" min="15371" style="103" width="6.33203125"/>
    <col customWidth="1" max="15372" min="15372" style="103" width="6.44140625"/>
    <col customWidth="1" max="15373" min="15373" style="103" width="36.5546875"/>
    <col customWidth="1" max="15374" min="15374" style="103" width="27.33203125"/>
    <col customWidth="1" max="15616" min="15375" style="103" width="8.77734375"/>
    <col customWidth="1" max="15617" min="15617" style="103" width="12.109375"/>
    <col customWidth="1" max="15618" min="15618" style="103" width="7.109375"/>
    <col customWidth="1" max="15619" min="15619" style="103" width="9.44140625"/>
    <col customWidth="1" max="15620" min="15620" style="103" width="8.6640625"/>
    <col customWidth="1" max="15621" min="15621" style="103" width="6.109375"/>
    <col customWidth="1" max="15622" min="15622" style="103" width="8.109375"/>
    <col customWidth="1" max="15623" min="15623" style="103" width="10.44140625"/>
    <col customWidth="1" max="15624" min="15624" style="103" width="9.44140625"/>
    <col customWidth="1" max="15625" min="15625" style="103" width="9.6640625"/>
    <col customWidth="1" max="15626" min="15626" style="103" width="5.6640625"/>
    <col customWidth="1" max="15627" min="15627" style="103" width="6.33203125"/>
    <col customWidth="1" max="15628" min="15628" style="103" width="6.44140625"/>
    <col customWidth="1" max="15629" min="15629" style="103" width="36.5546875"/>
    <col customWidth="1" max="15630" min="15630" style="103" width="27.33203125"/>
    <col customWidth="1" max="15872" min="15631" style="103" width="8.77734375"/>
    <col customWidth="1" max="15873" min="15873" style="103" width="12.109375"/>
    <col customWidth="1" max="15874" min="15874" style="103" width="7.109375"/>
    <col customWidth="1" max="15875" min="15875" style="103" width="9.44140625"/>
    <col customWidth="1" max="15876" min="15876" style="103" width="8.6640625"/>
    <col customWidth="1" max="15877" min="15877" style="103" width="6.109375"/>
    <col customWidth="1" max="15878" min="15878" style="103" width="8.109375"/>
    <col customWidth="1" max="15879" min="15879" style="103" width="10.44140625"/>
    <col customWidth="1" max="15880" min="15880" style="103" width="9.44140625"/>
    <col customWidth="1" max="15881" min="15881" style="103" width="9.6640625"/>
    <col customWidth="1" max="15882" min="15882" style="103" width="5.6640625"/>
    <col customWidth="1" max="15883" min="15883" style="103" width="6.33203125"/>
    <col customWidth="1" max="15884" min="15884" style="103" width="6.44140625"/>
    <col customWidth="1" max="15885" min="15885" style="103" width="36.5546875"/>
    <col customWidth="1" max="15886" min="15886" style="103" width="27.33203125"/>
    <col customWidth="1" max="16128" min="15887" style="103" width="8.77734375"/>
    <col customWidth="1" max="16129" min="16129" style="103" width="12.109375"/>
    <col customWidth="1" max="16130" min="16130" style="103" width="7.109375"/>
    <col customWidth="1" max="16131" min="16131" style="103" width="9.44140625"/>
    <col customWidth="1" max="16132" min="16132" style="103" width="8.6640625"/>
    <col customWidth="1" max="16133" min="16133" style="103" width="6.109375"/>
    <col customWidth="1" max="16134" min="16134" style="103" width="8.109375"/>
    <col customWidth="1" max="16135" min="16135" style="103" width="10.44140625"/>
    <col customWidth="1" max="16136" min="16136" style="103" width="9.44140625"/>
    <col customWidth="1" max="16137" min="16137" style="103" width="9.6640625"/>
    <col customWidth="1" max="16138" min="16138" style="103" width="5.6640625"/>
    <col customWidth="1" max="16139" min="16139" style="103" width="6.33203125"/>
    <col customWidth="1" max="16140" min="16140" style="103" width="6.44140625"/>
    <col customWidth="1" max="16141" min="16141" style="103" width="36.5546875"/>
    <col customWidth="1" max="16142" min="16142" style="103" width="27.33203125"/>
    <col customWidth="1" max="16384" min="16143" style="103" width="8.77734375"/>
  </cols>
  <sheetData>
    <row customFormat="1" customHeight="1" ht="15" r="1" s="107" thickBot="1">
      <c r="A1" s="101" t="inlineStr">
        <is>
          <t>수도 계량기 검침</t>
        </is>
      </c>
      <c r="B1" s="102" t="n"/>
      <c r="M1" s="115" t="n"/>
    </row>
    <row customFormat="1" customHeight="1" ht="15" r="2" s="107" thickTop="1">
      <c r="M2" s="115" t="n"/>
    </row>
    <row customFormat="1" customHeight="1" ht="15" r="3" s="106">
      <c r="A3" s="373" t="inlineStr">
        <is>
          <t>검침일자</t>
        </is>
      </c>
      <c r="B3" s="373" t="inlineStr">
        <is>
          <t>전체</t>
        </is>
      </c>
      <c r="C3" s="373" t="inlineStr">
        <is>
          <t>1층(포함됨)</t>
        </is>
      </c>
      <c r="D3" s="350" t="n"/>
      <c r="E3" s="373" t="inlineStr">
        <is>
          <t>2층</t>
        </is>
      </c>
      <c r="F3" s="350" t="n"/>
      <c r="G3" s="373" t="inlineStr">
        <is>
          <t>3층</t>
        </is>
      </c>
      <c r="H3" s="373" t="inlineStr">
        <is>
          <t>4층</t>
        </is>
      </c>
      <c r="I3" s="377" t="inlineStr">
        <is>
          <t>5층</t>
        </is>
      </c>
      <c r="J3" s="378" t="n"/>
      <c r="K3" s="352" t="n"/>
      <c r="L3" s="376" t="inlineStr">
        <is>
          <t>공용</t>
        </is>
      </c>
      <c r="M3" s="376" t="inlineStr">
        <is>
          <t>비고</t>
        </is>
      </c>
    </row>
    <row customFormat="1" customHeight="1" ht="15" r="4" s="106">
      <c r="A4" s="366" t="n"/>
      <c r="B4" s="366" t="n"/>
      <c r="C4" s="373" t="inlineStr">
        <is>
          <t>정육점</t>
        </is>
      </c>
      <c r="D4" s="373" t="inlineStr">
        <is>
          <t>하모니마트</t>
        </is>
      </c>
      <c r="E4" s="373" t="inlineStr">
        <is>
          <t>법률사무소 백야</t>
        </is>
      </c>
      <c r="F4" s="373" t="inlineStr">
        <is>
          <t>김영광치과</t>
        </is>
      </c>
      <c r="G4" s="373" t="inlineStr">
        <is>
          <t>법무법인 주한</t>
        </is>
      </c>
      <c r="H4" s="373" t="inlineStr">
        <is>
          <t>법무법인 주한</t>
        </is>
      </c>
      <c r="I4" s="373" t="inlineStr">
        <is>
          <t>지니컵</t>
        </is>
      </c>
      <c r="J4" s="373" t="inlineStr">
        <is>
          <t>옥상</t>
        </is>
      </c>
      <c r="K4" s="373" t="inlineStr">
        <is>
          <t>합계</t>
        </is>
      </c>
      <c r="L4" s="361" t="n"/>
      <c r="M4" s="361" t="n"/>
      <c r="N4" s="105" t="inlineStr">
        <is>
          <t>전체</t>
        </is>
      </c>
      <c r="O4" s="105" t="inlineStr">
        <is>
          <t>5층</t>
        </is>
      </c>
    </row>
    <row customFormat="1" customHeight="1" ht="15" r="5" s="106">
      <c r="A5" s="252" t="n">
        <v>44933</v>
      </c>
      <c r="B5" s="253" t="n">
        <v>9726</v>
      </c>
      <c r="C5" s="253" t="n">
        <v>846</v>
      </c>
      <c r="D5" s="253" t="n">
        <v>709</v>
      </c>
      <c r="E5" s="253" t="n">
        <v>134</v>
      </c>
      <c r="F5" s="253" t="n">
        <v>192</v>
      </c>
      <c r="G5" s="253" t="n">
        <v>58</v>
      </c>
      <c r="H5" s="253" t="n">
        <v>210</v>
      </c>
      <c r="I5" s="254" t="n">
        <v>4567</v>
      </c>
      <c r="J5" s="254" t="n">
        <v>2732</v>
      </c>
      <c r="K5" s="618">
        <f>I5+J5</f>
        <v/>
      </c>
      <c r="L5" s="619">
        <f>(B5-B6)-(C5-C6)-(D5-D6)-(E5-E6)-(F5-F6)-(G5-G6)-(H5-H6)-(K5-K6)</f>
        <v/>
      </c>
      <c r="M5" s="257" t="n"/>
      <c r="N5" s="106">
        <f>B5-B6</f>
        <v/>
      </c>
      <c r="O5" s="620">
        <f>K5-K6</f>
        <v/>
      </c>
    </row>
    <row customFormat="1" customHeight="1" ht="15" r="6" s="106">
      <c r="A6" s="252" t="n">
        <v>44902</v>
      </c>
      <c r="B6" s="253" t="n">
        <v>9699</v>
      </c>
      <c r="C6" s="253" t="n">
        <v>846</v>
      </c>
      <c r="D6" s="253" t="n">
        <v>709</v>
      </c>
      <c r="E6" s="253" t="n">
        <v>134</v>
      </c>
      <c r="F6" s="253" t="n">
        <v>191</v>
      </c>
      <c r="G6" s="253" t="n">
        <v>58</v>
      </c>
      <c r="H6" s="253" t="n">
        <v>210</v>
      </c>
      <c r="I6" s="254" t="n">
        <v>4561</v>
      </c>
      <c r="J6" s="254" t="n">
        <v>2732</v>
      </c>
      <c r="K6" s="618">
        <f>I6+J6</f>
        <v/>
      </c>
      <c r="L6" s="619">
        <f>(B6-B7)-(C6-C7)-(D6-D7)-(E6-E7)-(F6-F7)-(G6-G7)-(H6-H7)-(K6-K7)</f>
        <v/>
      </c>
      <c r="M6" s="257" t="n"/>
      <c r="N6" s="106">
        <f>B6-B7</f>
        <v/>
      </c>
      <c r="O6" s="620">
        <f>K6-K7</f>
        <v/>
      </c>
    </row>
    <row customFormat="1" customHeight="1" ht="15" r="7" s="106">
      <c r="A7" s="252" t="n">
        <v>44872</v>
      </c>
      <c r="B7" s="253" t="n">
        <v>9680</v>
      </c>
      <c r="C7" s="253" t="n">
        <v>846</v>
      </c>
      <c r="D7" s="253" t="n">
        <v>709</v>
      </c>
      <c r="E7" s="253" t="n">
        <v>134</v>
      </c>
      <c r="F7" s="253" t="n">
        <v>189</v>
      </c>
      <c r="G7" s="253" t="n">
        <v>58</v>
      </c>
      <c r="H7" s="253" t="n">
        <v>210</v>
      </c>
      <c r="I7" s="254" t="n">
        <v>4552</v>
      </c>
      <c r="J7" s="254" t="n">
        <v>2732</v>
      </c>
      <c r="K7" s="618">
        <f>I7+J7</f>
        <v/>
      </c>
      <c r="L7" s="619">
        <f>(B7-B8)-(C7-C8)-(D7-D8)-(E7-E8)-(F7-F8)-(G7-G8)-(H7-H8)-(K7-K8)</f>
        <v/>
      </c>
      <c r="M7" s="257" t="n"/>
      <c r="N7" s="106">
        <f>B7-B8</f>
        <v/>
      </c>
      <c r="O7" s="620">
        <f>K7-K8</f>
        <v/>
      </c>
    </row>
    <row customFormat="1" customHeight="1" ht="15" r="8" s="106">
      <c r="A8" s="252" t="n">
        <v>44841</v>
      </c>
      <c r="B8" s="253" t="n">
        <v>9642</v>
      </c>
      <c r="C8" s="253" t="n">
        <v>846</v>
      </c>
      <c r="D8" s="253" t="n">
        <v>709</v>
      </c>
      <c r="E8" s="253" t="n">
        <v>134</v>
      </c>
      <c r="F8" s="253" t="n">
        <v>188</v>
      </c>
      <c r="G8" s="253" t="n">
        <v>58</v>
      </c>
      <c r="H8" s="253" t="n">
        <v>210</v>
      </c>
      <c r="I8" s="254" t="n">
        <v>4544</v>
      </c>
      <c r="J8" s="254" t="n">
        <v>2732</v>
      </c>
      <c r="K8" s="618">
        <f>I8+J8</f>
        <v/>
      </c>
      <c r="L8" s="619">
        <f>(B8-B9)-(C8-C9)-(D8-D9)-(E8-E9)-(F8-F9)-(G8-G9)-(H8-H9)-(K8-K9)</f>
        <v/>
      </c>
      <c r="M8" s="257" t="n"/>
      <c r="N8" s="106">
        <f>B8-B9</f>
        <v/>
      </c>
      <c r="O8" s="620">
        <f>K8-K9</f>
        <v/>
      </c>
    </row>
    <row customFormat="1" customHeight="1" ht="15" r="9" s="106">
      <c r="A9" s="252" t="n">
        <v>44811</v>
      </c>
      <c r="B9" s="253" t="n">
        <v>9612</v>
      </c>
      <c r="C9" s="253" t="n">
        <v>846</v>
      </c>
      <c r="D9" s="253" t="n">
        <v>709</v>
      </c>
      <c r="E9" s="253" t="n">
        <v>134</v>
      </c>
      <c r="F9" s="253" t="n">
        <v>187</v>
      </c>
      <c r="G9" s="253" t="n">
        <v>58</v>
      </c>
      <c r="H9" s="253" t="n">
        <v>210</v>
      </c>
      <c r="I9" s="254" t="n">
        <v>4536</v>
      </c>
      <c r="J9" s="254" t="n">
        <v>2732</v>
      </c>
      <c r="K9" s="618">
        <f>I9+J9</f>
        <v/>
      </c>
      <c r="L9" s="619">
        <f>(B9-B10)-(C9-C10)-(D9-D10)-(E9-E10)-(F9-F10)-(G9-G10)-(H9-H10)-(K9-K10)</f>
        <v/>
      </c>
      <c r="M9" s="257" t="n"/>
      <c r="N9" s="106">
        <f>B9-B10</f>
        <v/>
      </c>
      <c r="O9" s="620">
        <f>K9-K10</f>
        <v/>
      </c>
    </row>
    <row customFormat="1" customHeight="1" ht="15" r="10" s="106">
      <c r="A10" s="252" t="n">
        <v>44780</v>
      </c>
      <c r="B10" s="253" t="n">
        <v>9581</v>
      </c>
      <c r="C10" s="253" t="n">
        <v>846</v>
      </c>
      <c r="D10" s="253" t="n">
        <v>709</v>
      </c>
      <c r="E10" s="253" t="n">
        <v>134</v>
      </c>
      <c r="F10" s="253" t="n">
        <v>186</v>
      </c>
      <c r="G10" s="253" t="n">
        <v>58</v>
      </c>
      <c r="H10" s="253" t="n">
        <v>210</v>
      </c>
      <c r="I10" s="254" t="n">
        <v>4530</v>
      </c>
      <c r="J10" s="254" t="n">
        <v>2732</v>
      </c>
      <c r="K10" s="618">
        <f>I10+J10</f>
        <v/>
      </c>
      <c r="L10" s="619">
        <f>(B10-B11)-(C10-C11)-(D10-D11)-(E10-E11)-(F10-F11)-(G10-G11)-(H10-H11)-(K10-K11)</f>
        <v/>
      </c>
      <c r="M10" s="257" t="n"/>
      <c r="N10" s="106">
        <f>B10-B11</f>
        <v/>
      </c>
      <c r="O10" s="620">
        <f>K10-K11</f>
        <v/>
      </c>
    </row>
    <row customFormat="1" customHeight="1" ht="15" r="11" s="106">
      <c r="A11" s="252" t="n">
        <v>44749</v>
      </c>
      <c r="B11" s="253" t="n">
        <v>9554</v>
      </c>
      <c r="C11" s="253" t="n">
        <v>846</v>
      </c>
      <c r="D11" s="253" t="n">
        <v>709</v>
      </c>
      <c r="E11" s="253" t="n">
        <v>134</v>
      </c>
      <c r="F11" s="253" t="n">
        <v>183</v>
      </c>
      <c r="G11" s="253" t="n">
        <v>58</v>
      </c>
      <c r="H11" s="253" t="n">
        <v>210</v>
      </c>
      <c r="I11" s="254" t="n">
        <v>4524</v>
      </c>
      <c r="J11" s="254" t="n">
        <v>2732</v>
      </c>
      <c r="K11" s="618">
        <f>I11+J11</f>
        <v/>
      </c>
      <c r="L11" s="619">
        <f>(B11-B12)-(C11-C12)-(D11-D12)-(E11-E12)-(F11-F12)-(G11-G12)-(H11-H12)-(K11-K12)</f>
        <v/>
      </c>
      <c r="M11" s="257" t="n"/>
      <c r="N11" s="106">
        <f>B11-B12</f>
        <v/>
      </c>
      <c r="O11" s="620">
        <f>K11-K12</f>
        <v/>
      </c>
    </row>
    <row customFormat="1" customHeight="1" ht="15" r="12" s="106">
      <c r="A12" s="252" t="n">
        <v>44719</v>
      </c>
      <c r="B12" s="253" t="n">
        <v>9531</v>
      </c>
      <c r="C12" s="253" t="n">
        <v>846</v>
      </c>
      <c r="D12" s="253" t="n">
        <v>709</v>
      </c>
      <c r="E12" s="253" t="n">
        <v>134</v>
      </c>
      <c r="F12" s="253" t="n">
        <v>182</v>
      </c>
      <c r="G12" s="253" t="n">
        <v>58</v>
      </c>
      <c r="H12" s="253" t="n">
        <v>210</v>
      </c>
      <c r="I12" s="254" t="n">
        <v>4521</v>
      </c>
      <c r="J12" s="254" t="n">
        <v>2732</v>
      </c>
      <c r="K12" s="618">
        <f>I12+J12</f>
        <v/>
      </c>
      <c r="L12" s="619">
        <f>(B12-B13)-(C12-C13)-(D12-D13)-(E12-E13)-(F12-F13)-(G12-G13)-(H12-H13)-(K12-K13)</f>
        <v/>
      </c>
      <c r="M12" s="257" t="n"/>
      <c r="N12" s="106">
        <f>B12-B13</f>
        <v/>
      </c>
      <c r="O12" s="620">
        <f>K12-K13</f>
        <v/>
      </c>
    </row>
    <row customFormat="1" customHeight="1" ht="15" r="13" s="106">
      <c r="A13" s="252" t="n">
        <v>44688</v>
      </c>
      <c r="B13" s="253" t="n">
        <v>9502</v>
      </c>
      <c r="C13" s="253" t="n">
        <v>846</v>
      </c>
      <c r="D13" s="253" t="n">
        <v>709</v>
      </c>
      <c r="E13" s="253" t="n">
        <v>134</v>
      </c>
      <c r="F13" s="253" t="n">
        <v>181</v>
      </c>
      <c r="G13" s="253" t="n">
        <v>58</v>
      </c>
      <c r="H13" s="253" t="n">
        <v>210</v>
      </c>
      <c r="I13" s="254" t="n">
        <v>4520</v>
      </c>
      <c r="J13" s="254" t="n">
        <v>2732</v>
      </c>
      <c r="K13" s="618">
        <f>I13+J13</f>
        <v/>
      </c>
      <c r="L13" s="619">
        <f>(B13-B14)-(C13-C14)-(D13-D14)-(E13-E14)-(F13-F14)-(G13-G14)-(H13-H14)-(K13-K14)</f>
        <v/>
      </c>
      <c r="M13" s="257" t="n"/>
      <c r="N13" s="106">
        <f>B13-B14</f>
        <v/>
      </c>
      <c r="O13" s="620">
        <f>K13-K14</f>
        <v/>
      </c>
    </row>
    <row customFormat="1" customHeight="1" ht="15" r="14" s="106">
      <c r="A14" s="252" t="n">
        <v>44658</v>
      </c>
      <c r="B14" s="253" t="n">
        <v>9481</v>
      </c>
      <c r="C14" s="253" t="n">
        <v>846</v>
      </c>
      <c r="D14" s="253" t="n">
        <v>709</v>
      </c>
      <c r="E14" s="253" t="n">
        <v>134</v>
      </c>
      <c r="F14" s="253" t="n">
        <v>179</v>
      </c>
      <c r="G14" s="253" t="n">
        <v>58</v>
      </c>
      <c r="H14" s="253" t="n">
        <v>210</v>
      </c>
      <c r="I14" s="254" t="n">
        <v>4520</v>
      </c>
      <c r="J14" s="254" t="n">
        <v>2732</v>
      </c>
      <c r="K14" s="618">
        <f>I14+J14</f>
        <v/>
      </c>
      <c r="L14" s="619">
        <f>(B14-B15)-(C14-C15)-(D14-D15)-(E14-E15)-(F14-F15)-(G14-G15)-(H14-H15)-(K14-K15)</f>
        <v/>
      </c>
      <c r="M14" s="257" t="n"/>
      <c r="N14" s="106">
        <f>B14-B15</f>
        <v/>
      </c>
      <c r="O14" s="620">
        <f>K14-K15</f>
        <v/>
      </c>
    </row>
    <row customFormat="1" customHeight="1" ht="15" r="15" s="106">
      <c r="A15" s="252" t="n">
        <v>44627</v>
      </c>
      <c r="B15" s="253" t="n">
        <v>9459</v>
      </c>
      <c r="C15" s="253" t="n">
        <v>846</v>
      </c>
      <c r="D15" s="253" t="n">
        <v>709</v>
      </c>
      <c r="E15" s="253" t="n">
        <v>134</v>
      </c>
      <c r="F15" s="253" t="n">
        <v>178</v>
      </c>
      <c r="G15" s="253" t="n">
        <v>58</v>
      </c>
      <c r="H15" s="253" t="n">
        <v>210</v>
      </c>
      <c r="I15" s="254" t="n">
        <v>4520</v>
      </c>
      <c r="J15" s="254" t="n">
        <v>2732</v>
      </c>
      <c r="K15" s="618">
        <f>I15+J15</f>
        <v/>
      </c>
      <c r="L15" s="619">
        <f>(B15-B16)-(C15-C16)-(D15-D16)-(E15-E16)-(F15-F16)-(G15-G16)-(H15-H16)-(K15-K16)</f>
        <v/>
      </c>
      <c r="M15" s="257" t="n"/>
      <c r="N15" s="106">
        <f>B15-B16</f>
        <v/>
      </c>
      <c r="O15" s="620">
        <f>K15-K16</f>
        <v/>
      </c>
    </row>
    <row customFormat="1" customHeight="1" ht="15" r="16" s="106">
      <c r="A16" s="252" t="n">
        <v>44599</v>
      </c>
      <c r="B16" s="253" t="n">
        <v>9440</v>
      </c>
      <c r="C16" s="253" t="n">
        <v>846</v>
      </c>
      <c r="D16" s="253" t="n">
        <v>709</v>
      </c>
      <c r="E16" s="253" t="n">
        <v>134</v>
      </c>
      <c r="F16" s="253" t="n">
        <v>176</v>
      </c>
      <c r="G16" s="253" t="n">
        <v>58</v>
      </c>
      <c r="H16" s="253" t="n">
        <v>210</v>
      </c>
      <c r="I16" s="254" t="n">
        <v>4520</v>
      </c>
      <c r="J16" s="254" t="n">
        <v>2732</v>
      </c>
      <c r="K16" s="618">
        <f>I16+J16</f>
        <v/>
      </c>
      <c r="L16" s="619">
        <f>(B16-B17)-(C16-C17)-(D16-D17)-(E16-E17)-(F16-F17)-(G16-G17)-(H16-H17)-(K16-K17)</f>
        <v/>
      </c>
      <c r="M16" s="257" t="n"/>
      <c r="N16" s="106">
        <f>B16-B17</f>
        <v/>
      </c>
      <c r="O16" s="620">
        <f>K16-K17</f>
        <v/>
      </c>
    </row>
    <row customFormat="1" customHeight="1" ht="15" r="17" s="106">
      <c r="A17" s="252" t="n">
        <v>44568</v>
      </c>
      <c r="B17" s="253" t="n">
        <v>9424</v>
      </c>
      <c r="C17" s="253" t="n">
        <v>846</v>
      </c>
      <c r="D17" s="253" t="n">
        <v>709</v>
      </c>
      <c r="E17" s="253" t="n">
        <v>134</v>
      </c>
      <c r="F17" s="253" t="n">
        <v>174</v>
      </c>
      <c r="G17" s="253" t="n">
        <v>58</v>
      </c>
      <c r="H17" s="253" t="n">
        <v>210</v>
      </c>
      <c r="I17" s="254" t="n">
        <v>4520</v>
      </c>
      <c r="J17" s="254" t="n">
        <v>2732</v>
      </c>
      <c r="K17" s="618">
        <f>I17+J17</f>
        <v/>
      </c>
      <c r="L17" s="619">
        <f>(B17-B18)-(C17-C18)-(D17-D18)-(E17-E18)-(F17-F18)-(G17-G18)-(H17-H18)-(K17-K18)</f>
        <v/>
      </c>
      <c r="M17" s="257" t="n"/>
      <c r="N17" s="106">
        <f>B17-B18</f>
        <v/>
      </c>
      <c r="O17" s="620">
        <f>K17-K18</f>
        <v/>
      </c>
    </row>
    <row customFormat="1" customHeight="1" ht="15" r="18" s="106">
      <c r="A18" s="252" t="n">
        <v>44537</v>
      </c>
      <c r="B18" s="253" t="n">
        <v>9368</v>
      </c>
      <c r="C18" s="253" t="n">
        <v>846</v>
      </c>
      <c r="D18" s="253" t="n">
        <v>709</v>
      </c>
      <c r="E18" s="253" t="n">
        <v>134</v>
      </c>
      <c r="F18" s="253" t="n">
        <v>173</v>
      </c>
      <c r="G18" s="253" t="n">
        <v>58</v>
      </c>
      <c r="H18" s="253" t="n">
        <v>210</v>
      </c>
      <c r="I18" s="254" t="n">
        <v>4520</v>
      </c>
      <c r="J18" s="254" t="n">
        <v>2732</v>
      </c>
      <c r="K18" s="618">
        <f>I18+J18</f>
        <v/>
      </c>
      <c r="L18" s="619">
        <f>(B18-B19)-(C18-C19)-(D18-D19)-(E18-E19)-(F18-F19)-(G18-G19)-(H18-H19)-(K18-K19)</f>
        <v/>
      </c>
      <c r="M18" s="257" t="n"/>
      <c r="N18" s="106">
        <f>B18-B19</f>
        <v/>
      </c>
      <c r="O18" s="620">
        <f>K18-K19</f>
        <v/>
      </c>
    </row>
    <row customFormat="1" customHeight="1" ht="15" r="19" s="106">
      <c r="A19" s="252" t="n">
        <v>44507</v>
      </c>
      <c r="B19" s="253" t="n">
        <v>9347</v>
      </c>
      <c r="C19" s="253" t="n">
        <v>846</v>
      </c>
      <c r="D19" s="253" t="n">
        <v>709</v>
      </c>
      <c r="E19" s="253" t="n">
        <v>134</v>
      </c>
      <c r="F19" s="253" t="n">
        <v>172</v>
      </c>
      <c r="G19" s="253" t="n">
        <v>58</v>
      </c>
      <c r="H19" s="253" t="n">
        <v>210</v>
      </c>
      <c r="I19" s="254" t="n">
        <v>4520</v>
      </c>
      <c r="J19" s="254" t="n">
        <v>2732</v>
      </c>
      <c r="K19" s="618">
        <f>I19+J19</f>
        <v/>
      </c>
      <c r="L19" s="619">
        <f>(B19-B20)-(C19-C20)-(D19-D20)-(E19-E20)-(F19-F20)-(G19-G20)-(H19-H20)-(K19-K20)</f>
        <v/>
      </c>
      <c r="M19" s="257" t="n"/>
      <c r="N19" s="106">
        <f>B19-B20</f>
        <v/>
      </c>
      <c r="O19" s="620">
        <f>K19-K20</f>
        <v/>
      </c>
    </row>
    <row customFormat="1" customHeight="1" ht="15" r="20" s="106">
      <c r="A20" s="252" t="n">
        <v>44476</v>
      </c>
      <c r="B20" s="253" t="n">
        <v>9285</v>
      </c>
      <c r="C20" s="253" t="n">
        <v>846</v>
      </c>
      <c r="D20" s="253" t="n">
        <v>709</v>
      </c>
      <c r="E20" s="253" t="n">
        <v>134</v>
      </c>
      <c r="F20" s="253" t="n">
        <v>171</v>
      </c>
      <c r="G20" s="253" t="n">
        <v>58</v>
      </c>
      <c r="H20" s="253" t="n">
        <v>210</v>
      </c>
      <c r="I20" s="254" t="n">
        <v>4520</v>
      </c>
      <c r="J20" s="254" t="n">
        <v>2732</v>
      </c>
      <c r="K20" s="618">
        <f>I20+J20</f>
        <v/>
      </c>
      <c r="L20" s="619">
        <f>(B20-B21)-(C20-C21)-(D20-D21)-(E20-E21)-(F20-F21)-(G20-G21)-(H20-H21)-(K20-K21)</f>
        <v/>
      </c>
      <c r="M20" s="257" t="n"/>
      <c r="N20" s="106">
        <f>B20-B21</f>
        <v/>
      </c>
      <c r="O20" s="620">
        <f>K20-K21</f>
        <v/>
      </c>
    </row>
    <row customFormat="1" customHeight="1" ht="15" r="21" s="106">
      <c r="A21" s="252" t="n">
        <v>44446</v>
      </c>
      <c r="B21" s="253" t="n">
        <v>9260</v>
      </c>
      <c r="C21" s="253" t="n">
        <v>846</v>
      </c>
      <c r="D21" s="253" t="n">
        <v>709</v>
      </c>
      <c r="E21" s="253" t="n">
        <v>134</v>
      </c>
      <c r="F21" s="253" t="n">
        <v>168</v>
      </c>
      <c r="G21" s="253" t="n">
        <v>58</v>
      </c>
      <c r="H21" s="253" t="n">
        <v>210</v>
      </c>
      <c r="I21" s="254" t="n">
        <v>4520</v>
      </c>
      <c r="J21" s="254" t="n">
        <v>2732</v>
      </c>
      <c r="K21" s="618">
        <f>I21+J21</f>
        <v/>
      </c>
      <c r="L21" s="619">
        <f>(B21-B22)-(C21-C22)-(D21-D22)-(E21-E22)-(F21-F22)-(G21-G22)-(H21-H22)-(K21-K22)</f>
        <v/>
      </c>
      <c r="M21" s="257" t="n"/>
      <c r="N21" s="106">
        <f>B21-B22</f>
        <v/>
      </c>
      <c r="O21" s="620">
        <f>K21-K22</f>
        <v/>
      </c>
    </row>
    <row customFormat="1" customHeight="1" ht="15" r="22" s="106">
      <c r="A22" s="252" t="n">
        <v>44415</v>
      </c>
      <c r="B22" s="253" t="n">
        <v>9225</v>
      </c>
      <c r="C22" s="253" t="n">
        <v>846</v>
      </c>
      <c r="D22" s="253" t="n">
        <v>709</v>
      </c>
      <c r="E22" s="253" t="n">
        <v>134</v>
      </c>
      <c r="F22" s="253" t="n">
        <v>164</v>
      </c>
      <c r="G22" s="253" t="n">
        <v>58</v>
      </c>
      <c r="H22" s="253" t="n">
        <v>210</v>
      </c>
      <c r="I22" s="254" t="n">
        <v>4519</v>
      </c>
      <c r="J22" s="254" t="n">
        <v>2732</v>
      </c>
      <c r="K22" s="618">
        <f>I22+J22</f>
        <v/>
      </c>
      <c r="L22" s="619">
        <f>(B22-B23)-(C22-C23)-(D22-D23)-(E22-E23)-(F22-F23)-(G22-G23)-(H22-H23)-(K22-K23)</f>
        <v/>
      </c>
      <c r="M22" s="257" t="n"/>
      <c r="N22" s="106">
        <f>B22-B23</f>
        <v/>
      </c>
      <c r="O22" s="620">
        <f>K22-K23</f>
        <v/>
      </c>
    </row>
    <row customFormat="1" customHeight="1" ht="15" r="23" s="106">
      <c r="A23" s="252" t="n">
        <v>44384</v>
      </c>
      <c r="B23" s="253" t="n">
        <v>9192</v>
      </c>
      <c r="C23" s="253" t="n">
        <v>846</v>
      </c>
      <c r="D23" s="253" t="n">
        <v>709</v>
      </c>
      <c r="E23" s="253" t="n">
        <v>134</v>
      </c>
      <c r="F23" s="253" t="n">
        <v>161</v>
      </c>
      <c r="G23" s="253" t="n">
        <v>58</v>
      </c>
      <c r="H23" s="253" t="n">
        <v>210</v>
      </c>
      <c r="I23" s="254" t="n">
        <v>4519</v>
      </c>
      <c r="J23" s="254" t="n">
        <v>2732</v>
      </c>
      <c r="K23" s="618">
        <f>I23+J23</f>
        <v/>
      </c>
      <c r="L23" s="619">
        <f>(B23-B24)-(C23-C24)-(D23-D24)-(E23-E24)-(F23-F24)-(G23-G24)-(H23-H24)-(K23-K24)</f>
        <v/>
      </c>
      <c r="M23" s="257" t="n"/>
      <c r="N23" s="106">
        <f>B23-B24</f>
        <v/>
      </c>
      <c r="O23" s="620">
        <f>K23-K24</f>
        <v/>
      </c>
    </row>
    <row customFormat="1" customHeight="1" ht="15" r="24" s="106">
      <c r="A24" s="252" t="n">
        <v>44354</v>
      </c>
      <c r="B24" s="253" t="n">
        <v>9156</v>
      </c>
      <c r="C24" s="253" t="n">
        <v>846</v>
      </c>
      <c r="D24" s="253" t="n">
        <v>709</v>
      </c>
      <c r="E24" s="253" t="n">
        <v>134</v>
      </c>
      <c r="F24" s="253" t="n">
        <v>157</v>
      </c>
      <c r="G24" s="253" t="n">
        <v>58</v>
      </c>
      <c r="H24" s="253" t="n">
        <v>210</v>
      </c>
      <c r="I24" s="254" t="n">
        <v>4518</v>
      </c>
      <c r="J24" s="254" t="n">
        <v>2732</v>
      </c>
      <c r="K24" s="618">
        <f>I24+J24</f>
        <v/>
      </c>
      <c r="L24" s="619">
        <f>(B24-B25)-(C24-C25)-(D24-D25)-(E24-E25)-(F24-F25)-(G24-G25)-(H24-H25)-(K24-K25)</f>
        <v/>
      </c>
      <c r="M24" s="257" t="n"/>
      <c r="N24" s="106">
        <f>B24-B25</f>
        <v/>
      </c>
      <c r="O24" s="620">
        <f>K24-K25</f>
        <v/>
      </c>
    </row>
    <row customFormat="1" customHeight="1" ht="15" r="25" s="106">
      <c r="A25" s="252" t="n">
        <v>44323</v>
      </c>
      <c r="B25" s="253" t="n">
        <v>9126</v>
      </c>
      <c r="C25" s="253" t="n">
        <v>846</v>
      </c>
      <c r="D25" s="253" t="n">
        <v>709</v>
      </c>
      <c r="E25" s="253" t="n">
        <v>134</v>
      </c>
      <c r="F25" s="253" t="n">
        <v>153</v>
      </c>
      <c r="G25" s="253" t="n">
        <v>58</v>
      </c>
      <c r="H25" s="253" t="n">
        <v>210</v>
      </c>
      <c r="I25" s="254" t="n">
        <v>4512</v>
      </c>
      <c r="J25" s="254" t="n">
        <v>2732</v>
      </c>
      <c r="K25" s="618">
        <f>I25+J25</f>
        <v/>
      </c>
      <c r="L25" s="619">
        <f>(B25-B26)-(C25-C26)-(D25-D26)-(E25-E26)-(F25-F26)-(G25-G26)-(H25-H26)-(K25-K26)</f>
        <v/>
      </c>
      <c r="M25" s="257" t="n"/>
      <c r="N25" s="106">
        <f>B25-B26</f>
        <v/>
      </c>
      <c r="O25" s="620">
        <f>K25-K26</f>
        <v/>
      </c>
    </row>
    <row customFormat="1" customHeight="1" ht="15" r="26" s="106">
      <c r="A26" s="252" t="n">
        <v>44293</v>
      </c>
      <c r="B26" s="253" t="n">
        <v>9065</v>
      </c>
      <c r="C26" s="253" t="n">
        <v>846</v>
      </c>
      <c r="D26" s="253" t="n">
        <v>709</v>
      </c>
      <c r="E26" s="253" t="n">
        <v>134</v>
      </c>
      <c r="F26" s="253" t="n">
        <v>151</v>
      </c>
      <c r="G26" s="253" t="n">
        <v>58</v>
      </c>
      <c r="H26" s="253" t="n">
        <v>210</v>
      </c>
      <c r="I26" s="254" t="n">
        <v>4483</v>
      </c>
      <c r="J26" s="254" t="n">
        <v>2724</v>
      </c>
      <c r="K26" s="618">
        <f>I26+J26</f>
        <v/>
      </c>
      <c r="L26" s="619">
        <f>(B26-B27)-(C26-C27)-(D26-D27)-(E26-E27)-(F26-F27)-(G26-G27)-(H26-H27)-(K26-K27)</f>
        <v/>
      </c>
      <c r="M26" s="257" t="n"/>
      <c r="N26" s="106">
        <f>B26-B27</f>
        <v/>
      </c>
      <c r="O26" s="620">
        <f>K26-K27</f>
        <v/>
      </c>
    </row>
    <row customFormat="1" customHeight="1" ht="15" r="27" s="106">
      <c r="A27" s="252" t="n">
        <v>44262</v>
      </c>
      <c r="B27" s="253" t="n">
        <v>8952</v>
      </c>
      <c r="C27" s="253" t="n">
        <v>846</v>
      </c>
      <c r="D27" s="253" t="n">
        <v>709</v>
      </c>
      <c r="E27" s="253" t="n">
        <v>134</v>
      </c>
      <c r="F27" s="253" t="n">
        <v>148</v>
      </c>
      <c r="G27" s="253" t="n">
        <v>58</v>
      </c>
      <c r="H27" s="253" t="n">
        <v>210</v>
      </c>
      <c r="I27" s="254" t="n">
        <v>4422</v>
      </c>
      <c r="J27" s="254" t="n">
        <v>2699</v>
      </c>
      <c r="K27" s="618">
        <f>I27+J27</f>
        <v/>
      </c>
      <c r="L27" s="619">
        <f>(B27-B28)-(C27-C28)-(D27-D28)-(E27-E28)-(F27-F28)-(G27-G28)-(H27-H28)-(K27-K28)</f>
        <v/>
      </c>
      <c r="M27" s="257" t="n"/>
      <c r="N27" s="106">
        <f>B27-B28</f>
        <v/>
      </c>
      <c r="O27" s="620">
        <f>K27-K28</f>
        <v/>
      </c>
    </row>
    <row customFormat="1" customHeight="1" ht="15" r="28" s="106">
      <c r="A28" s="252" t="n">
        <v>44234</v>
      </c>
      <c r="B28" s="253" t="n">
        <v>8821</v>
      </c>
      <c r="C28" s="253" t="n">
        <v>846</v>
      </c>
      <c r="D28" s="253" t="n">
        <v>709</v>
      </c>
      <c r="E28" s="253" t="n">
        <v>134</v>
      </c>
      <c r="F28" s="253" t="n">
        <v>147</v>
      </c>
      <c r="G28" s="253" t="n">
        <v>58</v>
      </c>
      <c r="H28" s="253" t="n">
        <v>210</v>
      </c>
      <c r="I28" s="254" t="n">
        <v>4368</v>
      </c>
      <c r="J28" s="254" t="n">
        <v>2678</v>
      </c>
      <c r="K28" s="618">
        <f>I28+J28</f>
        <v/>
      </c>
      <c r="L28" s="619">
        <f>(B28-B29)-(C28-C29)-(D28-D29)-(E28-E29)-(F28-F29)-(G28-G29)-(H28-H29)-(K28-K29)</f>
        <v/>
      </c>
      <c r="M28" s="257" t="n"/>
      <c r="N28" s="106">
        <f>B28-B29</f>
        <v/>
      </c>
      <c r="O28" s="620">
        <f>K28-K29</f>
        <v/>
      </c>
    </row>
    <row customFormat="1" customHeight="1" ht="15" r="29" s="106">
      <c r="A29" s="252" t="n">
        <v>44203</v>
      </c>
      <c r="B29" s="253" t="n">
        <v>8594</v>
      </c>
      <c r="C29" s="253" t="n">
        <v>846</v>
      </c>
      <c r="D29" s="253" t="n">
        <v>709</v>
      </c>
      <c r="E29" s="253" t="n">
        <v>134</v>
      </c>
      <c r="F29" s="253" t="n">
        <v>144</v>
      </c>
      <c r="G29" s="253" t="n">
        <v>58</v>
      </c>
      <c r="H29" s="253" t="n">
        <v>210</v>
      </c>
      <c r="I29" s="254" t="n">
        <v>4311</v>
      </c>
      <c r="J29" s="254" t="n">
        <v>2661</v>
      </c>
      <c r="K29" s="618">
        <f>I29+J29</f>
        <v/>
      </c>
      <c r="L29" s="619">
        <f>(B29-B30)-(C29-C30)-(D29-D30)-(E29-E30)-(F29-F30)-(G29-G30)-(H29-H30)-(K29-K30)</f>
        <v/>
      </c>
      <c r="M29" s="257" t="n"/>
      <c r="N29" s="106">
        <f>B29-B30</f>
        <v/>
      </c>
      <c r="O29" s="620">
        <f>K29-K30</f>
        <v/>
      </c>
    </row>
    <row customFormat="1" customHeight="1" ht="15" r="30" s="106">
      <c r="A30" s="252" t="n">
        <v>44172</v>
      </c>
      <c r="B30" s="253" t="n">
        <v>8261</v>
      </c>
      <c r="C30" s="253" t="n">
        <v>846</v>
      </c>
      <c r="D30" s="253" t="n">
        <v>709</v>
      </c>
      <c r="E30" s="253" t="n">
        <v>134</v>
      </c>
      <c r="F30" s="253" t="n">
        <v>141</v>
      </c>
      <c r="G30" s="253" t="n">
        <v>58</v>
      </c>
      <c r="H30" s="253" t="n">
        <v>210</v>
      </c>
      <c r="I30" s="254" t="n">
        <v>4260</v>
      </c>
      <c r="J30" s="254" t="n">
        <v>2651</v>
      </c>
      <c r="K30" s="618">
        <f>I30+J30</f>
        <v/>
      </c>
      <c r="L30" s="619">
        <f>(B30-B31)-(C30-C31)-(D30-D31)-(E30-E31)-(F30-F31)-(G30-G31)-(H30-H31)-(K30-K31)</f>
        <v/>
      </c>
      <c r="M30" s="257" t="n"/>
      <c r="N30" s="106">
        <f>B30-B31</f>
        <v/>
      </c>
      <c r="O30" s="620">
        <f>K30-K31</f>
        <v/>
      </c>
    </row>
    <row customFormat="1" customHeight="1" ht="15" r="31" s="106">
      <c r="A31" s="252" t="n">
        <v>44142</v>
      </c>
      <c r="B31" s="253" t="n">
        <v>8008</v>
      </c>
      <c r="C31" s="253" t="n">
        <v>846</v>
      </c>
      <c r="D31" s="253" t="n">
        <v>709</v>
      </c>
      <c r="E31" s="253" t="n">
        <v>134</v>
      </c>
      <c r="F31" s="253" t="n">
        <v>138</v>
      </c>
      <c r="G31" s="253" t="n">
        <v>58</v>
      </c>
      <c r="H31" s="253" t="n">
        <v>210</v>
      </c>
      <c r="I31" s="254" t="n">
        <v>4199</v>
      </c>
      <c r="J31" s="254" t="n">
        <v>2635</v>
      </c>
      <c r="K31" s="618">
        <f>I31+J31</f>
        <v/>
      </c>
      <c r="L31" s="619">
        <f>(B31-B32)-(C31-C32)-(D31-D32)-(E31-E32)-(F31-F32)-(G31-G32)-(H31-H32)-(K31-K32)</f>
        <v/>
      </c>
      <c r="M31" s="257" t="n"/>
      <c r="N31" s="106">
        <f>B31-B32</f>
        <v/>
      </c>
      <c r="O31" s="620">
        <f>K31-K32</f>
        <v/>
      </c>
    </row>
    <row customFormat="1" customHeight="1" ht="15" r="32" s="106">
      <c r="A32" s="252" t="n">
        <v>44111</v>
      </c>
      <c r="B32" s="253" t="n">
        <v>7720</v>
      </c>
      <c r="C32" s="253" t="n">
        <v>846</v>
      </c>
      <c r="D32" s="253" t="n">
        <v>709</v>
      </c>
      <c r="E32" s="253" t="n">
        <v>134</v>
      </c>
      <c r="F32" s="253" t="n">
        <v>136</v>
      </c>
      <c r="G32" s="253" t="n">
        <v>58</v>
      </c>
      <c r="H32" s="253" t="n">
        <v>210</v>
      </c>
      <c r="I32" s="254" t="n">
        <v>4143</v>
      </c>
      <c r="J32" s="254" t="n">
        <v>2614</v>
      </c>
      <c r="K32" s="618">
        <f>I32+J32</f>
        <v/>
      </c>
      <c r="L32" s="619">
        <f>(B32-B33)-(C32-C33)-(D32-D33)-(E32-E33)-(F32-F33)-(G32-G33)-(H32-H33)-(K32-K33)</f>
        <v/>
      </c>
      <c r="M32" s="257" t="n"/>
      <c r="N32" s="106">
        <f>B32-B33</f>
        <v/>
      </c>
      <c r="O32" s="620">
        <f>K32-K33</f>
        <v/>
      </c>
    </row>
    <row customFormat="1" customHeight="1" ht="15" r="33" s="106">
      <c r="A33" s="252" t="n">
        <v>44081</v>
      </c>
      <c r="B33" s="253" t="n">
        <v>7493</v>
      </c>
      <c r="C33" s="253" t="n">
        <v>846</v>
      </c>
      <c r="D33" s="253" t="n">
        <v>709</v>
      </c>
      <c r="E33" s="253" t="n">
        <v>134</v>
      </c>
      <c r="F33" s="253" t="n">
        <v>134</v>
      </c>
      <c r="G33" s="253" t="n">
        <v>58</v>
      </c>
      <c r="H33" s="253" t="n">
        <v>210</v>
      </c>
      <c r="I33" s="254" t="n">
        <v>4059</v>
      </c>
      <c r="J33" s="254" t="n">
        <v>2588</v>
      </c>
      <c r="K33" s="618">
        <f>I33+J33</f>
        <v/>
      </c>
      <c r="L33" s="619">
        <f>(B33-B34)-(C33-C34)-(D33-D34)-(E33-E34)-(F33-F34)-(G33-G34)-(H33-H34)-(K33-K34)</f>
        <v/>
      </c>
      <c r="M33" s="257" t="n"/>
      <c r="N33" s="106">
        <f>B33-B34</f>
        <v/>
      </c>
      <c r="O33" s="620">
        <f>K33-K34</f>
        <v/>
      </c>
    </row>
    <row customFormat="1" customHeight="1" ht="12" r="34" s="106">
      <c r="A34" s="252" t="n">
        <v>44050</v>
      </c>
      <c r="B34" s="253" t="n">
        <v>7286</v>
      </c>
      <c r="C34" s="253" t="n">
        <v>846</v>
      </c>
      <c r="D34" s="253" t="n">
        <v>709</v>
      </c>
      <c r="E34" s="253" t="n">
        <v>134</v>
      </c>
      <c r="F34" s="253" t="n">
        <v>131</v>
      </c>
      <c r="G34" s="253" t="n">
        <v>58</v>
      </c>
      <c r="H34" s="253" t="n">
        <v>210</v>
      </c>
      <c r="I34" s="254" t="n">
        <v>3985</v>
      </c>
      <c r="J34" s="254" t="n">
        <v>2564</v>
      </c>
      <c r="K34" s="618">
        <f>I34+J34</f>
        <v/>
      </c>
      <c r="L34" s="619">
        <f>(B34-B35)-(C34-C35)-(D34-D35)-(E34-E35)-(F34-F35)-(G34-G35)-(H34-H35)-(K34-K35)</f>
        <v/>
      </c>
      <c r="M34" s="257" t="n"/>
      <c r="N34" s="106">
        <f>B34-B35</f>
        <v/>
      </c>
      <c r="O34" s="620">
        <f>K34-K35</f>
        <v/>
      </c>
    </row>
    <row customFormat="1" customHeight="1" ht="12" r="35" s="106">
      <c r="A35" s="252" t="n">
        <v>44019</v>
      </c>
      <c r="B35" s="253" t="n">
        <v>7087</v>
      </c>
      <c r="C35" s="253" t="n">
        <v>846</v>
      </c>
      <c r="D35" s="253" t="n">
        <v>709</v>
      </c>
      <c r="E35" s="253" t="n">
        <v>134</v>
      </c>
      <c r="F35" s="253" t="n">
        <v>129</v>
      </c>
      <c r="G35" s="253" t="n">
        <v>58</v>
      </c>
      <c r="H35" s="253" t="n">
        <v>210</v>
      </c>
      <c r="I35" s="254" t="n">
        <v>3907</v>
      </c>
      <c r="J35" s="254" t="n">
        <v>2543</v>
      </c>
      <c r="K35" s="618">
        <f>I35+J35</f>
        <v/>
      </c>
      <c r="L35" s="619">
        <f>(B35-B36)-(C35-C36)-(D35-D36)-(E35-E36)-(F35-F36)-(G35-G36)-(H35-H36)-(K35-K36)</f>
        <v/>
      </c>
      <c r="M35" s="257" t="n"/>
      <c r="N35" s="106">
        <f>B35-B36</f>
        <v/>
      </c>
      <c r="O35" s="620">
        <f>K35-K36</f>
        <v/>
      </c>
    </row>
    <row customFormat="1" customHeight="1" ht="12" r="36" s="106">
      <c r="A36" s="252" t="n">
        <v>43989</v>
      </c>
      <c r="B36" s="253" t="n">
        <v>6894</v>
      </c>
      <c r="C36" s="253" t="n">
        <v>846</v>
      </c>
      <c r="D36" s="253" t="n">
        <v>709</v>
      </c>
      <c r="E36" s="253" t="n">
        <v>134</v>
      </c>
      <c r="F36" s="253" t="n">
        <v>127</v>
      </c>
      <c r="G36" s="253" t="n">
        <v>58</v>
      </c>
      <c r="H36" s="253" t="n">
        <v>210</v>
      </c>
      <c r="I36" s="254" t="n">
        <v>3833</v>
      </c>
      <c r="J36" s="254" t="n">
        <v>2519</v>
      </c>
      <c r="K36" s="618">
        <f>I36+J36</f>
        <v/>
      </c>
      <c r="L36" s="619">
        <f>(B36-B37)-(C36-C37)-(D36-D37)-(E36-E37)-(F36-F37)-(G36-G37)-(H36-H37)-(K36-K37)</f>
        <v/>
      </c>
      <c r="M36" s="257" t="n"/>
      <c r="N36" s="106">
        <f>B36-B37</f>
        <v/>
      </c>
      <c r="O36" s="620">
        <f>K36-K37</f>
        <v/>
      </c>
    </row>
    <row customFormat="1" customHeight="1" ht="12" r="37" s="106">
      <c r="A37" s="252" t="n">
        <v>43958</v>
      </c>
      <c r="B37" s="253" t="n">
        <v>6619</v>
      </c>
      <c r="C37" s="253" t="n">
        <v>846</v>
      </c>
      <c r="D37" s="253" t="n">
        <v>709</v>
      </c>
      <c r="E37" s="253" t="n">
        <v>134</v>
      </c>
      <c r="F37" s="253" t="n">
        <v>124</v>
      </c>
      <c r="G37" s="253" t="n">
        <v>58</v>
      </c>
      <c r="H37" s="253" t="n">
        <v>210</v>
      </c>
      <c r="I37" s="254" t="n">
        <v>3751</v>
      </c>
      <c r="J37" s="254" t="n">
        <v>2491</v>
      </c>
      <c r="K37" s="618">
        <f>I37+J37</f>
        <v/>
      </c>
      <c r="L37" s="619">
        <f>(B37-B38)-(C37-C38)-(D37-D38)-(E37-E38)-(F37-F38)-(G37-G38)-(H37-H38)-(K37-K38)</f>
        <v/>
      </c>
      <c r="M37" s="257" t="n"/>
      <c r="N37" s="106">
        <f>B37-B38</f>
        <v/>
      </c>
      <c r="O37" s="620">
        <f>K37-K38</f>
        <v/>
      </c>
    </row>
    <row customFormat="1" customHeight="1" ht="12" r="38" s="106">
      <c r="A38" s="252" t="n">
        <v>43928</v>
      </c>
      <c r="B38" s="253" t="n">
        <v>6429</v>
      </c>
      <c r="C38" s="253" t="n">
        <v>846</v>
      </c>
      <c r="D38" s="253" t="n">
        <v>709</v>
      </c>
      <c r="E38" s="253" t="n">
        <v>134</v>
      </c>
      <c r="F38" s="253" t="n">
        <v>122</v>
      </c>
      <c r="G38" s="253" t="n">
        <v>58</v>
      </c>
      <c r="H38" s="253" t="n">
        <v>210</v>
      </c>
      <c r="I38" s="254" t="n">
        <v>3675</v>
      </c>
      <c r="J38" s="254" t="n">
        <v>2464</v>
      </c>
      <c r="K38" s="618">
        <f>I38+J38</f>
        <v/>
      </c>
      <c r="L38" s="619">
        <f>(B38-B39)-(C38-C39)-(D38-D39)-(E38-E39)-(F38-F39)-(G38-G39)-(H38-H39)-(K38-K39)</f>
        <v/>
      </c>
      <c r="M38" s="257" t="n"/>
      <c r="N38" s="106">
        <f>B38-B39</f>
        <v/>
      </c>
      <c r="O38" s="620">
        <f>K38-K39</f>
        <v/>
      </c>
    </row>
    <row customFormat="1" customHeight="1" ht="12" r="39" s="106">
      <c r="A39" s="252" t="n">
        <v>43897</v>
      </c>
      <c r="B39" s="253" t="n">
        <v>6242</v>
      </c>
      <c r="C39" s="253" t="n">
        <v>846</v>
      </c>
      <c r="D39" s="253" t="n">
        <v>709</v>
      </c>
      <c r="E39" s="253" t="n">
        <v>134</v>
      </c>
      <c r="F39" s="253" t="n">
        <v>121</v>
      </c>
      <c r="G39" s="253" t="n">
        <v>58</v>
      </c>
      <c r="H39" s="253" t="n">
        <v>210</v>
      </c>
      <c r="I39" s="254" t="n">
        <v>3602</v>
      </c>
      <c r="J39" s="254" t="n">
        <v>2425</v>
      </c>
      <c r="K39" s="618">
        <f>I39+J39</f>
        <v/>
      </c>
      <c r="L39" s="619">
        <f>(B39-B40)-(C39-C40)-(D39-D40)-(E39-E40)-(F39-F40)-(G39-G40)-(H39-H40)-(K39-K40)</f>
        <v/>
      </c>
      <c r="M39" s="257" t="n"/>
      <c r="N39" s="106">
        <f>B39-B40</f>
        <v/>
      </c>
      <c r="O39" s="620">
        <f>K39-K40</f>
        <v/>
      </c>
    </row>
    <row customFormat="1" customHeight="1" ht="12" r="40" s="106">
      <c r="A40" s="252" t="n">
        <v>43868</v>
      </c>
      <c r="B40" s="253" t="n">
        <v>6087</v>
      </c>
      <c r="C40" s="253" t="n">
        <v>846</v>
      </c>
      <c r="D40" s="253" t="n">
        <v>709</v>
      </c>
      <c r="E40" s="253" t="n">
        <v>134</v>
      </c>
      <c r="F40" s="253" t="n">
        <v>118</v>
      </c>
      <c r="G40" s="253" t="n">
        <v>58</v>
      </c>
      <c r="H40" s="253" t="n">
        <v>210</v>
      </c>
      <c r="I40" s="254" t="n">
        <v>3547</v>
      </c>
      <c r="J40" s="254" t="n">
        <v>2417</v>
      </c>
      <c r="K40" s="618">
        <f>I40+J40</f>
        <v/>
      </c>
      <c r="L40" s="619">
        <f>(B40-B41)-(C40-C41)-(D40-D41)-(E40-E41)-(F40-F41)-(G40-G41)-(H40-H41)-(K40-K41)</f>
        <v/>
      </c>
      <c r="M40" s="257" t="inlineStr">
        <is>
          <t>5층 옥상 수정</t>
        </is>
      </c>
      <c r="N40" s="106">
        <f>B40-B41</f>
        <v/>
      </c>
      <c r="O40" s="620">
        <f>K40-K41</f>
        <v/>
      </c>
    </row>
    <row customFormat="1" customHeight="1" ht="12" r="41" s="106">
      <c r="A41" s="252" t="n">
        <v>43837</v>
      </c>
      <c r="B41" s="253" t="n">
        <v>5935</v>
      </c>
      <c r="C41" s="253" t="n">
        <v>846</v>
      </c>
      <c r="D41" s="253" t="n">
        <v>709</v>
      </c>
      <c r="E41" s="253" t="n">
        <v>134</v>
      </c>
      <c r="F41" s="253" t="n">
        <v>116</v>
      </c>
      <c r="G41" s="253" t="n">
        <v>58</v>
      </c>
      <c r="H41" s="253" t="n">
        <v>210</v>
      </c>
      <c r="I41" s="254" t="n">
        <v>3493</v>
      </c>
      <c r="J41" s="254" t="n">
        <v>2413</v>
      </c>
      <c r="K41" s="618">
        <f>I41+J41</f>
        <v/>
      </c>
      <c r="L41" s="619">
        <f>(B41-B42)-(C41-C42)-(D41-D42)-(E41-E42)-(F41-F42)-(G41-G42)-(H41-H42)-(K41-K42)</f>
        <v/>
      </c>
      <c r="M41" s="257" t="inlineStr">
        <is>
          <t>5층 옥상 수정</t>
        </is>
      </c>
      <c r="N41" s="106">
        <f>B41-B42</f>
        <v/>
      </c>
      <c r="O41" s="620">
        <f>K41-K42</f>
        <v/>
      </c>
    </row>
    <row customFormat="1" customHeight="1" ht="12" r="42" s="111">
      <c r="A42" s="252" t="n">
        <v>43806</v>
      </c>
      <c r="B42" s="253" t="n">
        <v>5784</v>
      </c>
      <c r="C42" s="253" t="n">
        <v>846</v>
      </c>
      <c r="D42" s="253" t="n">
        <v>709</v>
      </c>
      <c r="E42" s="253" t="n">
        <v>134</v>
      </c>
      <c r="F42" s="253" t="n">
        <v>114</v>
      </c>
      <c r="G42" s="253" t="n">
        <v>58</v>
      </c>
      <c r="H42" s="253" t="n">
        <v>210</v>
      </c>
      <c r="I42" s="254" t="n">
        <v>3435</v>
      </c>
      <c r="J42" s="254" t="n">
        <v>2397</v>
      </c>
      <c r="K42" s="618">
        <f>I42+J42</f>
        <v/>
      </c>
      <c r="L42" s="619">
        <f>(B42-B43)-(C42-C43)-(D42-D43)-(E42-E43)-(F42-F43)-(G42-G43)-(H42-H43)-(K42-K43)</f>
        <v/>
      </c>
      <c r="M42" s="257" t="inlineStr">
        <is>
          <t>5층 옥상 수정</t>
        </is>
      </c>
      <c r="N42" s="106">
        <f>B42-B43</f>
        <v/>
      </c>
      <c r="O42" s="620">
        <f>K42-K43</f>
        <v/>
      </c>
    </row>
    <row customFormat="1" customHeight="1" ht="12" r="43" s="111">
      <c r="A43" s="252" t="n">
        <v>43776</v>
      </c>
      <c r="B43" s="253" t="n">
        <v>5630</v>
      </c>
      <c r="C43" s="253" t="n">
        <v>846</v>
      </c>
      <c r="D43" s="253" t="n">
        <v>709</v>
      </c>
      <c r="E43" s="253" t="n">
        <v>134</v>
      </c>
      <c r="F43" s="253" t="n">
        <v>112</v>
      </c>
      <c r="G43" s="253" t="n">
        <v>58</v>
      </c>
      <c r="H43" s="253" t="n">
        <v>210</v>
      </c>
      <c r="I43" s="254" t="n">
        <v>3382</v>
      </c>
      <c r="J43" s="254" t="n">
        <v>2372</v>
      </c>
      <c r="K43" s="618">
        <f>I43+J43</f>
        <v/>
      </c>
      <c r="L43" s="619">
        <f>(B43-B44)-(C43-C44)-(D43-D44)-(E43-E44)-(F43-F44)-(G43-G44)-(H43-H44)-(K43-K44)</f>
        <v/>
      </c>
      <c r="M43" s="257" t="n"/>
      <c r="N43" s="106">
        <f>B43-B44</f>
        <v/>
      </c>
      <c r="O43" s="620">
        <f>K43-K44</f>
        <v/>
      </c>
    </row>
    <row customFormat="1" customHeight="1" ht="12" r="44" s="111">
      <c r="A44" s="252" t="n">
        <v>43745</v>
      </c>
      <c r="B44" s="253" t="n">
        <v>5448</v>
      </c>
      <c r="C44" s="253" t="n">
        <v>846</v>
      </c>
      <c r="D44" s="253" t="n">
        <v>709</v>
      </c>
      <c r="E44" s="253" t="n">
        <v>134</v>
      </c>
      <c r="F44" s="253" t="n">
        <v>109</v>
      </c>
      <c r="G44" s="253" t="n">
        <v>58</v>
      </c>
      <c r="H44" s="253" t="n">
        <v>210</v>
      </c>
      <c r="I44" s="254" t="n">
        <v>3316</v>
      </c>
      <c r="J44" s="254" t="n">
        <v>2344</v>
      </c>
      <c r="K44" s="618">
        <f>I44+J44</f>
        <v/>
      </c>
      <c r="L44" s="619">
        <f>(B44-B45)-(C44-C45)-(D44-D45)-(E44-E45)-(F44-F45)-(G44-G45)-(H44-H45)-(K44-K45)</f>
        <v/>
      </c>
      <c r="M44" s="257" t="n"/>
      <c r="N44" s="106">
        <f>B44-B45</f>
        <v/>
      </c>
      <c r="O44" s="620">
        <f>K44-K45</f>
        <v/>
      </c>
    </row>
    <row customFormat="1" customHeight="1" ht="12" r="45" s="111">
      <c r="A45" s="252" t="n">
        <v>43715</v>
      </c>
      <c r="B45" s="253" t="n">
        <v>5294</v>
      </c>
      <c r="C45" s="253" t="n">
        <v>846</v>
      </c>
      <c r="D45" s="253" t="n">
        <v>709</v>
      </c>
      <c r="E45" s="253" t="n">
        <v>134</v>
      </c>
      <c r="F45" s="253" t="n">
        <v>107</v>
      </c>
      <c r="G45" s="253" t="n">
        <v>58</v>
      </c>
      <c r="H45" s="253" t="n">
        <v>210</v>
      </c>
      <c r="I45" s="254" t="n">
        <v>3246</v>
      </c>
      <c r="J45" s="254" t="n">
        <v>2324</v>
      </c>
      <c r="K45" s="618">
        <f>I45+J45</f>
        <v/>
      </c>
      <c r="L45" s="619">
        <f>(B45-B46)-(C45-C46)-(D45-D46)-(E45-E46)-(F45-F46)-(G45-G46)-(H45-H46)-(K45-K46)</f>
        <v/>
      </c>
      <c r="M45" s="257" t="n"/>
      <c r="N45" s="106">
        <f>B45-B46</f>
        <v/>
      </c>
      <c r="O45" s="620">
        <f>K45-K46</f>
        <v/>
      </c>
    </row>
    <row customFormat="1" customHeight="1" ht="12" r="46" s="111">
      <c r="A46" s="252" t="n">
        <v>43684</v>
      </c>
      <c r="B46" s="253" t="n">
        <v>5121</v>
      </c>
      <c r="C46" s="253" t="n">
        <v>846</v>
      </c>
      <c r="D46" s="253" t="n">
        <v>709</v>
      </c>
      <c r="E46" s="253" t="n">
        <v>134</v>
      </c>
      <c r="F46" s="253" t="n">
        <v>104</v>
      </c>
      <c r="G46" s="253" t="n">
        <v>58</v>
      </c>
      <c r="H46" s="253" t="n">
        <v>210</v>
      </c>
      <c r="I46" s="254" t="n">
        <v>3172</v>
      </c>
      <c r="J46" s="254" t="n">
        <v>2296</v>
      </c>
      <c r="K46" s="618">
        <f>I46+J46</f>
        <v/>
      </c>
      <c r="L46" s="619">
        <f>(B46-B47)-(C46-C47)-(D46-D47)-(E46-E47)-(F46-F47)-(G46-G47)-(H46-H47)-(K46-K47)</f>
        <v/>
      </c>
      <c r="M46" s="257" t="n"/>
      <c r="N46" s="106">
        <f>B46-B47</f>
        <v/>
      </c>
      <c r="O46" s="620">
        <f>K46-K47</f>
        <v/>
      </c>
    </row>
    <row customFormat="1" customHeight="1" ht="12" r="47" s="111">
      <c r="A47" s="252" t="n">
        <v>43653</v>
      </c>
      <c r="B47" s="253" t="n">
        <v>4940</v>
      </c>
      <c r="C47" s="253" t="n">
        <v>846</v>
      </c>
      <c r="D47" s="253" t="n">
        <v>709</v>
      </c>
      <c r="E47" s="253" t="n">
        <v>134</v>
      </c>
      <c r="F47" s="253" t="n">
        <v>101</v>
      </c>
      <c r="G47" s="253" t="n">
        <v>58</v>
      </c>
      <c r="H47" s="253" t="n">
        <v>210</v>
      </c>
      <c r="I47" s="254" t="n">
        <v>3094</v>
      </c>
      <c r="J47" s="254" t="n">
        <v>2272</v>
      </c>
      <c r="K47" s="618">
        <f>I47+J47</f>
        <v/>
      </c>
      <c r="L47" s="619">
        <f>(B47-B48)-(C47-C48)-(D47-D48)-(E47-E48)-(F47-F48)-(G47-G48)-(H47-H48)-(K47-K48)</f>
        <v/>
      </c>
      <c r="M47" s="257" t="n"/>
      <c r="N47" s="106">
        <f>B47-B48</f>
        <v/>
      </c>
      <c r="O47" s="620">
        <f>K47-K48</f>
        <v/>
      </c>
    </row>
    <row customFormat="1" customHeight="1" ht="12" r="48" s="111">
      <c r="A48" s="252" t="n">
        <v>43623</v>
      </c>
      <c r="B48" s="253" t="n">
        <v>4755</v>
      </c>
      <c r="C48" s="253" t="n">
        <v>846</v>
      </c>
      <c r="D48" s="253" t="n">
        <v>709</v>
      </c>
      <c r="E48" s="253" t="n">
        <v>134</v>
      </c>
      <c r="F48" s="253" t="n">
        <v>98</v>
      </c>
      <c r="G48" s="253" t="n">
        <v>58</v>
      </c>
      <c r="H48" s="253" t="n">
        <v>210</v>
      </c>
      <c r="I48" s="254" t="n">
        <v>3008</v>
      </c>
      <c r="J48" s="254" t="n">
        <v>2245</v>
      </c>
      <c r="K48" s="618">
        <f>I48+J48</f>
        <v/>
      </c>
      <c r="L48" s="619">
        <f>(B48-B49)-(C48-C49)-(D48-D49)-(E48-E49)-(F48-F49)-(G48-G49)-(H48-H49)-(K48-K49)</f>
        <v/>
      </c>
      <c r="M48" s="257" t="n"/>
      <c r="N48" s="106">
        <f>B48-B49</f>
        <v/>
      </c>
      <c r="O48" s="620">
        <f>K48-K49</f>
        <v/>
      </c>
    </row>
    <row customFormat="1" customHeight="1" ht="12" r="49" s="111">
      <c r="A49" s="252" t="n">
        <v>43592</v>
      </c>
      <c r="B49" s="253" t="n">
        <v>4579</v>
      </c>
      <c r="C49" s="253" t="n">
        <v>846</v>
      </c>
      <c r="D49" s="253" t="n">
        <v>709</v>
      </c>
      <c r="E49" s="253" t="n">
        <v>134</v>
      </c>
      <c r="F49" s="253" t="n">
        <v>89</v>
      </c>
      <c r="G49" s="253" t="n">
        <v>58</v>
      </c>
      <c r="H49" s="253" t="n">
        <v>210</v>
      </c>
      <c r="I49" s="254" t="n">
        <v>2937</v>
      </c>
      <c r="J49" s="254" t="n">
        <v>2218</v>
      </c>
      <c r="K49" s="618">
        <f>I49+J49</f>
        <v/>
      </c>
      <c r="L49" s="619">
        <f>(B49-B50)-(C49-C50)-(D49-D50)-(E49-E50)-(F49-F50)-(G49-G50)-(H49-H50)-(K49-K50)</f>
        <v/>
      </c>
      <c r="M49" s="257" t="n"/>
      <c r="N49" s="106">
        <f>B49-B50</f>
        <v/>
      </c>
      <c r="O49" s="620">
        <f>K49-K50</f>
        <v/>
      </c>
    </row>
    <row customFormat="1" customHeight="1" ht="12" r="50" s="111">
      <c r="A50" s="252" t="n">
        <v>43562</v>
      </c>
      <c r="B50" s="253" t="n">
        <v>4417</v>
      </c>
      <c r="C50" s="253" t="n">
        <v>846</v>
      </c>
      <c r="D50" s="253" t="n">
        <v>709</v>
      </c>
      <c r="E50" s="253" t="n">
        <v>134</v>
      </c>
      <c r="F50" s="253" t="n">
        <v>86</v>
      </c>
      <c r="G50" s="253" t="n">
        <v>58</v>
      </c>
      <c r="H50" s="253" t="n">
        <v>210</v>
      </c>
      <c r="I50" s="254" t="n">
        <v>2869</v>
      </c>
      <c r="J50" s="254" t="n">
        <v>2193</v>
      </c>
      <c r="K50" s="618">
        <f>I50+J50</f>
        <v/>
      </c>
      <c r="L50" s="619">
        <f>(B50-B51)-(C50-C51)-(D50-D51)-(E50-E51)-(F50-F51)-(G50-G51)-(H50-H51)-(K50-K51)</f>
        <v/>
      </c>
      <c r="M50" s="257" t="n"/>
      <c r="N50" s="106">
        <f>B50-B51</f>
        <v/>
      </c>
      <c r="O50" s="620">
        <f>K50-K51</f>
        <v/>
      </c>
    </row>
    <row customFormat="1" customHeight="1" ht="12" r="51" s="111">
      <c r="A51" s="252" t="n">
        <v>43531</v>
      </c>
      <c r="B51" s="253" t="n">
        <v>4217</v>
      </c>
      <c r="C51" s="253" t="n">
        <v>845</v>
      </c>
      <c r="D51" s="253" t="n">
        <v>708</v>
      </c>
      <c r="E51" s="253" t="n">
        <v>134</v>
      </c>
      <c r="F51" s="253" t="n">
        <v>84</v>
      </c>
      <c r="G51" s="253" t="n">
        <v>58</v>
      </c>
      <c r="H51" s="253" t="n">
        <v>210</v>
      </c>
      <c r="I51" s="254" t="n">
        <v>2779</v>
      </c>
      <c r="J51" s="254" t="n">
        <v>2164</v>
      </c>
      <c r="K51" s="618">
        <f>I51+J51</f>
        <v/>
      </c>
      <c r="L51" s="619">
        <f>(B51-B52)-(C51-C52)-(D51-D52)-(E51-E52)-(F51-F52)-(G51-G52)-(H51-H52)-(K51-K52)</f>
        <v/>
      </c>
      <c r="M51" s="257" t="n"/>
      <c r="N51" s="106">
        <f>B51-B52</f>
        <v/>
      </c>
      <c r="O51" s="620">
        <f>K51-K52</f>
        <v/>
      </c>
    </row>
    <row customFormat="1" customHeight="1" ht="12" r="52" s="111">
      <c r="A52" s="252" t="n">
        <v>43503</v>
      </c>
      <c r="B52" s="253" t="n">
        <v>4054</v>
      </c>
      <c r="C52" s="253" t="n">
        <v>845</v>
      </c>
      <c r="D52" s="253" t="n">
        <v>708</v>
      </c>
      <c r="E52" s="253" t="n">
        <v>134</v>
      </c>
      <c r="F52" s="253" t="n">
        <v>82</v>
      </c>
      <c r="G52" s="253" t="n">
        <v>58</v>
      </c>
      <c r="H52" s="253" t="n">
        <v>210</v>
      </c>
      <c r="I52" s="254" t="n">
        <v>2708</v>
      </c>
      <c r="J52" s="254" t="n">
        <v>2139</v>
      </c>
      <c r="K52" s="618">
        <f>I52+J52</f>
        <v/>
      </c>
      <c r="L52" s="619">
        <f>(B52-B53)-(C52-C53)-(D52-D53)-(E52-E53)-(F52-F53)-(G52-G53)-(H52-H53)-(K52-K53)</f>
        <v/>
      </c>
      <c r="M52" s="257" t="n"/>
      <c r="N52" s="106">
        <f>B52-B53</f>
        <v/>
      </c>
      <c r="O52" s="620">
        <f>K52-K53</f>
        <v/>
      </c>
    </row>
    <row customHeight="1" ht="12" r="53" s="391">
      <c r="A53" s="252" t="n">
        <v>43472</v>
      </c>
      <c r="B53" s="253" t="n">
        <v>3877</v>
      </c>
      <c r="C53" s="253" t="n">
        <v>845</v>
      </c>
      <c r="D53" s="253" t="n">
        <v>708</v>
      </c>
      <c r="E53" s="253" t="n">
        <v>134</v>
      </c>
      <c r="F53" s="253" t="n">
        <v>79</v>
      </c>
      <c r="G53" s="253" t="n">
        <v>58</v>
      </c>
      <c r="H53" s="253" t="n">
        <v>210</v>
      </c>
      <c r="I53" s="254" t="n">
        <v>2633</v>
      </c>
      <c r="J53" s="254" t="n">
        <v>2114</v>
      </c>
      <c r="K53" s="618">
        <f>I53+J53</f>
        <v/>
      </c>
      <c r="L53" s="619">
        <f>(B53-B54)-(C53-C54)-(D53-D54)-(E53-E54)-(F53-F54)-(G53-G54)-(H53-H54)-(K53-K54)</f>
        <v/>
      </c>
      <c r="M53" s="257" t="n"/>
      <c r="N53" s="106">
        <f>B53-B54</f>
        <v/>
      </c>
      <c r="O53" s="620">
        <f>K53-K54</f>
        <v/>
      </c>
    </row>
    <row customHeight="1" ht="12" r="54" s="391">
      <c r="A54" s="252" t="n">
        <v>43441</v>
      </c>
      <c r="B54" s="253" t="n">
        <v>3699</v>
      </c>
      <c r="C54" s="253" t="n">
        <v>843</v>
      </c>
      <c r="D54" s="253" t="n">
        <v>706</v>
      </c>
      <c r="E54" s="253" t="n">
        <v>134</v>
      </c>
      <c r="F54" s="253" t="n">
        <v>76</v>
      </c>
      <c r="G54" s="253" t="n">
        <v>58</v>
      </c>
      <c r="H54" s="253" t="n">
        <v>210</v>
      </c>
      <c r="I54" s="254" t="n">
        <v>2557</v>
      </c>
      <c r="J54" s="254" t="n">
        <v>2087</v>
      </c>
      <c r="K54" s="618">
        <f>I54+J54</f>
        <v/>
      </c>
      <c r="L54" s="619">
        <f>(B54-B55)-(C54-C55)-(D54-D55)-(E54-E55)-(F54-F55)-(G54-G55)-(H54-H55)-(K54-K55)</f>
        <v/>
      </c>
      <c r="M54" s="257" t="n"/>
      <c r="N54" s="106">
        <f>B54-B55</f>
        <v/>
      </c>
      <c r="O54" s="620">
        <f>K54-K55</f>
        <v/>
      </c>
    </row>
    <row customHeight="1" ht="12" r="55" s="391">
      <c r="A55" s="252" t="n">
        <v>43411</v>
      </c>
      <c r="B55" s="253" t="n">
        <v>3518</v>
      </c>
      <c r="C55" s="253" t="n">
        <v>843</v>
      </c>
      <c r="D55" s="253" t="n">
        <v>706</v>
      </c>
      <c r="E55" s="253" t="n">
        <v>134</v>
      </c>
      <c r="F55" s="253" t="n">
        <v>74</v>
      </c>
      <c r="G55" s="253" t="n">
        <v>58</v>
      </c>
      <c r="H55" s="253" t="n">
        <v>210</v>
      </c>
      <c r="I55" s="254" t="n">
        <v>2479</v>
      </c>
      <c r="J55" s="254" t="n">
        <v>2052</v>
      </c>
      <c r="K55" s="618">
        <f>I55+J55</f>
        <v/>
      </c>
      <c r="L55" s="619">
        <f>(B55-B56)-(C55-C56)-(D55-D56)-(E55-E56)-(F55-F56)-(G55-G56)-(H55-H56)-(K55-K56)</f>
        <v/>
      </c>
      <c r="M55" s="257" t="n"/>
      <c r="N55" s="106">
        <f>B55-B56</f>
        <v/>
      </c>
      <c r="O55" s="620">
        <f>K55-K56</f>
        <v/>
      </c>
    </row>
    <row customHeight="1" ht="12" r="56" s="391">
      <c r="A56" s="252" t="n">
        <v>43380</v>
      </c>
      <c r="B56" s="253" t="n">
        <v>3321</v>
      </c>
      <c r="C56" s="253" t="n">
        <v>837</v>
      </c>
      <c r="D56" s="253" t="n">
        <v>705</v>
      </c>
      <c r="E56" s="253" t="n">
        <v>134</v>
      </c>
      <c r="F56" s="253" t="n">
        <v>70</v>
      </c>
      <c r="G56" s="253" t="n">
        <v>58</v>
      </c>
      <c r="H56" s="253" t="n">
        <v>210</v>
      </c>
      <c r="I56" s="254" t="n">
        <v>2381</v>
      </c>
      <c r="J56" s="254" t="n">
        <v>2013</v>
      </c>
      <c r="K56" s="618">
        <f>I56+J56</f>
        <v/>
      </c>
      <c r="L56" s="619">
        <f>(B56-B57)-(C56-C57)-(D56-D57)-(E56-E57)-(F56-F57)-(G56-G57)-(H56-H57)-(K56-K57)</f>
        <v/>
      </c>
      <c r="M56" s="257" t="n"/>
      <c r="N56" s="106">
        <f>B56-B57</f>
        <v/>
      </c>
      <c r="O56" s="620">
        <f>K56-K57</f>
        <v/>
      </c>
    </row>
    <row customHeight="1" ht="12" r="57" s="391">
      <c r="A57" s="252" t="n">
        <v>43350</v>
      </c>
      <c r="B57" s="253" t="n">
        <v>3138</v>
      </c>
      <c r="C57" s="253" t="n">
        <v>835</v>
      </c>
      <c r="D57" s="253" t="n">
        <v>704</v>
      </c>
      <c r="E57" s="253" t="n">
        <v>134</v>
      </c>
      <c r="F57" s="253" t="n">
        <v>67</v>
      </c>
      <c r="G57" s="253" t="n">
        <v>58</v>
      </c>
      <c r="H57" s="253" t="n">
        <v>210</v>
      </c>
      <c r="I57" s="254" t="n">
        <v>2282</v>
      </c>
      <c r="J57" s="254" t="n">
        <v>1987</v>
      </c>
      <c r="K57" s="618">
        <f>I57+J57</f>
        <v/>
      </c>
      <c r="L57" s="619">
        <f>(B57-B58)-(C57-C58)-(D57-D58)-(E57-E58)-(F57-F58)-(G57-G58)-(H57-H58)-(K57-K58)</f>
        <v/>
      </c>
      <c r="M57" s="257" t="n"/>
      <c r="N57" s="106">
        <f>B57-B58</f>
        <v/>
      </c>
      <c r="O57" s="620">
        <f>K57-K58</f>
        <v/>
      </c>
    </row>
    <row customHeight="1" ht="12" r="58" s="391">
      <c r="A58" s="252" t="n">
        <v>43319</v>
      </c>
      <c r="B58" s="253" t="n">
        <v>2917</v>
      </c>
      <c r="C58" s="253" t="n">
        <v>835</v>
      </c>
      <c r="D58" s="253" t="n">
        <v>704</v>
      </c>
      <c r="E58" s="253" t="n">
        <v>134</v>
      </c>
      <c r="F58" s="253" t="n">
        <v>61</v>
      </c>
      <c r="G58" s="253" t="n">
        <v>58</v>
      </c>
      <c r="H58" s="253" t="n">
        <v>210</v>
      </c>
      <c r="I58" s="254" t="n">
        <v>2153</v>
      </c>
      <c r="J58" s="254" t="n">
        <v>1966</v>
      </c>
      <c r="K58" s="618">
        <f>I58+J58</f>
        <v/>
      </c>
      <c r="L58" s="619">
        <f>(B58-B59)-(C58-C59)-(D58-D59)-(E58-E59)-(F58-F59)-(G58-G59)-(H58-H59)-(K58-K59)</f>
        <v/>
      </c>
      <c r="M58" s="257" t="n"/>
      <c r="N58" s="106">
        <f>B58-B59</f>
        <v/>
      </c>
      <c r="O58" s="620">
        <f>K58-K59</f>
        <v/>
      </c>
    </row>
    <row customHeight="1" ht="12" r="59" s="391">
      <c r="A59" s="252" t="n">
        <v>43288</v>
      </c>
      <c r="B59" s="253" t="n">
        <v>2647</v>
      </c>
      <c r="C59" s="253" t="n">
        <v>835</v>
      </c>
      <c r="D59" s="253" t="n">
        <v>704</v>
      </c>
      <c r="E59" s="253" t="n">
        <v>134</v>
      </c>
      <c r="F59" s="253" t="n">
        <v>57</v>
      </c>
      <c r="G59" s="253" t="n">
        <v>58</v>
      </c>
      <c r="H59" s="253" t="n">
        <v>210</v>
      </c>
      <c r="I59" s="254" t="n">
        <v>2019</v>
      </c>
      <c r="J59" s="254" t="n">
        <v>1953</v>
      </c>
      <c r="K59" s="618">
        <f>I59+J59</f>
        <v/>
      </c>
      <c r="L59" s="619">
        <f>(B59-B60)-(C59-C60)-(D59-D60)-(E59-E60)-(F59-F60)-(G59-G60)-(H59-H60)-(K59-K60)</f>
        <v/>
      </c>
      <c r="M59" s="257" t="n"/>
      <c r="N59" s="106">
        <f>B59-B60</f>
        <v/>
      </c>
      <c r="O59" s="620">
        <f>K59-K60</f>
        <v/>
      </c>
    </row>
    <row customHeight="1" ht="12" r="60" s="391">
      <c r="A60" s="252" t="n">
        <v>43258</v>
      </c>
      <c r="B60" s="253" t="n">
        <v>2474</v>
      </c>
      <c r="C60" s="253" t="n">
        <v>829</v>
      </c>
      <c r="D60" s="253" t="n">
        <v>699</v>
      </c>
      <c r="E60" s="253" t="n">
        <v>134</v>
      </c>
      <c r="F60" s="253" t="n">
        <v>53</v>
      </c>
      <c r="G60" s="253" t="n">
        <v>58</v>
      </c>
      <c r="H60" s="253" t="n">
        <v>210</v>
      </c>
      <c r="I60" s="254" t="n">
        <v>1969</v>
      </c>
      <c r="J60" s="254" t="n">
        <v>1940</v>
      </c>
      <c r="K60" s="618">
        <f>I60+J60</f>
        <v/>
      </c>
      <c r="L60" s="619">
        <f>(B60-B61)-(C60-C61)-(D60-D61)-(E60-E61)-(F60-F61)-(G60-G61)-(H60-H61)-(K60-K61)</f>
        <v/>
      </c>
      <c r="M60" s="257" t="n"/>
      <c r="N60" s="106">
        <f>B60-B61</f>
        <v/>
      </c>
      <c r="O60" s="620">
        <f>K60-K61</f>
        <v/>
      </c>
    </row>
    <row customHeight="1" ht="12" r="61" s="391">
      <c r="A61" s="252" t="n">
        <v>43227</v>
      </c>
      <c r="B61" s="253" t="n">
        <v>2324</v>
      </c>
      <c r="C61" s="253" t="n">
        <v>825</v>
      </c>
      <c r="D61" s="253" t="n">
        <v>696</v>
      </c>
      <c r="E61" s="253" t="n">
        <v>134</v>
      </c>
      <c r="F61" s="253" t="n">
        <v>49</v>
      </c>
      <c r="G61" s="253" t="n">
        <v>58</v>
      </c>
      <c r="H61" s="253" t="n">
        <v>210</v>
      </c>
      <c r="I61" s="254" t="n">
        <v>1803</v>
      </c>
      <c r="J61" s="254" t="n">
        <v>1925</v>
      </c>
      <c r="K61" s="618">
        <f>I61+J61</f>
        <v/>
      </c>
      <c r="L61" s="619">
        <f>(B61-B62)-(C61-C62)-(D61-D62)-(E61-E62)-(F61-F62)-(G61-G62)-(H61-H62)-(K61-K62)</f>
        <v/>
      </c>
      <c r="M61" s="257" t="n"/>
      <c r="N61" s="106">
        <f>B61-B62</f>
        <v/>
      </c>
      <c r="O61" s="620">
        <f>K61-K62</f>
        <v/>
      </c>
    </row>
    <row customHeight="1" ht="12" r="62" s="391">
      <c r="A62" s="252" t="n">
        <v>43197</v>
      </c>
      <c r="B62" s="253" t="n">
        <v>2144</v>
      </c>
      <c r="C62" s="253" t="n">
        <v>825</v>
      </c>
      <c r="D62" s="253" t="n">
        <v>696</v>
      </c>
      <c r="E62" s="253" t="n">
        <v>134</v>
      </c>
      <c r="F62" s="253" t="n">
        <v>44</v>
      </c>
      <c r="G62" s="253" t="n">
        <v>58</v>
      </c>
      <c r="H62" s="253" t="n">
        <v>210</v>
      </c>
      <c r="I62" s="254" t="n">
        <v>1708</v>
      </c>
      <c r="J62" s="254" t="n">
        <v>1899</v>
      </c>
      <c r="K62" s="618">
        <f>I62+J62</f>
        <v/>
      </c>
      <c r="L62" s="619">
        <f>(B62-B63)-(C62-C63)-(D62-D63)-(E62-E63)-(F62-F63)-(G62-G63)-(H62-H63)-(K62-K63)</f>
        <v/>
      </c>
      <c r="M62" s="257" t="n"/>
      <c r="N62" s="106">
        <f>B62-B63</f>
        <v/>
      </c>
      <c r="O62" s="620">
        <f>K62-K63</f>
        <v/>
      </c>
    </row>
    <row customHeight="1" ht="12" r="63" s="391">
      <c r="A63" s="252" t="n">
        <v>43166</v>
      </c>
      <c r="B63" s="253" t="n">
        <v>1992</v>
      </c>
      <c r="C63" s="253" t="n">
        <v>825</v>
      </c>
      <c r="D63" s="253" t="n">
        <v>696</v>
      </c>
      <c r="E63" s="253" t="n">
        <v>134</v>
      </c>
      <c r="F63" s="253" t="n">
        <v>40</v>
      </c>
      <c r="G63" s="253" t="n">
        <v>58</v>
      </c>
      <c r="H63" s="253" t="n">
        <v>210</v>
      </c>
      <c r="I63" s="254" t="n">
        <v>1625</v>
      </c>
      <c r="J63" s="254" t="n">
        <v>1873</v>
      </c>
      <c r="K63" s="618">
        <f>I63+J63</f>
        <v/>
      </c>
      <c r="L63" s="619">
        <f>(B63-B64)-(C63-C64)-(D63-D64)-(E63-E64)-(F63-F64)-(G63-G64)-(H63-H64)-(K63-K64)</f>
        <v/>
      </c>
      <c r="M63" s="257" t="n"/>
      <c r="N63" s="106">
        <f>B63-B64</f>
        <v/>
      </c>
      <c r="O63" s="620">
        <f>K63-K64</f>
        <v/>
      </c>
    </row>
    <row customHeight="1" ht="12" r="64" s="391">
      <c r="A64" s="252" t="n">
        <v>43138</v>
      </c>
      <c r="B64" s="253" t="n">
        <v>1853</v>
      </c>
      <c r="C64" s="253" t="n">
        <v>825</v>
      </c>
      <c r="D64" s="253" t="n">
        <v>696</v>
      </c>
      <c r="E64" s="253" t="n">
        <v>134</v>
      </c>
      <c r="F64" s="253" t="n">
        <v>38</v>
      </c>
      <c r="G64" s="253" t="n">
        <v>58</v>
      </c>
      <c r="H64" s="253" t="n">
        <v>210</v>
      </c>
      <c r="I64" s="254" t="n">
        <v>1556</v>
      </c>
      <c r="J64" s="254" t="n">
        <v>1853</v>
      </c>
      <c r="K64" s="618">
        <f>I64+J64</f>
        <v/>
      </c>
      <c r="L64" s="619">
        <f>(B64-B65)-(C64-C65)-(D64-D65)-(E64-E65)-(F64-F65)-(G64-G65)-(H64-H65)-(K64-K65)</f>
        <v/>
      </c>
      <c r="M64" s="257" t="n"/>
      <c r="N64" s="106">
        <f>B64-B65</f>
        <v/>
      </c>
      <c r="O64" s="620">
        <f>K64-K65</f>
        <v/>
      </c>
    </row>
    <row customHeight="1" ht="12" r="65" s="391">
      <c r="A65" s="252" t="n">
        <v>43107</v>
      </c>
      <c r="B65" s="253" t="n">
        <v>1729</v>
      </c>
      <c r="C65" s="253" t="n">
        <v>825</v>
      </c>
      <c r="D65" s="253" t="n">
        <v>696</v>
      </c>
      <c r="E65" s="253" t="n">
        <v>134</v>
      </c>
      <c r="F65" s="253" t="n">
        <v>36</v>
      </c>
      <c r="G65" s="253" t="n">
        <v>58</v>
      </c>
      <c r="H65" s="253" t="n">
        <v>210</v>
      </c>
      <c r="I65" s="254" t="n">
        <v>1488</v>
      </c>
      <c r="J65" s="254" t="n">
        <v>1828</v>
      </c>
      <c r="K65" s="618">
        <f>I65+J65</f>
        <v/>
      </c>
      <c r="L65" s="619">
        <f>(B65-B66)-(C65-C66)-(D65-D66)-(E65-E66)-(F65-F66)-(G65-G66)-(H65-H66)-(K65-K66)</f>
        <v/>
      </c>
      <c r="M65" s="257" t="n"/>
      <c r="N65" s="106">
        <f>B65-B66</f>
        <v/>
      </c>
      <c r="O65" s="620">
        <f>K65-K66</f>
        <v/>
      </c>
    </row>
    <row customHeight="1" ht="12" r="66" s="391">
      <c r="A66" s="252" t="n">
        <v>43076</v>
      </c>
      <c r="B66" s="253" t="n">
        <v>1605</v>
      </c>
      <c r="C66" s="253" t="n">
        <v>824</v>
      </c>
      <c r="D66" s="253" t="n">
        <v>696</v>
      </c>
      <c r="E66" s="253" t="n">
        <v>134</v>
      </c>
      <c r="F66" s="253" t="n">
        <v>33</v>
      </c>
      <c r="G66" s="253" t="n">
        <v>58</v>
      </c>
      <c r="H66" s="253" t="n">
        <v>210</v>
      </c>
      <c r="I66" s="254" t="n">
        <v>1423</v>
      </c>
      <c r="J66" s="254" t="n">
        <v>1802</v>
      </c>
      <c r="K66" s="618">
        <f>I66+J66</f>
        <v/>
      </c>
      <c r="L66" s="619">
        <f>(B66-B67)-(C66-C67)-(D66-D67)-(E66-E67)-(F66-F67)-(G66-G67)-(H66-H67)-(K66-K67)</f>
        <v/>
      </c>
      <c r="M66" s="257" t="n"/>
      <c r="N66" s="106">
        <f>B66-B67</f>
        <v/>
      </c>
      <c r="O66" s="620">
        <f>K66-K67</f>
        <v/>
      </c>
    </row>
    <row customHeight="1" ht="12" r="67" s="391">
      <c r="A67" s="252" t="n">
        <v>43046</v>
      </c>
      <c r="B67" s="253" t="n">
        <v>1479</v>
      </c>
      <c r="C67" s="253" t="n">
        <v>822</v>
      </c>
      <c r="D67" s="253" t="n">
        <v>696</v>
      </c>
      <c r="E67" s="253" t="n">
        <v>134</v>
      </c>
      <c r="F67" s="253" t="n">
        <v>30</v>
      </c>
      <c r="G67" s="253" t="n">
        <v>58</v>
      </c>
      <c r="H67" s="253" t="n">
        <v>210</v>
      </c>
      <c r="I67" s="254" t="n">
        <v>1355</v>
      </c>
      <c r="J67" s="254" t="n">
        <v>1782</v>
      </c>
      <c r="K67" s="618">
        <f>I67+J67</f>
        <v/>
      </c>
      <c r="L67" s="619">
        <f>(B67-B68)-(C67-C68)-(D67-D68)-(E67-E68)-(F67-F68)-(G67-G68)-(H67-H68)-(K67-K68)</f>
        <v/>
      </c>
      <c r="M67" s="257" t="n"/>
      <c r="N67" s="106">
        <f>B67-B68</f>
        <v/>
      </c>
      <c r="O67" s="620">
        <f>K67-K68</f>
        <v/>
      </c>
    </row>
    <row customHeight="1" ht="12" r="68" s="391">
      <c r="A68" s="252" t="n">
        <v>43015</v>
      </c>
      <c r="B68" s="253" t="n">
        <v>1333</v>
      </c>
      <c r="C68" s="253" t="n">
        <v>813</v>
      </c>
      <c r="D68" s="253" t="n">
        <v>696</v>
      </c>
      <c r="E68" s="253" t="n">
        <v>134</v>
      </c>
      <c r="F68" s="253" t="n">
        <v>28</v>
      </c>
      <c r="G68" s="253" t="n">
        <v>58</v>
      </c>
      <c r="H68" s="253" t="n">
        <v>210</v>
      </c>
      <c r="I68" s="254" t="n">
        <v>1270</v>
      </c>
      <c r="J68" s="254" t="n">
        <v>1757</v>
      </c>
      <c r="K68" s="618">
        <f>I68+J68</f>
        <v/>
      </c>
      <c r="L68" s="619">
        <f>(B68-B69)-(C68-C69)-(D68-D69)-(E68-E69)-(F68-F69)-(G68-G69)-(H68-H69)-(K68-K69)</f>
        <v/>
      </c>
      <c r="M68" s="257" t="n"/>
      <c r="N68" s="106">
        <f>B68-B69</f>
        <v/>
      </c>
      <c r="O68" s="620">
        <f>K68-K69</f>
        <v/>
      </c>
    </row>
    <row customHeight="1" ht="12" r="69" s="391">
      <c r="A69" s="252" t="n">
        <v>42985</v>
      </c>
      <c r="B69" s="253" t="n">
        <v>1171</v>
      </c>
      <c r="C69" s="253" t="n">
        <v>809</v>
      </c>
      <c r="D69" s="253" t="n">
        <v>695</v>
      </c>
      <c r="E69" s="253" t="n">
        <v>134</v>
      </c>
      <c r="F69" s="253" t="n">
        <v>26</v>
      </c>
      <c r="G69" s="253" t="n">
        <v>58</v>
      </c>
      <c r="H69" s="253" t="n">
        <v>210</v>
      </c>
      <c r="I69" s="254" t="n">
        <v>1166</v>
      </c>
      <c r="J69" s="254" t="n">
        <v>1734</v>
      </c>
      <c r="K69" s="618">
        <f>I69+J69</f>
        <v/>
      </c>
      <c r="L69" s="619">
        <f>(B69-B70)-(C69-C70)-(D69-D70)-(E69-E70)-(F69-F70)-(G69-G70)-(H69-H70)-(K69-K70)</f>
        <v/>
      </c>
      <c r="M69" s="257" t="n"/>
      <c r="N69" s="106">
        <f>B69-B70</f>
        <v/>
      </c>
      <c r="O69" s="620">
        <f>K69-K70</f>
        <v/>
      </c>
    </row>
    <row customHeight="1" ht="12" r="70" s="391">
      <c r="A70" s="252" t="n">
        <v>42954</v>
      </c>
      <c r="B70" s="253" t="n">
        <v>1044</v>
      </c>
      <c r="C70" s="253" t="n">
        <v>804</v>
      </c>
      <c r="D70" s="253" t="n">
        <v>649</v>
      </c>
      <c r="E70" s="253" t="n">
        <v>134</v>
      </c>
      <c r="F70" s="253" t="n">
        <v>24</v>
      </c>
      <c r="G70" s="253" t="n">
        <v>58</v>
      </c>
      <c r="H70" s="253" t="n">
        <v>210</v>
      </c>
      <c r="I70" s="254" t="n">
        <v>1093</v>
      </c>
      <c r="J70" s="254" t="n">
        <v>1711</v>
      </c>
      <c r="K70" s="618">
        <f>I70+J70</f>
        <v/>
      </c>
      <c r="L70" s="619">
        <f>(B70-B71)-(C70-C71)-(D70-D71)-(E70-E71)-(F70-F71)-(G70-G71)-(H70-H71)-(K70-K71)</f>
        <v/>
      </c>
      <c r="M70" s="257" t="n"/>
      <c r="N70" s="106">
        <f>B70-B71</f>
        <v/>
      </c>
      <c r="O70" s="620">
        <f>K70-K71</f>
        <v/>
      </c>
    </row>
    <row customHeight="1" ht="12" r="71" s="391">
      <c r="A71" s="252" t="n">
        <v>42923</v>
      </c>
      <c r="B71" s="253" t="n">
        <v>836</v>
      </c>
      <c r="C71" s="253" t="n">
        <v>794</v>
      </c>
      <c r="D71" s="253" t="n">
        <v>641</v>
      </c>
      <c r="E71" s="253" t="n">
        <v>134</v>
      </c>
      <c r="F71" s="253" t="n">
        <v>19</v>
      </c>
      <c r="G71" s="253" t="n">
        <v>58</v>
      </c>
      <c r="H71" s="253" t="n">
        <v>210</v>
      </c>
      <c r="I71" s="254" t="n">
        <v>968</v>
      </c>
      <c r="J71" s="254" t="n">
        <v>1676</v>
      </c>
      <c r="K71" s="618">
        <f>I71+J71</f>
        <v/>
      </c>
      <c r="L71" s="619">
        <f>(B71-B72)-(C71-C72)-(D71-D72)-(E71-E72)-(F71-F72)-(G71-G72)-(H71-H72)-(K71-K72)</f>
        <v/>
      </c>
      <c r="M71" s="257" t="n"/>
      <c r="N71" s="106">
        <f>B71-B72</f>
        <v/>
      </c>
      <c r="O71" s="620">
        <f>K71-K72</f>
        <v/>
      </c>
    </row>
    <row customHeight="1" ht="12" r="72" s="391">
      <c r="A72" s="252" t="n">
        <v>42893</v>
      </c>
      <c r="B72" s="253" t="n">
        <v>686</v>
      </c>
      <c r="C72" s="253" t="n">
        <v>786</v>
      </c>
      <c r="D72" s="253" t="n">
        <v>635</v>
      </c>
      <c r="E72" s="253" t="n">
        <v>134</v>
      </c>
      <c r="F72" s="253" t="n">
        <v>16</v>
      </c>
      <c r="G72" s="253" t="n">
        <v>58</v>
      </c>
      <c r="H72" s="253" t="n">
        <v>210</v>
      </c>
      <c r="I72" s="254" t="n">
        <v>883</v>
      </c>
      <c r="J72" s="254" t="n">
        <v>1649</v>
      </c>
      <c r="K72" s="618">
        <f>I72+J72</f>
        <v/>
      </c>
      <c r="L72" s="619">
        <f>(B72-B73)-(C72-C73)-(D72-D73)-(E72-E73)-(F72-F73)-(G72-G73)-(H72-H73)-(K72-K73)</f>
        <v/>
      </c>
      <c r="M72" s="257" t="n"/>
      <c r="N72" s="106">
        <f>B72-B73</f>
        <v/>
      </c>
      <c r="O72" s="620">
        <f>K72-K73</f>
        <v/>
      </c>
    </row>
    <row customHeight="1" ht="12" r="73" s="391">
      <c r="A73" s="252" t="n">
        <v>42862</v>
      </c>
      <c r="B73" s="253" t="n">
        <v>519</v>
      </c>
      <c r="C73" s="253" t="n">
        <v>776</v>
      </c>
      <c r="D73" s="253" t="n">
        <v>630</v>
      </c>
      <c r="E73" s="253" t="n">
        <v>134</v>
      </c>
      <c r="F73" s="253" t="n">
        <v>13</v>
      </c>
      <c r="G73" s="253" t="n">
        <v>58</v>
      </c>
      <c r="H73" s="253" t="n">
        <v>210</v>
      </c>
      <c r="I73" s="254" t="n">
        <v>780</v>
      </c>
      <c r="J73" s="254" t="n">
        <v>1625</v>
      </c>
      <c r="K73" s="618">
        <f>I73+J73</f>
        <v/>
      </c>
      <c r="L73" s="619">
        <f>(B73-B74)-(C73-C74)-(D73-D74)-(E73-E74)-(F73-F74)-(G73-G74)-(H73-H74)-(K73-K74)</f>
        <v/>
      </c>
      <c r="M73" s="257" t="n"/>
      <c r="N73" s="106">
        <f>B73-B74</f>
        <v/>
      </c>
      <c r="O73" s="620">
        <f>K73-K74</f>
        <v/>
      </c>
    </row>
    <row customHeight="1" ht="12" r="74" s="391">
      <c r="A74" s="252" t="n">
        <v>42832</v>
      </c>
      <c r="B74" s="253" t="n">
        <v>371</v>
      </c>
      <c r="C74" s="253" t="n">
        <v>771</v>
      </c>
      <c r="D74" s="253" t="n">
        <v>623</v>
      </c>
      <c r="E74" s="253" t="n">
        <v>134</v>
      </c>
      <c r="F74" s="253" t="n">
        <v>9</v>
      </c>
      <c r="G74" s="253" t="n">
        <v>58</v>
      </c>
      <c r="H74" s="253" t="n">
        <v>210</v>
      </c>
      <c r="I74" s="254" t="n">
        <v>693</v>
      </c>
      <c r="J74" s="254" t="n">
        <v>1600</v>
      </c>
      <c r="K74" s="618">
        <f>I74+J74</f>
        <v/>
      </c>
      <c r="L74" s="619">
        <f>(B74-B75)-(C74-C75)-(D74-D75)-(E74-E75)-(F74-F75)-(G74-G75)-(H74-H75)-(K74-K75)</f>
        <v/>
      </c>
      <c r="M74" s="257" t="n"/>
      <c r="N74" s="106">
        <f>B74-B75</f>
        <v/>
      </c>
      <c r="O74" s="620">
        <f>K74-K75</f>
        <v/>
      </c>
    </row>
    <row customHeight="1" ht="12" r="75" s="391">
      <c r="A75" s="252" t="n">
        <v>42801</v>
      </c>
      <c r="B75" s="253" t="n">
        <v>222</v>
      </c>
      <c r="C75" s="253" t="n">
        <v>764</v>
      </c>
      <c r="D75" s="253" t="n">
        <v>617</v>
      </c>
      <c r="E75" s="253" t="n">
        <v>134</v>
      </c>
      <c r="F75" s="253" t="n">
        <v>6</v>
      </c>
      <c r="G75" s="253" t="n">
        <v>58</v>
      </c>
      <c r="H75" s="253" t="n">
        <v>210</v>
      </c>
      <c r="I75" s="254" t="n">
        <v>613</v>
      </c>
      <c r="J75" s="254" t="n">
        <v>1575</v>
      </c>
      <c r="K75" s="618">
        <f>I75+J75</f>
        <v/>
      </c>
      <c r="L75" s="619">
        <f>(B75-B76)-(C75-C76)-(D75-D76)-(E75-E76)-(F75-F76)-(G75-G76)-(H75-H76)-(K75-K76)</f>
        <v/>
      </c>
      <c r="M75" s="257" t="n"/>
      <c r="N75" s="106">
        <f>B75-B76</f>
        <v/>
      </c>
      <c r="O75" s="620">
        <f>K75-K76</f>
        <v/>
      </c>
    </row>
    <row customHeight="1" ht="12" r="76" s="391">
      <c r="A76" s="252" t="n">
        <v>42773</v>
      </c>
      <c r="B76" s="253" t="n">
        <v>108</v>
      </c>
      <c r="C76" s="253" t="n">
        <v>759</v>
      </c>
      <c r="D76" s="253" t="n">
        <v>614</v>
      </c>
      <c r="E76" s="253" t="n">
        <v>134</v>
      </c>
      <c r="F76" s="253" t="n">
        <v>3</v>
      </c>
      <c r="G76" s="253" t="n">
        <v>58</v>
      </c>
      <c r="H76" s="253" t="n">
        <v>210</v>
      </c>
      <c r="I76" s="254" t="n">
        <v>552</v>
      </c>
      <c r="J76" s="254" t="n">
        <v>1568</v>
      </c>
      <c r="K76" s="618">
        <f>I76+J76</f>
        <v/>
      </c>
      <c r="L76" s="619">
        <f>(B76-B77)-(C76-C77)-(D76-D77)-(E76-E77)-(F76-F77)-(G76-G77)-(H76-H77)-(K76-K77)</f>
        <v/>
      </c>
      <c r="M76" s="257" t="inlineStr">
        <is>
          <t>전체계량기,김영광치과계량기 교체, 교체전 전체 계량기 6690</t>
        </is>
      </c>
      <c r="N76" s="106" t="n"/>
      <c r="O76" s="620" t="n"/>
    </row>
    <row customHeight="1" ht="12" r="77" s="391">
      <c r="A77" s="252" t="n">
        <v>42742</v>
      </c>
      <c r="B77" s="253" t="n">
        <v>6688</v>
      </c>
      <c r="C77" s="253" t="n">
        <v>753</v>
      </c>
      <c r="D77" s="253" t="n">
        <v>607</v>
      </c>
      <c r="E77" s="253" t="n">
        <v>134</v>
      </c>
      <c r="F77" s="253" t="n">
        <v>1405</v>
      </c>
      <c r="G77" s="253" t="n">
        <v>58</v>
      </c>
      <c r="H77" s="253" t="n">
        <v>210</v>
      </c>
      <c r="I77" s="254" t="n">
        <v>495</v>
      </c>
      <c r="J77" s="254" t="n">
        <v>1541</v>
      </c>
      <c r="K77" s="618">
        <f>I77+J77</f>
        <v/>
      </c>
      <c r="L77" s="619" t="n"/>
      <c r="M77" s="257" t="n"/>
    </row>
    <row customHeight="1" ht="12" r="78" s="391">
      <c r="A78" s="252" t="n">
        <v>42711</v>
      </c>
      <c r="B78" s="253" t="n">
        <v>6651</v>
      </c>
      <c r="C78" s="253" t="n">
        <v>746</v>
      </c>
      <c r="D78" s="253" t="n">
        <v>601</v>
      </c>
      <c r="E78" s="253" t="n">
        <v>134</v>
      </c>
      <c r="F78" s="253" t="n">
        <v>1402</v>
      </c>
      <c r="G78" s="253" t="n">
        <v>58</v>
      </c>
      <c r="H78" s="253" t="n">
        <v>210</v>
      </c>
      <c r="I78" s="254" t="n">
        <v>436</v>
      </c>
      <c r="J78" s="254" t="n">
        <v>1522</v>
      </c>
      <c r="K78" s="618">
        <f>I78+J78</f>
        <v/>
      </c>
      <c r="L78" s="619" t="n"/>
      <c r="M78" s="257" t="n"/>
    </row>
    <row customHeight="1" ht="12" r="79" s="391">
      <c r="A79" s="252" t="n">
        <v>42681</v>
      </c>
      <c r="B79" s="253" t="n">
        <v>6605</v>
      </c>
      <c r="C79" s="253" t="n">
        <v>739</v>
      </c>
      <c r="D79" s="253" t="n">
        <v>595</v>
      </c>
      <c r="E79" s="253" t="n">
        <v>134</v>
      </c>
      <c r="F79" s="253" t="n">
        <v>1399</v>
      </c>
      <c r="G79" s="253" t="n">
        <v>58</v>
      </c>
      <c r="H79" s="253" t="n">
        <v>210</v>
      </c>
      <c r="I79" s="254" t="n">
        <v>366</v>
      </c>
      <c r="J79" s="254" t="n">
        <v>1495</v>
      </c>
      <c r="K79" s="618">
        <f>I79+J79</f>
        <v/>
      </c>
      <c r="L79" s="619" t="n"/>
      <c r="M79" s="257" t="n"/>
    </row>
    <row customHeight="1" ht="12" r="80" s="391">
      <c r="A80" s="252" t="n">
        <v>42650</v>
      </c>
      <c r="B80" s="253" t="n">
        <v>6532</v>
      </c>
      <c r="C80" s="253" t="n">
        <v>732</v>
      </c>
      <c r="D80" s="253" t="n">
        <v>588</v>
      </c>
      <c r="E80" s="253" t="n">
        <v>134</v>
      </c>
      <c r="F80" s="253" t="n">
        <v>1396</v>
      </c>
      <c r="G80" s="253" t="n">
        <v>58</v>
      </c>
      <c r="H80" s="253" t="n">
        <v>210</v>
      </c>
      <c r="I80" s="254" t="n">
        <v>287</v>
      </c>
      <c r="J80" s="254" t="n">
        <v>1468</v>
      </c>
      <c r="K80" s="618">
        <f>I80+J80</f>
        <v/>
      </c>
      <c r="L80" s="619" t="n"/>
      <c r="M80" s="257" t="n"/>
    </row>
    <row customHeight="1" ht="12" r="81" s="391">
      <c r="A81" s="252" t="n">
        <v>42620</v>
      </c>
      <c r="B81" s="253" t="n">
        <v>6476</v>
      </c>
      <c r="C81" s="253" t="n">
        <v>724</v>
      </c>
      <c r="D81" s="253" t="n">
        <v>583</v>
      </c>
      <c r="E81" s="253" t="n">
        <v>134</v>
      </c>
      <c r="F81" s="253" t="n">
        <v>1393</v>
      </c>
      <c r="G81" s="253" t="n">
        <v>58</v>
      </c>
      <c r="H81" s="253" t="n">
        <v>210</v>
      </c>
      <c r="I81" s="254" t="n">
        <v>199</v>
      </c>
      <c r="J81" s="254" t="n">
        <v>1446</v>
      </c>
      <c r="K81" s="618">
        <f>I81+J81</f>
        <v/>
      </c>
      <c r="L81" s="619" t="n"/>
      <c r="M81" s="257" t="inlineStr">
        <is>
          <t>하모니마트 563을 583으로 수정</t>
        </is>
      </c>
    </row>
    <row customHeight="1" ht="12" r="82" s="391">
      <c r="A82" s="252" t="n">
        <v>42589</v>
      </c>
      <c r="B82" s="253" t="n">
        <v>6417</v>
      </c>
      <c r="C82" s="253" t="n">
        <v>716</v>
      </c>
      <c r="D82" s="253" t="n">
        <v>577</v>
      </c>
      <c r="E82" s="253" t="n">
        <v>134</v>
      </c>
      <c r="F82" s="253" t="n">
        <v>1388</v>
      </c>
      <c r="G82" s="253" t="n">
        <v>58</v>
      </c>
      <c r="H82" s="253" t="n">
        <v>210</v>
      </c>
      <c r="I82" s="254" t="n">
        <v>96</v>
      </c>
      <c r="J82" s="254" t="n">
        <v>1429</v>
      </c>
      <c r="K82" s="618">
        <f>I82+J82</f>
        <v/>
      </c>
      <c r="L82" s="619" t="n"/>
      <c r="M82" s="257" t="n"/>
    </row>
    <row customHeight="1" ht="12" r="83" s="391">
      <c r="A83" s="252" t="n">
        <v>42558</v>
      </c>
      <c r="B83" s="253" t="n">
        <v>6357</v>
      </c>
      <c r="C83" s="253" t="n">
        <v>710</v>
      </c>
      <c r="D83" s="253" t="n">
        <v>571</v>
      </c>
      <c r="E83" s="253" t="n">
        <v>134</v>
      </c>
      <c r="F83" s="253" t="n">
        <v>1384</v>
      </c>
      <c r="G83" s="253" t="n">
        <v>58</v>
      </c>
      <c r="H83" s="253" t="n">
        <v>210</v>
      </c>
      <c r="I83" s="258" t="n">
        <v>435</v>
      </c>
      <c r="J83" s="254" t="n">
        <v>1395</v>
      </c>
      <c r="K83" s="618">
        <f>I83+J83</f>
        <v/>
      </c>
      <c r="L83" s="619" t="n"/>
      <c r="M83" s="257" t="inlineStr">
        <is>
          <t>5층 고시텔 수도계량기 고장 212, 사용량 90로 보정하면 435</t>
        </is>
      </c>
    </row>
    <row customHeight="1" ht="12" r="84" s="391">
      <c r="A84" s="252" t="n">
        <v>42528</v>
      </c>
      <c r="B84" s="253" t="n">
        <v>6303</v>
      </c>
      <c r="C84" s="253" t="n">
        <v>705</v>
      </c>
      <c r="D84" s="253" t="n">
        <v>565</v>
      </c>
      <c r="E84" s="253" t="n">
        <v>134</v>
      </c>
      <c r="F84" s="253" t="n">
        <v>1380</v>
      </c>
      <c r="G84" s="253" t="n">
        <v>58</v>
      </c>
      <c r="H84" s="253" t="n">
        <v>210</v>
      </c>
      <c r="I84" s="258" t="n">
        <v>345</v>
      </c>
      <c r="J84" s="254" t="n">
        <v>1365</v>
      </c>
      <c r="K84" s="618">
        <f>I84+J84</f>
        <v/>
      </c>
      <c r="L84" s="619" t="n"/>
      <c r="M84" s="257" t="inlineStr">
        <is>
          <t>5층 고시텔 수도계량기 고장 212, 사용량 90로 보정하면 345</t>
        </is>
      </c>
    </row>
    <row customHeight="1" ht="12" r="85" s="391">
      <c r="A85" s="252" t="n">
        <v>42497</v>
      </c>
      <c r="B85" s="253" t="n">
        <v>6253</v>
      </c>
      <c r="C85" s="253" t="n">
        <v>697</v>
      </c>
      <c r="D85" s="253" t="n">
        <v>559</v>
      </c>
      <c r="E85" s="253" t="n">
        <v>134</v>
      </c>
      <c r="F85" s="253" t="n">
        <v>1376</v>
      </c>
      <c r="G85" s="253" t="n">
        <v>58</v>
      </c>
      <c r="H85" s="253" t="n">
        <v>210</v>
      </c>
      <c r="I85" s="258" t="n">
        <v>255</v>
      </c>
      <c r="J85" s="254" t="n">
        <v>1331</v>
      </c>
      <c r="K85" s="618">
        <f>I85+J85</f>
        <v/>
      </c>
      <c r="L85" s="619" t="n"/>
      <c r="M85" s="257" t="inlineStr">
        <is>
          <t>5층 고시텔 수도계량기 고장 212, 사용량 75로 보정하면 255</t>
        </is>
      </c>
    </row>
    <row customHeight="1" ht="12" r="86" s="391">
      <c r="A86" s="252" t="n">
        <v>42467</v>
      </c>
      <c r="B86" s="253" t="n">
        <v>6202</v>
      </c>
      <c r="C86" s="253" t="n">
        <v>682</v>
      </c>
      <c r="D86" s="253" t="n">
        <v>553</v>
      </c>
      <c r="E86" s="253" t="n">
        <v>134</v>
      </c>
      <c r="F86" s="253" t="n">
        <v>1373</v>
      </c>
      <c r="G86" s="253" t="n">
        <v>58</v>
      </c>
      <c r="H86" s="253" t="n">
        <v>210</v>
      </c>
      <c r="I86" s="254" t="n">
        <v>180</v>
      </c>
      <c r="J86" s="254" t="n">
        <v>1303</v>
      </c>
      <c r="K86" s="618">
        <f>I86+J86</f>
        <v/>
      </c>
      <c r="L86" s="619" t="n"/>
      <c r="M86" s="257" t="n"/>
    </row>
    <row customHeight="1" ht="12" r="87" s="391">
      <c r="A87" s="252" t="n">
        <v>42436</v>
      </c>
      <c r="B87" s="253" t="n">
        <v>6160</v>
      </c>
      <c r="C87" s="253" t="n">
        <v>674</v>
      </c>
      <c r="D87" s="253" t="n">
        <v>546</v>
      </c>
      <c r="E87" s="253" t="n">
        <v>134</v>
      </c>
      <c r="F87" s="253" t="n">
        <v>1368</v>
      </c>
      <c r="G87" s="253" t="n">
        <v>58</v>
      </c>
      <c r="H87" s="253" t="n">
        <v>210</v>
      </c>
      <c r="I87" s="254" t="n">
        <v>108</v>
      </c>
      <c r="J87" s="254" t="n">
        <v>1275</v>
      </c>
      <c r="K87" s="618">
        <f>I87+J87</f>
        <v/>
      </c>
      <c r="L87" s="619" t="n"/>
      <c r="M87" s="257" t="n"/>
    </row>
    <row customHeight="1" ht="12" r="88" s="391">
      <c r="A88" s="252" t="n">
        <v>42407</v>
      </c>
      <c r="B88" s="253" t="n">
        <v>6131</v>
      </c>
      <c r="C88" s="253" t="n">
        <v>669</v>
      </c>
      <c r="D88" s="253" t="n">
        <v>542</v>
      </c>
      <c r="E88" s="253" t="n">
        <v>134</v>
      </c>
      <c r="F88" s="253" t="n">
        <v>1365</v>
      </c>
      <c r="G88" s="253" t="n">
        <v>58</v>
      </c>
      <c r="H88" s="253" t="n">
        <v>210</v>
      </c>
      <c r="I88" s="254" t="n">
        <v>35</v>
      </c>
      <c r="J88" s="254" t="n">
        <v>1251</v>
      </c>
      <c r="K88" s="618">
        <f>I88+J88</f>
        <v/>
      </c>
      <c r="L88" s="619" t="n"/>
      <c r="M88" s="257" t="inlineStr">
        <is>
          <t>5층 계량기파손으로 교체</t>
        </is>
      </c>
    </row>
    <row customHeight="1" ht="12" r="89" s="391">
      <c r="A89" s="252" t="n">
        <v>42376</v>
      </c>
      <c r="B89" s="253" t="n">
        <v>6096</v>
      </c>
      <c r="C89" s="253" t="n">
        <v>662</v>
      </c>
      <c r="D89" s="253" t="n">
        <v>536</v>
      </c>
      <c r="E89" s="253" t="n">
        <v>134</v>
      </c>
      <c r="F89" s="253" t="n">
        <v>1361</v>
      </c>
      <c r="G89" s="253" t="n">
        <v>58</v>
      </c>
      <c r="H89" s="253" t="n">
        <v>210</v>
      </c>
      <c r="I89" s="254" t="n">
        <v>-45</v>
      </c>
      <c r="J89" s="254" t="n">
        <v>1228</v>
      </c>
      <c r="K89" s="618">
        <f>I89+J89</f>
        <v/>
      </c>
      <c r="L89" s="619" t="n"/>
      <c r="M89" s="257" t="n"/>
    </row>
    <row customHeight="1" ht="12" r="90" s="391">
      <c r="A90" s="252" t="n">
        <v>42345</v>
      </c>
      <c r="B90" s="253" t="n">
        <v>6058</v>
      </c>
      <c r="C90" s="253" t="n">
        <v>656</v>
      </c>
      <c r="D90" s="253" t="n">
        <v>531</v>
      </c>
      <c r="E90" s="253" t="n">
        <v>134</v>
      </c>
      <c r="F90" s="253" t="n">
        <v>1357</v>
      </c>
      <c r="G90" s="253" t="n">
        <v>58</v>
      </c>
      <c r="H90" s="253" t="n">
        <v>210</v>
      </c>
      <c r="I90" s="254" t="n">
        <v>3767</v>
      </c>
      <c r="J90" s="254" t="n">
        <v>1189</v>
      </c>
      <c r="K90" s="618">
        <f>I90+J90</f>
        <v/>
      </c>
      <c r="L90" s="619" t="n"/>
      <c r="M90" s="257" t="n"/>
    </row>
    <row customHeight="1" ht="12" r="91" s="391">
      <c r="A91" s="252" t="n">
        <v>42315</v>
      </c>
      <c r="B91" s="253" t="n">
        <v>6012</v>
      </c>
      <c r="C91" s="253" t="n">
        <v>650</v>
      </c>
      <c r="D91" s="253" t="n">
        <v>527</v>
      </c>
      <c r="E91" s="253" t="n">
        <v>134</v>
      </c>
      <c r="F91" s="253" t="n">
        <v>1352</v>
      </c>
      <c r="G91" s="253" t="n">
        <v>58</v>
      </c>
      <c r="H91" s="253" t="n">
        <v>210</v>
      </c>
      <c r="I91" s="254" t="n">
        <v>3580</v>
      </c>
      <c r="J91" s="254" t="n">
        <v>1144</v>
      </c>
      <c r="K91" s="618">
        <f>I91+J91</f>
        <v/>
      </c>
      <c r="L91" s="619" t="n"/>
      <c r="M91" s="257" t="n"/>
    </row>
    <row customHeight="1" ht="12" r="92" s="391">
      <c r="A92" s="252" t="n">
        <v>42284</v>
      </c>
      <c r="B92" s="253" t="n">
        <v>5954</v>
      </c>
      <c r="C92" s="253" t="n">
        <v>644</v>
      </c>
      <c r="D92" s="253" t="n">
        <v>521</v>
      </c>
      <c r="E92" s="253" t="n">
        <v>134</v>
      </c>
      <c r="F92" s="253" t="n">
        <v>1346</v>
      </c>
      <c r="G92" s="253" t="n">
        <v>58</v>
      </c>
      <c r="H92" s="253" t="n">
        <v>210</v>
      </c>
      <c r="I92" s="254" t="n">
        <v>3319</v>
      </c>
      <c r="J92" s="254" t="n">
        <v>1097</v>
      </c>
      <c r="K92" s="618">
        <f>I92+J92</f>
        <v/>
      </c>
      <c r="L92" s="619" t="n"/>
      <c r="M92" s="257" t="n"/>
    </row>
    <row customHeight="1" ht="12" r="93" s="391">
      <c r="A93" s="252" t="n">
        <v>42254</v>
      </c>
      <c r="B93" s="253" t="n">
        <v>5874</v>
      </c>
      <c r="C93" s="253" t="n">
        <v>638</v>
      </c>
      <c r="D93" s="253" t="n">
        <v>515</v>
      </c>
      <c r="E93" s="253" t="n">
        <v>134</v>
      </c>
      <c r="F93" s="253" t="n">
        <v>1343</v>
      </c>
      <c r="G93" s="253" t="n">
        <v>58</v>
      </c>
      <c r="H93" s="253" t="n">
        <v>210</v>
      </c>
      <c r="I93" s="254" t="n">
        <v>3013</v>
      </c>
      <c r="J93" s="254" t="n">
        <v>1054</v>
      </c>
      <c r="K93" s="618">
        <f>I93+J93</f>
        <v/>
      </c>
      <c r="L93" s="619" t="n"/>
      <c r="M93" s="257" t="n"/>
    </row>
    <row customHeight="1" ht="12" r="94" s="391">
      <c r="A94" s="252" t="n">
        <v>42223</v>
      </c>
      <c r="B94" s="253" t="n">
        <v>5802</v>
      </c>
      <c r="C94" s="253" t="n">
        <v>631</v>
      </c>
      <c r="D94" s="253" t="n">
        <v>509</v>
      </c>
      <c r="E94" s="253" t="n">
        <v>134</v>
      </c>
      <c r="F94" s="253" t="n">
        <v>1339</v>
      </c>
      <c r="G94" s="253" t="n">
        <v>58</v>
      </c>
      <c r="H94" s="253" t="n">
        <v>210</v>
      </c>
      <c r="I94" s="254" t="n">
        <v>2974</v>
      </c>
      <c r="J94" s="254" t="n">
        <v>1022</v>
      </c>
      <c r="K94" s="618">
        <f>I94+J94</f>
        <v/>
      </c>
      <c r="L94" s="619" t="n"/>
      <c r="M94" s="257" t="n"/>
    </row>
    <row customHeight="1" ht="12" r="95" s="391">
      <c r="A95" s="252" t="n">
        <v>42192</v>
      </c>
      <c r="B95" s="253" t="n">
        <v>5755</v>
      </c>
      <c r="C95" s="253" t="n">
        <v>624</v>
      </c>
      <c r="D95" s="253" t="n">
        <v>503</v>
      </c>
      <c r="E95" s="253" t="n">
        <v>134</v>
      </c>
      <c r="F95" s="253" t="n">
        <v>1334</v>
      </c>
      <c r="G95" s="253" t="n">
        <v>58</v>
      </c>
      <c r="H95" s="253" t="n">
        <v>210</v>
      </c>
      <c r="I95" s="254" t="n">
        <v>2825</v>
      </c>
      <c r="J95" s="254" t="n">
        <v>988</v>
      </c>
      <c r="K95" s="618">
        <f>I95+J95</f>
        <v/>
      </c>
      <c r="L95" s="619" t="n"/>
      <c r="M95" s="257" t="n"/>
    </row>
    <row customHeight="1" ht="12" r="96" s="391">
      <c r="A96" s="252" t="n">
        <v>42162</v>
      </c>
      <c r="B96" s="253" t="n">
        <v>5715</v>
      </c>
      <c r="C96" s="253" t="n">
        <v>617</v>
      </c>
      <c r="D96" s="253" t="n">
        <v>497</v>
      </c>
      <c r="E96" s="253" t="n">
        <v>134</v>
      </c>
      <c r="F96" s="253" t="n">
        <v>1329</v>
      </c>
      <c r="G96" s="253" t="n">
        <v>58</v>
      </c>
      <c r="H96" s="253" t="n">
        <v>210</v>
      </c>
      <c r="I96" s="254" t="n">
        <v>2674</v>
      </c>
      <c r="J96" s="254" t="n">
        <v>944</v>
      </c>
      <c r="K96" s="618">
        <f>I96+J96</f>
        <v/>
      </c>
      <c r="L96" s="619" t="n"/>
      <c r="M96" s="257" t="n"/>
    </row>
    <row customHeight="1" ht="12" r="97" s="391">
      <c r="A97" s="252" t="n">
        <v>42131</v>
      </c>
      <c r="B97" s="253" t="n">
        <v>5676</v>
      </c>
      <c r="C97" s="253" t="n">
        <v>611</v>
      </c>
      <c r="D97" s="253" t="n">
        <v>491</v>
      </c>
      <c r="E97" s="253" t="n">
        <v>134</v>
      </c>
      <c r="F97" s="253" t="n">
        <v>1324</v>
      </c>
      <c r="G97" s="253" t="n">
        <v>58</v>
      </c>
      <c r="H97" s="253" t="n">
        <v>210</v>
      </c>
      <c r="I97" s="254" t="n">
        <v>2505</v>
      </c>
      <c r="J97" s="254" t="n">
        <v>895</v>
      </c>
      <c r="K97" s="618">
        <f>I97+J97</f>
        <v/>
      </c>
      <c r="L97" s="619" t="n"/>
      <c r="M97" s="257" t="n"/>
    </row>
    <row customHeight="1" ht="12" r="98" s="391">
      <c r="A98" s="252" t="n">
        <v>42101</v>
      </c>
      <c r="B98" s="253" t="n">
        <v>5651</v>
      </c>
      <c r="C98" s="253" t="n">
        <v>605</v>
      </c>
      <c r="D98" s="253" t="n">
        <v>486</v>
      </c>
      <c r="E98" s="253" t="n">
        <v>134</v>
      </c>
      <c r="F98" s="253" t="n">
        <v>1319</v>
      </c>
      <c r="G98" s="253" t="n">
        <v>58</v>
      </c>
      <c r="H98" s="253" t="n">
        <v>210</v>
      </c>
      <c r="I98" s="254" t="n">
        <v>2383</v>
      </c>
      <c r="J98" s="254" t="n">
        <v>855</v>
      </c>
      <c r="K98" s="618">
        <f>I98+J98</f>
        <v/>
      </c>
      <c r="L98" s="619">
        <f>B98-C98-E98-F98-G98-H98-K98</f>
        <v/>
      </c>
      <c r="M98" s="257" t="n"/>
    </row>
    <row customHeight="1" ht="12" r="99" s="391">
      <c r="A99" s="252" t="n">
        <v>42070</v>
      </c>
      <c r="B99" s="253" t="n">
        <v>5631</v>
      </c>
      <c r="C99" s="253" t="n">
        <v>602</v>
      </c>
      <c r="D99" s="253" t="n">
        <v>483</v>
      </c>
      <c r="E99" s="253" t="n">
        <v>134</v>
      </c>
      <c r="F99" s="253" t="n">
        <v>1313</v>
      </c>
      <c r="G99" s="253" t="n">
        <v>58</v>
      </c>
      <c r="H99" s="253" t="n">
        <v>210</v>
      </c>
      <c r="I99" s="254" t="n">
        <v>2270</v>
      </c>
      <c r="J99" s="254" t="n">
        <v>816</v>
      </c>
      <c r="K99" s="618">
        <f>I99+J99</f>
        <v/>
      </c>
      <c r="L99" s="619">
        <f>B99-C99-E99-F99-G99-H99-K99</f>
        <v/>
      </c>
      <c r="M99" s="257" t="n"/>
    </row>
    <row customHeight="1" ht="12" r="100" s="391">
      <c r="A100" s="252" t="n">
        <v>42042</v>
      </c>
      <c r="B100" s="253" t="n">
        <v>5621</v>
      </c>
      <c r="C100" s="253" t="n">
        <v>598</v>
      </c>
      <c r="D100" s="253" t="n">
        <v>479</v>
      </c>
      <c r="E100" s="253" t="n">
        <v>134</v>
      </c>
      <c r="F100" s="253" t="n">
        <v>1303</v>
      </c>
      <c r="G100" s="253" t="n">
        <v>58</v>
      </c>
      <c r="H100" s="253" t="n">
        <v>210</v>
      </c>
      <c r="I100" s="254" t="n">
        <v>2224</v>
      </c>
      <c r="J100" s="254" t="n">
        <v>793</v>
      </c>
      <c r="K100" s="618">
        <f>I100+J100</f>
        <v/>
      </c>
      <c r="L100" s="619">
        <f>B100-C100-E100-F100-G100-H100-K100</f>
        <v/>
      </c>
      <c r="M100" s="257" t="n"/>
    </row>
    <row customHeight="1" ht="12" r="101" s="391">
      <c r="A101" s="252" t="n">
        <v>42011</v>
      </c>
      <c r="B101" s="253" t="n">
        <v>5603</v>
      </c>
      <c r="C101" s="253" t="n">
        <v>594</v>
      </c>
      <c r="D101" s="253" t="n">
        <v>475</v>
      </c>
      <c r="E101" s="253" t="n">
        <v>134</v>
      </c>
      <c r="F101" s="253" t="n">
        <v>1300</v>
      </c>
      <c r="G101" s="253" t="n">
        <v>58</v>
      </c>
      <c r="H101" s="253" t="n">
        <v>210</v>
      </c>
      <c r="I101" s="254" t="n">
        <v>2141</v>
      </c>
      <c r="J101" s="254" t="n">
        <v>765</v>
      </c>
      <c r="K101" s="618">
        <f>I101+J101</f>
        <v/>
      </c>
      <c r="L101" s="619">
        <f>B101-C101-E101-F101-G101-H101-K101</f>
        <v/>
      </c>
      <c r="M101" s="257" t="n"/>
      <c r="N101" s="111" t="n"/>
    </row>
    <row customHeight="1" ht="12" r="102" s="391">
      <c r="A102" s="252" t="n">
        <v>41980</v>
      </c>
      <c r="B102" s="253" t="n">
        <v>5583</v>
      </c>
      <c r="C102" s="253" t="n">
        <v>590</v>
      </c>
      <c r="D102" s="253" t="n">
        <v>472</v>
      </c>
      <c r="E102" s="253" t="n">
        <v>134</v>
      </c>
      <c r="F102" s="253" t="n">
        <v>1293</v>
      </c>
      <c r="G102" s="253" t="n">
        <v>58</v>
      </c>
      <c r="H102" s="253" t="n">
        <v>210</v>
      </c>
      <c r="I102" s="254" t="n">
        <v>2062</v>
      </c>
      <c r="J102" s="254" t="n">
        <v>741</v>
      </c>
      <c r="K102" s="618">
        <f>I102+J102</f>
        <v/>
      </c>
      <c r="L102" s="619">
        <f>B102-C102-E102-F102-G102-H102-K102</f>
        <v/>
      </c>
      <c r="M102" s="257" t="n"/>
    </row>
    <row customHeight="1" ht="12" r="103" s="391">
      <c r="A103" s="252" t="n">
        <v>41950</v>
      </c>
      <c r="B103" s="253" t="n">
        <v>5565</v>
      </c>
      <c r="C103" s="253" t="n">
        <v>584</v>
      </c>
      <c r="D103" s="253" t="n">
        <v>467</v>
      </c>
      <c r="E103" s="253" t="n">
        <v>134</v>
      </c>
      <c r="F103" s="253" t="n">
        <v>1287</v>
      </c>
      <c r="G103" s="253" t="n">
        <v>58</v>
      </c>
      <c r="H103" s="253" t="n">
        <v>210</v>
      </c>
      <c r="I103" s="254" t="n">
        <v>1983</v>
      </c>
      <c r="J103" s="254" t="n">
        <v>707</v>
      </c>
      <c r="K103" s="618">
        <f>I103+J103</f>
        <v/>
      </c>
      <c r="L103" s="619">
        <f>B103-C103-E103-F103-G103-H103-K103</f>
        <v/>
      </c>
      <c r="M103" s="257" t="n"/>
    </row>
    <row customHeight="1" ht="12" r="104" s="391">
      <c r="A104" s="252" t="n">
        <v>41919</v>
      </c>
      <c r="B104" s="253" t="n">
        <v>5541</v>
      </c>
      <c r="C104" s="253" t="n">
        <v>579</v>
      </c>
      <c r="D104" s="253" t="n">
        <v>462</v>
      </c>
      <c r="E104" s="253" t="n">
        <v>134</v>
      </c>
      <c r="F104" s="253" t="n">
        <v>1282</v>
      </c>
      <c r="G104" s="253" t="n">
        <v>58</v>
      </c>
      <c r="H104" s="253" t="n">
        <v>210</v>
      </c>
      <c r="I104" s="254" t="n">
        <v>1921</v>
      </c>
      <c r="J104" s="254" t="n">
        <v>675</v>
      </c>
      <c r="K104" s="618">
        <f>I104+J104</f>
        <v/>
      </c>
      <c r="L104" s="619">
        <f>B104-C104-E104-F104-G104-H104-K104</f>
        <v/>
      </c>
      <c r="M104" s="257" t="n"/>
    </row>
    <row customHeight="1" ht="12" r="105" s="391">
      <c r="A105" s="252" t="n">
        <v>41889</v>
      </c>
      <c r="B105" s="253" t="n">
        <v>5502</v>
      </c>
      <c r="C105" s="253" t="n">
        <v>573</v>
      </c>
      <c r="D105" s="253" t="n">
        <v>456</v>
      </c>
      <c r="E105" s="253" t="n">
        <v>134</v>
      </c>
      <c r="F105" s="253" t="n">
        <v>1278</v>
      </c>
      <c r="G105" s="253" t="n">
        <v>58</v>
      </c>
      <c r="H105" s="253" t="n">
        <v>210</v>
      </c>
      <c r="I105" s="254" t="n">
        <v>1838</v>
      </c>
      <c r="J105" s="254" t="n">
        <v>636</v>
      </c>
      <c r="K105" s="618">
        <f>I105+J105</f>
        <v/>
      </c>
      <c r="L105" s="619">
        <f>B105-C105-E105-F105-G105-H105-K105</f>
        <v/>
      </c>
      <c r="M105" s="257" t="n"/>
    </row>
    <row customHeight="1" ht="12" r="106" s="391">
      <c r="A106" s="252" t="n">
        <v>41858</v>
      </c>
      <c r="B106" s="253" t="n">
        <v>5404</v>
      </c>
      <c r="C106" s="253" t="n">
        <v>564</v>
      </c>
      <c r="D106" s="253" t="n">
        <v>449</v>
      </c>
      <c r="E106" s="253" t="n">
        <v>134</v>
      </c>
      <c r="F106" s="253" t="n">
        <v>1272</v>
      </c>
      <c r="G106" s="253" t="n">
        <v>58</v>
      </c>
      <c r="H106" s="253" t="n">
        <v>210</v>
      </c>
      <c r="I106" s="254" t="n">
        <v>1733</v>
      </c>
      <c r="J106" s="254" t="n">
        <v>597</v>
      </c>
      <c r="K106" s="618">
        <f>I106+J106</f>
        <v/>
      </c>
      <c r="L106" s="619">
        <f>B106-C106-E106-F106-G106-H106-K106</f>
        <v/>
      </c>
      <c r="M106" s="257" t="n"/>
    </row>
    <row customHeight="1" ht="12" r="107" s="391">
      <c r="A107" s="252" t="n">
        <v>41827</v>
      </c>
      <c r="B107" s="253" t="n">
        <v>5314</v>
      </c>
      <c r="C107" s="253" t="n">
        <v>558</v>
      </c>
      <c r="D107" s="253" t="n">
        <v>444</v>
      </c>
      <c r="E107" s="253" t="n">
        <v>134</v>
      </c>
      <c r="F107" s="253" t="n">
        <v>1268</v>
      </c>
      <c r="G107" s="253" t="n">
        <v>58</v>
      </c>
      <c r="H107" s="253" t="n">
        <v>210</v>
      </c>
      <c r="I107" s="254" t="n">
        <v>1631</v>
      </c>
      <c r="J107" s="254" t="n">
        <v>562</v>
      </c>
      <c r="K107" s="618">
        <f>I107+J107</f>
        <v/>
      </c>
      <c r="L107" s="619">
        <f>B107-C107-E107-F107-G107-H107-K107</f>
        <v/>
      </c>
      <c r="M107" s="257" t="n"/>
    </row>
    <row customHeight="1" ht="12" r="108" s="391">
      <c r="A108" s="252" t="n">
        <v>41797</v>
      </c>
      <c r="B108" s="253" t="n">
        <v>5215</v>
      </c>
      <c r="C108" s="253" t="n">
        <v>552</v>
      </c>
      <c r="D108" s="253" t="n">
        <v>439</v>
      </c>
      <c r="E108" s="253" t="n">
        <v>134</v>
      </c>
      <c r="F108" s="253" t="n">
        <v>1262</v>
      </c>
      <c r="G108" s="253" t="n">
        <v>58</v>
      </c>
      <c r="H108" s="253" t="n">
        <v>210</v>
      </c>
      <c r="I108" s="254" t="n">
        <v>1512</v>
      </c>
      <c r="J108" s="254" t="n">
        <v>524</v>
      </c>
      <c r="K108" s="618">
        <f>I108+J108</f>
        <v/>
      </c>
      <c r="L108" s="619">
        <f>B108-C108-E108-F108-G108-H108-K108</f>
        <v/>
      </c>
      <c r="M108" s="257" t="n"/>
    </row>
    <row customHeight="1" ht="12" r="109" s="391">
      <c r="A109" s="252" t="n">
        <v>41766</v>
      </c>
      <c r="B109" s="253" t="n">
        <v>5138</v>
      </c>
      <c r="C109" s="253" t="n">
        <v>548</v>
      </c>
      <c r="D109" s="253" t="n">
        <v>434</v>
      </c>
      <c r="E109" s="253" t="n">
        <v>134</v>
      </c>
      <c r="F109" s="253" t="n">
        <v>1258</v>
      </c>
      <c r="G109" s="253" t="n">
        <v>58</v>
      </c>
      <c r="H109" s="253" t="n">
        <v>210</v>
      </c>
      <c r="I109" s="254" t="n">
        <v>1391</v>
      </c>
      <c r="J109" s="254" t="n">
        <v>487</v>
      </c>
      <c r="K109" s="618">
        <f>I109+J109</f>
        <v/>
      </c>
      <c r="L109" s="619">
        <f>B109-C109-E109-F109-G109-H109-K109</f>
        <v/>
      </c>
      <c r="M109" s="257" t="n"/>
    </row>
    <row customHeight="1" ht="12" r="110" s="391">
      <c r="A110" s="252" t="n">
        <v>41736</v>
      </c>
      <c r="B110" s="253" t="n">
        <v>5079</v>
      </c>
      <c r="C110" s="253" t="n">
        <v>537</v>
      </c>
      <c r="D110" s="253" t="n">
        <v>424</v>
      </c>
      <c r="E110" s="253" t="n">
        <v>134</v>
      </c>
      <c r="F110" s="253" t="n">
        <v>1252</v>
      </c>
      <c r="G110" s="253" t="n">
        <v>58</v>
      </c>
      <c r="H110" s="253" t="n">
        <v>210</v>
      </c>
      <c r="I110" s="254" t="n">
        <v>1272</v>
      </c>
      <c r="J110" s="254" t="n">
        <v>443</v>
      </c>
      <c r="K110" s="618">
        <f>I110+J110</f>
        <v/>
      </c>
      <c r="L110" s="619">
        <f>B110-C110-E110-F110-G110-H110-K110</f>
        <v/>
      </c>
      <c r="M110" s="257" t="n"/>
    </row>
    <row customHeight="1" ht="12" r="111" s="391">
      <c r="A111" s="252" t="n">
        <v>41705</v>
      </c>
      <c r="B111" s="253" t="n">
        <v>5037</v>
      </c>
      <c r="C111" s="253" t="n">
        <v>525</v>
      </c>
      <c r="D111" s="253" t="n">
        <v>413</v>
      </c>
      <c r="E111" s="253" t="n">
        <v>134</v>
      </c>
      <c r="F111" s="253" t="n">
        <v>1248</v>
      </c>
      <c r="G111" s="253" t="n">
        <v>58</v>
      </c>
      <c r="H111" s="253" t="n">
        <v>210</v>
      </c>
      <c r="I111" s="254" t="n">
        <v>1131</v>
      </c>
      <c r="J111" s="254" t="n">
        <v>413</v>
      </c>
      <c r="K111" s="618">
        <f>I111+J111</f>
        <v/>
      </c>
      <c r="L111" s="619">
        <f>B111-C111-E111-F111-G111-H111-K111</f>
        <v/>
      </c>
      <c r="M111" s="257" t="n"/>
    </row>
    <row customHeight="1" ht="12" r="112" s="391">
      <c r="A112" s="252" t="n">
        <v>41677</v>
      </c>
      <c r="B112" s="253" t="n">
        <v>4994</v>
      </c>
      <c r="C112" s="253" t="n">
        <v>525</v>
      </c>
      <c r="D112" s="253" t="n">
        <v>413</v>
      </c>
      <c r="E112" s="253" t="n">
        <v>134</v>
      </c>
      <c r="F112" s="253" t="n">
        <v>1242</v>
      </c>
      <c r="G112" s="253" t="n">
        <v>58</v>
      </c>
      <c r="H112" s="253" t="n">
        <v>210</v>
      </c>
      <c r="I112" s="254" t="n">
        <v>1054</v>
      </c>
      <c r="J112" s="254" t="n">
        <v>379</v>
      </c>
      <c r="K112" s="618">
        <f>I112+J112</f>
        <v/>
      </c>
      <c r="L112" s="619">
        <f>B112-C112-E112-F112-G112-H112-K112</f>
        <v/>
      </c>
      <c r="M112" s="257" t="n"/>
    </row>
    <row customHeight="1" ht="12" r="113" s="391">
      <c r="A113" s="252" t="n">
        <v>41646</v>
      </c>
      <c r="B113" s="253" t="n">
        <v>4944</v>
      </c>
      <c r="C113" s="253" t="n">
        <v>523</v>
      </c>
      <c r="D113" s="253" t="n">
        <v>411</v>
      </c>
      <c r="E113" s="253" t="n">
        <v>134</v>
      </c>
      <c r="F113" s="253" t="n">
        <v>1236</v>
      </c>
      <c r="G113" s="253" t="n">
        <v>58</v>
      </c>
      <c r="H113" s="253" t="n">
        <v>210</v>
      </c>
      <c r="I113" s="254" t="n">
        <v>949</v>
      </c>
      <c r="J113" s="254" t="n">
        <v>351</v>
      </c>
      <c r="K113" s="618">
        <f>I113+J113</f>
        <v/>
      </c>
      <c r="L113" s="619">
        <f>B113-C113-E113-F113-G113-H113-K113</f>
        <v/>
      </c>
      <c r="M113" s="257" t="n"/>
    </row>
    <row customHeight="1" ht="12" r="114" s="391">
      <c r="A114" s="252" t="n">
        <v>41615</v>
      </c>
      <c r="B114" s="253" t="n">
        <v>4905</v>
      </c>
      <c r="C114" s="253" t="n">
        <v>523</v>
      </c>
      <c r="D114" s="253" t="n">
        <v>411</v>
      </c>
      <c r="E114" s="253" t="n">
        <v>134</v>
      </c>
      <c r="F114" s="253" t="n">
        <v>1230</v>
      </c>
      <c r="G114" s="253" t="n">
        <v>58</v>
      </c>
      <c r="H114" s="253" t="n">
        <v>210</v>
      </c>
      <c r="I114" s="254" t="n">
        <v>854</v>
      </c>
      <c r="J114" s="254" t="n">
        <v>320</v>
      </c>
      <c r="K114" s="618">
        <f>I114+J114</f>
        <v/>
      </c>
      <c r="L114" s="619">
        <f>B114-C114-E114-F114-G114-H114-K114</f>
        <v/>
      </c>
      <c r="M114" s="257" t="n"/>
    </row>
    <row customHeight="1" ht="12" r="115" s="391">
      <c r="A115" s="252" t="n">
        <v>41585</v>
      </c>
      <c r="B115" s="253" t="n">
        <v>4864</v>
      </c>
      <c r="C115" s="253" t="n">
        <v>520</v>
      </c>
      <c r="D115" s="253" t="n">
        <v>410</v>
      </c>
      <c r="E115" s="253" t="n">
        <v>134</v>
      </c>
      <c r="F115" s="253" t="n">
        <v>1225</v>
      </c>
      <c r="G115" s="253" t="n">
        <v>58</v>
      </c>
      <c r="H115" s="253" t="n">
        <v>210</v>
      </c>
      <c r="I115" s="254" t="n">
        <v>761</v>
      </c>
      <c r="J115" s="254" t="n">
        <v>288</v>
      </c>
      <c r="K115" s="618">
        <f>I115+J115</f>
        <v/>
      </c>
      <c r="L115" s="619">
        <f>B115-C115-E115-F115-G115-H115-K115</f>
        <v/>
      </c>
      <c r="M115" s="257" t="n"/>
    </row>
    <row customHeight="1" ht="12" r="116" s="391">
      <c r="A116" s="252" t="n">
        <v>41554</v>
      </c>
      <c r="B116" s="253" t="n">
        <v>4815</v>
      </c>
      <c r="C116" s="253" t="n">
        <v>516</v>
      </c>
      <c r="D116" s="253" t="n">
        <v>408</v>
      </c>
      <c r="E116" s="253" t="n">
        <v>134</v>
      </c>
      <c r="F116" s="253" t="n">
        <v>1219</v>
      </c>
      <c r="G116" s="253" t="n">
        <v>58</v>
      </c>
      <c r="H116" s="253" t="n">
        <v>210</v>
      </c>
      <c r="I116" s="254" t="n">
        <v>666</v>
      </c>
      <c r="J116" s="254" t="n">
        <v>248</v>
      </c>
      <c r="K116" s="618">
        <f>I116+J116</f>
        <v/>
      </c>
      <c r="L116" s="619">
        <f>B116-C116-E116-F116-G116-H116-K116</f>
        <v/>
      </c>
      <c r="M116" s="257" t="n"/>
    </row>
    <row customHeight="1" ht="12" r="117" s="391">
      <c r="A117" s="252" t="n">
        <v>41524</v>
      </c>
      <c r="B117" s="253" t="n">
        <v>4737</v>
      </c>
      <c r="C117" s="253" t="n">
        <v>514</v>
      </c>
      <c r="D117" s="253" t="n">
        <v>407</v>
      </c>
      <c r="E117" s="253" t="n">
        <v>134</v>
      </c>
      <c r="F117" s="253" t="n">
        <v>1210</v>
      </c>
      <c r="G117" s="253" t="n">
        <v>58</v>
      </c>
      <c r="H117" s="253" t="n">
        <v>210</v>
      </c>
      <c r="I117" s="254" t="n">
        <v>574</v>
      </c>
      <c r="J117" s="254" t="n">
        <v>225</v>
      </c>
      <c r="K117" s="618">
        <f>I117+J117</f>
        <v/>
      </c>
      <c r="L117" s="619">
        <f>B117-C117-E117-F117-G117-H117-K117</f>
        <v/>
      </c>
      <c r="M117" s="257" t="n"/>
    </row>
    <row customHeight="1" ht="12" r="118" s="391">
      <c r="A118" s="252" t="n">
        <v>41493</v>
      </c>
      <c r="B118" s="253" t="n">
        <v>4650</v>
      </c>
      <c r="C118" s="253" t="n">
        <v>505</v>
      </c>
      <c r="D118" s="253" t="n">
        <v>405</v>
      </c>
      <c r="E118" s="253" t="n">
        <v>134</v>
      </c>
      <c r="F118" s="253" t="n">
        <v>1205</v>
      </c>
      <c r="G118" s="253" t="n">
        <v>58</v>
      </c>
      <c r="H118" s="253" t="n">
        <v>210</v>
      </c>
      <c r="I118" s="254" t="n">
        <v>471</v>
      </c>
      <c r="J118" s="254" t="n">
        <v>200</v>
      </c>
      <c r="K118" s="618">
        <f>I118+J118</f>
        <v/>
      </c>
      <c r="L118" s="619">
        <f>B118-C118-E118-F118-G118-H118-K118</f>
        <v/>
      </c>
      <c r="M118" s="257" t="n"/>
    </row>
    <row customHeight="1" ht="12" r="119" s="391">
      <c r="A119" s="252" t="n">
        <v>41462</v>
      </c>
      <c r="B119" s="253" t="n">
        <v>4584</v>
      </c>
      <c r="C119" s="253" t="n">
        <v>505</v>
      </c>
      <c r="D119" s="253" t="n">
        <v>404</v>
      </c>
      <c r="E119" s="253" t="n">
        <v>134</v>
      </c>
      <c r="F119" s="253" t="n">
        <v>1202</v>
      </c>
      <c r="G119" s="253" t="n">
        <v>58</v>
      </c>
      <c r="H119" s="253" t="n">
        <v>210</v>
      </c>
      <c r="I119" s="254" t="n">
        <v>392</v>
      </c>
      <c r="J119" s="254" t="n">
        <v>180</v>
      </c>
      <c r="K119" s="618">
        <f>I119+J119</f>
        <v/>
      </c>
      <c r="L119" s="619">
        <f>B119-C119-E119-F119-G119-H119-K119</f>
        <v/>
      </c>
      <c r="M119" s="257" t="n"/>
    </row>
    <row customHeight="1" ht="12" r="120" s="391">
      <c r="A120" s="252" t="n">
        <v>41432</v>
      </c>
      <c r="B120" s="253" t="n">
        <v>4517</v>
      </c>
      <c r="C120" s="253" t="n">
        <v>504</v>
      </c>
      <c r="D120" s="253" t="n">
        <v>403</v>
      </c>
      <c r="E120" s="253" t="n">
        <v>134</v>
      </c>
      <c r="F120" s="253" t="n">
        <v>1197</v>
      </c>
      <c r="G120" s="253" t="n">
        <v>58</v>
      </c>
      <c r="H120" s="253" t="n">
        <v>210</v>
      </c>
      <c r="I120" s="254" t="n">
        <v>328</v>
      </c>
      <c r="J120" s="254" t="n">
        <v>157</v>
      </c>
      <c r="K120" s="618">
        <f>I120+J120</f>
        <v/>
      </c>
      <c r="L120" s="619">
        <f>B120-C120-E120-F120-G120-H120-K120</f>
        <v/>
      </c>
      <c r="M120" s="257" t="n"/>
    </row>
    <row customHeight="1" ht="12" r="121" s="391">
      <c r="A121" s="252" t="n">
        <v>41401</v>
      </c>
      <c r="B121" s="253" t="n">
        <v>4444</v>
      </c>
      <c r="C121" s="253" t="n">
        <v>501</v>
      </c>
      <c r="D121" s="253" t="n">
        <v>401</v>
      </c>
      <c r="E121" s="253" t="n">
        <v>134</v>
      </c>
      <c r="F121" s="253" t="n">
        <v>1191</v>
      </c>
      <c r="G121" s="253" t="n">
        <v>58</v>
      </c>
      <c r="H121" s="253" t="n">
        <v>210</v>
      </c>
      <c r="I121" s="254" t="n">
        <v>246</v>
      </c>
      <c r="J121" s="254" t="n">
        <v>112</v>
      </c>
      <c r="K121" s="618">
        <f>I121+J121</f>
        <v/>
      </c>
      <c r="L121" s="619">
        <f>B121-C121-E121-F121-G121-H121-K121</f>
        <v/>
      </c>
      <c r="M121" s="257" t="n"/>
    </row>
    <row customHeight="1" ht="12" r="122" s="391">
      <c r="A122" s="252" t="n">
        <v>41371</v>
      </c>
      <c r="B122" s="253" t="n">
        <v>4395</v>
      </c>
      <c r="C122" s="253" t="n">
        <v>501</v>
      </c>
      <c r="D122" s="253" t="n">
        <v>401</v>
      </c>
      <c r="E122" s="253" t="n">
        <v>134</v>
      </c>
      <c r="F122" s="253" t="n">
        <v>1187</v>
      </c>
      <c r="G122" s="253" t="n">
        <v>58</v>
      </c>
      <c r="H122" s="253" t="n">
        <v>210</v>
      </c>
      <c r="I122" s="254" t="n">
        <v>188</v>
      </c>
      <c r="J122" s="254" t="n">
        <v>70</v>
      </c>
      <c r="K122" s="618">
        <f>I122+J122</f>
        <v/>
      </c>
      <c r="L122" s="619">
        <f>B122-C122-E122-F122-G122-H122-K122</f>
        <v/>
      </c>
      <c r="M122" s="257" t="n"/>
    </row>
    <row customHeight="1" ht="12" r="123" s="391">
      <c r="A123" s="252" t="n">
        <v>41340</v>
      </c>
      <c r="B123" s="253" t="n">
        <v>4345</v>
      </c>
      <c r="C123" s="253" t="n">
        <v>500</v>
      </c>
      <c r="D123" s="253" t="n">
        <v>400</v>
      </c>
      <c r="E123" s="253" t="n">
        <v>134</v>
      </c>
      <c r="F123" s="253" t="n">
        <v>1182</v>
      </c>
      <c r="G123" s="253" t="n">
        <v>58</v>
      </c>
      <c r="H123" s="253" t="n">
        <v>210</v>
      </c>
      <c r="I123" s="254" t="n">
        <v>110</v>
      </c>
      <c r="J123" s="254" t="n">
        <v>42</v>
      </c>
      <c r="K123" s="618">
        <f>I123+J123</f>
        <v/>
      </c>
      <c r="L123" s="619">
        <f>B123-C123-E123-F123-G123-H123-K123</f>
        <v/>
      </c>
      <c r="M123" s="257" t="n"/>
    </row>
    <row customHeight="1" ht="12" r="124" s="391">
      <c r="A124" s="252" t="n">
        <v>41312</v>
      </c>
      <c r="B124" s="253" t="n">
        <v>4310</v>
      </c>
      <c r="C124" s="253" t="n">
        <v>498</v>
      </c>
      <c r="D124" s="253" t="n">
        <v>398</v>
      </c>
      <c r="E124" s="253" t="n">
        <v>134</v>
      </c>
      <c r="F124" s="253" t="n">
        <v>1178</v>
      </c>
      <c r="G124" s="253" t="n">
        <v>58</v>
      </c>
      <c r="H124" s="253" t="n">
        <v>210</v>
      </c>
      <c r="I124" s="254" t="n">
        <v>64</v>
      </c>
      <c r="J124" s="254" t="n">
        <v>21</v>
      </c>
      <c r="K124" s="618">
        <f>I124+J124</f>
        <v/>
      </c>
      <c r="L124" s="619">
        <f>B124-C124-E124-F124-G124-H124-K124</f>
        <v/>
      </c>
      <c r="M124" s="257" t="n"/>
    </row>
    <row customHeight="1" ht="12" r="125" s="391">
      <c r="A125" s="252" t="n">
        <v>41281</v>
      </c>
      <c r="B125" s="253">
        <f>21437+4266</f>
        <v/>
      </c>
      <c r="C125" s="253" t="n">
        <v>498</v>
      </c>
      <c r="D125" s="253" t="n">
        <v>398</v>
      </c>
      <c r="E125" s="253" t="n">
        <v>16</v>
      </c>
      <c r="F125" s="253" t="n">
        <v>1172</v>
      </c>
      <c r="G125" s="253" t="n">
        <v>58</v>
      </c>
      <c r="H125" s="253" t="n">
        <v>210</v>
      </c>
      <c r="I125" s="259" t="n">
        <v>16392</v>
      </c>
      <c r="J125" s="259">
        <f>3661-1832+323+18+400</f>
        <v/>
      </c>
      <c r="K125" s="621">
        <f>I125+J125</f>
        <v/>
      </c>
      <c r="L125" s="619">
        <f>B125-C125-E125-F125-G125-H125-K125+3784-1189-5932</f>
        <v/>
      </c>
      <c r="M125" s="257" t="inlineStr">
        <is>
          <t>소아과 134, 5층 1/7정도에 계량기 파손으로 추정치</t>
        </is>
      </c>
    </row>
    <row customHeight="1" ht="12" r="126" s="391">
      <c r="A126" s="252" t="n">
        <v>41250</v>
      </c>
      <c r="B126" s="253">
        <f>21437+4228</f>
        <v/>
      </c>
      <c r="C126" s="253" t="n">
        <v>495</v>
      </c>
      <c r="D126" s="253" t="n">
        <v>396</v>
      </c>
      <c r="E126" s="253" t="n">
        <v>16</v>
      </c>
      <c r="F126" s="253" t="n">
        <v>1166</v>
      </c>
      <c r="G126" s="253" t="n">
        <v>58</v>
      </c>
      <c r="H126" s="253" t="n">
        <v>210</v>
      </c>
      <c r="I126" s="253" t="n">
        <v>16302</v>
      </c>
      <c r="J126" s="253">
        <f>3661-1832+323+18+370</f>
        <v/>
      </c>
      <c r="K126" s="622">
        <f>I126+J126</f>
        <v/>
      </c>
      <c r="L126" s="619">
        <f>B126-C126-E126-F126-G126-H126-K126+3784-1189-5932</f>
        <v/>
      </c>
      <c r="M126" s="257" t="inlineStr">
        <is>
          <t>소아과 134</t>
        </is>
      </c>
    </row>
    <row customHeight="1" ht="12" r="127" s="391">
      <c r="A127" s="252" t="n">
        <v>41220</v>
      </c>
      <c r="B127" s="253">
        <f>21437+4174</f>
        <v/>
      </c>
      <c r="C127" s="253" t="n">
        <v>495</v>
      </c>
      <c r="D127" s="253" t="n">
        <v>396</v>
      </c>
      <c r="E127" s="253" t="n">
        <v>16</v>
      </c>
      <c r="F127" s="253" t="n">
        <v>1161</v>
      </c>
      <c r="G127" s="253" t="n">
        <v>58</v>
      </c>
      <c r="H127" s="253" t="n">
        <v>210</v>
      </c>
      <c r="I127" s="253" t="n">
        <v>16207</v>
      </c>
      <c r="J127" s="253">
        <f>3661-1832+323+18+341</f>
        <v/>
      </c>
      <c r="K127" s="622">
        <f>I127+J127</f>
        <v/>
      </c>
      <c r="L127" s="619">
        <f>B127-C127-E127-F127-G127-H127-K127+3784-1189-5932</f>
        <v/>
      </c>
      <c r="M127" s="257" t="inlineStr">
        <is>
          <t>소아과 134</t>
        </is>
      </c>
    </row>
    <row customHeight="1" ht="12" r="128" s="391">
      <c r="A128" s="252" t="n">
        <v>41189</v>
      </c>
      <c r="B128" s="253">
        <f>21437+4109</f>
        <v/>
      </c>
      <c r="C128" s="253" t="n">
        <v>494</v>
      </c>
      <c r="D128" s="253" t="n">
        <v>395</v>
      </c>
      <c r="E128" s="253" t="n">
        <v>16</v>
      </c>
      <c r="F128" s="253" t="n">
        <v>1156</v>
      </c>
      <c r="G128" s="253" t="n">
        <v>58</v>
      </c>
      <c r="H128" s="253" t="n">
        <v>210</v>
      </c>
      <c r="I128" s="253" t="n">
        <v>16129</v>
      </c>
      <c r="J128" s="253">
        <f>3661-1832+323+18+300</f>
        <v/>
      </c>
      <c r="K128" s="622">
        <f>I128+J128</f>
        <v/>
      </c>
      <c r="L128" s="619">
        <f>B128-C128-E128-F128-G128-H128-K128+3784-1189-5932</f>
        <v/>
      </c>
      <c r="M128" s="257" t="inlineStr">
        <is>
          <t>소아과 134</t>
        </is>
      </c>
    </row>
    <row customHeight="1" ht="12" r="129" s="391">
      <c r="A129" s="252" t="n">
        <v>41159</v>
      </c>
      <c r="B129" s="253">
        <f>21437+3991</f>
        <v/>
      </c>
      <c r="C129" s="253" t="n">
        <v>494</v>
      </c>
      <c r="D129" s="253" t="n">
        <v>393</v>
      </c>
      <c r="E129" s="253" t="n">
        <v>16</v>
      </c>
      <c r="F129" s="253" t="n">
        <v>1151</v>
      </c>
      <c r="G129" s="253" t="n">
        <v>58</v>
      </c>
      <c r="H129" s="253" t="n">
        <v>210</v>
      </c>
      <c r="I129" s="253" t="n">
        <v>16032</v>
      </c>
      <c r="J129" s="253">
        <f>3661-1832+323+18+249</f>
        <v/>
      </c>
      <c r="K129" s="622">
        <f>I129+J129</f>
        <v/>
      </c>
      <c r="L129" s="619">
        <f>B129-C129-E129-F129-G129-H129-K129+3784-1189-5932</f>
        <v/>
      </c>
      <c r="M129" s="257" t="inlineStr">
        <is>
          <t>소아과 134</t>
        </is>
      </c>
    </row>
    <row customHeight="1" ht="12" r="130" s="391">
      <c r="A130" s="252" t="n">
        <v>41128</v>
      </c>
      <c r="B130" s="253">
        <f>21437+3882</f>
        <v/>
      </c>
      <c r="C130" s="253" t="n">
        <v>492</v>
      </c>
      <c r="D130" s="253" t="n">
        <v>392</v>
      </c>
      <c r="E130" s="253" t="n">
        <v>16</v>
      </c>
      <c r="F130" s="253" t="n">
        <v>1145</v>
      </c>
      <c r="G130" s="253" t="n">
        <v>58</v>
      </c>
      <c r="H130" s="253" t="n">
        <v>210</v>
      </c>
      <c r="I130" s="253" t="n">
        <v>15917</v>
      </c>
      <c r="J130" s="253">
        <f>3661-1832+323+18+217</f>
        <v/>
      </c>
      <c r="K130" s="622">
        <f>I130+J130</f>
        <v/>
      </c>
      <c r="L130" s="619">
        <f>B130-C130-E130-F130-G130-H130-K130+3784-1189-5932</f>
        <v/>
      </c>
      <c r="M130" s="257" t="inlineStr">
        <is>
          <t>소아과 134</t>
        </is>
      </c>
    </row>
    <row customHeight="1" ht="12" r="131" s="391">
      <c r="A131" s="252" t="n">
        <v>41097</v>
      </c>
      <c r="B131" s="253">
        <f>21437+3775</f>
        <v/>
      </c>
      <c r="C131" s="253" t="n">
        <v>489</v>
      </c>
      <c r="D131" s="253" t="n">
        <v>390</v>
      </c>
      <c r="E131" s="253" t="n">
        <v>16</v>
      </c>
      <c r="F131" s="253" t="n">
        <v>1139</v>
      </c>
      <c r="G131" s="253" t="n">
        <v>58</v>
      </c>
      <c r="H131" s="253" t="n">
        <v>210</v>
      </c>
      <c r="I131" s="253" t="n">
        <v>15831</v>
      </c>
      <c r="J131" s="253">
        <f>3661-1832+323+18+178</f>
        <v/>
      </c>
      <c r="K131" s="622">
        <f>I131+J131</f>
        <v/>
      </c>
      <c r="L131" s="619">
        <f>B131-C131-E131-F131-G131-H131-K131+3784-1189-5932</f>
        <v/>
      </c>
      <c r="M131" s="257" t="inlineStr">
        <is>
          <t>소아과 134</t>
        </is>
      </c>
    </row>
    <row customHeight="1" ht="12" r="132" s="391">
      <c r="A132" s="252" t="n">
        <v>41067</v>
      </c>
      <c r="B132" s="253">
        <f>21437+3684</f>
        <v/>
      </c>
      <c r="C132" s="253" t="n">
        <v>484</v>
      </c>
      <c r="D132" s="253" t="n">
        <v>386</v>
      </c>
      <c r="E132" s="253" t="n">
        <v>16</v>
      </c>
      <c r="F132" s="253" t="n">
        <v>1134</v>
      </c>
      <c r="G132" s="253" t="n">
        <v>58</v>
      </c>
      <c r="H132" s="253" t="n">
        <v>210</v>
      </c>
      <c r="I132" s="253" t="n">
        <v>15727</v>
      </c>
      <c r="J132" s="253">
        <f>3661-1832+323+18+135</f>
        <v/>
      </c>
      <c r="K132" s="622">
        <f>I132+J132</f>
        <v/>
      </c>
      <c r="L132" s="619">
        <f>B132-C132-E132-F132-G132-H132-K132+3784-1189-5932</f>
        <v/>
      </c>
      <c r="M132" s="257" t="inlineStr">
        <is>
          <t>소아과 134</t>
        </is>
      </c>
    </row>
    <row customHeight="1" ht="12" r="133" s="391">
      <c r="A133" s="252" t="n">
        <v>41036</v>
      </c>
      <c r="B133" s="253">
        <f>21437+3610</f>
        <v/>
      </c>
      <c r="C133" s="253" t="n">
        <v>484</v>
      </c>
      <c r="D133" s="253" t="n">
        <v>386</v>
      </c>
      <c r="E133" s="253" t="n">
        <v>16</v>
      </c>
      <c r="F133" s="253" t="n">
        <v>1129</v>
      </c>
      <c r="G133" s="253" t="n">
        <v>58</v>
      </c>
      <c r="H133" s="253" t="n">
        <v>210</v>
      </c>
      <c r="I133" s="253" t="n">
        <v>15624</v>
      </c>
      <c r="J133" s="253">
        <f>3661-1832+323+18+99</f>
        <v/>
      </c>
      <c r="K133" s="622">
        <f>I133+J133</f>
        <v/>
      </c>
      <c r="L133" s="619">
        <f>B133-C133-E133-F133-G133-H133-K133+3784-1189-5932</f>
        <v/>
      </c>
      <c r="M133" s="257" t="inlineStr">
        <is>
          <t>소아과 134</t>
        </is>
      </c>
    </row>
    <row customHeight="1" ht="12" r="134" s="391">
      <c r="A134" s="252" t="n">
        <v>41006</v>
      </c>
      <c r="B134" s="253">
        <f>21437+3542</f>
        <v/>
      </c>
      <c r="C134" s="253" t="n">
        <v>481</v>
      </c>
      <c r="D134" s="253" t="n">
        <v>384</v>
      </c>
      <c r="E134" s="253" t="n">
        <v>16</v>
      </c>
      <c r="F134" s="253" t="n">
        <v>1125</v>
      </c>
      <c r="G134" s="253" t="n">
        <v>58</v>
      </c>
      <c r="H134" s="253" t="n">
        <v>210</v>
      </c>
      <c r="I134" s="253" t="n">
        <v>15529</v>
      </c>
      <c r="J134" s="253">
        <f>3661-1832+323+18+69</f>
        <v/>
      </c>
      <c r="K134" s="622">
        <f>I134+J134</f>
        <v/>
      </c>
      <c r="L134" s="619">
        <f>B134-C134-E134-F134-G134-H134-K134+3784-1189-5932</f>
        <v/>
      </c>
      <c r="M134" s="257" t="inlineStr">
        <is>
          <t>소아과 134</t>
        </is>
      </c>
    </row>
    <row customHeight="1" ht="12" r="135" s="391">
      <c r="A135" s="252" t="n">
        <v>40975</v>
      </c>
      <c r="B135" s="253">
        <f>21437+3477</f>
        <v/>
      </c>
      <c r="C135" s="253" t="n">
        <v>481</v>
      </c>
      <c r="D135" s="253" t="n">
        <v>384</v>
      </c>
      <c r="E135" s="253" t="n">
        <v>16</v>
      </c>
      <c r="F135" s="253" t="n">
        <v>1119</v>
      </c>
      <c r="G135" s="253" t="n">
        <v>58</v>
      </c>
      <c r="H135" s="253" t="n">
        <v>210</v>
      </c>
      <c r="I135" s="253" t="n">
        <v>15423</v>
      </c>
      <c r="J135" s="253">
        <f>3661-1832+323+18+35</f>
        <v/>
      </c>
      <c r="K135" s="622">
        <f>I135+J135</f>
        <v/>
      </c>
      <c r="L135" s="619">
        <f>B135-C135-E135-F135-G135-H135-K135+3784-1189-5932</f>
        <v/>
      </c>
      <c r="M135" s="257" t="inlineStr">
        <is>
          <t>소아과 134</t>
        </is>
      </c>
    </row>
    <row customHeight="1" ht="12" r="136" s="391">
      <c r="A136" s="252" t="n">
        <v>40946</v>
      </c>
      <c r="B136" s="253">
        <f>21437+3435</f>
        <v/>
      </c>
      <c r="C136" s="253" t="n">
        <v>478</v>
      </c>
      <c r="D136" s="253" t="n">
        <v>381</v>
      </c>
      <c r="E136" s="253" t="n">
        <v>16</v>
      </c>
      <c r="F136" s="253" t="n">
        <v>1116</v>
      </c>
      <c r="G136" s="253" t="n">
        <v>58</v>
      </c>
      <c r="H136" s="253" t="n">
        <v>210</v>
      </c>
      <c r="I136" s="253" t="n">
        <v>15327</v>
      </c>
      <c r="J136" s="253">
        <f>3661-1832+323+18+12</f>
        <v/>
      </c>
      <c r="K136" s="622">
        <f>I136+J136</f>
        <v/>
      </c>
      <c r="L136" s="619">
        <f>B136-C136-E136-F136-G136-H136-K136+3784-1189-5932</f>
        <v/>
      </c>
      <c r="M136" s="257" t="inlineStr">
        <is>
          <t>소아과 134</t>
        </is>
      </c>
    </row>
    <row customHeight="1" ht="12" r="137" s="391">
      <c r="A137" s="252" t="n">
        <v>40915</v>
      </c>
      <c r="B137" s="253">
        <f>21437+3391</f>
        <v/>
      </c>
      <c r="C137" s="253" t="n">
        <v>478</v>
      </c>
      <c r="D137" s="253" t="n">
        <v>381</v>
      </c>
      <c r="E137" s="253" t="n">
        <v>16</v>
      </c>
      <c r="F137" s="253" t="n">
        <v>1111</v>
      </c>
      <c r="G137" s="253" t="n">
        <v>58</v>
      </c>
      <c r="H137" s="253" t="n">
        <v>210</v>
      </c>
      <c r="I137" s="253" t="n">
        <v>15221</v>
      </c>
      <c r="J137" s="253">
        <f>3661-1832+323</f>
        <v/>
      </c>
      <c r="K137" s="622">
        <f>I137+J137</f>
        <v/>
      </c>
      <c r="L137" s="619">
        <f>B137-C137-E137-F137-G137-H137-K137+3784-1189-5932</f>
        <v/>
      </c>
      <c r="M137" s="257" t="inlineStr">
        <is>
          <t>소아과 134</t>
        </is>
      </c>
    </row>
    <row customHeight="1" ht="12" r="138" s="391">
      <c r="A138" s="252" t="n">
        <v>40884</v>
      </c>
      <c r="B138" s="253">
        <f>21437+3354</f>
        <v/>
      </c>
      <c r="C138" s="253" t="n">
        <v>473</v>
      </c>
      <c r="D138" s="253" t="n">
        <v>378</v>
      </c>
      <c r="E138" s="253" t="n">
        <v>16</v>
      </c>
      <c r="F138" s="253" t="n">
        <v>1107</v>
      </c>
      <c r="G138" s="253" t="n">
        <v>58</v>
      </c>
      <c r="H138" s="253" t="n">
        <v>210</v>
      </c>
      <c r="I138" s="253" t="n">
        <v>15121</v>
      </c>
      <c r="J138" s="253">
        <f>3661-1832+308</f>
        <v/>
      </c>
      <c r="K138" s="622">
        <f>I138+J138</f>
        <v/>
      </c>
      <c r="L138" s="619">
        <f>B138-C138-E138-F138-G138-H138-K138+3784-1189-5932</f>
        <v/>
      </c>
      <c r="M138" s="257" t="inlineStr">
        <is>
          <t>소아과 134</t>
        </is>
      </c>
    </row>
    <row customHeight="1" ht="12" r="139" s="391">
      <c r="A139" s="252" t="n">
        <v>40854</v>
      </c>
      <c r="B139" s="253">
        <f>21437+3319</f>
        <v/>
      </c>
      <c r="C139" s="253" t="n">
        <v>473</v>
      </c>
      <c r="D139" s="253" t="n">
        <v>378</v>
      </c>
      <c r="E139" s="253" t="n">
        <v>16</v>
      </c>
      <c r="F139" s="253" t="n">
        <v>1102</v>
      </c>
      <c r="G139" s="253" t="n">
        <v>58</v>
      </c>
      <c r="H139" s="253" t="n">
        <v>210</v>
      </c>
      <c r="I139" s="253" t="n">
        <v>15040</v>
      </c>
      <c r="J139" s="253">
        <f>3661-1832+273</f>
        <v/>
      </c>
      <c r="K139" s="622">
        <f>I139+J139</f>
        <v/>
      </c>
      <c r="L139" s="619">
        <f>B139-C139-E139-F139-G139-H139-K139+3784-1189-5932</f>
        <v/>
      </c>
      <c r="M139" s="257" t="inlineStr">
        <is>
          <t>소아과 134</t>
        </is>
      </c>
    </row>
    <row customHeight="1" ht="12" r="140" s="391">
      <c r="A140" s="252" t="n">
        <v>40823</v>
      </c>
      <c r="B140" s="253">
        <f>21437+3270</f>
        <v/>
      </c>
      <c r="C140" s="253" t="n">
        <v>472</v>
      </c>
      <c r="D140" s="253" t="n">
        <v>377</v>
      </c>
      <c r="E140" s="253" t="n">
        <v>16</v>
      </c>
      <c r="F140" s="253" t="n">
        <v>1097</v>
      </c>
      <c r="G140" s="253" t="n">
        <v>58</v>
      </c>
      <c r="H140" s="253" t="n">
        <v>210</v>
      </c>
      <c r="I140" s="253" t="n">
        <v>14962</v>
      </c>
      <c r="J140" s="253">
        <f>3661-1832+229</f>
        <v/>
      </c>
      <c r="K140" s="622">
        <f>I140+J140</f>
        <v/>
      </c>
      <c r="L140" s="619">
        <f>B140-C140-E140-F140-G140-H140-K140+3784-1189-5932</f>
        <v/>
      </c>
      <c r="M140" s="257" t="inlineStr">
        <is>
          <t>소아과 134</t>
        </is>
      </c>
    </row>
    <row customHeight="1" ht="12" r="141" s="391">
      <c r="A141" s="252" t="n">
        <v>40793</v>
      </c>
      <c r="B141" s="253">
        <f>21437+3195</f>
        <v/>
      </c>
      <c r="C141" s="253" t="n">
        <v>470</v>
      </c>
      <c r="D141" s="253" t="n">
        <v>377</v>
      </c>
      <c r="E141" s="253" t="n">
        <v>16</v>
      </c>
      <c r="F141" s="253" t="n">
        <v>1092</v>
      </c>
      <c r="G141" s="253" t="n">
        <v>58</v>
      </c>
      <c r="H141" s="253" t="n">
        <v>210</v>
      </c>
      <c r="I141" s="253" t="n">
        <v>14879</v>
      </c>
      <c r="J141" s="253">
        <f>3661-1832+186</f>
        <v/>
      </c>
      <c r="K141" s="622">
        <f>I141+J141</f>
        <v/>
      </c>
      <c r="L141" s="619">
        <f>B141-C141-E141-F141-G141-H141-K141+3784-1189-5932</f>
        <v/>
      </c>
      <c r="M141" s="257" t="inlineStr">
        <is>
          <t>소아과 134</t>
        </is>
      </c>
    </row>
    <row customHeight="1" ht="12" r="142" s="391">
      <c r="A142" s="252" t="n">
        <v>40762</v>
      </c>
      <c r="B142" s="253">
        <f>21437+3108</f>
        <v/>
      </c>
      <c r="C142" s="253" t="n">
        <v>470</v>
      </c>
      <c r="D142" s="253" t="n">
        <v>377</v>
      </c>
      <c r="E142" s="253" t="n">
        <v>16</v>
      </c>
      <c r="F142" s="253" t="n">
        <v>1084</v>
      </c>
      <c r="G142" s="253" t="n">
        <v>58</v>
      </c>
      <c r="H142" s="253" t="n">
        <v>204</v>
      </c>
      <c r="I142" s="253" t="n">
        <v>14782</v>
      </c>
      <c r="J142" s="253">
        <f>3661-1832+139</f>
        <v/>
      </c>
      <c r="K142" s="622">
        <f>I142+J142</f>
        <v/>
      </c>
      <c r="L142" s="619">
        <f>B142-C142-E142-F142-G142-H142-K142+3784-1189-5932</f>
        <v/>
      </c>
      <c r="M142" s="257" t="inlineStr">
        <is>
          <t>소아과 134</t>
        </is>
      </c>
    </row>
    <row customHeight="1" ht="12" r="143" s="391">
      <c r="A143" s="252" t="n">
        <v>40731</v>
      </c>
      <c r="B143" s="253">
        <f>21437+3022</f>
        <v/>
      </c>
      <c r="C143" s="253" t="n">
        <v>465</v>
      </c>
      <c r="D143" s="253" t="n">
        <v>372</v>
      </c>
      <c r="E143" s="253" t="n">
        <v>16</v>
      </c>
      <c r="F143" s="253" t="n">
        <v>1075</v>
      </c>
      <c r="G143" s="253" t="n">
        <v>58</v>
      </c>
      <c r="H143" s="253" t="n">
        <v>197</v>
      </c>
      <c r="I143" s="253" t="n">
        <v>14675</v>
      </c>
      <c r="J143" s="253">
        <f>3661-1832+95</f>
        <v/>
      </c>
      <c r="K143" s="622">
        <f>I143+J143</f>
        <v/>
      </c>
      <c r="L143" s="619">
        <f>B143-C143-E143-F143-G143-H143-K143+3784-1189-5932</f>
        <v/>
      </c>
      <c r="M143" s="257" t="inlineStr">
        <is>
          <t>소아과 134</t>
        </is>
      </c>
    </row>
    <row customHeight="1" ht="12" r="144" s="391">
      <c r="A144" s="252" t="n">
        <v>40701</v>
      </c>
      <c r="B144" s="253">
        <f>21437+2931</f>
        <v/>
      </c>
      <c r="C144" s="253" t="n">
        <v>459</v>
      </c>
      <c r="D144" s="253" t="n">
        <v>368</v>
      </c>
      <c r="E144" s="253" t="n">
        <v>16</v>
      </c>
      <c r="F144" s="253" t="n">
        <v>1068</v>
      </c>
      <c r="G144" s="253" t="n">
        <v>58</v>
      </c>
      <c r="H144" s="253" t="n">
        <v>192</v>
      </c>
      <c r="I144" s="253" t="n">
        <v>14563</v>
      </c>
      <c r="J144" s="262">
        <f>3661-1832+43</f>
        <v/>
      </c>
      <c r="K144" s="622">
        <f>I144+J144</f>
        <v/>
      </c>
      <c r="L144" s="619">
        <f>B144-C144-E144-F144-G144-H144-K144+3784-1189-5932</f>
        <v/>
      </c>
      <c r="M144" s="257" t="inlineStr">
        <is>
          <t>소아과 134, 마이홈고시텔 옥상 계량기 reset</t>
        </is>
      </c>
    </row>
    <row customHeight="1" ht="12" r="145" s="391">
      <c r="A145" s="252" t="n">
        <v>40670</v>
      </c>
      <c r="B145" s="253">
        <f>21437+2823</f>
        <v/>
      </c>
      <c r="C145" s="253" t="n">
        <v>458</v>
      </c>
      <c r="D145" s="253" t="n">
        <v>367</v>
      </c>
      <c r="E145" s="253" t="n">
        <v>16</v>
      </c>
      <c r="F145" s="253" t="n">
        <v>1062</v>
      </c>
      <c r="G145" s="253" t="n">
        <v>58</v>
      </c>
      <c r="H145" s="253" t="n">
        <v>184</v>
      </c>
      <c r="I145" s="253" t="n">
        <v>14449</v>
      </c>
      <c r="J145" s="262">
        <f>3661-1832</f>
        <v/>
      </c>
      <c r="K145" s="622">
        <f>I145+J145</f>
        <v/>
      </c>
      <c r="L145" s="619">
        <f>B145-C145-E145-F145-G145-H145-K145+3784-1189-5932</f>
        <v/>
      </c>
      <c r="M145" s="257" t="inlineStr">
        <is>
          <t>소아과 134, 마이홈고시텔 옥상 계량기 고장 +30</t>
        </is>
      </c>
    </row>
    <row customHeight="1" ht="12" r="146" s="391">
      <c r="A146" s="252" t="n">
        <v>40640</v>
      </c>
      <c r="B146" s="253">
        <f>21437+2733</f>
        <v/>
      </c>
      <c r="C146" s="253" t="n">
        <v>456</v>
      </c>
      <c r="D146" s="253" t="n">
        <v>365</v>
      </c>
      <c r="E146" s="253" t="n">
        <v>16</v>
      </c>
      <c r="F146" s="253" t="n">
        <v>1056</v>
      </c>
      <c r="G146" s="253" t="n">
        <v>58</v>
      </c>
      <c r="H146" s="253" t="n">
        <v>177</v>
      </c>
      <c r="I146" s="253" t="n">
        <v>14338</v>
      </c>
      <c r="J146" s="262">
        <f>3631-1832</f>
        <v/>
      </c>
      <c r="K146" s="622">
        <f>I146+J146</f>
        <v/>
      </c>
      <c r="L146" s="619">
        <f>B146-C146-E146-F146-G146-H146-K146+3784-1189-5932</f>
        <v/>
      </c>
      <c r="M146" s="257" t="inlineStr">
        <is>
          <t>소아과 134, 마이홈고시텔 옥상 계량기 고장 +30</t>
        </is>
      </c>
    </row>
    <row customHeight="1" ht="12" r="147" s="391">
      <c r="A147" s="252" t="n">
        <v>40609</v>
      </c>
      <c r="B147" s="253">
        <f>21437+2670</f>
        <v/>
      </c>
      <c r="C147" s="253" t="n">
        <v>454</v>
      </c>
      <c r="D147" s="253" t="n">
        <v>363</v>
      </c>
      <c r="E147" s="253" t="n">
        <v>16</v>
      </c>
      <c r="F147" s="253" t="n">
        <v>1051</v>
      </c>
      <c r="G147" s="253" t="n">
        <v>58</v>
      </c>
      <c r="H147" s="253" t="n">
        <v>170</v>
      </c>
      <c r="I147" s="253" t="n">
        <v>14232</v>
      </c>
      <c r="J147" s="253">
        <f>3601-1832</f>
        <v/>
      </c>
      <c r="K147" s="622">
        <f>I147+J147</f>
        <v/>
      </c>
      <c r="L147" s="619">
        <f>B147-C147-E147-F147-G147-H147-K147+3784-1189-5932</f>
        <v/>
      </c>
      <c r="M147" s="257" t="inlineStr">
        <is>
          <t>소아과 134</t>
        </is>
      </c>
    </row>
    <row customHeight="1" ht="12" r="148" s="391">
      <c r="A148" s="252" t="n">
        <v>40581</v>
      </c>
      <c r="B148" s="253">
        <f>21437+2613</f>
        <v/>
      </c>
      <c r="C148" s="253" t="n">
        <v>452</v>
      </c>
      <c r="D148" s="253" t="n">
        <v>362</v>
      </c>
      <c r="E148" s="253" t="n">
        <v>16</v>
      </c>
      <c r="F148" s="253" t="n">
        <v>1046</v>
      </c>
      <c r="G148" s="253" t="n">
        <v>58</v>
      </c>
      <c r="H148" s="253" t="n">
        <v>164</v>
      </c>
      <c r="I148" s="253" t="n">
        <v>14132</v>
      </c>
      <c r="J148" s="253">
        <f>3597-1832</f>
        <v/>
      </c>
      <c r="K148" s="622">
        <f>I148+J148</f>
        <v/>
      </c>
      <c r="L148" s="619">
        <f>B148-C148-E148-F148-G148-H148-K148+3784-1189-5932</f>
        <v/>
      </c>
      <c r="M148" s="257" t="inlineStr">
        <is>
          <t>소아과 134</t>
        </is>
      </c>
    </row>
    <row customHeight="1" ht="12" r="149" s="391">
      <c r="A149" s="252" t="n">
        <v>40550</v>
      </c>
      <c r="B149" s="253">
        <f>21437+2562</f>
        <v/>
      </c>
      <c r="C149" s="253" t="n">
        <v>452</v>
      </c>
      <c r="D149" s="253" t="n">
        <v>362</v>
      </c>
      <c r="E149" s="253" t="n">
        <v>16</v>
      </c>
      <c r="F149" s="253" t="n">
        <v>1041</v>
      </c>
      <c r="G149" s="253" t="n">
        <v>58</v>
      </c>
      <c r="H149" s="253" t="n">
        <v>164</v>
      </c>
      <c r="I149" s="253" t="n">
        <v>14022</v>
      </c>
      <c r="J149" s="253">
        <f>3575-1832</f>
        <v/>
      </c>
      <c r="K149" s="622">
        <f>I149+J149</f>
        <v/>
      </c>
      <c r="L149" s="619">
        <f>B149-C149-E149-F149-G149-H149-K149+3784-1189-5932</f>
        <v/>
      </c>
      <c r="M149" s="257" t="inlineStr">
        <is>
          <t>소아과 134</t>
        </is>
      </c>
    </row>
    <row customHeight="1" ht="12" r="150" s="391">
      <c r="A150" s="252" t="n">
        <v>40519</v>
      </c>
      <c r="B150" s="253">
        <f>21437+2508</f>
        <v/>
      </c>
      <c r="C150" s="253" t="n">
        <v>451</v>
      </c>
      <c r="D150" s="253" t="n">
        <v>359</v>
      </c>
      <c r="E150" s="253" t="n">
        <v>16</v>
      </c>
      <c r="F150" s="253" t="n">
        <v>1036</v>
      </c>
      <c r="G150" s="253" t="n">
        <v>58</v>
      </c>
      <c r="H150" s="253" t="n">
        <v>163</v>
      </c>
      <c r="I150" s="253" t="n">
        <v>13928</v>
      </c>
      <c r="J150" s="253">
        <f>3544-1832</f>
        <v/>
      </c>
      <c r="K150" s="622">
        <f>I150+J150</f>
        <v/>
      </c>
      <c r="L150" s="619">
        <f>B150-C150-E150-F150-G150-H150-K150+3784-1189-5932</f>
        <v/>
      </c>
      <c r="M150" s="257" t="n"/>
    </row>
    <row customHeight="1" ht="12" r="151" s="391">
      <c r="A151" s="252" t="n">
        <v>40489</v>
      </c>
      <c r="B151" s="253">
        <f>21437+2451</f>
        <v/>
      </c>
      <c r="C151" s="253" t="n">
        <v>447</v>
      </c>
      <c r="D151" s="253" t="n">
        <v>356</v>
      </c>
      <c r="E151" s="253" t="n">
        <v>16</v>
      </c>
      <c r="F151" s="253" t="n">
        <v>1031</v>
      </c>
      <c r="G151" s="253" t="n">
        <v>58</v>
      </c>
      <c r="H151" s="253" t="n">
        <v>163</v>
      </c>
      <c r="I151" s="253" t="n">
        <v>13853</v>
      </c>
      <c r="J151" s="253">
        <f>3499-1832</f>
        <v/>
      </c>
      <c r="K151" s="622">
        <f>I151+J151</f>
        <v/>
      </c>
      <c r="L151" s="619">
        <f>B151-C151-E151-F151-G151-H151-K151+3784-1189-5932</f>
        <v/>
      </c>
      <c r="M151" s="257" t="n"/>
    </row>
    <row customHeight="1" ht="12" r="152" s="391">
      <c r="A152" s="252" t="n">
        <v>40458</v>
      </c>
      <c r="B152" s="253">
        <f>21437+2347</f>
        <v/>
      </c>
      <c r="C152" s="253" t="n">
        <v>445</v>
      </c>
      <c r="D152" s="253" t="n">
        <v>354</v>
      </c>
      <c r="E152" s="253" t="n">
        <v>16</v>
      </c>
      <c r="F152" s="253" t="n">
        <v>1026</v>
      </c>
      <c r="G152" s="253" t="n">
        <v>58</v>
      </c>
      <c r="H152" s="253" t="n">
        <v>163</v>
      </c>
      <c r="I152" s="253" t="n">
        <v>13749</v>
      </c>
      <c r="J152" s="253">
        <f>3451-1832</f>
        <v/>
      </c>
      <c r="K152" s="622">
        <f>I152+J152</f>
        <v/>
      </c>
      <c r="L152" s="619">
        <f>B152-C152-E152-F152-G152-H152-K152+3784-1189-5932</f>
        <v/>
      </c>
      <c r="M152" s="257" t="n"/>
    </row>
    <row customHeight="1" ht="12" r="153" s="391">
      <c r="A153" s="252" t="n">
        <v>40428</v>
      </c>
      <c r="B153" s="253">
        <f>21437+2213</f>
        <v/>
      </c>
      <c r="C153" s="253" t="n">
        <v>442</v>
      </c>
      <c r="D153" s="253" t="n">
        <v>354</v>
      </c>
      <c r="E153" s="253" t="n">
        <v>16</v>
      </c>
      <c r="F153" s="253" t="n">
        <v>1020</v>
      </c>
      <c r="G153" s="253" t="n">
        <v>58</v>
      </c>
      <c r="H153" s="253" t="n">
        <v>163</v>
      </c>
      <c r="I153" s="253" t="n">
        <v>13661</v>
      </c>
      <c r="J153" s="253">
        <f>3416-1832</f>
        <v/>
      </c>
      <c r="K153" s="622">
        <f>I153+J153</f>
        <v/>
      </c>
      <c r="L153" s="623">
        <f>B153-C153-E153-F153-G153-H153-K153+3784-1189-5932</f>
        <v/>
      </c>
      <c r="M153" s="257" t="n"/>
    </row>
    <row customHeight="1" ht="12" r="154" s="391">
      <c r="A154" s="252" t="n">
        <v>40397</v>
      </c>
      <c r="B154" s="253">
        <f>21437+2034</f>
        <v/>
      </c>
      <c r="C154" s="253" t="n">
        <v>442</v>
      </c>
      <c r="D154" s="253" t="n">
        <v>354</v>
      </c>
      <c r="E154" s="253" t="n">
        <v>16</v>
      </c>
      <c r="F154" s="253" t="n">
        <v>1014</v>
      </c>
      <c r="G154" s="253" t="n">
        <v>58</v>
      </c>
      <c r="H154" s="253" t="n">
        <v>163</v>
      </c>
      <c r="I154" s="253" t="n">
        <v>13555</v>
      </c>
      <c r="J154" s="253">
        <f>3377-1832</f>
        <v/>
      </c>
      <c r="K154" s="622">
        <f>I154+J154</f>
        <v/>
      </c>
      <c r="L154" s="623">
        <f>B154-C154-E154-F154-G154-H154-K154+3784-1189-5932</f>
        <v/>
      </c>
      <c r="M154" s="257" t="n"/>
    </row>
    <row customHeight="1" ht="12" r="155" s="391">
      <c r="A155" s="252" t="n">
        <v>40366</v>
      </c>
      <c r="B155" s="253">
        <f>21437+1837</f>
        <v/>
      </c>
      <c r="C155" s="253" t="n">
        <v>440</v>
      </c>
      <c r="D155" s="253" t="n">
        <v>350</v>
      </c>
      <c r="E155" s="253" t="n">
        <v>16</v>
      </c>
      <c r="F155" s="253" t="n">
        <v>1009</v>
      </c>
      <c r="G155" s="253" t="n">
        <v>58</v>
      </c>
      <c r="H155" s="253" t="n">
        <v>163</v>
      </c>
      <c r="I155" s="253" t="n">
        <v>13445</v>
      </c>
      <c r="J155" s="253">
        <f>3337-1832</f>
        <v/>
      </c>
      <c r="K155" s="622">
        <f>I155+J155</f>
        <v/>
      </c>
      <c r="L155" s="623">
        <f>B155-C155-E155-F155-G155-H155-K155+3784-1189-5932</f>
        <v/>
      </c>
      <c r="M155" s="257" t="n"/>
    </row>
    <row customHeight="1" ht="12" r="156" s="391">
      <c r="A156" s="252" t="n">
        <v>40336</v>
      </c>
      <c r="B156" s="253">
        <f>21437+1665</f>
        <v/>
      </c>
      <c r="C156" s="253" t="n">
        <v>440</v>
      </c>
      <c r="D156" s="253" t="n">
        <v>350</v>
      </c>
      <c r="E156" s="253" t="n">
        <v>16</v>
      </c>
      <c r="F156" s="253" t="n">
        <v>1002</v>
      </c>
      <c r="G156" s="253" t="n">
        <v>58</v>
      </c>
      <c r="H156" s="253" t="n">
        <v>162</v>
      </c>
      <c r="I156" s="253" t="n">
        <v>13348</v>
      </c>
      <c r="J156" s="253">
        <f>3301-1832</f>
        <v/>
      </c>
      <c r="K156" s="622">
        <f>I156+J156</f>
        <v/>
      </c>
      <c r="L156" s="624">
        <f>B156-C156-E156-F156-G156-H156-K156+3784-1189-5932</f>
        <v/>
      </c>
      <c r="M156" s="257" t="n"/>
    </row>
    <row customHeight="1" ht="12" r="157" s="391">
      <c r="A157" s="252" t="n">
        <v>40305</v>
      </c>
      <c r="B157" s="253">
        <f>21437+1558</f>
        <v/>
      </c>
      <c r="C157" s="253" t="n">
        <v>435</v>
      </c>
      <c r="D157" s="253" t="n">
        <v>347</v>
      </c>
      <c r="E157" s="253" t="n">
        <v>16</v>
      </c>
      <c r="F157" s="253" t="n">
        <v>996</v>
      </c>
      <c r="G157" s="253" t="n">
        <v>58</v>
      </c>
      <c r="H157" s="253" t="n">
        <v>161</v>
      </c>
      <c r="I157" s="253" t="n">
        <v>13260</v>
      </c>
      <c r="J157" s="253">
        <f>3264-1832</f>
        <v/>
      </c>
      <c r="K157" s="622">
        <f>I157+J157</f>
        <v/>
      </c>
      <c r="L157" s="624">
        <f>B157-C157-E157-F157-G157-H157-K157+3784-1189-5932</f>
        <v/>
      </c>
      <c r="M157" s="257" t="n"/>
    </row>
    <row customHeight="1" ht="12" r="158" s="391">
      <c r="A158" s="252" t="n">
        <v>40275</v>
      </c>
      <c r="B158" s="253">
        <f>21437+1488</f>
        <v/>
      </c>
      <c r="C158" s="253" t="n">
        <v>435</v>
      </c>
      <c r="D158" s="253" t="n">
        <v>347</v>
      </c>
      <c r="E158" s="253" t="n">
        <v>16</v>
      </c>
      <c r="F158" s="253" t="n">
        <v>991</v>
      </c>
      <c r="G158" s="253" t="n">
        <v>58</v>
      </c>
      <c r="H158" s="253" t="n">
        <v>161</v>
      </c>
      <c r="I158" s="253" t="n">
        <v>13182</v>
      </c>
      <c r="J158" s="253">
        <f>3247-1832</f>
        <v/>
      </c>
      <c r="K158" s="622">
        <f>I158+J158</f>
        <v/>
      </c>
      <c r="L158" s="624">
        <f>B158-C158-E158-F158-G158-H158-K158+3784-1189-5932</f>
        <v/>
      </c>
      <c r="M158" s="257" t="n"/>
    </row>
    <row customHeight="1" ht="12" r="159" s="391">
      <c r="A159" s="252" t="n">
        <v>40244</v>
      </c>
      <c r="B159" s="253">
        <f>21437+1398</f>
        <v/>
      </c>
      <c r="C159" s="253" t="n">
        <v>434</v>
      </c>
      <c r="D159" s="253" t="n">
        <v>346</v>
      </c>
      <c r="E159" s="253" t="n">
        <v>16</v>
      </c>
      <c r="F159" s="253" t="n">
        <v>983</v>
      </c>
      <c r="G159" s="253" t="n">
        <v>58</v>
      </c>
      <c r="H159" s="253" t="n">
        <v>159</v>
      </c>
      <c r="I159" s="253" t="n">
        <v>13109</v>
      </c>
      <c r="J159" s="253">
        <f>3214-1832</f>
        <v/>
      </c>
      <c r="K159" s="622">
        <f>I159+J159</f>
        <v/>
      </c>
      <c r="L159" s="624">
        <f>B159-C159-E159-F159-G159-H159-K159+3784-1189-5932</f>
        <v/>
      </c>
      <c r="M159" s="257" t="n"/>
    </row>
    <row customHeight="1" ht="12" r="160" s="391">
      <c r="A160" s="252" t="n">
        <v>40216</v>
      </c>
      <c r="B160" s="253">
        <f>21437+1283</f>
        <v/>
      </c>
      <c r="C160" s="253" t="n">
        <v>434</v>
      </c>
      <c r="D160" s="253" t="n">
        <v>346</v>
      </c>
      <c r="E160" s="253" t="n">
        <v>16</v>
      </c>
      <c r="F160" s="253" t="n">
        <v>976</v>
      </c>
      <c r="G160" s="253" t="n">
        <v>58</v>
      </c>
      <c r="H160" s="253" t="n">
        <v>159</v>
      </c>
      <c r="I160" s="253" t="n">
        <v>13034</v>
      </c>
      <c r="J160" s="253">
        <f>3183-1832</f>
        <v/>
      </c>
      <c r="K160" s="622">
        <f>I160+J160</f>
        <v/>
      </c>
      <c r="L160" s="624">
        <f>B160-C160-E160-F160-G160-H160-K160+3784-1189-5932</f>
        <v/>
      </c>
      <c r="M160" s="257" t="n"/>
    </row>
    <row customHeight="1" ht="12" r="161" s="391">
      <c r="A161" s="252" t="n">
        <v>40185</v>
      </c>
      <c r="B161" s="253">
        <f>21437+1159</f>
        <v/>
      </c>
      <c r="C161" s="253" t="n">
        <v>432</v>
      </c>
      <c r="D161" s="253" t="n">
        <v>343</v>
      </c>
      <c r="E161" s="253" t="n">
        <v>16</v>
      </c>
      <c r="F161" s="253" t="n">
        <v>969</v>
      </c>
      <c r="G161" s="253" t="n">
        <v>58</v>
      </c>
      <c r="H161" s="253" t="n">
        <v>157</v>
      </c>
      <c r="I161" s="253" t="n">
        <v>12965</v>
      </c>
      <c r="J161" s="253">
        <f>3152-1832</f>
        <v/>
      </c>
      <c r="K161" s="622">
        <f>I161+J161</f>
        <v/>
      </c>
      <c r="L161" s="625">
        <f>B161-C161-E161-F161-G161-H161-K161+3784-1189-5932</f>
        <v/>
      </c>
      <c r="M161" s="257" t="n"/>
    </row>
    <row customHeight="1" ht="12" r="162" s="391">
      <c r="A162" s="252" t="n">
        <v>40154</v>
      </c>
      <c r="B162" s="253">
        <f>21437+1027</f>
        <v/>
      </c>
      <c r="C162" s="253" t="n">
        <v>429</v>
      </c>
      <c r="D162" s="253" t="n">
        <v>340</v>
      </c>
      <c r="E162" s="253" t="n">
        <v>16</v>
      </c>
      <c r="F162" s="253" t="n">
        <v>963</v>
      </c>
      <c r="G162" s="253" t="n">
        <v>58</v>
      </c>
      <c r="H162" s="253" t="n">
        <v>155</v>
      </c>
      <c r="I162" s="253" t="n">
        <v>12912</v>
      </c>
      <c r="J162" s="253">
        <f>3113-1832</f>
        <v/>
      </c>
      <c r="K162" s="622">
        <f>I162+J162</f>
        <v/>
      </c>
      <c r="L162" s="625">
        <f>B162-C162-E162-F162-G162-H162-K162+3784-1189-5932</f>
        <v/>
      </c>
      <c r="M162" s="257" t="n"/>
    </row>
    <row customHeight="1" ht="12" r="163" s="391">
      <c r="A163" s="252" t="n">
        <v>40124</v>
      </c>
      <c r="B163" s="253">
        <f>21437+899</f>
        <v/>
      </c>
      <c r="C163" s="253" t="n">
        <v>429</v>
      </c>
      <c r="D163" s="253" t="n">
        <v>340</v>
      </c>
      <c r="E163" s="253" t="n">
        <v>16</v>
      </c>
      <c r="F163" s="253" t="n">
        <v>957</v>
      </c>
      <c r="G163" s="253" t="n">
        <v>58</v>
      </c>
      <c r="H163" s="253" t="n">
        <v>155</v>
      </c>
      <c r="I163" s="253" t="n">
        <v>12865</v>
      </c>
      <c r="J163" s="253">
        <f>3073-1832</f>
        <v/>
      </c>
      <c r="K163" s="622">
        <f>I163+J163</f>
        <v/>
      </c>
      <c r="L163" s="625">
        <f>B163-C163-E163-F163-G163-H163-K163+3784-1189-5932</f>
        <v/>
      </c>
      <c r="M163" s="257" t="n"/>
    </row>
    <row customHeight="1" ht="12" r="164" s="391">
      <c r="A164" s="252" t="n">
        <v>40093</v>
      </c>
      <c r="B164" s="253">
        <f>21437+774</f>
        <v/>
      </c>
      <c r="C164" s="253" t="n">
        <v>423</v>
      </c>
      <c r="D164" s="253" t="n">
        <v>335</v>
      </c>
      <c r="E164" s="253" t="n">
        <v>16</v>
      </c>
      <c r="F164" s="253" t="n">
        <v>951</v>
      </c>
      <c r="G164" s="253" t="n">
        <v>58</v>
      </c>
      <c r="H164" s="253" t="n">
        <v>153</v>
      </c>
      <c r="I164" s="253" t="n">
        <v>12818</v>
      </c>
      <c r="J164" s="253">
        <f>3038-1832</f>
        <v/>
      </c>
      <c r="K164" s="622">
        <f>I164+J164</f>
        <v/>
      </c>
      <c r="L164" s="625">
        <f>B164-C164-E164-F164-G164-H164-K164+3784-1189-5932</f>
        <v/>
      </c>
      <c r="M164" s="257" t="n"/>
    </row>
    <row customHeight="1" ht="12" r="165" s="391">
      <c r="A165" s="252" t="n">
        <v>40063</v>
      </c>
      <c r="B165" s="253">
        <f>21437+649</f>
        <v/>
      </c>
      <c r="C165" s="253" t="n">
        <v>423</v>
      </c>
      <c r="D165" s="253" t="n">
        <v>335</v>
      </c>
      <c r="E165" s="253" t="n">
        <v>16</v>
      </c>
      <c r="F165" s="253" t="n">
        <v>945</v>
      </c>
      <c r="G165" s="253" t="n">
        <v>58</v>
      </c>
      <c r="H165" s="253" t="n">
        <v>153</v>
      </c>
      <c r="I165" s="253" t="n">
        <v>12772</v>
      </c>
      <c r="J165" s="253">
        <f>2999-1832</f>
        <v/>
      </c>
      <c r="K165" s="622">
        <f>I165+J165</f>
        <v/>
      </c>
      <c r="L165" s="625">
        <f>B165-C165-E165-F165-G165-H165-K165+3784-1189-5932</f>
        <v/>
      </c>
      <c r="M165" s="257" t="n"/>
    </row>
    <row customHeight="1" ht="12" r="166" s="391">
      <c r="A166" s="252" t="n">
        <v>40032</v>
      </c>
      <c r="B166" s="253">
        <f>21437+517</f>
        <v/>
      </c>
      <c r="C166" s="253" t="n">
        <v>417</v>
      </c>
      <c r="D166" s="253" t="n">
        <v>328</v>
      </c>
      <c r="E166" s="253" t="n">
        <v>16</v>
      </c>
      <c r="F166" s="253" t="n">
        <v>940</v>
      </c>
      <c r="G166" s="253" t="n">
        <v>58</v>
      </c>
      <c r="H166" s="253" t="n">
        <v>150</v>
      </c>
      <c r="I166" s="253" t="n">
        <v>12711</v>
      </c>
      <c r="J166" s="253">
        <f>2969-1832</f>
        <v/>
      </c>
      <c r="K166" s="622">
        <f>I166+J166</f>
        <v/>
      </c>
      <c r="L166" s="625">
        <f>B166-C166-E166-F166-G166-H166-K166+3784-1189-5932</f>
        <v/>
      </c>
      <c r="M166" s="257" t="n"/>
    </row>
    <row customHeight="1" ht="12" r="167" s="391">
      <c r="A167" s="252" t="n">
        <v>40001</v>
      </c>
      <c r="B167" s="253">
        <f>21437+335</f>
        <v/>
      </c>
      <c r="C167" s="253" t="n">
        <v>417</v>
      </c>
      <c r="D167" s="253" t="n">
        <v>328</v>
      </c>
      <c r="E167" s="253" t="n">
        <v>16</v>
      </c>
      <c r="F167" s="253" t="n">
        <v>934</v>
      </c>
      <c r="G167" s="253" t="n">
        <v>58</v>
      </c>
      <c r="H167" s="253" t="n">
        <v>150</v>
      </c>
      <c r="I167" s="253" t="n">
        <v>12623</v>
      </c>
      <c r="J167" s="253">
        <f>2934-1832</f>
        <v/>
      </c>
      <c r="K167" s="622">
        <f>I167+J167</f>
        <v/>
      </c>
      <c r="L167" s="625">
        <f>B167-C167-E167-F167-G167-H167-K167+3784-1189-5932</f>
        <v/>
      </c>
      <c r="M167" s="257" t="n"/>
    </row>
    <row customHeight="1" ht="12" r="168" s="391">
      <c r="A168" s="252" t="n">
        <v>39971</v>
      </c>
      <c r="B168" s="253">
        <f>21437+231</f>
        <v/>
      </c>
      <c r="C168" s="253" t="n">
        <v>411</v>
      </c>
      <c r="D168" s="253" t="n">
        <v>325</v>
      </c>
      <c r="E168" s="253" t="n">
        <v>16</v>
      </c>
      <c r="F168" s="253" t="n">
        <v>929</v>
      </c>
      <c r="G168" s="253" t="n">
        <v>58</v>
      </c>
      <c r="H168" s="253" t="n">
        <v>147</v>
      </c>
      <c r="I168" s="253" t="n">
        <v>12582</v>
      </c>
      <c r="J168" s="253">
        <f>2904-1832</f>
        <v/>
      </c>
      <c r="K168" s="622">
        <f>I168+J168</f>
        <v/>
      </c>
      <c r="L168" s="625">
        <f>B168-C168-E168-F168-G168-H168-K168+3784-1189-5932</f>
        <v/>
      </c>
      <c r="M168" s="257" t="n"/>
    </row>
    <row customHeight="1" ht="12" r="169" s="391">
      <c r="A169" s="252" t="n">
        <v>39940</v>
      </c>
      <c r="B169" s="253">
        <f>21437+109</f>
        <v/>
      </c>
      <c r="C169" s="253" t="n">
        <v>411</v>
      </c>
      <c r="D169" s="253" t="n">
        <v>325</v>
      </c>
      <c r="E169" s="253" t="n">
        <v>16</v>
      </c>
      <c r="F169" s="253" t="n">
        <v>923</v>
      </c>
      <c r="G169" s="253" t="n">
        <v>58</v>
      </c>
      <c r="H169" s="253" t="n">
        <v>147</v>
      </c>
      <c r="I169" s="253" t="n">
        <v>12535</v>
      </c>
      <c r="J169" s="253">
        <f>2869-1832</f>
        <v/>
      </c>
      <c r="K169" s="622">
        <f>I169+J169</f>
        <v/>
      </c>
      <c r="L169" s="625">
        <f>B169-C169-E169-F169-G169-H169-K169+3784-1189-5932</f>
        <v/>
      </c>
      <c r="M169" s="257" t="n"/>
    </row>
    <row customHeight="1" ht="12" r="170" s="391">
      <c r="A170" s="252" t="n">
        <v>39910</v>
      </c>
      <c r="B170" s="253" t="n">
        <v>21433</v>
      </c>
      <c r="C170" s="253" t="n">
        <v>406</v>
      </c>
      <c r="D170" s="253" t="n">
        <v>322</v>
      </c>
      <c r="E170" s="253" t="n">
        <v>16</v>
      </c>
      <c r="F170" s="253" t="n">
        <v>916</v>
      </c>
      <c r="G170" s="253" t="n">
        <v>58</v>
      </c>
      <c r="H170" s="253" t="n">
        <v>145</v>
      </c>
      <c r="I170" s="253" t="n">
        <v>12495</v>
      </c>
      <c r="J170" s="253">
        <f>2835-1832</f>
        <v/>
      </c>
      <c r="K170" s="622">
        <f>I170+J170</f>
        <v/>
      </c>
      <c r="L170" s="625">
        <f>B170-C170-E170-F170-G170-H170-K170+3784-1189-5932</f>
        <v/>
      </c>
      <c r="M170" s="257" t="n"/>
    </row>
    <row customHeight="1" ht="12" r="171" s="391">
      <c r="A171" s="252" t="n">
        <v>39879</v>
      </c>
      <c r="B171" s="253" t="n">
        <v>21312</v>
      </c>
      <c r="C171" s="253" t="n">
        <v>406</v>
      </c>
      <c r="D171" s="253" t="n">
        <v>322</v>
      </c>
      <c r="E171" s="253" t="n">
        <v>16</v>
      </c>
      <c r="F171" s="253" t="n">
        <v>910</v>
      </c>
      <c r="G171" s="253" t="n">
        <v>58</v>
      </c>
      <c r="H171" s="253" t="n">
        <v>145</v>
      </c>
      <c r="I171" s="253" t="n">
        <v>12454</v>
      </c>
      <c r="J171" s="253">
        <f>2796-1832</f>
        <v/>
      </c>
      <c r="K171" s="622">
        <f>I171+J171</f>
        <v/>
      </c>
      <c r="L171" s="625">
        <f>B171-C171-E171-F171-G171-H171-K171+3784-1189-5932</f>
        <v/>
      </c>
      <c r="M171" s="257" t="n"/>
    </row>
    <row customHeight="1" ht="12" r="172" s="391">
      <c r="A172" s="252" t="n">
        <v>39851</v>
      </c>
      <c r="B172" s="253" t="n">
        <v>21193</v>
      </c>
      <c r="C172" s="253" t="n">
        <v>399</v>
      </c>
      <c r="D172" s="253" t="n">
        <v>318</v>
      </c>
      <c r="E172" s="253" t="n">
        <v>16</v>
      </c>
      <c r="F172" s="253" t="n">
        <v>904</v>
      </c>
      <c r="G172" s="253" t="n">
        <v>58</v>
      </c>
      <c r="H172" s="253" t="n">
        <v>145</v>
      </c>
      <c r="I172" s="253" t="n">
        <v>12418</v>
      </c>
      <c r="J172" s="253">
        <f>2753-1832</f>
        <v/>
      </c>
      <c r="K172" s="622">
        <f>I172+J172</f>
        <v/>
      </c>
      <c r="L172" s="625">
        <f>B172-C172-E172-F172-G172-H172-K172+3784-1189-5932</f>
        <v/>
      </c>
      <c r="M172" s="257" t="n"/>
    </row>
    <row customHeight="1" ht="12" r="173" s="391">
      <c r="A173" s="252" t="n">
        <v>39820</v>
      </c>
      <c r="B173" s="253" t="n">
        <v>21052</v>
      </c>
      <c r="C173" s="253" t="n">
        <v>399</v>
      </c>
      <c r="D173" s="253" t="n">
        <v>318</v>
      </c>
      <c r="E173" s="253" t="n">
        <v>16</v>
      </c>
      <c r="F173" s="253" t="n">
        <v>897</v>
      </c>
      <c r="G173" s="253" t="n">
        <v>58</v>
      </c>
      <c r="H173" s="253" t="n">
        <v>145</v>
      </c>
      <c r="I173" s="253" t="n">
        <v>12374</v>
      </c>
      <c r="J173" s="253">
        <f>2705-1832</f>
        <v/>
      </c>
      <c r="K173" s="622">
        <f>I173+J173</f>
        <v/>
      </c>
      <c r="L173" s="625">
        <f>B173-C173-E173-F173-G173-H173-K173+3784-1189-5932</f>
        <v/>
      </c>
      <c r="M173" s="257" t="n"/>
    </row>
    <row customHeight="1" ht="12" r="174" s="391">
      <c r="A174" s="252" t="n">
        <v>39789</v>
      </c>
      <c r="B174" s="253" t="n">
        <v>20903</v>
      </c>
      <c r="C174" s="253" t="n">
        <v>399</v>
      </c>
      <c r="D174" s="253" t="n">
        <v>318</v>
      </c>
      <c r="E174" s="253" t="n">
        <v>16</v>
      </c>
      <c r="F174" s="253" t="n">
        <v>890</v>
      </c>
      <c r="G174" s="253" t="n">
        <v>58</v>
      </c>
      <c r="H174" s="253" t="n">
        <v>145</v>
      </c>
      <c r="I174" s="253" t="n">
        <v>12321</v>
      </c>
      <c r="J174" s="253">
        <f>2648-1832</f>
        <v/>
      </c>
      <c r="K174" s="622">
        <f>I174+J174</f>
        <v/>
      </c>
      <c r="L174" s="625">
        <f>B174-C174-E174-F174-G174-H174-K174+3784-1189-5932</f>
        <v/>
      </c>
      <c r="M174" s="257" t="n"/>
    </row>
    <row customHeight="1" ht="12" r="175" s="391">
      <c r="A175" s="252" t="n">
        <v>39759</v>
      </c>
      <c r="B175" s="253" t="n">
        <v>20752</v>
      </c>
      <c r="C175" s="253" t="n">
        <v>393</v>
      </c>
      <c r="D175" s="253" t="n">
        <v>315</v>
      </c>
      <c r="E175" s="253" t="n">
        <v>16</v>
      </c>
      <c r="F175" s="253" t="n">
        <v>885</v>
      </c>
      <c r="G175" s="253" t="n">
        <v>58</v>
      </c>
      <c r="H175" s="253" t="n">
        <v>145</v>
      </c>
      <c r="I175" s="253" t="n">
        <v>12266</v>
      </c>
      <c r="J175" s="253">
        <f>2593-1832</f>
        <v/>
      </c>
      <c r="K175" s="622">
        <f>I175+J175</f>
        <v/>
      </c>
      <c r="L175" s="625">
        <f>B175-C175-E175-F175-G175-H175-K175+3784-1189-5932</f>
        <v/>
      </c>
      <c r="M175" s="257" t="n"/>
    </row>
    <row customHeight="1" ht="12" r="176" s="391">
      <c r="A176" s="252" t="n">
        <v>39728</v>
      </c>
      <c r="B176" s="253" t="n">
        <v>20605</v>
      </c>
      <c r="C176" s="253" t="n">
        <v>393</v>
      </c>
      <c r="D176" s="253" t="n">
        <v>315</v>
      </c>
      <c r="E176" s="253" t="n">
        <v>16</v>
      </c>
      <c r="F176" s="253" t="n">
        <v>879</v>
      </c>
      <c r="G176" s="253" t="n">
        <v>58</v>
      </c>
      <c r="H176" s="253" t="n">
        <v>145</v>
      </c>
      <c r="I176" s="253" t="n">
        <v>12216</v>
      </c>
      <c r="J176" s="253">
        <f>2541-1832</f>
        <v/>
      </c>
      <c r="K176" s="622">
        <f>I176+J176</f>
        <v/>
      </c>
      <c r="L176" s="625">
        <f>B176-C176-E176-F176-G176-H176-K176+3784-1189-5932</f>
        <v/>
      </c>
      <c r="M176" s="257" t="n"/>
    </row>
    <row customHeight="1" ht="12" r="177" s="391">
      <c r="A177" s="252" t="n">
        <v>39698</v>
      </c>
      <c r="B177" s="253" t="n">
        <v>20478</v>
      </c>
      <c r="C177" s="253" t="n">
        <v>386</v>
      </c>
      <c r="D177" s="253" t="n">
        <v>309</v>
      </c>
      <c r="E177" s="253" t="n">
        <v>16</v>
      </c>
      <c r="F177" s="253" t="n">
        <v>874</v>
      </c>
      <c r="G177" s="253" t="n">
        <v>58</v>
      </c>
      <c r="H177" s="253" t="n">
        <v>142</v>
      </c>
      <c r="I177" s="253" t="n">
        <v>12170</v>
      </c>
      <c r="J177" s="253">
        <f>2501-1832</f>
        <v/>
      </c>
      <c r="K177" s="622">
        <f>I177+J177</f>
        <v/>
      </c>
      <c r="L177" s="625">
        <f>B177-C177-E177-F177-G177-H177-K177+3784-1189-5932</f>
        <v/>
      </c>
      <c r="M177" s="257" t="inlineStr">
        <is>
          <t>마이홈고시텔 12270 ==&gt; 12170 검침오류</t>
        </is>
      </c>
    </row>
    <row customHeight="1" ht="12" r="178" s="391">
      <c r="A178" s="252" t="n">
        <v>39667</v>
      </c>
      <c r="B178" s="253" t="n">
        <v>20331</v>
      </c>
      <c r="C178" s="253" t="n">
        <v>386</v>
      </c>
      <c r="D178" s="253" t="n">
        <v>309</v>
      </c>
      <c r="E178" s="253" t="n">
        <v>16</v>
      </c>
      <c r="F178" s="253" t="n">
        <v>868</v>
      </c>
      <c r="G178" s="253" t="n">
        <v>58</v>
      </c>
      <c r="H178" s="253" t="n">
        <v>139</v>
      </c>
      <c r="I178" s="253" t="n">
        <v>12116</v>
      </c>
      <c r="J178" s="253">
        <f>2460-1832</f>
        <v/>
      </c>
      <c r="K178" s="622">
        <f>I178+J178</f>
        <v/>
      </c>
      <c r="L178" s="625">
        <f>B178-C178-E178-F178-G178-H178-K178+3784-1189-5932</f>
        <v/>
      </c>
      <c r="M178" s="257" t="n"/>
    </row>
    <row customHeight="1" ht="12" r="179" s="391">
      <c r="A179" s="252" t="n">
        <v>39636</v>
      </c>
      <c r="B179" s="253" t="n">
        <v>20165</v>
      </c>
      <c r="C179" s="253" t="n">
        <v>386</v>
      </c>
      <c r="D179" s="253" t="n">
        <v>309</v>
      </c>
      <c r="E179" s="253" t="n">
        <v>16</v>
      </c>
      <c r="F179" s="253" t="n">
        <v>862</v>
      </c>
      <c r="G179" s="253" t="n">
        <v>58</v>
      </c>
      <c r="H179" s="253" t="n">
        <v>136</v>
      </c>
      <c r="I179" s="253" t="n">
        <v>12057</v>
      </c>
      <c r="J179" s="253">
        <f>2417-1832</f>
        <v/>
      </c>
      <c r="K179" s="622">
        <f>I179+J179</f>
        <v/>
      </c>
      <c r="L179" s="625">
        <f>B179-C179-E179-F179-G179-H179-K179+3784-1189-5932</f>
        <v/>
      </c>
      <c r="M179" s="257" t="n"/>
    </row>
    <row customHeight="1" ht="12" r="180" s="391">
      <c r="A180" s="252" t="n">
        <v>39606</v>
      </c>
      <c r="B180" s="253" t="n">
        <v>20017</v>
      </c>
      <c r="C180" s="253" t="n">
        <v>378</v>
      </c>
      <c r="D180" s="253" t="n">
        <v>303</v>
      </c>
      <c r="E180" s="253" t="n">
        <v>16</v>
      </c>
      <c r="F180" s="253" t="n">
        <v>857</v>
      </c>
      <c r="G180" s="253" t="n">
        <v>58</v>
      </c>
      <c r="H180" s="253" t="n">
        <v>134</v>
      </c>
      <c r="I180" s="253" t="n">
        <v>12001</v>
      </c>
      <c r="J180" s="253">
        <f>2370-1832</f>
        <v/>
      </c>
      <c r="K180" s="622">
        <f>I180+J180</f>
        <v/>
      </c>
      <c r="L180" s="625">
        <f>B180-C180-E180-F180-G180-H180-K180+3784-1189-5932</f>
        <v/>
      </c>
      <c r="M180" s="257" t="n"/>
    </row>
    <row customHeight="1" ht="12" r="181" s="391">
      <c r="A181" s="252" t="n">
        <v>39575</v>
      </c>
      <c r="B181" s="253" t="n">
        <v>19857</v>
      </c>
      <c r="C181" s="253" t="n">
        <v>378</v>
      </c>
      <c r="D181" s="253" t="n">
        <v>303</v>
      </c>
      <c r="E181" s="253" t="n">
        <v>16</v>
      </c>
      <c r="F181" s="253" t="n">
        <v>851</v>
      </c>
      <c r="G181" s="253" t="n">
        <v>58</v>
      </c>
      <c r="H181" s="253" t="n">
        <v>132</v>
      </c>
      <c r="I181" s="253" t="n">
        <v>11942</v>
      </c>
      <c r="J181" s="253">
        <f>2323-1832</f>
        <v/>
      </c>
      <c r="K181" s="622">
        <f>I181+J181</f>
        <v/>
      </c>
      <c r="L181" s="625">
        <f>B181-C181-E181-F181-G181-H181-K181+3784-1189-5932</f>
        <v/>
      </c>
      <c r="M181" s="257" t="n"/>
    </row>
    <row customHeight="1" ht="12" r="182" s="391">
      <c r="A182" s="252" t="n">
        <v>39545</v>
      </c>
      <c r="B182" s="253" t="n">
        <v>19715</v>
      </c>
      <c r="C182" s="253" t="n">
        <v>378</v>
      </c>
      <c r="D182" s="253" t="n">
        <v>303</v>
      </c>
      <c r="E182" s="253" t="n">
        <v>16</v>
      </c>
      <c r="F182" s="253" t="n">
        <v>844</v>
      </c>
      <c r="G182" s="253" t="n">
        <v>58</v>
      </c>
      <c r="H182" s="253" t="n">
        <v>127</v>
      </c>
      <c r="I182" s="253" t="n">
        <v>11894</v>
      </c>
      <c r="J182" s="253">
        <f>2282-1832</f>
        <v/>
      </c>
      <c r="K182" s="622">
        <f>I182+J182</f>
        <v/>
      </c>
      <c r="L182" s="625">
        <f>B182-C182-E182-F182-G182-H182-K182+3784-1189-5932</f>
        <v/>
      </c>
      <c r="M182" s="257" t="n"/>
    </row>
    <row customHeight="1" ht="12" r="183" s="391">
      <c r="A183" s="252" t="n">
        <v>39514</v>
      </c>
      <c r="B183" s="253" t="n">
        <v>19564</v>
      </c>
      <c r="C183" s="253" t="n">
        <v>376</v>
      </c>
      <c r="D183" s="253" t="n">
        <v>301</v>
      </c>
      <c r="E183" s="253" t="n">
        <v>16</v>
      </c>
      <c r="F183" s="253" t="n">
        <v>839</v>
      </c>
      <c r="G183" s="253" t="n">
        <v>58</v>
      </c>
      <c r="H183" s="253" t="n">
        <v>123</v>
      </c>
      <c r="I183" s="253" t="n">
        <v>11864</v>
      </c>
      <c r="J183" s="253">
        <f>2240-1832</f>
        <v/>
      </c>
      <c r="K183" s="622">
        <f>I183+J183</f>
        <v/>
      </c>
      <c r="L183" s="625">
        <f>B183-C183-E183-F183-G183-H183-K183+3784-1189-5932</f>
        <v/>
      </c>
      <c r="M183" s="257" t="n"/>
    </row>
    <row customHeight="1" ht="12" r="184" s="391">
      <c r="A184" s="252" t="n">
        <v>39485</v>
      </c>
      <c r="B184" s="253" t="n">
        <v>19431</v>
      </c>
      <c r="C184" s="253" t="n">
        <v>370</v>
      </c>
      <c r="D184" s="253" t="n">
        <v>296</v>
      </c>
      <c r="E184" s="253" t="n">
        <v>16</v>
      </c>
      <c r="F184" s="253" t="n">
        <v>834</v>
      </c>
      <c r="G184" s="253" t="n">
        <v>58</v>
      </c>
      <c r="H184" s="253" t="n">
        <v>115</v>
      </c>
      <c r="I184" s="253" t="n">
        <v>11830</v>
      </c>
      <c r="J184" s="253">
        <f>2206-1832</f>
        <v/>
      </c>
      <c r="K184" s="622">
        <f>I184+J184</f>
        <v/>
      </c>
      <c r="L184" s="625">
        <f>B184-C184-E184-F184-G184-H184-K184+3784-1189-5932</f>
        <v/>
      </c>
      <c r="M184" s="257" t="n"/>
    </row>
    <row customHeight="1" ht="12" r="185" s="391">
      <c r="A185" s="252" t="n">
        <v>39454</v>
      </c>
      <c r="B185" s="253" t="n">
        <v>19292</v>
      </c>
      <c r="C185" s="253" t="n">
        <v>370</v>
      </c>
      <c r="D185" s="253" t="n">
        <v>296</v>
      </c>
      <c r="E185" s="253" t="n">
        <v>16</v>
      </c>
      <c r="F185" s="253" t="n">
        <v>829</v>
      </c>
      <c r="G185" s="253" t="n">
        <v>58</v>
      </c>
      <c r="H185" s="253" t="n">
        <v>115</v>
      </c>
      <c r="I185" s="253" t="n">
        <v>11758</v>
      </c>
      <c r="J185" s="253">
        <f>2172-1832</f>
        <v/>
      </c>
      <c r="K185" s="622">
        <f>I185+J185</f>
        <v/>
      </c>
      <c r="L185" s="625">
        <f>B185-C185-E185-F185-G185-H185-K185+3784-1189-5932</f>
        <v/>
      </c>
      <c r="M185" s="257" t="n"/>
    </row>
    <row customHeight="1" ht="12" r="186" s="391">
      <c r="A186" s="252" t="n">
        <v>39423</v>
      </c>
      <c r="B186" s="253" t="n">
        <v>19154</v>
      </c>
      <c r="C186" s="253" t="n">
        <v>368</v>
      </c>
      <c r="D186" s="253" t="n">
        <v>294</v>
      </c>
      <c r="E186" s="253" t="n">
        <v>16</v>
      </c>
      <c r="F186" s="253" t="n">
        <v>825</v>
      </c>
      <c r="G186" s="253" t="n">
        <v>58</v>
      </c>
      <c r="H186" s="253" t="n">
        <v>113</v>
      </c>
      <c r="I186" s="253" t="n">
        <v>11708</v>
      </c>
      <c r="J186" s="253">
        <f>2135-1832</f>
        <v/>
      </c>
      <c r="K186" s="622">
        <f>I186+J186</f>
        <v/>
      </c>
      <c r="L186" s="625">
        <f>B186-C186-E186-F186-G186-H186-K186+3784-1189-5932</f>
        <v/>
      </c>
      <c r="M186" s="257" t="n"/>
    </row>
    <row customHeight="1" ht="12" r="187" s="391">
      <c r="A187" s="252" t="n">
        <v>39393</v>
      </c>
      <c r="B187" s="253" t="n">
        <v>19017</v>
      </c>
      <c r="C187" s="253" t="n">
        <v>366</v>
      </c>
      <c r="D187" s="253" t="n">
        <v>293</v>
      </c>
      <c r="E187" s="253" t="n">
        <v>16</v>
      </c>
      <c r="F187" s="253" t="n">
        <v>820</v>
      </c>
      <c r="G187" s="253" t="n">
        <v>57</v>
      </c>
      <c r="H187" s="253" t="n">
        <v>109</v>
      </c>
      <c r="I187" s="253" t="n">
        <v>11663</v>
      </c>
      <c r="J187" s="253">
        <f>2099-1832</f>
        <v/>
      </c>
      <c r="K187" s="622">
        <f>I187+J187</f>
        <v/>
      </c>
      <c r="L187" s="625">
        <f>B187-C187-E187-F187-G187-H187-K187+3784-1189-5932</f>
        <v/>
      </c>
      <c r="M187" s="257" t="n"/>
    </row>
    <row customHeight="1" ht="12" r="188" s="391">
      <c r="A188" s="252" t="n">
        <v>39362</v>
      </c>
      <c r="B188" s="253" t="n">
        <v>18879</v>
      </c>
      <c r="C188" s="253" t="n">
        <v>363</v>
      </c>
      <c r="D188" s="253" t="n">
        <v>291</v>
      </c>
      <c r="E188" s="253" t="n">
        <v>16</v>
      </c>
      <c r="F188" s="253" t="n">
        <v>814</v>
      </c>
      <c r="G188" s="253" t="n">
        <v>56</v>
      </c>
      <c r="H188" s="253" t="n">
        <v>106</v>
      </c>
      <c r="I188" s="253" t="n">
        <v>11615</v>
      </c>
      <c r="J188" s="253">
        <f>2063-1832</f>
        <v/>
      </c>
      <c r="K188" s="622">
        <f>I188+J188</f>
        <v/>
      </c>
      <c r="L188" s="625">
        <f>B188-C188-E188-F188-G188-H188-K188+3784-1189-5932</f>
        <v/>
      </c>
      <c r="M188" s="257" t="n"/>
    </row>
    <row customHeight="1" ht="12" r="189" s="391">
      <c r="A189" s="252" t="n">
        <v>39332</v>
      </c>
      <c r="B189" s="253" t="n">
        <v>18734</v>
      </c>
      <c r="C189" s="253" t="n">
        <v>362</v>
      </c>
      <c r="D189" s="253" t="n">
        <v>290</v>
      </c>
      <c r="E189" s="253" t="n">
        <v>16</v>
      </c>
      <c r="F189" s="253" t="n">
        <v>809</v>
      </c>
      <c r="G189" s="253" t="n">
        <v>55</v>
      </c>
      <c r="H189" s="253" t="n">
        <v>103</v>
      </c>
      <c r="I189" s="253" t="n">
        <v>11564</v>
      </c>
      <c r="J189" s="253">
        <f>2029-1832</f>
        <v/>
      </c>
      <c r="K189" s="622">
        <f>I189+J189</f>
        <v/>
      </c>
      <c r="L189" s="625">
        <f>B189-C189-E189-F189-G189-H189-K189+3784-1189-5932</f>
        <v/>
      </c>
      <c r="M189" s="257" t="n"/>
    </row>
    <row customHeight="1" ht="12" r="190" s="391">
      <c r="A190" s="252" t="n">
        <v>39301</v>
      </c>
      <c r="B190" s="253" t="n">
        <v>18554</v>
      </c>
      <c r="C190" s="253" t="n">
        <v>359</v>
      </c>
      <c r="D190" s="253" t="n">
        <v>288</v>
      </c>
      <c r="E190" s="253" t="n">
        <v>16</v>
      </c>
      <c r="F190" s="253" t="n">
        <v>801</v>
      </c>
      <c r="G190" s="253" t="n">
        <v>54</v>
      </c>
      <c r="H190" s="253" t="n">
        <v>100</v>
      </c>
      <c r="I190" s="253" t="n">
        <v>11491</v>
      </c>
      <c r="J190" s="253">
        <f>1989-1832</f>
        <v/>
      </c>
      <c r="K190" s="622">
        <f>I190+J190</f>
        <v/>
      </c>
      <c r="L190" s="625">
        <f>B190-C190-E190-F190-G190-H190-K190+3784-1189-5932</f>
        <v/>
      </c>
      <c r="M190" s="257" t="n"/>
    </row>
    <row customHeight="1" ht="12" r="191" s="391">
      <c r="A191" s="252" t="n">
        <v>39270</v>
      </c>
      <c r="B191" s="253" t="n">
        <v>18381</v>
      </c>
      <c r="C191" s="253" t="n">
        <v>358</v>
      </c>
      <c r="D191" s="253" t="n">
        <v>287</v>
      </c>
      <c r="E191" s="253" t="n">
        <v>16</v>
      </c>
      <c r="F191" s="253" t="n">
        <v>795</v>
      </c>
      <c r="G191" s="253" t="n">
        <v>53</v>
      </c>
      <c r="H191" s="253" t="n">
        <v>98</v>
      </c>
      <c r="I191" s="253" t="n">
        <v>11417</v>
      </c>
      <c r="J191" s="253">
        <f>1950-1832</f>
        <v/>
      </c>
      <c r="K191" s="622">
        <f>I191+J191</f>
        <v/>
      </c>
      <c r="L191" s="625">
        <f>B191-C191-E191-F191-G191-H191-K191+3784-1189-5932</f>
        <v/>
      </c>
      <c r="M191" s="257" t="n"/>
    </row>
    <row customHeight="1" ht="12" r="192" s="391">
      <c r="A192" s="252" t="n">
        <v>39240</v>
      </c>
      <c r="B192" s="253" t="n">
        <v>18229</v>
      </c>
      <c r="C192" s="253" t="n">
        <v>356</v>
      </c>
      <c r="D192" s="253" t="n">
        <v>285</v>
      </c>
      <c r="E192" s="253" t="n">
        <v>16</v>
      </c>
      <c r="F192" s="253" t="n">
        <v>788</v>
      </c>
      <c r="G192" s="253" t="n">
        <v>52</v>
      </c>
      <c r="H192" s="253" t="n">
        <v>94</v>
      </c>
      <c r="I192" s="253" t="n">
        <v>11356</v>
      </c>
      <c r="J192" s="253">
        <f>1915-1832</f>
        <v/>
      </c>
      <c r="K192" s="622">
        <f>I192+J192</f>
        <v/>
      </c>
      <c r="L192" s="625">
        <f>B192-C192-E192-F192-G192-H192-K192+3784-1189-5932</f>
        <v/>
      </c>
      <c r="M192" s="257" t="n"/>
    </row>
    <row customHeight="1" ht="12" r="193" s="391">
      <c r="A193" s="252" t="n">
        <v>39209</v>
      </c>
      <c r="B193" s="253" t="n">
        <v>18053</v>
      </c>
      <c r="C193" s="253" t="n">
        <v>354</v>
      </c>
      <c r="D193" s="253" t="n">
        <v>284</v>
      </c>
      <c r="E193" s="253" t="n">
        <v>16</v>
      </c>
      <c r="F193" s="253" t="n">
        <v>782</v>
      </c>
      <c r="G193" s="253" t="n">
        <v>52</v>
      </c>
      <c r="H193" s="253" t="n">
        <v>88</v>
      </c>
      <c r="I193" s="253" t="n">
        <v>11298</v>
      </c>
      <c r="J193" s="253">
        <f>1878-1832</f>
        <v/>
      </c>
      <c r="K193" s="622">
        <f>I193+J193</f>
        <v/>
      </c>
      <c r="L193" s="625">
        <f>B193-C193-E193-F193-G193-H193-K193+3784-1189-5932</f>
        <v/>
      </c>
      <c r="M193" s="257" t="n"/>
    </row>
    <row customHeight="1" ht="12" r="194" s="391">
      <c r="A194" s="252" t="n">
        <v>39179</v>
      </c>
      <c r="B194" s="253" t="n">
        <v>17875</v>
      </c>
      <c r="C194" s="253" t="n">
        <v>352</v>
      </c>
      <c r="D194" s="253" t="n">
        <v>282</v>
      </c>
      <c r="E194" s="253" t="n">
        <v>16</v>
      </c>
      <c r="F194" s="253" t="n">
        <v>775</v>
      </c>
      <c r="G194" s="253" t="n">
        <v>51</v>
      </c>
      <c r="H194" s="253" t="n">
        <v>81</v>
      </c>
      <c r="I194" s="253" t="n">
        <v>11235</v>
      </c>
      <c r="J194" s="253" t="n">
        <v>0</v>
      </c>
      <c r="K194" s="622">
        <f>I194+J194</f>
        <v/>
      </c>
      <c r="L194" s="625">
        <f>B194-C194-E194-F194-G194-H194-K194+3784-1189-5932</f>
        <v/>
      </c>
      <c r="M194" s="257" t="inlineStr">
        <is>
          <t>고시원 옥상 = 1832 (4월11일)</t>
        </is>
      </c>
    </row>
    <row customHeight="1" ht="12" r="195" s="391">
      <c r="A195" s="252" t="n">
        <v>39148</v>
      </c>
      <c r="B195" s="253" t="n">
        <v>17697</v>
      </c>
      <c r="C195" s="253" t="n">
        <v>349</v>
      </c>
      <c r="D195" s="253" t="n">
        <v>279</v>
      </c>
      <c r="E195" s="253" t="n">
        <v>16</v>
      </c>
      <c r="F195" s="253" t="n">
        <v>768</v>
      </c>
      <c r="G195" s="253" t="n">
        <v>51</v>
      </c>
      <c r="H195" s="253" t="n">
        <v>72</v>
      </c>
      <c r="I195" s="253" t="n">
        <v>11173</v>
      </c>
      <c r="J195" s="253" t="n">
        <v>0</v>
      </c>
      <c r="K195" s="622">
        <f>I195+J195</f>
        <v/>
      </c>
      <c r="L195" s="625">
        <f>B195-C195-E195-F195-G195-H195-I195+3784-1189-5932</f>
        <v/>
      </c>
      <c r="M195" s="257" t="n"/>
    </row>
    <row customHeight="1" ht="12" r="196" s="391" thickBot="1">
      <c r="A196" s="266" t="n">
        <v>39120</v>
      </c>
      <c r="B196" s="267" t="n">
        <v>17543</v>
      </c>
      <c r="C196" s="267" t="n">
        <v>348</v>
      </c>
      <c r="D196" s="267" t="n">
        <v>278</v>
      </c>
      <c r="E196" s="267" t="n">
        <v>16</v>
      </c>
      <c r="F196" s="267" t="n">
        <v>762</v>
      </c>
      <c r="G196" s="267" t="n">
        <v>49</v>
      </c>
      <c r="H196" s="267" t="n">
        <v>61</v>
      </c>
      <c r="I196" s="267" t="n">
        <v>11124</v>
      </c>
      <c r="J196" s="267" t="n">
        <v>0</v>
      </c>
      <c r="K196" s="626">
        <f>I196+J196</f>
        <v/>
      </c>
      <c r="L196" s="627">
        <f>B196-C196-E196-F196-G196-H196-I196+3784-1189-5932</f>
        <v/>
      </c>
      <c r="M196" s="270" t="inlineStr">
        <is>
          <t>몬테소리 1월25일 검침시작 = 51</t>
        </is>
      </c>
    </row>
    <row customHeight="1" ht="12" r="197" s="391" thickTop="1">
      <c r="A197" s="154" t="n">
        <v>39089</v>
      </c>
      <c r="B197" s="155" t="n">
        <v>17390</v>
      </c>
      <c r="C197" s="155" t="n">
        <v>348</v>
      </c>
      <c r="D197" s="155" t="n">
        <v>278</v>
      </c>
      <c r="E197" s="155" t="n">
        <v>16</v>
      </c>
      <c r="F197" s="155" t="n">
        <v>756</v>
      </c>
      <c r="G197" s="155" t="n">
        <v>49</v>
      </c>
      <c r="H197" s="155" t="n">
        <v>33</v>
      </c>
      <c r="I197" s="155" t="n">
        <v>11077</v>
      </c>
      <c r="J197" s="155" t="n">
        <v>0</v>
      </c>
      <c r="K197" s="628">
        <f>I197+J197</f>
        <v/>
      </c>
      <c r="L197" s="629">
        <f>B197-C197-E197-F197-G197-H197-I197+3784-1189-5932</f>
        <v/>
      </c>
      <c r="M197" s="210" t="n"/>
    </row>
    <row customHeight="1" ht="12" r="198" s="391">
      <c r="A198" s="271" t="n">
        <v>39058</v>
      </c>
      <c r="B198" s="272" t="n">
        <v>17237</v>
      </c>
      <c r="C198" s="272" t="n">
        <v>347</v>
      </c>
      <c r="D198" s="272" t="n">
        <v>277</v>
      </c>
      <c r="E198" s="272" t="n">
        <v>16</v>
      </c>
      <c r="F198" s="272" t="n">
        <v>752</v>
      </c>
      <c r="G198" s="272" t="n">
        <v>48</v>
      </c>
      <c r="H198" s="272" t="n">
        <v>33</v>
      </c>
      <c r="I198" s="272" t="n">
        <v>11029</v>
      </c>
      <c r="J198" s="272" t="n">
        <v>0</v>
      </c>
      <c r="K198" s="630">
        <f>I198+J198</f>
        <v/>
      </c>
      <c r="L198" s="631">
        <f>B198-C198-E198-F198-G198-H198-I198+3784-1189-5932</f>
        <v/>
      </c>
      <c r="M198" s="275" t="n"/>
    </row>
    <row customHeight="1" ht="12" r="199" s="391">
      <c r="A199" s="252" t="n">
        <v>39028</v>
      </c>
      <c r="B199" s="253" t="n">
        <v>17094</v>
      </c>
      <c r="C199" s="253" t="n">
        <v>347</v>
      </c>
      <c r="D199" s="253" t="n">
        <v>277</v>
      </c>
      <c r="E199" s="253" t="n">
        <v>16</v>
      </c>
      <c r="F199" s="253" t="n">
        <v>748</v>
      </c>
      <c r="G199" s="253" t="n">
        <v>47</v>
      </c>
      <c r="H199" s="253" t="n">
        <v>21</v>
      </c>
      <c r="I199" s="253" t="n">
        <v>10982</v>
      </c>
      <c r="J199" s="253" t="n">
        <v>0</v>
      </c>
      <c r="K199" s="622">
        <f>I199+J199</f>
        <v/>
      </c>
      <c r="L199" s="625">
        <f>B199-C199-E199-F199-G199-H199-I199+3784-1189-5932</f>
        <v/>
      </c>
      <c r="M199" s="257" t="n"/>
    </row>
    <row customHeight="1" ht="12" r="200" s="391">
      <c r="A200" s="271" t="n">
        <v>38997</v>
      </c>
      <c r="B200" s="272" t="n">
        <v>16911</v>
      </c>
      <c r="C200" s="272" t="n">
        <v>343</v>
      </c>
      <c r="D200" s="272" t="n">
        <v>275</v>
      </c>
      <c r="E200" s="272" t="n">
        <v>16</v>
      </c>
      <c r="F200" s="272" t="n">
        <v>743</v>
      </c>
      <c r="G200" s="272" t="n">
        <v>36</v>
      </c>
      <c r="H200" s="272" t="n">
        <v>21</v>
      </c>
      <c r="I200" s="272" t="n">
        <v>10911</v>
      </c>
      <c r="J200" s="272" t="n">
        <v>0</v>
      </c>
      <c r="K200" s="630">
        <f>I200+J200</f>
        <v/>
      </c>
      <c r="L200" s="631">
        <f>B200-C200-E200-F200-G200-H200-I200+3784-1189-5932</f>
        <v/>
      </c>
      <c r="M200" s="275" t="inlineStr">
        <is>
          <t>몬테소리 수도 사용량 = 스크린어학원</t>
        </is>
      </c>
    </row>
    <row customHeight="1" ht="12" r="201" s="391">
      <c r="A201" s="252" t="n">
        <v>38967</v>
      </c>
      <c r="B201" s="253" t="n">
        <v>16743</v>
      </c>
      <c r="C201" s="253" t="n">
        <v>340</v>
      </c>
      <c r="D201" s="253" t="n">
        <v>274</v>
      </c>
      <c r="E201" s="253" t="n">
        <v>16</v>
      </c>
      <c r="F201" s="253" t="n">
        <v>737</v>
      </c>
      <c r="G201" s="253" t="n">
        <v>25</v>
      </c>
      <c r="H201" s="253" t="n">
        <v>0</v>
      </c>
      <c r="I201" s="253" t="n">
        <v>10853</v>
      </c>
      <c r="J201" s="253" t="n">
        <v>0</v>
      </c>
      <c r="K201" s="622">
        <f>I201+J201</f>
        <v/>
      </c>
      <c r="L201" s="625">
        <f>B201-C201-E201-F201-G201-H201-I201+3784-1189-5932</f>
        <v/>
      </c>
      <c r="M201" s="257" t="n"/>
    </row>
    <row customHeight="1" ht="12" r="202" s="391">
      <c r="A202" s="271" t="n">
        <v>38936</v>
      </c>
      <c r="B202" s="272" t="n">
        <v>16573</v>
      </c>
      <c r="C202" s="272" t="n">
        <v>337</v>
      </c>
      <c r="D202" s="272" t="n">
        <v>272</v>
      </c>
      <c r="E202" s="272" t="n">
        <v>16</v>
      </c>
      <c r="F202" s="272" t="n">
        <v>732</v>
      </c>
      <c r="G202" s="272" t="n">
        <v>15</v>
      </c>
      <c r="H202" s="272" t="n">
        <v>0</v>
      </c>
      <c r="I202" s="272" t="n">
        <v>10794</v>
      </c>
      <c r="J202" s="272" t="n">
        <v>0</v>
      </c>
      <c r="K202" s="630">
        <f>I202+J202</f>
        <v/>
      </c>
      <c r="L202" s="631">
        <f>B202-C202-E202-F202-G202-H202-I202+3784-1189-5932</f>
        <v/>
      </c>
      <c r="M202" s="275" t="n"/>
    </row>
    <row customHeight="1" ht="12" r="203" s="391">
      <c r="A203" s="252" t="n">
        <v>38905</v>
      </c>
      <c r="B203" s="253" t="n">
        <v>16432</v>
      </c>
      <c r="C203" s="253" t="n">
        <v>333</v>
      </c>
      <c r="D203" s="253" t="n">
        <v>271</v>
      </c>
      <c r="E203" s="253" t="n">
        <v>16</v>
      </c>
      <c r="F203" s="253" t="n">
        <v>727</v>
      </c>
      <c r="G203" s="253" t="n">
        <v>0</v>
      </c>
      <c r="H203" s="253" t="n">
        <v>0</v>
      </c>
      <c r="I203" s="253" t="n">
        <v>10735</v>
      </c>
      <c r="J203" s="253" t="n">
        <v>0</v>
      </c>
      <c r="K203" s="622">
        <f>I203+J203</f>
        <v/>
      </c>
      <c r="L203" s="625">
        <f>B203-C203-E203-F203-G203-H203-I203+3784-1189-5932</f>
        <v/>
      </c>
      <c r="M203" s="257" t="n"/>
    </row>
    <row customHeight="1" ht="12" r="204" s="391">
      <c r="A204" s="271" t="n">
        <v>38875</v>
      </c>
      <c r="B204" s="272" t="n">
        <v>16301</v>
      </c>
      <c r="C204" s="272" t="n">
        <v>328</v>
      </c>
      <c r="D204" s="272" t="n">
        <v>268</v>
      </c>
      <c r="E204" s="272" t="n">
        <v>16</v>
      </c>
      <c r="F204" s="272" t="n">
        <v>722</v>
      </c>
      <c r="G204" s="272" t="n">
        <v>0</v>
      </c>
      <c r="H204" s="272" t="n">
        <v>0</v>
      </c>
      <c r="I204" s="272" t="n">
        <v>10680</v>
      </c>
      <c r="J204" s="272" t="n">
        <v>0</v>
      </c>
      <c r="K204" s="630">
        <f>I204+J204</f>
        <v/>
      </c>
      <c r="L204" s="631">
        <f>B204-C204-E204-F204-G204-H204-I204+3784-1189-5932</f>
        <v/>
      </c>
      <c r="M204" s="275" t="n"/>
    </row>
    <row customHeight="1" ht="12" r="205" s="391">
      <c r="A205" s="252" t="n">
        <v>38844</v>
      </c>
      <c r="B205" s="253" t="n">
        <v>16177</v>
      </c>
      <c r="C205" s="253" t="n">
        <v>323</v>
      </c>
      <c r="D205" s="253" t="n">
        <v>265</v>
      </c>
      <c r="E205" s="253" t="n">
        <v>16</v>
      </c>
      <c r="F205" s="253" t="n">
        <v>716</v>
      </c>
      <c r="G205" s="253" t="n">
        <v>1189</v>
      </c>
      <c r="H205" s="253" t="n">
        <v>5932</v>
      </c>
      <c r="I205" s="253" t="n">
        <v>10637</v>
      </c>
      <c r="J205" s="253" t="n">
        <v>0</v>
      </c>
      <c r="K205" s="622">
        <f>I205+J205</f>
        <v/>
      </c>
      <c r="L205" s="625">
        <f>B205-C205-E205-F205-G205-H205-I205+3784</f>
        <v/>
      </c>
      <c r="M205" s="257" t="n"/>
    </row>
    <row customHeight="1" ht="12" r="206" s="391">
      <c r="A206" s="271" t="n">
        <v>38814</v>
      </c>
      <c r="B206" s="272" t="n">
        <v>16063</v>
      </c>
      <c r="C206" s="272" t="n">
        <v>317</v>
      </c>
      <c r="D206" s="272" t="n">
        <v>264</v>
      </c>
      <c r="E206" s="272" t="n">
        <v>16</v>
      </c>
      <c r="F206" s="272" t="n">
        <v>709</v>
      </c>
      <c r="G206" s="272" t="n">
        <v>1189</v>
      </c>
      <c r="H206" s="272" t="n">
        <v>5932</v>
      </c>
      <c r="I206" s="272" t="n">
        <v>10601</v>
      </c>
      <c r="J206" s="272" t="n">
        <v>0</v>
      </c>
      <c r="K206" s="630">
        <f>I206+J206</f>
        <v/>
      </c>
      <c r="L206" s="631">
        <f>B206-C206-E206-F206-G206-H206-I206+3784</f>
        <v/>
      </c>
      <c r="M206" s="275" t="n"/>
    </row>
    <row customHeight="1" ht="12" r="207" s="391">
      <c r="A207" s="252" t="n">
        <v>38783</v>
      </c>
      <c r="B207" s="253" t="n">
        <v>15927</v>
      </c>
      <c r="C207" s="253" t="n">
        <v>315</v>
      </c>
      <c r="D207" s="253" t="n">
        <v>261</v>
      </c>
      <c r="E207" s="253" t="n">
        <v>16</v>
      </c>
      <c r="F207" s="253" t="n">
        <v>702</v>
      </c>
      <c r="G207" s="253" t="n">
        <v>1189</v>
      </c>
      <c r="H207" s="253" t="n">
        <v>5932</v>
      </c>
      <c r="I207" s="253" t="n">
        <v>10557</v>
      </c>
      <c r="J207" s="253" t="n">
        <v>0</v>
      </c>
      <c r="K207" s="622">
        <f>I207+J207</f>
        <v/>
      </c>
      <c r="L207" s="625">
        <f>B207-C207-E207-F207-G207-H207-I207+3784</f>
        <v/>
      </c>
      <c r="M207" s="257" t="n"/>
    </row>
    <row customHeight="1" ht="12" r="208" s="391">
      <c r="A208" s="271" t="n">
        <v>38755</v>
      </c>
      <c r="B208" s="272" t="n">
        <v>15871</v>
      </c>
      <c r="C208" s="272" t="n">
        <v>314</v>
      </c>
      <c r="D208" s="272" t="n">
        <v>259</v>
      </c>
      <c r="E208" s="272" t="n">
        <v>16</v>
      </c>
      <c r="F208" s="272" t="n">
        <v>693</v>
      </c>
      <c r="G208" s="272" t="n">
        <v>1189</v>
      </c>
      <c r="H208" s="272" t="n">
        <v>5932</v>
      </c>
      <c r="I208" s="272" t="n">
        <v>10518</v>
      </c>
      <c r="J208" s="272" t="n">
        <v>0</v>
      </c>
      <c r="K208" s="630">
        <f>I208+J208</f>
        <v/>
      </c>
      <c r="L208" s="631">
        <f>B208-C208-E208-F208-G208-H208-I208+3784</f>
        <v/>
      </c>
      <c r="M208" s="275" t="n"/>
    </row>
    <row customHeight="1" ht="12" r="209" s="391">
      <c r="A209" s="252" t="n">
        <v>38724</v>
      </c>
      <c r="B209" s="253" t="n">
        <v>15671</v>
      </c>
      <c r="C209" s="253" t="n">
        <v>312</v>
      </c>
      <c r="D209" s="253" t="n">
        <v>258</v>
      </c>
      <c r="E209" s="253" t="n">
        <v>16</v>
      </c>
      <c r="F209" s="253" t="n">
        <v>684</v>
      </c>
      <c r="G209" s="253" t="n">
        <v>1120</v>
      </c>
      <c r="H209" s="253" t="n">
        <v>5874</v>
      </c>
      <c r="I209" s="253" t="n">
        <v>10486</v>
      </c>
      <c r="J209" s="253" t="n">
        <v>0</v>
      </c>
      <c r="K209" s="622">
        <f>I209+J209</f>
        <v/>
      </c>
      <c r="L209" s="625">
        <f>B209-C209-E209-F209-G209-H209-I209+3784</f>
        <v/>
      </c>
      <c r="M209" s="257" t="n"/>
    </row>
    <row customHeight="1" ht="12" r="210" s="391">
      <c r="A210" s="271" t="n">
        <v>38693</v>
      </c>
      <c r="B210" s="272" t="n">
        <v>15221</v>
      </c>
      <c r="C210" s="272" t="n">
        <v>310</v>
      </c>
      <c r="D210" s="272" t="n">
        <v>257</v>
      </c>
      <c r="E210" s="272" t="n">
        <v>16</v>
      </c>
      <c r="F210" s="272" t="n">
        <v>671</v>
      </c>
      <c r="G210" s="272" t="n">
        <v>1025</v>
      </c>
      <c r="H210" s="272" t="n">
        <v>5795</v>
      </c>
      <c r="I210" s="272" t="n">
        <v>10451</v>
      </c>
      <c r="J210" s="272" t="n">
        <v>0</v>
      </c>
      <c r="K210" s="630">
        <f>I210+J210</f>
        <v/>
      </c>
      <c r="L210" s="631">
        <f>B210-C210-E210-F210-G210-H210-I210+3784</f>
        <v/>
      </c>
      <c r="M210" s="275" t="n"/>
    </row>
    <row customHeight="1" ht="12" r="211" s="391">
      <c r="A211" s="252" t="n">
        <v>38663</v>
      </c>
      <c r="B211" s="253" t="n">
        <v>14854</v>
      </c>
      <c r="C211" s="253" t="n">
        <v>307</v>
      </c>
      <c r="D211" s="253" t="n">
        <v>255</v>
      </c>
      <c r="E211" s="253" t="n">
        <v>16</v>
      </c>
      <c r="F211" s="253" t="n">
        <v>658</v>
      </c>
      <c r="G211" s="253" t="n">
        <v>899</v>
      </c>
      <c r="H211" s="253" t="n">
        <v>5697</v>
      </c>
      <c r="I211" s="253" t="n">
        <v>10417</v>
      </c>
      <c r="J211" s="253" t="n">
        <v>0</v>
      </c>
      <c r="K211" s="622">
        <f>I211+J211</f>
        <v/>
      </c>
      <c r="L211" s="625">
        <f>B211-C211-E211-F211-G211-H211-I211+3784</f>
        <v/>
      </c>
      <c r="M211" s="257" t="n"/>
    </row>
    <row customHeight="1" ht="12" r="212" s="391">
      <c r="A212" s="271" t="n">
        <v>38632</v>
      </c>
      <c r="B212" s="272" t="n">
        <v>14447</v>
      </c>
      <c r="C212" s="272" t="n">
        <v>306</v>
      </c>
      <c r="D212" s="272" t="n">
        <v>252</v>
      </c>
      <c r="E212" s="272" t="n">
        <v>16</v>
      </c>
      <c r="F212" s="272" t="n">
        <v>639</v>
      </c>
      <c r="G212" s="272" t="n">
        <v>777</v>
      </c>
      <c r="H212" s="272" t="n">
        <v>5582</v>
      </c>
      <c r="I212" s="272" t="n">
        <v>10363</v>
      </c>
      <c r="J212" s="272" t="n">
        <v>0</v>
      </c>
      <c r="K212" s="630">
        <f>I212+J212</f>
        <v/>
      </c>
      <c r="L212" s="631">
        <f>B212-C212-E212-F212-G212-H212-I212+3784</f>
        <v/>
      </c>
      <c r="M212" s="275" t="n"/>
    </row>
    <row customHeight="1" ht="12" r="213" s="391">
      <c r="A213" s="252" t="n">
        <v>38602</v>
      </c>
      <c r="B213" s="253" t="n">
        <v>14075</v>
      </c>
      <c r="C213" s="253" t="n">
        <v>303</v>
      </c>
      <c r="D213" s="253" t="n">
        <v>263</v>
      </c>
      <c r="E213" s="253" t="n">
        <v>16</v>
      </c>
      <c r="F213" s="253" t="n">
        <v>628</v>
      </c>
      <c r="G213" s="253" t="n">
        <v>699</v>
      </c>
      <c r="H213" s="253" t="n">
        <v>5505</v>
      </c>
      <c r="I213" s="253" t="n">
        <v>10241</v>
      </c>
      <c r="J213" s="253" t="n">
        <v>0</v>
      </c>
      <c r="K213" s="622">
        <f>I213+J213</f>
        <v/>
      </c>
      <c r="L213" s="625">
        <f>B213-C213-E213-F213-G213-H213-I213+3784</f>
        <v/>
      </c>
      <c r="M213" s="257" t="n"/>
    </row>
    <row customHeight="1" ht="12" r="214" s="391">
      <c r="A214" s="271" t="n">
        <v>38571</v>
      </c>
      <c r="B214" s="272" t="n">
        <v>13666</v>
      </c>
      <c r="C214" s="272" t="n">
        <v>262</v>
      </c>
      <c r="D214" s="272" t="n">
        <v>260</v>
      </c>
      <c r="E214" s="272" t="n">
        <v>16</v>
      </c>
      <c r="F214" s="272" t="n">
        <v>617</v>
      </c>
      <c r="G214" s="272" t="n">
        <v>631</v>
      </c>
      <c r="H214" s="272" t="n">
        <v>5397</v>
      </c>
      <c r="I214" s="272" t="n">
        <v>10117</v>
      </c>
      <c r="J214" s="272" t="n">
        <v>0</v>
      </c>
      <c r="K214" s="630">
        <f>I214+J214</f>
        <v/>
      </c>
      <c r="L214" s="631">
        <f>B214-C214-E214-F214-G214-H214-I214+3784</f>
        <v/>
      </c>
      <c r="M214" s="275" t="n"/>
    </row>
    <row customHeight="1" ht="12" r="215" s="391">
      <c r="A215" s="252" t="n">
        <v>38540</v>
      </c>
      <c r="B215" s="253" t="n">
        <v>13144</v>
      </c>
      <c r="C215" s="253" t="n">
        <v>259</v>
      </c>
      <c r="D215" s="253" t="n">
        <v>257</v>
      </c>
      <c r="E215" s="253" t="n">
        <v>16</v>
      </c>
      <c r="F215" s="253" t="n">
        <v>608</v>
      </c>
      <c r="G215" s="253" t="n">
        <v>517</v>
      </c>
      <c r="H215" s="253" t="n">
        <v>5238</v>
      </c>
      <c r="I215" s="253" t="n">
        <v>9995</v>
      </c>
      <c r="J215" s="253" t="n">
        <v>0</v>
      </c>
      <c r="K215" s="622">
        <f>I215+J215</f>
        <v/>
      </c>
      <c r="L215" s="625">
        <f>B215-C215-E215-F215-G215-H215-I215+3784</f>
        <v/>
      </c>
      <c r="M215" s="257" t="n"/>
    </row>
    <row customHeight="1" ht="12" r="216" s="391">
      <c r="A216" s="271" t="n">
        <v>38510</v>
      </c>
      <c r="B216" s="272" t="n">
        <v>12551</v>
      </c>
      <c r="C216" s="272" t="n">
        <v>256</v>
      </c>
      <c r="D216" s="272" t="n">
        <v>254</v>
      </c>
      <c r="E216" s="272" t="n">
        <v>16</v>
      </c>
      <c r="F216" s="272" t="n">
        <v>599</v>
      </c>
      <c r="G216" s="272" t="n">
        <v>326</v>
      </c>
      <c r="H216" s="272" t="n">
        <v>5051</v>
      </c>
      <c r="I216" s="272" t="n">
        <v>9895</v>
      </c>
      <c r="J216" s="272" t="n">
        <v>0</v>
      </c>
      <c r="K216" s="630">
        <f>I216+J216</f>
        <v/>
      </c>
      <c r="L216" s="631">
        <f>B216-C216-E216-F216-G216-H216-I216+3784</f>
        <v/>
      </c>
      <c r="M216" s="276" t="inlineStr">
        <is>
          <t>4/5층 분리되었으므로 7월 계산서부터 적용</t>
        </is>
      </c>
    </row>
    <row customHeight="1" ht="12" r="217" s="391">
      <c r="A217" s="252" t="n">
        <v>38479</v>
      </c>
      <c r="B217" s="253" t="n">
        <v>11991</v>
      </c>
      <c r="C217" s="253" t="n">
        <v>253</v>
      </c>
      <c r="D217" s="253" t="n">
        <v>251</v>
      </c>
      <c r="E217" s="253" t="n">
        <v>16</v>
      </c>
      <c r="F217" s="253" t="n">
        <v>592</v>
      </c>
      <c r="G217" s="253">
        <f>4+149</f>
        <v/>
      </c>
      <c r="H217" s="253" t="n">
        <v>4854</v>
      </c>
      <c r="I217" s="253" t="n">
        <v>9807</v>
      </c>
      <c r="J217" s="253" t="n">
        <v>0</v>
      </c>
      <c r="K217" s="622">
        <f>I217+J217</f>
        <v/>
      </c>
      <c r="L217" s="625">
        <f>B217-C217-E217-F217-G217-H217-I217+3784</f>
        <v/>
      </c>
      <c r="M217" s="257" t="n"/>
    </row>
    <row customHeight="1" ht="12" r="218" s="391">
      <c r="A218" s="271" t="n">
        <v>38449</v>
      </c>
      <c r="B218" s="272" t="n">
        <v>11500</v>
      </c>
      <c r="C218" s="272" t="n">
        <v>250</v>
      </c>
      <c r="D218" s="272" t="n">
        <v>248</v>
      </c>
      <c r="E218" s="272" t="n">
        <v>16</v>
      </c>
      <c r="F218" s="272" t="n">
        <v>585</v>
      </c>
      <c r="G218" s="272">
        <f>4+23</f>
        <v/>
      </c>
      <c r="H218" s="272" t="n">
        <v>4682</v>
      </c>
      <c r="I218" s="272" t="n">
        <v>9724</v>
      </c>
      <c r="J218" s="272" t="n">
        <v>0</v>
      </c>
      <c r="K218" s="630">
        <f>I218+J218</f>
        <v/>
      </c>
      <c r="L218" s="631">
        <f>B218-C218-E218-F218-G218-H218-I218+3784</f>
        <v/>
      </c>
      <c r="M218" s="275" t="inlineStr">
        <is>
          <t>03/28 3층 계량기 설치, 4층도 분리, 공용계산 다시 적용</t>
        </is>
      </c>
    </row>
    <row customHeight="1" ht="12" r="219" s="391">
      <c r="A219" s="252" t="n">
        <v>38418</v>
      </c>
      <c r="B219" s="253" t="n">
        <v>11116</v>
      </c>
      <c r="C219" s="253" t="n">
        <v>247</v>
      </c>
      <c r="D219" s="253" t="n">
        <v>245</v>
      </c>
      <c r="E219" s="253" t="n">
        <v>16</v>
      </c>
      <c r="F219" s="253" t="n">
        <v>577</v>
      </c>
      <c r="G219" s="253" t="n">
        <v>4</v>
      </c>
      <c r="H219" s="253" t="n">
        <v>4550</v>
      </c>
      <c r="I219" s="253" t="n">
        <v>9587</v>
      </c>
      <c r="J219" s="253" t="n">
        <v>304</v>
      </c>
      <c r="K219" s="622">
        <f>I219+J219</f>
        <v/>
      </c>
      <c r="L219" s="625">
        <f>B219-C219-E219-F219-G219-I219-J219+12815-1543</f>
        <v/>
      </c>
      <c r="M219" s="257" t="n"/>
    </row>
    <row customHeight="1" ht="12" r="220" s="391">
      <c r="A220" s="271" t="n">
        <v>38390</v>
      </c>
      <c r="B220" s="272" t="n">
        <v>10875</v>
      </c>
      <c r="C220" s="272" t="n">
        <v>244</v>
      </c>
      <c r="D220" s="272" t="n">
        <v>242</v>
      </c>
      <c r="E220" s="272" t="n">
        <v>16</v>
      </c>
      <c r="F220" s="272" t="n">
        <v>572</v>
      </c>
      <c r="G220" s="272" t="n">
        <v>4</v>
      </c>
      <c r="H220" s="272" t="n">
        <v>4483</v>
      </c>
      <c r="I220" s="272" t="n">
        <v>9468</v>
      </c>
      <c r="J220" s="272" t="n">
        <v>304</v>
      </c>
      <c r="K220" s="630">
        <f>I220+J220</f>
        <v/>
      </c>
      <c r="L220" s="631">
        <f>B220-C220-E220-F220-G220-I220-J220+12815-1543</f>
        <v/>
      </c>
      <c r="M220" s="275" t="inlineStr">
        <is>
          <t>수원 상수도 사업부에서 짝수달만 검침</t>
        </is>
      </c>
    </row>
    <row customHeight="1" ht="12" r="221" s="391">
      <c r="A221" s="252" t="n">
        <v>38359</v>
      </c>
      <c r="B221" s="253" t="n">
        <v>10624</v>
      </c>
      <c r="C221" s="253" t="n">
        <v>241</v>
      </c>
      <c r="D221" s="253" t="n">
        <v>239</v>
      </c>
      <c r="E221" s="253" t="n">
        <v>16</v>
      </c>
      <c r="F221" s="253" t="n">
        <v>566</v>
      </c>
      <c r="G221" s="253" t="n">
        <v>4</v>
      </c>
      <c r="H221" s="253" t="n">
        <v>4425</v>
      </c>
      <c r="I221" s="253" t="n">
        <v>9353</v>
      </c>
      <c r="J221" s="253" t="n">
        <v>304</v>
      </c>
      <c r="K221" s="622">
        <f>I221+J221</f>
        <v/>
      </c>
      <c r="L221" s="625">
        <f>B221-C221-E221-F221-G221-I221-J221+12815-1543</f>
        <v/>
      </c>
      <c r="M221" s="257" t="inlineStr">
        <is>
          <t>공용계산에서 4층 적용</t>
        </is>
      </c>
    </row>
    <row customHeight="1" ht="12" r="222" s="391">
      <c r="A222" s="252" t="n">
        <v>38328</v>
      </c>
      <c r="B222" s="253" t="n">
        <v>10291</v>
      </c>
      <c r="C222" s="253" t="n">
        <v>238</v>
      </c>
      <c r="D222" s="253" t="n">
        <v>236</v>
      </c>
      <c r="E222" s="253" t="n">
        <v>16</v>
      </c>
      <c r="F222" s="253" t="n">
        <v>559</v>
      </c>
      <c r="G222" s="253" t="n">
        <v>4</v>
      </c>
      <c r="H222" s="253" t="n">
        <v>4316</v>
      </c>
      <c r="I222" s="253" t="n">
        <v>9183</v>
      </c>
      <c r="J222" s="253" t="n">
        <v>304</v>
      </c>
      <c r="K222" s="622">
        <f>I222+J222</f>
        <v/>
      </c>
      <c r="L222" s="625">
        <f>B222-C222-E222-F222-G222-H222-I222-J222+12815-1543</f>
        <v/>
      </c>
      <c r="M222" s="257" t="n"/>
    </row>
    <row customHeight="1" ht="12" r="223" s="391">
      <c r="A223" s="252" t="n">
        <v>38298</v>
      </c>
      <c r="B223" s="253" t="n">
        <v>9868</v>
      </c>
      <c r="C223" s="253" t="n">
        <v>235</v>
      </c>
      <c r="D223" s="253" t="n">
        <v>233</v>
      </c>
      <c r="E223" s="253" t="n">
        <v>16</v>
      </c>
      <c r="F223" s="253" t="n">
        <v>554</v>
      </c>
      <c r="G223" s="253" t="n">
        <v>4</v>
      </c>
      <c r="H223" s="253" t="n">
        <v>4176</v>
      </c>
      <c r="I223" s="253" t="n">
        <v>8994</v>
      </c>
      <c r="J223" s="253" t="n">
        <v>304</v>
      </c>
      <c r="K223" s="622">
        <f>I223+J223</f>
        <v/>
      </c>
      <c r="L223" s="625">
        <f>B223-C223-E223-F223-G223-H223-I223-J223+12815-1543</f>
        <v/>
      </c>
      <c r="M223" s="257" t="n"/>
    </row>
    <row customHeight="1" ht="12" r="224" s="391">
      <c r="A224" s="252" t="n">
        <v>38267</v>
      </c>
      <c r="B224" s="253" t="n">
        <v>9458</v>
      </c>
      <c r="C224" s="253" t="n">
        <v>233</v>
      </c>
      <c r="D224" s="253" t="n">
        <v>231</v>
      </c>
      <c r="E224" s="253" t="n">
        <v>16</v>
      </c>
      <c r="F224" s="253" t="n">
        <v>549</v>
      </c>
      <c r="G224" s="253" t="n">
        <v>4</v>
      </c>
      <c r="H224" s="253" t="n">
        <v>4058</v>
      </c>
      <c r="I224" s="253" t="n">
        <v>8805</v>
      </c>
      <c r="J224" s="253" t="n">
        <v>304</v>
      </c>
      <c r="K224" s="622">
        <f>I224+J224</f>
        <v/>
      </c>
      <c r="L224" s="625">
        <f>B224-C224-E224-F224-G224-H224-I224-J224+12815-1543</f>
        <v/>
      </c>
      <c r="M224" s="257" t="n"/>
    </row>
    <row customHeight="1" ht="12" r="225" s="391">
      <c r="A225" s="252" t="n">
        <v>38237</v>
      </c>
      <c r="B225" s="253" t="n">
        <v>9125</v>
      </c>
      <c r="C225" s="253" t="n">
        <v>231</v>
      </c>
      <c r="D225" s="253" t="n">
        <v>229</v>
      </c>
      <c r="E225" s="253" t="n">
        <v>16</v>
      </c>
      <c r="F225" s="253" t="n">
        <v>543</v>
      </c>
      <c r="G225" s="253" t="n">
        <v>4</v>
      </c>
      <c r="H225" s="253" t="n">
        <v>3981</v>
      </c>
      <c r="I225" s="253" t="n">
        <v>8658</v>
      </c>
      <c r="J225" s="253" t="n">
        <v>304</v>
      </c>
      <c r="K225" s="622">
        <f>I225+J225</f>
        <v/>
      </c>
      <c r="L225" s="625">
        <f>B225-C225-E225-F225-G225-H225-I225-J225+12815-1543</f>
        <v/>
      </c>
      <c r="M225" s="257" t="n"/>
    </row>
    <row customHeight="1" ht="12" r="226" s="391">
      <c r="A226" s="252" t="n">
        <v>38206</v>
      </c>
      <c r="B226" s="253" t="n">
        <v>8774</v>
      </c>
      <c r="C226" s="253" t="n">
        <v>228</v>
      </c>
      <c r="D226" s="253" t="n">
        <v>226</v>
      </c>
      <c r="E226" s="253" t="n">
        <v>16</v>
      </c>
      <c r="F226" s="253" t="n">
        <v>536</v>
      </c>
      <c r="G226" s="253" t="n">
        <v>4</v>
      </c>
      <c r="H226" s="253" t="n">
        <v>3931</v>
      </c>
      <c r="I226" s="253" t="n">
        <v>8529</v>
      </c>
      <c r="J226" s="253" t="n">
        <v>304</v>
      </c>
      <c r="K226" s="622">
        <f>I226+J226</f>
        <v/>
      </c>
      <c r="L226" s="625">
        <f>B226-C226-E226-F226-G226-H226-I226-J226+12815-1543</f>
        <v/>
      </c>
      <c r="M226" s="257" t="n"/>
    </row>
    <row customHeight="1" ht="12" r="227" s="391">
      <c r="A227" s="252" t="n">
        <v>38175</v>
      </c>
      <c r="B227" s="253" t="n">
        <v>8385</v>
      </c>
      <c r="C227" s="253" t="n">
        <v>226</v>
      </c>
      <c r="D227" s="253" t="n">
        <v>224</v>
      </c>
      <c r="E227" s="253" t="n">
        <v>16</v>
      </c>
      <c r="F227" s="253" t="n">
        <v>527</v>
      </c>
      <c r="G227" s="253" t="n">
        <v>4</v>
      </c>
      <c r="H227" s="253" t="n">
        <v>3815</v>
      </c>
      <c r="I227" s="253" t="n">
        <v>8371</v>
      </c>
      <c r="J227" s="253" t="n">
        <v>304</v>
      </c>
      <c r="K227" s="622">
        <f>I227+J227</f>
        <v/>
      </c>
      <c r="L227" s="625">
        <f>B227-C227-E227-F227-G227-H227-I227-J227+12815-1543</f>
        <v/>
      </c>
      <c r="M227" s="257" t="n"/>
    </row>
    <row customHeight="1" ht="12" r="228" s="391">
      <c r="A228" s="252" t="n">
        <v>38145</v>
      </c>
      <c r="B228" s="253" t="n">
        <v>8056</v>
      </c>
      <c r="C228" s="253" t="n">
        <v>224</v>
      </c>
      <c r="D228" s="253" t="n">
        <v>222</v>
      </c>
      <c r="E228" s="253" t="n">
        <v>16</v>
      </c>
      <c r="F228" s="253" t="n">
        <v>517</v>
      </c>
      <c r="G228" s="253" t="n">
        <v>4</v>
      </c>
      <c r="H228" s="253" t="n">
        <v>3710</v>
      </c>
      <c r="I228" s="253" t="n">
        <v>8242</v>
      </c>
      <c r="J228" s="253" t="n">
        <v>304</v>
      </c>
      <c r="K228" s="622">
        <f>I228+J228</f>
        <v/>
      </c>
      <c r="L228" s="625">
        <f>B228-C228-E228-F228-G228-H228-I228-J228+12815-1543</f>
        <v/>
      </c>
      <c r="M228" s="257" t="n"/>
    </row>
    <row customHeight="1" ht="12" r="229" s="391">
      <c r="A229" s="252" t="n">
        <v>38114</v>
      </c>
      <c r="B229" s="253" t="n">
        <v>7753</v>
      </c>
      <c r="C229" s="253" t="n">
        <v>222</v>
      </c>
      <c r="D229" s="253" t="n">
        <v>220</v>
      </c>
      <c r="E229" s="253" t="n">
        <v>16</v>
      </c>
      <c r="F229" s="253" t="n">
        <v>508</v>
      </c>
      <c r="G229" s="253" t="n">
        <v>4</v>
      </c>
      <c r="H229" s="253" t="n">
        <v>3613</v>
      </c>
      <c r="I229" s="253" t="n">
        <v>8118</v>
      </c>
      <c r="J229" s="253" t="n">
        <v>304</v>
      </c>
      <c r="K229" s="622">
        <f>I229+J229</f>
        <v/>
      </c>
      <c r="L229" s="625">
        <f>B229-C229-E229-F229-G229-H229-I229-J229+12815-1543</f>
        <v/>
      </c>
      <c r="M229" s="257" t="n"/>
    </row>
    <row customHeight="1" ht="12" r="230" s="391">
      <c r="A230" s="252" t="n">
        <v>38084</v>
      </c>
      <c r="B230" s="253" t="n">
        <v>7439</v>
      </c>
      <c r="C230" s="253" t="n">
        <v>220</v>
      </c>
      <c r="D230" s="253" t="n">
        <v>218</v>
      </c>
      <c r="E230" s="253" t="n">
        <v>16</v>
      </c>
      <c r="F230" s="253" t="n">
        <v>499</v>
      </c>
      <c r="G230" s="253" t="n">
        <v>4</v>
      </c>
      <c r="H230" s="253" t="n">
        <v>3518</v>
      </c>
      <c r="I230" s="253" t="n">
        <v>7999</v>
      </c>
      <c r="J230" s="253" t="n">
        <v>304</v>
      </c>
      <c r="K230" s="622">
        <f>I230+J230</f>
        <v/>
      </c>
      <c r="L230" s="625">
        <f>B230-C230-E230-F230-G230-H230-I230-J230+12815-1543</f>
        <v/>
      </c>
      <c r="M230" s="257" t="n"/>
    </row>
    <row customHeight="1" ht="12" r="231" s="391">
      <c r="A231" s="252" t="n">
        <v>38053</v>
      </c>
      <c r="B231" s="253" t="n">
        <v>7189</v>
      </c>
      <c r="C231" s="253" t="n">
        <v>218</v>
      </c>
      <c r="D231" s="253" t="n">
        <v>216</v>
      </c>
      <c r="E231" s="253" t="n">
        <v>16</v>
      </c>
      <c r="F231" s="253" t="n">
        <v>489</v>
      </c>
      <c r="G231" s="253" t="n">
        <v>4</v>
      </c>
      <c r="H231" s="253" t="n">
        <v>3472</v>
      </c>
      <c r="I231" s="253" t="n">
        <v>7889</v>
      </c>
      <c r="J231" s="253" t="n">
        <v>304</v>
      </c>
      <c r="K231" s="622">
        <f>I231+J231</f>
        <v/>
      </c>
      <c r="L231" s="625">
        <f>B231-C231-E231-F231-G231-H231-I231-J231+12815-1543</f>
        <v/>
      </c>
      <c r="M231" s="257" t="n"/>
    </row>
    <row customHeight="1" ht="12" r="232" s="391">
      <c r="A232" s="252" t="n">
        <v>38024</v>
      </c>
      <c r="B232" s="253" t="n">
        <v>6913</v>
      </c>
      <c r="C232" s="253" t="n">
        <v>217</v>
      </c>
      <c r="D232" s="253" t="n">
        <v>215</v>
      </c>
      <c r="E232" s="253" t="n">
        <v>16</v>
      </c>
      <c r="F232" s="253" t="n">
        <v>480</v>
      </c>
      <c r="G232" s="253" t="n">
        <v>4</v>
      </c>
      <c r="H232" s="253" t="n">
        <v>3400</v>
      </c>
      <c r="I232" s="253" t="n">
        <v>7780</v>
      </c>
      <c r="J232" s="253" t="n">
        <v>304</v>
      </c>
      <c r="K232" s="622">
        <f>I232+J232</f>
        <v/>
      </c>
      <c r="L232" s="625">
        <f>B232-C232-E232-F232-G232-H232-I232-J232+12815-1543</f>
        <v/>
      </c>
      <c r="M232" s="257" t="n"/>
    </row>
    <row customHeight="1" ht="12" r="233" s="391">
      <c r="A233" s="252" t="n">
        <v>37993</v>
      </c>
      <c r="B233" s="253" t="n">
        <v>6589</v>
      </c>
      <c r="C233" s="253" t="n">
        <v>216</v>
      </c>
      <c r="D233" s="253" t="n">
        <v>214</v>
      </c>
      <c r="E233" s="253" t="n">
        <v>16</v>
      </c>
      <c r="F233" s="253" t="n">
        <v>470</v>
      </c>
      <c r="G233" s="253" t="n">
        <v>4</v>
      </c>
      <c r="H233" s="253" t="n">
        <v>3300</v>
      </c>
      <c r="I233" s="253" t="n">
        <v>7636</v>
      </c>
      <c r="J233" s="253" t="n">
        <v>304</v>
      </c>
      <c r="K233" s="622">
        <f>I233+J233</f>
        <v/>
      </c>
      <c r="L233" s="625">
        <f>B233-C233-E233-F233-G233-H233-I233-J233+12815-1543</f>
        <v/>
      </c>
      <c r="M233" s="257" t="n"/>
    </row>
    <row customHeight="1" ht="12" r="234" s="391">
      <c r="A234" s="252" t="n">
        <v>37962</v>
      </c>
      <c r="B234" s="253" t="n">
        <v>6269</v>
      </c>
      <c r="C234" s="253" t="n">
        <v>216</v>
      </c>
      <c r="D234" s="253" t="n">
        <v>214</v>
      </c>
      <c r="E234" s="253" t="n">
        <v>16</v>
      </c>
      <c r="F234" s="253" t="n">
        <v>462</v>
      </c>
      <c r="G234" s="253" t="n">
        <v>4</v>
      </c>
      <c r="H234" s="253" t="n">
        <v>3207</v>
      </c>
      <c r="I234" s="253" t="n">
        <v>7489</v>
      </c>
      <c r="J234" s="253" t="n">
        <v>304</v>
      </c>
      <c r="K234" s="622">
        <f>I234+J234</f>
        <v/>
      </c>
      <c r="L234" s="625">
        <f>B234-C234-E234-F234-G234-H234-I234-J234+12815-1543</f>
        <v/>
      </c>
      <c r="M234" s="257" t="n"/>
    </row>
    <row customHeight="1" ht="12" r="235" s="391">
      <c r="A235" s="252" t="n">
        <v>37932</v>
      </c>
      <c r="B235" s="253" t="n">
        <v>5961</v>
      </c>
      <c r="C235" s="253" t="n">
        <v>213</v>
      </c>
      <c r="D235" s="253" t="n">
        <v>211</v>
      </c>
      <c r="E235" s="253" t="n">
        <v>16</v>
      </c>
      <c r="F235" s="253" t="n">
        <v>453</v>
      </c>
      <c r="G235" s="253" t="n">
        <v>4</v>
      </c>
      <c r="H235" s="253" t="n">
        <v>3131</v>
      </c>
      <c r="I235" s="253" t="n">
        <v>7372</v>
      </c>
      <c r="J235" s="253" t="n">
        <v>304</v>
      </c>
      <c r="K235" s="622">
        <f>I235+J235</f>
        <v/>
      </c>
      <c r="L235" s="625">
        <f>B235-C235-E235-F235-G235-H235-I235-J235+12815-1543</f>
        <v/>
      </c>
      <c r="M235" s="257" t="n"/>
    </row>
    <row customHeight="1" ht="12" r="236" s="391">
      <c r="A236" s="252" t="n">
        <v>37901</v>
      </c>
      <c r="B236" s="253" t="n">
        <v>5848</v>
      </c>
      <c r="C236" s="253" t="n">
        <v>211</v>
      </c>
      <c r="D236" s="253" t="n">
        <v>209</v>
      </c>
      <c r="E236" s="253" t="n">
        <v>16</v>
      </c>
      <c r="F236" s="253" t="n">
        <v>444</v>
      </c>
      <c r="G236" s="253" t="n">
        <v>4</v>
      </c>
      <c r="H236" s="253" t="n">
        <v>3130</v>
      </c>
      <c r="I236" s="253" t="n">
        <v>7331</v>
      </c>
      <c r="J236" s="253" t="n">
        <v>304</v>
      </c>
      <c r="K236" s="622">
        <f>I236+J236</f>
        <v/>
      </c>
      <c r="L236" s="625">
        <f>B236-C236-E236-F236-G236-H236-I236-J236+12815-1543</f>
        <v/>
      </c>
      <c r="M236" s="257" t="n"/>
    </row>
    <row customHeight="1" ht="12" r="237" s="391">
      <c r="A237" s="252" t="n">
        <v>37871</v>
      </c>
      <c r="B237" s="253" t="n">
        <v>5722</v>
      </c>
      <c r="C237" s="253" t="n">
        <v>208</v>
      </c>
      <c r="D237" s="253" t="n">
        <v>206</v>
      </c>
      <c r="E237" s="253" t="n">
        <v>16</v>
      </c>
      <c r="F237" s="253" t="n">
        <v>436</v>
      </c>
      <c r="G237" s="253" t="n">
        <v>4</v>
      </c>
      <c r="H237" s="253" t="n">
        <v>3127</v>
      </c>
      <c r="I237" s="253" t="n">
        <v>7306</v>
      </c>
      <c r="J237" s="253" t="n">
        <v>304</v>
      </c>
      <c r="K237" s="622">
        <f>I237+J237</f>
        <v/>
      </c>
      <c r="L237" s="625">
        <f>B237-C237-E237-F237-G237-H237-I237-J237+12815-1543</f>
        <v/>
      </c>
      <c r="M237" s="257" t="n"/>
    </row>
    <row customHeight="1" ht="12" r="238" s="391">
      <c r="A238" s="252" t="n">
        <v>37840</v>
      </c>
      <c r="B238" s="253" t="n">
        <v>5604</v>
      </c>
      <c r="C238" s="253" t="n">
        <v>207</v>
      </c>
      <c r="D238" s="253" t="n">
        <v>205</v>
      </c>
      <c r="E238" s="253" t="n">
        <v>16</v>
      </c>
      <c r="F238" s="253" t="n">
        <v>426</v>
      </c>
      <c r="G238" s="253" t="n">
        <v>4</v>
      </c>
      <c r="H238" s="253" t="n">
        <v>3126</v>
      </c>
      <c r="I238" s="253" t="n">
        <v>7290</v>
      </c>
      <c r="J238" s="253" t="n">
        <v>304</v>
      </c>
      <c r="K238" s="622">
        <f>I238+J238</f>
        <v/>
      </c>
      <c r="L238" s="625">
        <f>B238-C238-E238-F238-G238-H238-I238-J238+12815-1543</f>
        <v/>
      </c>
      <c r="M238" s="257" t="n"/>
    </row>
    <row customHeight="1" ht="12" r="239" s="391">
      <c r="A239" s="252" t="n">
        <v>37809</v>
      </c>
      <c r="B239" s="253" t="n">
        <v>5432</v>
      </c>
      <c r="C239" s="253" t="n">
        <v>205</v>
      </c>
      <c r="D239" s="253" t="n">
        <v>203</v>
      </c>
      <c r="E239" s="253" t="n">
        <v>16</v>
      </c>
      <c r="F239" s="253" t="n">
        <v>417</v>
      </c>
      <c r="G239" s="253" t="n">
        <v>4</v>
      </c>
      <c r="H239" s="253" t="n">
        <v>3126</v>
      </c>
      <c r="I239" s="253" t="n">
        <v>7250</v>
      </c>
      <c r="J239" s="253" t="n">
        <v>301</v>
      </c>
      <c r="K239" s="622">
        <f>I239+J239</f>
        <v/>
      </c>
      <c r="L239" s="625">
        <f>B239-C239-E239-F239-G239-H239-I239-J239+12815-1543</f>
        <v/>
      </c>
      <c r="M239" s="257" t="n"/>
    </row>
    <row customHeight="1" ht="12" r="240" s="391">
      <c r="A240" s="252" t="n">
        <v>37779</v>
      </c>
      <c r="B240" s="253" t="n">
        <v>5212</v>
      </c>
      <c r="C240" s="253" t="n">
        <v>203</v>
      </c>
      <c r="D240" s="253" t="n">
        <v>201</v>
      </c>
      <c r="E240" s="253" t="n">
        <v>16</v>
      </c>
      <c r="F240" s="253" t="n">
        <v>407</v>
      </c>
      <c r="G240" s="253" t="n">
        <v>4</v>
      </c>
      <c r="H240" s="253" t="n">
        <v>3125</v>
      </c>
      <c r="I240" s="253" t="n">
        <v>7162</v>
      </c>
      <c r="J240" s="253" t="n">
        <v>292</v>
      </c>
      <c r="K240" s="622">
        <f>I240+J240</f>
        <v/>
      </c>
      <c r="L240" s="625">
        <f>B240-C240-E240-F240-G240-H240-I240-J240+12815-1543</f>
        <v/>
      </c>
      <c r="M240" s="257" t="n"/>
    </row>
    <row customHeight="1" ht="12" r="241" s="391">
      <c r="A241" s="252" t="n">
        <v>37748</v>
      </c>
      <c r="B241" s="253" t="n">
        <v>5040</v>
      </c>
      <c r="C241" s="253" t="n">
        <v>202</v>
      </c>
      <c r="D241" s="253" t="n">
        <v>200</v>
      </c>
      <c r="E241" s="253" t="n">
        <v>16</v>
      </c>
      <c r="F241" s="253" t="n">
        <v>398</v>
      </c>
      <c r="G241" s="253" t="n">
        <v>4</v>
      </c>
      <c r="H241" s="253" t="n">
        <v>3124</v>
      </c>
      <c r="I241" s="253" t="n">
        <v>7103</v>
      </c>
      <c r="J241" s="253" t="n">
        <v>284</v>
      </c>
      <c r="K241" s="622">
        <f>I241+J241</f>
        <v/>
      </c>
      <c r="L241" s="625">
        <f>B241-C241-E241-F241-G241-H241-I241-J241+12815-1543</f>
        <v/>
      </c>
      <c r="M241" s="257" t="n"/>
    </row>
    <row customHeight="1" ht="12" r="242" s="391">
      <c r="A242" s="252" t="n">
        <v>37718</v>
      </c>
      <c r="B242" s="253" t="n">
        <v>4868</v>
      </c>
      <c r="C242" s="253" t="n">
        <v>200</v>
      </c>
      <c r="D242" s="253" t="n">
        <v>198</v>
      </c>
      <c r="E242" s="253" t="n">
        <v>16</v>
      </c>
      <c r="F242" s="253" t="n">
        <v>386</v>
      </c>
      <c r="G242" s="253" t="n">
        <v>4</v>
      </c>
      <c r="H242" s="253" t="n">
        <v>3117</v>
      </c>
      <c r="I242" s="253" t="n">
        <v>7035</v>
      </c>
      <c r="J242" s="253" t="n">
        <v>275</v>
      </c>
      <c r="K242" s="622">
        <f>I242+J242</f>
        <v/>
      </c>
      <c r="L242" s="625">
        <f>B242-C242-E242-F242-G242-H242-I242-J242+12815-1543</f>
        <v/>
      </c>
      <c r="M242" s="257" t="n"/>
    </row>
    <row customHeight="1" ht="12" r="243" s="391">
      <c r="A243" s="252" t="n">
        <v>37687</v>
      </c>
      <c r="B243" s="253" t="n">
        <v>4654</v>
      </c>
      <c r="C243" s="253" t="n">
        <v>197</v>
      </c>
      <c r="D243" s="253" t="n">
        <v>195</v>
      </c>
      <c r="E243" s="253" t="n">
        <v>16</v>
      </c>
      <c r="F243" s="253" t="n">
        <v>375</v>
      </c>
      <c r="G243" s="253" t="n">
        <v>4</v>
      </c>
      <c r="H243" s="253" t="n">
        <v>3097</v>
      </c>
      <c r="I243" s="253" t="n">
        <v>6940</v>
      </c>
      <c r="J243" s="253" t="n">
        <v>261</v>
      </c>
      <c r="K243" s="622">
        <f>I243+J243</f>
        <v/>
      </c>
      <c r="L243" s="625">
        <f>B243-C243-E243-F243-G243-H243-I243-J243+12815-1543</f>
        <v/>
      </c>
      <c r="M243" s="257" t="n"/>
    </row>
    <row customHeight="1" ht="12" r="244" s="391">
      <c r="A244" s="252" t="n">
        <v>37659</v>
      </c>
      <c r="B244" s="253" t="n">
        <v>4448</v>
      </c>
      <c r="C244" s="253" t="n">
        <v>197</v>
      </c>
      <c r="D244" s="253" t="n">
        <v>195</v>
      </c>
      <c r="E244" s="253" t="n">
        <v>16</v>
      </c>
      <c r="F244" s="253" t="n">
        <v>366</v>
      </c>
      <c r="G244" s="253" t="n">
        <v>4</v>
      </c>
      <c r="H244" s="253" t="n">
        <v>3047</v>
      </c>
      <c r="I244" s="253" t="n">
        <v>6855</v>
      </c>
      <c r="J244" s="253" t="n">
        <v>246</v>
      </c>
      <c r="K244" s="622">
        <f>I244+J244</f>
        <v/>
      </c>
      <c r="L244" s="625">
        <f>B244-C244-E244-F244-G244-H244-I244-J244+12815-1543</f>
        <v/>
      </c>
      <c r="M244" s="257" t="n"/>
    </row>
    <row customHeight="1" ht="12" r="245" s="391">
      <c r="A245" s="252" t="n">
        <v>37628</v>
      </c>
      <c r="B245" s="253" t="n">
        <v>4128</v>
      </c>
      <c r="C245" s="253" t="n">
        <v>195</v>
      </c>
      <c r="D245" s="253" t="n">
        <v>193</v>
      </c>
      <c r="E245" s="253" t="n">
        <v>16</v>
      </c>
      <c r="F245" s="253" t="n">
        <v>355</v>
      </c>
      <c r="G245" s="253" t="n">
        <v>4</v>
      </c>
      <c r="H245" s="253" t="n">
        <v>2963</v>
      </c>
      <c r="I245" s="253" t="n">
        <v>6724</v>
      </c>
      <c r="J245" s="253" t="n">
        <v>229</v>
      </c>
      <c r="K245" s="622">
        <f>I245+J245</f>
        <v/>
      </c>
      <c r="L245" s="625">
        <f>B245-C245-E245-F245-G245-H245-I245-J245+12815-1543</f>
        <v/>
      </c>
      <c r="M245" s="257" t="n"/>
    </row>
    <row customHeight="1" ht="12" r="246" s="391">
      <c r="A246" s="252" t="n">
        <v>37597</v>
      </c>
      <c r="B246" s="253" t="n">
        <v>3876</v>
      </c>
      <c r="C246" s="253" t="n">
        <v>193</v>
      </c>
      <c r="D246" s="253" t="n">
        <v>191</v>
      </c>
      <c r="E246" s="253" t="n">
        <v>16</v>
      </c>
      <c r="F246" s="253" t="n">
        <v>346</v>
      </c>
      <c r="G246" s="253" t="n">
        <v>4</v>
      </c>
      <c r="H246" s="253" t="n">
        <v>2924</v>
      </c>
      <c r="I246" s="253" t="n">
        <v>6632</v>
      </c>
      <c r="J246" s="253" t="n">
        <v>217</v>
      </c>
      <c r="K246" s="622">
        <f>I246+J246</f>
        <v/>
      </c>
      <c r="L246" s="625">
        <f>B246-C246-E246-F246-G246-H246-I246-J246+12815-1543</f>
        <v/>
      </c>
      <c r="M246" s="257" t="n"/>
    </row>
    <row customHeight="1" ht="12" r="247" s="391">
      <c r="A247" s="252" t="n">
        <v>37567</v>
      </c>
      <c r="B247" s="253" t="n">
        <v>3643</v>
      </c>
      <c r="C247" s="253" t="n">
        <v>189</v>
      </c>
      <c r="D247" s="253" t="n">
        <v>187</v>
      </c>
      <c r="E247" s="253" t="n">
        <v>16</v>
      </c>
      <c r="F247" s="253" t="n">
        <v>337</v>
      </c>
      <c r="G247" s="253" t="n">
        <v>4</v>
      </c>
      <c r="H247" s="253" t="n">
        <v>2890</v>
      </c>
      <c r="I247" s="253" t="n">
        <v>6561</v>
      </c>
      <c r="J247" s="253" t="n">
        <v>207</v>
      </c>
      <c r="K247" s="622">
        <f>I247+J247</f>
        <v/>
      </c>
      <c r="L247" s="625">
        <f>B247-C247-E247-F247-G247-H247-I247-J247+12815-1543</f>
        <v/>
      </c>
      <c r="M247" s="257" t="n"/>
    </row>
    <row customHeight="1" ht="12" r="248" s="391">
      <c r="A248" s="252" t="n">
        <v>37536</v>
      </c>
      <c r="B248" s="253" t="n">
        <v>3386</v>
      </c>
      <c r="C248" s="253" t="n">
        <v>186</v>
      </c>
      <c r="D248" s="253" t="n">
        <v>184</v>
      </c>
      <c r="E248" s="253" t="n">
        <v>16</v>
      </c>
      <c r="F248" s="253" t="n">
        <v>325</v>
      </c>
      <c r="G248" s="253" t="n">
        <v>4</v>
      </c>
      <c r="H248" s="253" t="n">
        <v>2855</v>
      </c>
      <c r="I248" s="253" t="n">
        <v>6480</v>
      </c>
      <c r="J248" s="253" t="n">
        <v>199</v>
      </c>
      <c r="K248" s="622">
        <f>I248+J248</f>
        <v/>
      </c>
      <c r="L248" s="625">
        <f>B248-C248-E248-F248-G248-H248-I248-J248+12815-1543</f>
        <v/>
      </c>
      <c r="M248" s="257" t="n"/>
    </row>
    <row customHeight="1" ht="12" r="249" s="391">
      <c r="A249" s="252" t="n">
        <v>37506</v>
      </c>
      <c r="B249" s="253" t="n">
        <v>3133</v>
      </c>
      <c r="C249" s="253" t="n">
        <v>183</v>
      </c>
      <c r="D249" s="253" t="n">
        <v>181</v>
      </c>
      <c r="E249" s="253" t="n">
        <v>16</v>
      </c>
      <c r="F249" s="253" t="n">
        <v>316</v>
      </c>
      <c r="G249" s="253" t="n">
        <v>4</v>
      </c>
      <c r="H249" s="253" t="n">
        <v>2815</v>
      </c>
      <c r="I249" s="253" t="n">
        <v>6371</v>
      </c>
      <c r="J249" s="253" t="n">
        <v>191</v>
      </c>
      <c r="K249" s="622">
        <f>I249+J249</f>
        <v/>
      </c>
      <c r="L249" s="625">
        <f>B249-C249-E249-F249-G249-H249-I249-J249+12815-1543</f>
        <v/>
      </c>
      <c r="M249" s="257" t="n"/>
    </row>
    <row customHeight="1" ht="12" r="250" s="391">
      <c r="A250" s="252" t="n">
        <v>37475</v>
      </c>
      <c r="B250" s="253" t="n">
        <v>2752</v>
      </c>
      <c r="C250" s="253" t="n">
        <v>180</v>
      </c>
      <c r="D250" s="253" t="n">
        <v>178</v>
      </c>
      <c r="E250" s="253" t="n">
        <v>16</v>
      </c>
      <c r="F250" s="253" t="n">
        <v>304</v>
      </c>
      <c r="G250" s="253" t="n">
        <v>4</v>
      </c>
      <c r="H250" s="253" t="n">
        <v>2733</v>
      </c>
      <c r="I250" s="253" t="n">
        <v>6220</v>
      </c>
      <c r="J250" s="253" t="n">
        <v>181</v>
      </c>
      <c r="K250" s="622">
        <f>I250+J250</f>
        <v/>
      </c>
      <c r="L250" s="625">
        <f>B250-C250-E250-F250-G250-H250-I250-J250+12815-1543</f>
        <v/>
      </c>
      <c r="M250" s="257" t="n"/>
    </row>
    <row customHeight="1" ht="12" r="251" s="391">
      <c r="A251" s="252" t="n">
        <v>37444</v>
      </c>
      <c r="B251" s="253" t="n">
        <v>2451</v>
      </c>
      <c r="C251" s="253" t="n">
        <v>178</v>
      </c>
      <c r="D251" s="253" t="n">
        <v>176</v>
      </c>
      <c r="E251" s="253" t="n">
        <v>16</v>
      </c>
      <c r="F251" s="253" t="n">
        <v>295</v>
      </c>
      <c r="G251" s="253" t="n">
        <v>4</v>
      </c>
      <c r="H251" s="253" t="n">
        <v>2661</v>
      </c>
      <c r="I251" s="253" t="n">
        <v>6089</v>
      </c>
      <c r="J251" s="253" t="n">
        <v>173</v>
      </c>
      <c r="K251" s="622">
        <f>I251+J251</f>
        <v/>
      </c>
      <c r="L251" s="625">
        <f>B251-C251-E251-F251-G251-H251-I251-J251+12815-1543</f>
        <v/>
      </c>
      <c r="M251" s="257" t="n"/>
    </row>
    <row customHeight="1" ht="12" r="252" s="391">
      <c r="A252" s="252" t="n">
        <v>37414</v>
      </c>
      <c r="B252" s="253" t="n">
        <v>2195</v>
      </c>
      <c r="C252" s="253" t="n">
        <v>175</v>
      </c>
      <c r="D252" s="253" t="n">
        <v>173</v>
      </c>
      <c r="E252" s="253" t="n">
        <v>16</v>
      </c>
      <c r="F252" s="253" t="n">
        <v>287</v>
      </c>
      <c r="G252" s="253" t="n">
        <v>4</v>
      </c>
      <c r="H252" s="253" t="n">
        <v>2585</v>
      </c>
      <c r="I252" s="253" t="n">
        <v>5966</v>
      </c>
      <c r="J252" s="253" t="n">
        <v>164</v>
      </c>
      <c r="K252" s="622">
        <f>I252+J252</f>
        <v/>
      </c>
      <c r="L252" s="625">
        <f>B252-C252-E252-F252-G252-H252-I252-J252+12815-1543</f>
        <v/>
      </c>
      <c r="M252" s="257" t="n"/>
    </row>
    <row customHeight="1" ht="12" r="253" s="391">
      <c r="A253" s="252" t="n">
        <v>37383</v>
      </c>
      <c r="B253" s="253" t="n">
        <v>1828</v>
      </c>
      <c r="C253" s="253" t="n">
        <v>171</v>
      </c>
      <c r="D253" s="253" t="n">
        <v>169</v>
      </c>
      <c r="E253" s="253" t="n">
        <v>16</v>
      </c>
      <c r="F253" s="253" t="n">
        <v>277</v>
      </c>
      <c r="G253" s="253" t="n">
        <v>4</v>
      </c>
      <c r="H253" s="253" t="n">
        <v>2489</v>
      </c>
      <c r="I253" s="253" t="n">
        <v>5823</v>
      </c>
      <c r="J253" s="253" t="n">
        <v>149</v>
      </c>
      <c r="K253" s="622">
        <f>I253+J253</f>
        <v/>
      </c>
      <c r="L253" s="625">
        <f>B253-C253-E253-F253-G253-H253-I253-J253+12815-1543</f>
        <v/>
      </c>
      <c r="M253" s="257" t="n"/>
    </row>
    <row customHeight="1" ht="12" r="254" s="391">
      <c r="A254" s="252" t="n">
        <v>37353</v>
      </c>
      <c r="B254" s="253" t="n">
        <v>1486</v>
      </c>
      <c r="C254" s="253" t="n">
        <v>168</v>
      </c>
      <c r="D254" s="253" t="n">
        <v>166</v>
      </c>
      <c r="E254" s="253" t="n">
        <v>16</v>
      </c>
      <c r="F254" s="253" t="n">
        <v>267</v>
      </c>
      <c r="G254" s="253" t="n">
        <v>4</v>
      </c>
      <c r="H254" s="253" t="n">
        <v>2426</v>
      </c>
      <c r="I254" s="253" t="n">
        <v>5684</v>
      </c>
      <c r="J254" s="253" t="n">
        <v>132</v>
      </c>
      <c r="K254" s="622">
        <f>I254+J254</f>
        <v/>
      </c>
      <c r="L254" s="625">
        <f>B254-C254-E254-F254-G254-H254-I254-J254+12815-1543</f>
        <v/>
      </c>
      <c r="M254" s="257" t="n"/>
    </row>
    <row customHeight="1" ht="12" r="255" s="391">
      <c r="A255" s="252" t="n">
        <v>37322</v>
      </c>
      <c r="B255" s="253" t="n">
        <v>1125</v>
      </c>
      <c r="C255" s="253" t="n">
        <v>165</v>
      </c>
      <c r="D255" s="253" t="n">
        <v>163</v>
      </c>
      <c r="E255" s="253" t="n">
        <v>16</v>
      </c>
      <c r="F255" s="253" t="n">
        <v>258</v>
      </c>
      <c r="G255" s="253" t="n">
        <v>4</v>
      </c>
      <c r="H255" s="253" t="n">
        <v>2349</v>
      </c>
      <c r="I255" s="253" t="n">
        <v>5537</v>
      </c>
      <c r="J255" s="253" t="n">
        <v>113</v>
      </c>
      <c r="K255" s="622">
        <f>I255+J255</f>
        <v/>
      </c>
      <c r="L255" s="625">
        <f>B255-C255-E255-F255-G255-H255-I255-J255+12815-1543</f>
        <v/>
      </c>
      <c r="M255" s="257" t="n"/>
    </row>
    <row customHeight="1" ht="12" r="256" s="391">
      <c r="A256" s="252" t="n">
        <v>37294</v>
      </c>
      <c r="B256" s="253" t="n">
        <v>887</v>
      </c>
      <c r="C256" s="253" t="n">
        <v>163</v>
      </c>
      <c r="D256" s="253" t="n">
        <v>161</v>
      </c>
      <c r="E256" s="253" t="n">
        <v>16</v>
      </c>
      <c r="F256" s="253" t="n">
        <v>251</v>
      </c>
      <c r="G256" s="253" t="n">
        <v>4</v>
      </c>
      <c r="H256" s="253" t="n">
        <v>2293</v>
      </c>
      <c r="I256" s="253" t="n">
        <v>5438</v>
      </c>
      <c r="J256" s="253" t="n">
        <v>98</v>
      </c>
      <c r="K256" s="622">
        <f>I256+J256</f>
        <v/>
      </c>
      <c r="L256" s="625">
        <f>B256-C256-E256-F256-G256-H256-I256-J256+12815-1543</f>
        <v/>
      </c>
      <c r="M256" s="257" t="n"/>
    </row>
    <row customHeight="1" ht="12" r="257" s="391">
      <c r="A257" s="252" t="n">
        <v>37263</v>
      </c>
      <c r="B257" s="253" t="n">
        <v>606</v>
      </c>
      <c r="C257" s="253" t="n">
        <v>161</v>
      </c>
      <c r="D257" s="253" t="n">
        <v>159</v>
      </c>
      <c r="E257" s="253" t="n">
        <v>16</v>
      </c>
      <c r="F257" s="253" t="n">
        <v>241</v>
      </c>
      <c r="G257" s="253" t="n">
        <v>4</v>
      </c>
      <c r="H257" s="253" t="n">
        <v>2225</v>
      </c>
      <c r="I257" s="253" t="n">
        <v>5336</v>
      </c>
      <c r="J257" s="253" t="n">
        <v>80</v>
      </c>
      <c r="K257" s="622">
        <f>I257+J257</f>
        <v/>
      </c>
      <c r="L257" s="625">
        <f>B257-C257-E257-F257-G257-H257-I257-J257+12815-1543</f>
        <v/>
      </c>
      <c r="M257" s="257" t="n"/>
    </row>
    <row customHeight="1" ht="12" r="258" s="391">
      <c r="A258" s="252" t="n">
        <v>37232</v>
      </c>
      <c r="B258" s="253" t="n">
        <v>341</v>
      </c>
      <c r="C258" s="253" t="n">
        <v>159</v>
      </c>
      <c r="D258" s="253" t="n">
        <v>157</v>
      </c>
      <c r="E258" s="253" t="n">
        <v>16</v>
      </c>
      <c r="F258" s="253" t="n">
        <v>233</v>
      </c>
      <c r="G258" s="253" t="n">
        <v>4</v>
      </c>
      <c r="H258" s="253" t="n">
        <v>2167</v>
      </c>
      <c r="I258" s="253" t="n">
        <v>5236</v>
      </c>
      <c r="J258" s="253" t="n">
        <v>65</v>
      </c>
      <c r="K258" s="622">
        <f>I258+J258</f>
        <v/>
      </c>
      <c r="L258" s="625">
        <f>B258-C258-E258-F258-G258-H258-I258-J258+12815-1543</f>
        <v/>
      </c>
      <c r="M258" s="257" t="inlineStr">
        <is>
          <t>5층옥상 65</t>
        </is>
      </c>
    </row>
    <row customHeight="1" ht="12" r="259" s="391">
      <c r="A259" s="252" t="n">
        <v>37202</v>
      </c>
      <c r="B259" s="253" t="n">
        <v>12815</v>
      </c>
      <c r="C259" s="253" t="n">
        <v>157</v>
      </c>
      <c r="D259" s="253" t="n">
        <v>155</v>
      </c>
      <c r="E259" s="253" t="n">
        <v>16</v>
      </c>
      <c r="F259" s="253" t="n">
        <v>224</v>
      </c>
      <c r="G259" s="253" t="n">
        <v>4</v>
      </c>
      <c r="H259" s="253" t="n">
        <v>2083</v>
      </c>
      <c r="I259" s="253" t="n">
        <v>5118</v>
      </c>
      <c r="J259" s="253" t="n">
        <v>47</v>
      </c>
      <c r="K259" s="622">
        <f>I259+J259</f>
        <v/>
      </c>
      <c r="L259" s="625">
        <f>B259-C259-E259-F259-G259-H259-I259-J259-1543</f>
        <v/>
      </c>
      <c r="M259" s="257" t="inlineStr">
        <is>
          <t>5층옥상 47 /시작20</t>
        </is>
      </c>
    </row>
    <row customHeight="1" ht="12" r="260" s="391">
      <c r="A260" s="252" t="n">
        <v>37171</v>
      </c>
      <c r="B260" s="253" t="n">
        <v>12388</v>
      </c>
      <c r="C260" s="253" t="n">
        <v>154</v>
      </c>
      <c r="D260" s="253" t="n">
        <v>152</v>
      </c>
      <c r="E260" s="253" t="n">
        <v>16</v>
      </c>
      <c r="F260" s="253" t="n">
        <v>214</v>
      </c>
      <c r="G260" s="253" t="n">
        <v>4</v>
      </c>
      <c r="H260" s="253" t="n">
        <v>2001</v>
      </c>
      <c r="I260" s="253" t="n">
        <v>4941</v>
      </c>
      <c r="J260" s="253" t="n">
        <v>24</v>
      </c>
      <c r="K260" s="622">
        <f>I260+J260</f>
        <v/>
      </c>
      <c r="L260" s="625">
        <f>B260-C260-E260-F260-G260-H260-I260-J260-1543</f>
        <v/>
      </c>
      <c r="M260" s="257" t="inlineStr">
        <is>
          <t>5층옥상 24</t>
        </is>
      </c>
    </row>
    <row customHeight="1" ht="12" r="261" s="391">
      <c r="A261" s="252" t="n">
        <v>37141</v>
      </c>
      <c r="B261" s="253" t="n">
        <v>11905</v>
      </c>
      <c r="C261" s="253" t="n">
        <v>151</v>
      </c>
      <c r="D261" s="253" t="n">
        <v>149</v>
      </c>
      <c r="E261" s="253" t="n">
        <v>16</v>
      </c>
      <c r="F261" s="253" t="n">
        <v>206</v>
      </c>
      <c r="G261" s="253" t="n">
        <v>4</v>
      </c>
      <c r="H261" s="253" t="n">
        <v>1920</v>
      </c>
      <c r="I261" s="253" t="n">
        <v>4790</v>
      </c>
      <c r="J261" s="253" t="n">
        <v>1543</v>
      </c>
      <c r="K261" s="622">
        <f>I261+J261</f>
        <v/>
      </c>
      <c r="L261" s="625">
        <f>B261-C261-E261-F261-G261-H261-I261-J261</f>
        <v/>
      </c>
      <c r="M261" s="257" t="inlineStr">
        <is>
          <t>5층옥상 236</t>
        </is>
      </c>
    </row>
    <row customHeight="1" ht="12" r="262" s="391">
      <c r="A262" s="252" t="n">
        <v>37110</v>
      </c>
      <c r="B262" s="253" t="n">
        <v>11358</v>
      </c>
      <c r="C262" s="253" t="n">
        <v>148</v>
      </c>
      <c r="D262" s="253" t="n">
        <v>146</v>
      </c>
      <c r="E262" s="253" t="n">
        <v>16</v>
      </c>
      <c r="F262" s="253" t="n">
        <v>196</v>
      </c>
      <c r="G262" s="253" t="n">
        <v>4</v>
      </c>
      <c r="H262" s="253" t="n">
        <v>1802</v>
      </c>
      <c r="I262" s="253" t="n">
        <v>4580</v>
      </c>
      <c r="J262" s="253" t="n">
        <v>1516</v>
      </c>
      <c r="K262" s="622">
        <f>I262+J262</f>
        <v/>
      </c>
      <c r="L262" s="625">
        <f>B262-C262-E262-F262-G262-H262-I262-J262</f>
        <v/>
      </c>
      <c r="M262" s="257" t="inlineStr">
        <is>
          <t>5층옥상 209</t>
        </is>
      </c>
    </row>
    <row customHeight="1" ht="12" r="263" s="391">
      <c r="A263" s="252" t="n">
        <v>37079</v>
      </c>
      <c r="B263" s="253" t="n">
        <v>10898</v>
      </c>
      <c r="C263" s="253" t="n">
        <v>145</v>
      </c>
      <c r="D263" s="253" t="n">
        <v>143</v>
      </c>
      <c r="E263" s="253" t="n">
        <v>16</v>
      </c>
      <c r="F263" s="253" t="n">
        <v>188</v>
      </c>
      <c r="G263" s="253" t="n">
        <v>4</v>
      </c>
      <c r="H263" s="253" t="n">
        <v>1725</v>
      </c>
      <c r="I263" s="253" t="n">
        <v>4413</v>
      </c>
      <c r="J263" s="253" t="n">
        <v>1490</v>
      </c>
      <c r="K263" s="622">
        <f>I263+J263</f>
        <v/>
      </c>
      <c r="L263" s="625">
        <f>B263-C263-E263-F263-G263-H263-I263-J263</f>
        <v/>
      </c>
      <c r="M263" s="257" t="inlineStr">
        <is>
          <t>5층옥상 183</t>
        </is>
      </c>
    </row>
    <row customHeight="1" ht="12" r="264" s="391">
      <c r="A264" s="252" t="n">
        <v>37049</v>
      </c>
      <c r="B264" s="253" t="n">
        <v>10473</v>
      </c>
      <c r="C264" s="253" t="n">
        <v>142</v>
      </c>
      <c r="D264" s="253" t="n">
        <v>140</v>
      </c>
      <c r="E264" s="253" t="n">
        <v>16</v>
      </c>
      <c r="F264" s="253" t="n">
        <v>180</v>
      </c>
      <c r="G264" s="253" t="n">
        <v>4</v>
      </c>
      <c r="H264" s="253" t="n">
        <v>1662</v>
      </c>
      <c r="I264" s="253" t="n">
        <v>4270</v>
      </c>
      <c r="J264" s="253" t="n">
        <v>1465</v>
      </c>
      <c r="K264" s="622">
        <f>I264+J264</f>
        <v/>
      </c>
      <c r="L264" s="625">
        <f>B264-C264-E264-F264-G264-H264-I264-J264</f>
        <v/>
      </c>
      <c r="M264" s="257" t="inlineStr">
        <is>
          <t>5층옥상 158</t>
        </is>
      </c>
    </row>
    <row customHeight="1" ht="12" r="265" s="391">
      <c r="A265" s="252" t="n">
        <v>37018</v>
      </c>
      <c r="B265" s="253" t="n">
        <v>9957</v>
      </c>
      <c r="C265" s="253" t="n">
        <v>138</v>
      </c>
      <c r="D265" s="253" t="n">
        <v>136</v>
      </c>
      <c r="E265" s="253" t="n">
        <v>16</v>
      </c>
      <c r="F265" s="253" t="n">
        <v>171</v>
      </c>
      <c r="G265" s="253" t="n">
        <v>4</v>
      </c>
      <c r="H265" s="253" t="n">
        <v>1594</v>
      </c>
      <c r="I265" s="253" t="n">
        <v>4117</v>
      </c>
      <c r="J265" s="253" t="n">
        <v>1436</v>
      </c>
      <c r="K265" s="622">
        <f>I265+J265</f>
        <v/>
      </c>
      <c r="L265" s="625">
        <f>B265-C265-E265-F265-G265-H265-I265-J265</f>
        <v/>
      </c>
      <c r="M265" s="257" t="inlineStr">
        <is>
          <t>5층옥상 129</t>
        </is>
      </c>
    </row>
    <row customHeight="1" ht="12" r="266" s="391">
      <c r="A266" s="252" t="n">
        <v>36988</v>
      </c>
      <c r="B266" s="253" t="n">
        <v>9578</v>
      </c>
      <c r="C266" s="253" t="n">
        <v>134</v>
      </c>
      <c r="D266" s="253" t="n">
        <v>132</v>
      </c>
      <c r="E266" s="253" t="n">
        <v>16</v>
      </c>
      <c r="F266" s="253" t="n">
        <v>162</v>
      </c>
      <c r="G266" s="253" t="n">
        <v>4</v>
      </c>
      <c r="H266" s="253" t="n">
        <v>1540</v>
      </c>
      <c r="I266" s="253" t="n">
        <v>3980</v>
      </c>
      <c r="J266" s="253" t="n">
        <v>1405</v>
      </c>
      <c r="K266" s="622">
        <f>I266+J266</f>
        <v/>
      </c>
      <c r="L266" s="625">
        <f>B266-C266-E266-F266-G266-H266-I266-J266</f>
        <v/>
      </c>
      <c r="M266" s="257" t="inlineStr">
        <is>
          <t>5층옥상 98</t>
        </is>
      </c>
    </row>
    <row customHeight="1" ht="12" r="267" s="391">
      <c r="A267" s="252" t="n">
        <v>36957</v>
      </c>
      <c r="B267" s="253" t="n">
        <v>9236</v>
      </c>
      <c r="C267" s="253" t="n">
        <v>130</v>
      </c>
      <c r="D267" s="253" t="n">
        <v>128</v>
      </c>
      <c r="E267" s="253" t="n">
        <v>16</v>
      </c>
      <c r="F267" s="253" t="n">
        <v>152</v>
      </c>
      <c r="G267" s="253" t="n">
        <v>4</v>
      </c>
      <c r="H267" s="253" t="n">
        <v>1505</v>
      </c>
      <c r="I267" s="253" t="n">
        <v>3869</v>
      </c>
      <c r="J267" s="253" t="n">
        <v>1381</v>
      </c>
      <c r="K267" s="622">
        <f>I267+J267</f>
        <v/>
      </c>
      <c r="L267" s="625">
        <f>B267-C267-E267-F267-G267-H267-I267-J267</f>
        <v/>
      </c>
      <c r="M267" s="257" t="inlineStr">
        <is>
          <t>5층옥상 74</t>
        </is>
      </c>
    </row>
    <row customHeight="1" ht="12" r="268" s="391">
      <c r="A268" s="252" t="n">
        <v>36929</v>
      </c>
      <c r="B268" s="253" t="n">
        <v>8968</v>
      </c>
      <c r="C268" s="253" t="n">
        <v>126</v>
      </c>
      <c r="D268" s="253" t="n">
        <v>124</v>
      </c>
      <c r="E268" s="253" t="n">
        <v>16</v>
      </c>
      <c r="F268" s="253" t="n">
        <v>142</v>
      </c>
      <c r="G268" s="253" t="n">
        <v>4</v>
      </c>
      <c r="H268" s="253" t="n">
        <v>1473</v>
      </c>
      <c r="I268" s="253" t="n">
        <v>3782</v>
      </c>
      <c r="J268" s="253" t="n">
        <v>1348</v>
      </c>
      <c r="K268" s="622">
        <f>I268+J268</f>
        <v/>
      </c>
      <c r="L268" s="625">
        <f>B268-C268-E268-F268-G268-H268-I268-J268</f>
        <v/>
      </c>
      <c r="M268" s="257" t="inlineStr">
        <is>
          <t>5층옥상 41</t>
        </is>
      </c>
    </row>
    <row customHeight="1" ht="12" r="269" s="391">
      <c r="A269" s="252" t="n">
        <v>36898</v>
      </c>
      <c r="B269" s="253" t="n">
        <v>8705</v>
      </c>
      <c r="C269" s="253" t="n">
        <v>122</v>
      </c>
      <c r="D269" s="253" t="n">
        <v>120</v>
      </c>
      <c r="E269" s="253" t="n">
        <v>16</v>
      </c>
      <c r="F269" s="253" t="n">
        <v>133</v>
      </c>
      <c r="G269" s="253" t="n">
        <v>4</v>
      </c>
      <c r="H269" s="253" t="n">
        <v>1436</v>
      </c>
      <c r="I269" s="253" t="n">
        <v>3689</v>
      </c>
      <c r="J269" s="253" t="n">
        <v>1307</v>
      </c>
      <c r="K269" s="622">
        <f>I269+J269</f>
        <v/>
      </c>
      <c r="L269" s="625">
        <f>B269-C269-E269-F269-G269-H269-I269-J269</f>
        <v/>
      </c>
      <c r="M269" s="257" t="n"/>
    </row>
    <row customHeight="1" ht="12" r="270" s="391">
      <c r="A270" s="252" t="n">
        <v>36867</v>
      </c>
      <c r="B270" s="253" t="n">
        <v>8435</v>
      </c>
      <c r="C270" s="253" t="n">
        <v>117</v>
      </c>
      <c r="D270" s="253" t="n">
        <v>115</v>
      </c>
      <c r="E270" s="253" t="n">
        <v>16</v>
      </c>
      <c r="F270" s="253" t="n">
        <v>123</v>
      </c>
      <c r="G270" s="253" t="n">
        <v>4</v>
      </c>
      <c r="H270" s="253" t="n">
        <v>1389</v>
      </c>
      <c r="I270" s="253" t="n">
        <v>3591</v>
      </c>
      <c r="J270" s="253" t="n">
        <v>1285</v>
      </c>
      <c r="K270" s="622">
        <f>I270+J270</f>
        <v/>
      </c>
      <c r="L270" s="625">
        <f>B270-C270-E270-F270-G270-H270-I270-J270</f>
        <v/>
      </c>
      <c r="M270" s="257" t="n"/>
    </row>
    <row customHeight="1" ht="12" r="271" s="391">
      <c r="A271" s="252" t="n">
        <v>36837</v>
      </c>
      <c r="B271" s="253" t="n">
        <v>8117</v>
      </c>
      <c r="C271" s="253" t="n">
        <v>114</v>
      </c>
      <c r="D271" s="253" t="n">
        <v>112</v>
      </c>
      <c r="E271" s="253" t="n">
        <v>16</v>
      </c>
      <c r="F271" s="253" t="n">
        <v>114</v>
      </c>
      <c r="G271" s="253" t="n">
        <v>4</v>
      </c>
      <c r="H271" s="253" t="n">
        <v>1351</v>
      </c>
      <c r="I271" s="253" t="n">
        <v>3480</v>
      </c>
      <c r="J271" s="253" t="n">
        <v>1255</v>
      </c>
      <c r="K271" s="622">
        <f>I271+J271</f>
        <v/>
      </c>
      <c r="L271" s="625">
        <f>B271-C271-E271-F271-G271-H271-I271-J271</f>
        <v/>
      </c>
      <c r="M271" s="257" t="n"/>
    </row>
    <row customHeight="1" ht="12" r="272" s="391">
      <c r="A272" s="252" t="n">
        <v>36806</v>
      </c>
      <c r="B272" s="253" t="n">
        <v>7815</v>
      </c>
      <c r="C272" s="253" t="n">
        <v>111</v>
      </c>
      <c r="D272" s="253" t="n">
        <v>109</v>
      </c>
      <c r="E272" s="253" t="n">
        <v>14</v>
      </c>
      <c r="F272" s="253" t="n">
        <v>103</v>
      </c>
      <c r="G272" s="253" t="n">
        <v>4</v>
      </c>
      <c r="H272" s="253" t="n">
        <v>1337</v>
      </c>
      <c r="I272" s="253" t="n">
        <v>3340</v>
      </c>
      <c r="J272" s="253" t="n">
        <v>1197</v>
      </c>
      <c r="K272" s="622">
        <f>I272+J272</f>
        <v/>
      </c>
      <c r="L272" s="625">
        <f>B272-C272-E272-F272-G272-H272-I272-J272</f>
        <v/>
      </c>
      <c r="M272" s="257" t="inlineStr">
        <is>
          <t>약국 10/18: 110</t>
        </is>
      </c>
    </row>
    <row customHeight="1" ht="12" r="273" s="391">
      <c r="A273" s="252" t="n">
        <v>36776</v>
      </c>
      <c r="B273" s="253" t="n">
        <v>7515</v>
      </c>
      <c r="C273" s="253" t="n">
        <v>105</v>
      </c>
      <c r="D273" s="253" t="n">
        <v>103</v>
      </c>
      <c r="E273" s="253" t="n">
        <v>12</v>
      </c>
      <c r="F273" s="253" t="n">
        <v>92</v>
      </c>
      <c r="G273" s="253" t="n">
        <v>3</v>
      </c>
      <c r="H273" s="253" t="n">
        <v>1335</v>
      </c>
      <c r="I273" s="253" t="n">
        <v>3205</v>
      </c>
      <c r="J273" s="253" t="n">
        <v>1130</v>
      </c>
      <c r="K273" s="622">
        <f>I273+J273</f>
        <v/>
      </c>
      <c r="L273" s="625">
        <f>B273-C273-E273-F273-G273-H273-I273-J273</f>
        <v/>
      </c>
      <c r="M273" s="257" t="n"/>
    </row>
    <row customHeight="1" ht="12" r="274" s="391">
      <c r="A274" s="252" t="n">
        <v>36745</v>
      </c>
      <c r="B274" s="253" t="n">
        <v>7171</v>
      </c>
      <c r="C274" s="253" t="n">
        <v>101</v>
      </c>
      <c r="D274" s="253" t="n">
        <v>99</v>
      </c>
      <c r="E274" s="253" t="n">
        <v>9</v>
      </c>
      <c r="F274" s="253" t="n">
        <v>79</v>
      </c>
      <c r="G274" s="253" t="n">
        <v>3</v>
      </c>
      <c r="H274" s="253" t="n">
        <v>1328</v>
      </c>
      <c r="I274" s="253" t="n">
        <v>3052</v>
      </c>
      <c r="J274" s="253" t="n">
        <v>1081</v>
      </c>
      <c r="K274" s="622">
        <f>I274+J274</f>
        <v/>
      </c>
      <c r="L274" s="625">
        <f>B274-C274-E274-F274-G274-H274-I274-J274</f>
        <v/>
      </c>
      <c r="M274" s="257" t="n"/>
    </row>
    <row customHeight="1" ht="12" r="275" s="391">
      <c r="A275" s="252" t="n">
        <v>36714</v>
      </c>
      <c r="B275" s="253" t="n">
        <v>6865</v>
      </c>
      <c r="C275" s="253" t="n">
        <v>96</v>
      </c>
      <c r="D275" s="253" t="n">
        <v>94</v>
      </c>
      <c r="E275" s="253" t="n">
        <v>5</v>
      </c>
      <c r="F275" s="253" t="n">
        <v>70</v>
      </c>
      <c r="G275" s="253" t="n">
        <v>3</v>
      </c>
      <c r="H275" s="253" t="n">
        <v>1323</v>
      </c>
      <c r="I275" s="253" t="n">
        <v>2921</v>
      </c>
      <c r="J275" s="253" t="n">
        <v>1025</v>
      </c>
      <c r="K275" s="622">
        <f>I275+J275</f>
        <v/>
      </c>
      <c r="L275" s="625">
        <f>B275-C275-E275-F275-G275-H275-I275-J275</f>
        <v/>
      </c>
      <c r="M275" s="257" t="n"/>
    </row>
    <row customHeight="1" ht="12" r="276" s="391">
      <c r="A276" s="252" t="n">
        <v>36684</v>
      </c>
      <c r="B276" s="253" t="n">
        <v>6401</v>
      </c>
      <c r="C276" s="253" t="n">
        <v>93</v>
      </c>
      <c r="D276" s="253" t="n">
        <v>91</v>
      </c>
      <c r="E276" s="253" t="n">
        <v>1</v>
      </c>
      <c r="F276" s="253" t="n">
        <v>63</v>
      </c>
      <c r="G276" s="253" t="n">
        <v>1</v>
      </c>
      <c r="H276" s="253" t="n">
        <v>1234</v>
      </c>
      <c r="I276" s="253" t="n">
        <v>2728</v>
      </c>
      <c r="J276" s="253" t="n">
        <v>969</v>
      </c>
      <c r="K276" s="622">
        <f>I276+J276</f>
        <v/>
      </c>
      <c r="L276" s="625">
        <f>B276-C276-E276-F276-G276-H276-I276-J276</f>
        <v/>
      </c>
      <c r="M276" s="257" t="n"/>
    </row>
    <row customHeight="1" ht="12" r="277" s="391">
      <c r="A277" s="252" t="n">
        <v>36653</v>
      </c>
      <c r="B277" s="253" t="n">
        <v>6005</v>
      </c>
      <c r="C277" s="253" t="n">
        <v>89</v>
      </c>
      <c r="D277" s="253" t="n">
        <v>87</v>
      </c>
      <c r="E277" s="253" t="n">
        <v>1</v>
      </c>
      <c r="F277" s="253" t="n">
        <v>54</v>
      </c>
      <c r="G277" s="253" t="n">
        <v>1</v>
      </c>
      <c r="H277" s="253" t="n">
        <v>1176</v>
      </c>
      <c r="I277" s="253" t="n">
        <v>2559</v>
      </c>
      <c r="J277" s="253" t="n">
        <v>903</v>
      </c>
      <c r="K277" s="622">
        <f>I277+J277</f>
        <v/>
      </c>
      <c r="L277" s="625">
        <f>B277-C277-E277-F277-G277-H277-I277-J277</f>
        <v/>
      </c>
      <c r="M277" s="257" t="n"/>
    </row>
    <row customHeight="1" ht="12" r="278" s="391">
      <c r="A278" s="252" t="n">
        <v>36623</v>
      </c>
      <c r="B278" s="253" t="n">
        <v>5644</v>
      </c>
      <c r="C278" s="253" t="n">
        <v>84</v>
      </c>
      <c r="D278" s="253" t="n">
        <v>82</v>
      </c>
      <c r="E278" s="253" t="n">
        <v>1</v>
      </c>
      <c r="F278" s="253" t="n">
        <v>45</v>
      </c>
      <c r="G278" s="253" t="n">
        <v>1</v>
      </c>
      <c r="H278" s="253" t="n">
        <v>1126</v>
      </c>
      <c r="I278" s="253" t="n">
        <v>2412</v>
      </c>
      <c r="J278" s="253" t="n">
        <v>846</v>
      </c>
      <c r="K278" s="622">
        <f>I278+J278</f>
        <v/>
      </c>
      <c r="L278" s="625">
        <f>B278-C278-E278-F278-G278-H278-I278-J278</f>
        <v/>
      </c>
      <c r="M278" s="257" t="n"/>
    </row>
    <row customHeight="1" ht="12" r="279" s="391">
      <c r="A279" s="252" t="n">
        <v>36592</v>
      </c>
      <c r="B279" s="253" t="n">
        <v>5294</v>
      </c>
      <c r="C279" s="253" t="n">
        <v>76</v>
      </c>
      <c r="D279" s="253" t="n">
        <v>74</v>
      </c>
      <c r="E279" s="253" t="n">
        <v>1</v>
      </c>
      <c r="F279" s="253" t="n">
        <v>38</v>
      </c>
      <c r="G279" s="253" t="n">
        <v>1</v>
      </c>
      <c r="H279" s="253" t="n">
        <v>1058</v>
      </c>
      <c r="I279" s="253" t="n">
        <v>2274</v>
      </c>
      <c r="J279" s="253" t="n">
        <v>796</v>
      </c>
      <c r="K279" s="622">
        <f>I279+J279</f>
        <v/>
      </c>
      <c r="L279" s="625">
        <f>B279-C279-E279-F279-G279-H279-I279-J279</f>
        <v/>
      </c>
      <c r="M279" s="257" t="n"/>
    </row>
    <row customHeight="1" ht="12" r="280" s="391">
      <c r="A280" s="252" t="n">
        <v>36563</v>
      </c>
      <c r="B280" s="253" t="n">
        <v>4935</v>
      </c>
      <c r="C280" s="253" t="n">
        <v>70</v>
      </c>
      <c r="D280" s="253" t="n">
        <v>68</v>
      </c>
      <c r="E280" s="253" t="n">
        <v>1</v>
      </c>
      <c r="F280" s="253" t="n">
        <v>30</v>
      </c>
      <c r="G280" s="253" t="n">
        <v>1</v>
      </c>
      <c r="H280" s="253" t="n">
        <v>976</v>
      </c>
      <c r="I280" s="253" t="n">
        <v>2126</v>
      </c>
      <c r="J280" s="253" t="n">
        <v>757</v>
      </c>
      <c r="K280" s="622">
        <f>I280+J280</f>
        <v/>
      </c>
      <c r="L280" s="625">
        <f>B280-C280-E280-F280-G280-H280-I280-J280</f>
        <v/>
      </c>
      <c r="M280" s="257" t="n"/>
    </row>
    <row customHeight="1" ht="12" r="281" s="391">
      <c r="A281" s="252" t="n">
        <v>36532</v>
      </c>
      <c r="B281" s="253" t="n">
        <v>4632</v>
      </c>
      <c r="C281" s="253" t="n">
        <v>68</v>
      </c>
      <c r="D281" s="253" t="n">
        <v>66</v>
      </c>
      <c r="E281" s="253" t="n">
        <v>1</v>
      </c>
      <c r="F281" s="253" t="n">
        <v>22</v>
      </c>
      <c r="G281" s="253" t="n">
        <v>1</v>
      </c>
      <c r="H281" s="253" t="n">
        <v>919</v>
      </c>
      <c r="I281" s="253" t="n">
        <v>2001</v>
      </c>
      <c r="J281" s="253" t="n">
        <v>714</v>
      </c>
      <c r="K281" s="622">
        <f>I281+J281</f>
        <v/>
      </c>
      <c r="L281" s="625">
        <f>B281-C281-E281-F281-G281-H281-I281-J281</f>
        <v/>
      </c>
      <c r="M281" s="257" t="n"/>
    </row>
    <row customHeight="1" ht="12" r="282" s="391">
      <c r="A282" s="252" t="n">
        <v>36501</v>
      </c>
      <c r="B282" s="253" t="n">
        <v>4341</v>
      </c>
      <c r="C282" s="253" t="n">
        <v>66</v>
      </c>
      <c r="D282" s="253" t="n">
        <v>64</v>
      </c>
      <c r="E282" s="253" t="n">
        <v>1</v>
      </c>
      <c r="F282" s="253" t="n">
        <v>15</v>
      </c>
      <c r="G282" s="253" t="n">
        <v>1</v>
      </c>
      <c r="H282" s="253" t="n">
        <v>854</v>
      </c>
      <c r="I282" s="253" t="n">
        <v>1862</v>
      </c>
      <c r="J282" s="253" t="n">
        <v>661</v>
      </c>
      <c r="K282" s="622">
        <f>I282+J282</f>
        <v/>
      </c>
      <c r="L282" s="625">
        <f>B282-C282-E282-F282-G282-H282-I282-J282</f>
        <v/>
      </c>
      <c r="M282" s="257" t="n"/>
    </row>
    <row customHeight="1" ht="12" r="283" s="391">
      <c r="A283" s="252" t="n">
        <v>36471</v>
      </c>
      <c r="B283" s="253" t="n">
        <v>4004</v>
      </c>
      <c r="C283" s="253" t="n">
        <v>63</v>
      </c>
      <c r="D283" s="253" t="n">
        <v>61</v>
      </c>
      <c r="E283" s="253" t="n">
        <v>1</v>
      </c>
      <c r="F283" s="253" t="n">
        <v>8</v>
      </c>
      <c r="G283" s="253" t="n">
        <v>1</v>
      </c>
      <c r="H283" s="253" t="n">
        <v>794</v>
      </c>
      <c r="I283" s="253" t="n">
        <v>1734</v>
      </c>
      <c r="J283" s="253" t="n">
        <v>609</v>
      </c>
      <c r="K283" s="622">
        <f>I283+J283</f>
        <v/>
      </c>
      <c r="L283" s="625">
        <f>B283-C283-E283-F283-G283-H283-I283-J283</f>
        <v/>
      </c>
      <c r="M283" s="257" t="n"/>
    </row>
    <row customHeight="1" ht="12" r="284" s="391">
      <c r="A284" s="252" t="n">
        <v>36440</v>
      </c>
      <c r="B284" s="253" t="n">
        <v>3680</v>
      </c>
      <c r="C284" s="253" t="n">
        <v>58</v>
      </c>
      <c r="D284" s="253" t="n">
        <v>56</v>
      </c>
      <c r="E284" s="253" t="n">
        <v>1</v>
      </c>
      <c r="F284" s="253" t="n">
        <v>2</v>
      </c>
      <c r="G284" s="253" t="n">
        <v>1</v>
      </c>
      <c r="H284" s="253" t="n">
        <v>755</v>
      </c>
      <c r="I284" s="253" t="n">
        <v>1611</v>
      </c>
      <c r="J284" s="253" t="n">
        <v>554</v>
      </c>
      <c r="K284" s="622">
        <f>I284+J284</f>
        <v/>
      </c>
      <c r="L284" s="625">
        <f>B284-C284-E284-F284-G284-H284-I284-J284</f>
        <v/>
      </c>
      <c r="M284" s="257" t="n"/>
    </row>
    <row customHeight="1" ht="12" r="285" s="391">
      <c r="A285" s="252" t="n">
        <v>36410</v>
      </c>
      <c r="B285" s="253" t="n">
        <v>3378</v>
      </c>
      <c r="C285" s="277" t="inlineStr">
        <is>
          <t>53</t>
        </is>
      </c>
      <c r="D285" s="277" t="inlineStr">
        <is>
          <t>51</t>
        </is>
      </c>
      <c r="E285" s="277" t="inlineStr">
        <is>
          <t>1</t>
        </is>
      </c>
      <c r="F285" s="277" t="inlineStr">
        <is>
          <t>1</t>
        </is>
      </c>
      <c r="G285" s="253" t="n">
        <v>1</v>
      </c>
      <c r="H285" s="253" t="n">
        <v>720</v>
      </c>
      <c r="I285" s="277" t="inlineStr">
        <is>
          <t>1480</t>
        </is>
      </c>
      <c r="J285" s="277" t="inlineStr">
        <is>
          <t>490</t>
        </is>
      </c>
      <c r="K285" s="622">
        <f>I285+J285</f>
        <v/>
      </c>
      <c r="L285" s="625">
        <f>B285-C285-E285-F285-G285-H285-I285-J285</f>
        <v/>
      </c>
      <c r="M285" s="257" t="inlineStr">
        <is>
          <t>치과(230)</t>
        </is>
      </c>
    </row>
    <row customHeight="1" ht="12" r="286" s="391">
      <c r="A286" s="252" t="n">
        <v>36379</v>
      </c>
      <c r="B286" s="253" t="n">
        <v>2995</v>
      </c>
      <c r="C286" s="277" t="inlineStr">
        <is>
          <t>48</t>
        </is>
      </c>
      <c r="D286" s="277" t="inlineStr">
        <is>
          <t>46</t>
        </is>
      </c>
      <c r="E286" s="277" t="inlineStr">
        <is>
          <t>1</t>
        </is>
      </c>
      <c r="F286" s="277" t="inlineStr">
        <is>
          <t>1</t>
        </is>
      </c>
      <c r="G286" s="253" t="n">
        <v>1</v>
      </c>
      <c r="H286" s="253" t="n">
        <v>656</v>
      </c>
      <c r="I286" s="277" t="inlineStr">
        <is>
          <t>1318</t>
        </is>
      </c>
      <c r="J286" s="277" t="inlineStr">
        <is>
          <t>439</t>
        </is>
      </c>
      <c r="K286" s="622">
        <f>I286+J286</f>
        <v/>
      </c>
      <c r="L286" s="625">
        <f>B286-C286-E286-F286-G286-H286-I286-J286</f>
        <v/>
      </c>
      <c r="M286" s="257" t="n"/>
    </row>
    <row customHeight="1" ht="12" r="287" s="391">
      <c r="A287" s="252" t="n">
        <v>36348</v>
      </c>
      <c r="B287" s="253" t="n">
        <v>2618</v>
      </c>
      <c r="C287" s="277" t="inlineStr">
        <is>
          <t>43</t>
        </is>
      </c>
      <c r="D287" s="277" t="inlineStr">
        <is>
          <t>41</t>
        </is>
      </c>
      <c r="E287" s="277" t="inlineStr">
        <is>
          <t>1</t>
        </is>
      </c>
      <c r="F287" s="277" t="inlineStr">
        <is>
          <t>1</t>
        </is>
      </c>
      <c r="G287" s="253" t="n">
        <v>1</v>
      </c>
      <c r="H287" s="253" t="n">
        <v>612</v>
      </c>
      <c r="I287" s="277" t="inlineStr">
        <is>
          <t>1171</t>
        </is>
      </c>
      <c r="J287" s="277" t="inlineStr">
        <is>
          <t>376</t>
        </is>
      </c>
      <c r="K287" s="622">
        <f>I287+J287</f>
        <v/>
      </c>
      <c r="L287" s="277">
        <f>B287-C287-E287-F287-G287-H287-I287-J287</f>
        <v/>
      </c>
      <c r="M287" s="257" t="n"/>
    </row>
    <row customHeight="1" ht="12" r="288" s="391">
      <c r="A288" s="252" t="n">
        <v>36318</v>
      </c>
      <c r="B288" s="253" t="n">
        <v>2343</v>
      </c>
      <c r="C288" s="277" t="inlineStr">
        <is>
          <t>36</t>
        </is>
      </c>
      <c r="D288" s="277" t="inlineStr">
        <is>
          <t>34</t>
        </is>
      </c>
      <c r="E288" s="375" t="n">
        <v>1</v>
      </c>
      <c r="F288" s="348" t="n"/>
      <c r="G288" s="253" t="n">
        <v>1</v>
      </c>
      <c r="H288" s="253" t="n">
        <v>578</v>
      </c>
      <c r="I288" s="277" t="inlineStr">
        <is>
          <t>1073</t>
        </is>
      </c>
      <c r="J288" s="277" t="inlineStr">
        <is>
          <t>334</t>
        </is>
      </c>
      <c r="K288" s="622">
        <f>I288+J288</f>
        <v/>
      </c>
      <c r="L288" s="277">
        <f>B288-C288-E288-G288-H288-I288-J288</f>
        <v/>
      </c>
      <c r="M288" s="257" t="inlineStr">
        <is>
          <t>치과 별도 월정액</t>
        </is>
      </c>
    </row>
    <row customHeight="1" ht="12" r="289" s="391">
      <c r="A289" s="252" t="n">
        <v>36287</v>
      </c>
      <c r="B289" s="253" t="n">
        <v>2039</v>
      </c>
      <c r="C289" s="277" t="inlineStr">
        <is>
          <t>29</t>
        </is>
      </c>
      <c r="D289" s="277" t="inlineStr">
        <is>
          <t>27</t>
        </is>
      </c>
      <c r="E289" s="375" t="n">
        <v>1</v>
      </c>
      <c r="F289" s="348" t="n"/>
      <c r="G289" s="253" t="n">
        <v>1</v>
      </c>
      <c r="H289" s="253" t="n">
        <v>540</v>
      </c>
      <c r="I289" s="277" t="inlineStr">
        <is>
          <t>909</t>
        </is>
      </c>
      <c r="J289" s="277" t="inlineStr">
        <is>
          <t>287</t>
        </is>
      </c>
      <c r="K289" s="622">
        <f>I289+J289</f>
        <v/>
      </c>
      <c r="L289" s="277">
        <f>B289-C289-E289-G289-H289-I289-J289</f>
        <v/>
      </c>
      <c r="M289" s="257" t="inlineStr">
        <is>
          <t>치과 별도 월정액</t>
        </is>
      </c>
    </row>
    <row customHeight="1" ht="12" r="290" s="391">
      <c r="A290" s="252" t="n">
        <v>36257</v>
      </c>
      <c r="B290" s="253" t="n">
        <v>1610</v>
      </c>
      <c r="C290" s="277" t="inlineStr">
        <is>
          <t>23</t>
        </is>
      </c>
      <c r="D290" s="277" t="inlineStr">
        <is>
          <t>21</t>
        </is>
      </c>
      <c r="E290" s="375" t="n">
        <v>1</v>
      </c>
      <c r="F290" s="348" t="n"/>
      <c r="G290" s="253" t="n">
        <v>1</v>
      </c>
      <c r="H290" s="253" t="n">
        <v>480</v>
      </c>
      <c r="I290" s="277" t="inlineStr">
        <is>
          <t>808</t>
        </is>
      </c>
      <c r="J290" s="277" t="inlineStr">
        <is>
          <t>221</t>
        </is>
      </c>
      <c r="K290" s="622">
        <f>I290+J290</f>
        <v/>
      </c>
      <c r="L290" s="277">
        <f>B290-C290-E290-G290-H290-I290-J290</f>
        <v/>
      </c>
      <c r="M290" s="257" t="inlineStr">
        <is>
          <t>치과 별도 월정액</t>
        </is>
      </c>
    </row>
    <row customHeight="1" ht="12" r="291" s="391">
      <c r="A291" s="252" t="n">
        <v>36226</v>
      </c>
      <c r="B291" s="253" t="n">
        <v>1140</v>
      </c>
      <c r="C291" s="277" t="inlineStr">
        <is>
          <t>17</t>
        </is>
      </c>
      <c r="D291" s="277" t="inlineStr">
        <is>
          <t>15</t>
        </is>
      </c>
      <c r="E291" s="375" t="n">
        <v>1</v>
      </c>
      <c r="F291" s="348" t="n"/>
      <c r="G291" s="253" t="n">
        <v>1</v>
      </c>
      <c r="H291" s="253" t="n">
        <v>335</v>
      </c>
      <c r="I291" s="277" t="inlineStr">
        <is>
          <t>565</t>
        </is>
      </c>
      <c r="J291" s="277" t="inlineStr">
        <is>
          <t>166</t>
        </is>
      </c>
      <c r="K291" s="622">
        <f>I291+J291</f>
        <v/>
      </c>
      <c r="L291" s="277">
        <f>B291-C291-E291-G291-H291-I291-J291</f>
        <v/>
      </c>
      <c r="M291" s="257" t="n"/>
    </row>
    <row customHeight="1" ht="12" r="292" s="391">
      <c r="A292" s="252" t="n">
        <v>36198</v>
      </c>
      <c r="B292" s="253" t="n">
        <v>784</v>
      </c>
      <c r="C292" s="277" t="inlineStr">
        <is>
          <t>13</t>
        </is>
      </c>
      <c r="D292" s="277" t="inlineStr">
        <is>
          <t>11</t>
        </is>
      </c>
      <c r="E292" s="375" t="n">
        <v>1</v>
      </c>
      <c r="F292" s="348" t="n"/>
      <c r="G292" s="253" t="n">
        <v>1</v>
      </c>
      <c r="H292" s="253" t="n">
        <v>198</v>
      </c>
      <c r="I292" s="277" t="inlineStr">
        <is>
          <t>359</t>
        </is>
      </c>
      <c r="J292" s="277" t="inlineStr">
        <is>
          <t>125</t>
        </is>
      </c>
      <c r="K292" s="622">
        <f>I292+J292</f>
        <v/>
      </c>
      <c r="L292" s="277">
        <f>B292-C292-E292-G292-H292-I292-J292</f>
        <v/>
      </c>
      <c r="M292" s="257" t="n"/>
    </row>
    <row customHeight="1" ht="12" r="293" s="391">
      <c r="A293" s="252" t="n">
        <v>36167</v>
      </c>
      <c r="B293" s="253" t="n">
        <v>452</v>
      </c>
      <c r="C293" s="277" t="inlineStr">
        <is>
          <t>7</t>
        </is>
      </c>
      <c r="D293" s="277" t="inlineStr">
        <is>
          <t>5</t>
        </is>
      </c>
      <c r="E293" s="375" t="n">
        <v>1</v>
      </c>
      <c r="F293" s="348" t="n"/>
      <c r="G293" s="253" t="n">
        <v>1</v>
      </c>
      <c r="H293" s="253" t="n">
        <v>121</v>
      </c>
      <c r="I293" s="277" t="inlineStr">
        <is>
          <t>203</t>
        </is>
      </c>
      <c r="J293" s="277" t="inlineStr">
        <is>
          <t>71</t>
        </is>
      </c>
      <c r="K293" s="622">
        <f>I293+J293</f>
        <v/>
      </c>
      <c r="L293" s="277">
        <f>B293-C293-E293-G293-H293-I293-J293</f>
        <v/>
      </c>
      <c r="M293" s="257" t="n"/>
    </row>
    <row customHeight="1" ht="12" r="294" s="391">
      <c r="A294" s="252" t="n">
        <v>36136</v>
      </c>
      <c r="B294" s="253" t="n">
        <v>194</v>
      </c>
      <c r="C294" s="375" t="n">
        <v>3</v>
      </c>
      <c r="D294" s="348" t="n"/>
      <c r="E294" s="375" t="n">
        <v>1</v>
      </c>
      <c r="F294" s="348" t="n"/>
      <c r="G294" s="253" t="n">
        <v>1</v>
      </c>
      <c r="H294" s="253" t="n">
        <v>1</v>
      </c>
      <c r="I294" s="277" t="inlineStr">
        <is>
          <t>73</t>
        </is>
      </c>
      <c r="J294" s="277" t="inlineStr">
        <is>
          <t>12</t>
        </is>
      </c>
      <c r="K294" s="622">
        <f>I294+J294</f>
        <v/>
      </c>
      <c r="L294" s="277">
        <f>B294-C294-E294-G294-H294-I294-J294</f>
        <v/>
      </c>
      <c r="M294" s="257" t="n"/>
    </row>
    <row customHeight="1" ht="12" r="295" s="391"/>
    <row customHeight="1" ht="12" r="296" s="391"/>
    <row customHeight="1" ht="12" r="297" s="391"/>
    <row customHeight="1" ht="12" r="298" s="391"/>
    <row customHeight="1" ht="12" r="299" s="391"/>
    <row customHeight="1" ht="12" r="300" s="391"/>
    <row customHeight="1" ht="12" r="301" s="391"/>
    <row customHeight="1" ht="12" r="302" s="391"/>
    <row customHeight="1" ht="12" r="303" s="391"/>
    <row customHeight="1" ht="12" r="304" s="391"/>
    <row customHeight="1" ht="12" r="305" s="391"/>
    <row customHeight="1" ht="12" r="306" s="391"/>
    <row customHeight="1" ht="12" r="307" s="391"/>
    <row customHeight="1" ht="12" r="308" s="391"/>
    <row customHeight="1" ht="12" r="309" s="391"/>
    <row customHeight="1" ht="12" r="310" s="391"/>
    <row customHeight="1" ht="12" r="311" s="391"/>
    <row customHeight="1" ht="12" r="312" s="391"/>
    <row customHeight="1" ht="12" r="313" s="391"/>
    <row customHeight="1" ht="12" r="314" s="391"/>
    <row customHeight="1" ht="12" r="315" s="391"/>
    <row customHeight="1" ht="12" r="316" s="391"/>
    <row customHeight="1" ht="12" r="317" s="391"/>
    <row customHeight="1" ht="12" r="318" s="391"/>
    <row customHeight="1" ht="12" r="319" s="391"/>
    <row customHeight="1" ht="12" r="320" s="391"/>
    <row customHeight="1" ht="12" r="321" s="391"/>
    <row customHeight="1" ht="12" r="322" s="391"/>
    <row customHeight="1" ht="12" r="323" s="391"/>
    <row customHeight="1" ht="12" r="324" s="391"/>
    <row customHeight="1" ht="12" r="325" s="391"/>
    <row customHeight="1" ht="12" r="326" s="391"/>
    <row customHeight="1" ht="12" r="327" s="391"/>
    <row customHeight="1" ht="12" r="328" s="391"/>
    <row customHeight="1" ht="12" r="329" s="391"/>
    <row customHeight="1" ht="12" r="330" s="391"/>
    <row customHeight="1" ht="12" r="331" s="391"/>
    <row customHeight="1" ht="12" r="332" s="391"/>
    <row customHeight="1" ht="12" r="333" s="391"/>
    <row customHeight="1" ht="12" r="334" s="391"/>
    <row customHeight="1" ht="12" r="335" s="391"/>
    <row customHeight="1" ht="12" r="336" s="391"/>
    <row customHeight="1" ht="12" r="337" s="391"/>
    <row customHeight="1" ht="12" r="338" s="391"/>
    <row customHeight="1" ht="12" r="339" s="391"/>
    <row customHeight="1" ht="12" r="340" s="391"/>
    <row customHeight="1" ht="12" r="341" s="391"/>
    <row customHeight="1" ht="12" r="342" s="391"/>
    <row customHeight="1" ht="12" r="343" s="391"/>
    <row customHeight="1" ht="12" r="344" s="391"/>
    <row customHeight="1" ht="12" r="345" s="391"/>
    <row customHeight="1" ht="12" r="346" s="391"/>
    <row customHeight="1" ht="12" r="347" s="391"/>
    <row customHeight="1" ht="12" r="348" s="391"/>
    <row customHeight="1" ht="12" r="349" s="391"/>
    <row customHeight="1" ht="12" r="350" s="391"/>
    <row customHeight="1" ht="12" r="351" s="391"/>
    <row customHeight="1" ht="12" r="352" s="391"/>
    <row customHeight="1" ht="12" r="353" s="391"/>
    <row customHeight="1" ht="12" r="354" s="391"/>
    <row customHeight="1" ht="12" r="355" s="391"/>
    <row customHeight="1" ht="12" r="356" s="391"/>
    <row customHeight="1" ht="12" r="357" s="391"/>
    <row customHeight="1" ht="12" r="358" s="391"/>
    <row customHeight="1" ht="12" r="359" s="391"/>
    <row customHeight="1" ht="12" r="360" s="391"/>
    <row customHeight="1" ht="12" r="361" s="391"/>
    <row customHeight="1" ht="12" r="362" s="391"/>
    <row customHeight="1" ht="12" r="363" s="391"/>
    <row customHeight="1" ht="12" r="364" s="391"/>
    <row customHeight="1" ht="12" r="365" s="391"/>
    <row customHeight="1" ht="12" r="366" s="391"/>
    <row customHeight="1" ht="12" r="367" s="391"/>
    <row customHeight="1" ht="12" r="368" s="391"/>
    <row customHeight="1" ht="12" r="369" s="391"/>
    <row customHeight="1" ht="12" r="370" s="391"/>
    <row customHeight="1" ht="12" r="371" s="391"/>
    <row customHeight="1" ht="12" r="372" s="391"/>
    <row customHeight="1" ht="12" r="373" s="391"/>
    <row customHeight="1" ht="12" r="374" s="391"/>
    <row customHeight="1" ht="12" r="375" s="391"/>
    <row customHeight="1" ht="12" r="376" s="391"/>
    <row customHeight="1" ht="12" r="377" s="391"/>
    <row customHeight="1" ht="12" r="378" s="391"/>
    <row customHeight="1" ht="12" r="379" s="391"/>
    <row customHeight="1" ht="12" r="380" s="391"/>
    <row customHeight="1" ht="12" r="381" s="391"/>
    <row customHeight="1" ht="12" r="382" s="391"/>
    <row customHeight="1" ht="12" r="383" s="391"/>
    <row customHeight="1" ht="12" r="384" s="391"/>
    <row customHeight="1" ht="12" r="385" s="391"/>
    <row customHeight="1" ht="12" r="386" s="391"/>
    <row customHeight="1" ht="12" r="387" s="391"/>
    <row customHeight="1" ht="12" r="388" s="391"/>
    <row customHeight="1" ht="12" r="389" s="391"/>
    <row customHeight="1" ht="12" r="390" s="391"/>
    <row customHeight="1" ht="12" r="391" s="391"/>
    <row customHeight="1" ht="12" r="392" s="391"/>
    <row customHeight="1" ht="12" r="393" s="391"/>
    <row customHeight="1" ht="12" r="394" s="391"/>
    <row customHeight="1" ht="12" r="395" s="391"/>
    <row customHeight="1" ht="12" r="396" s="391"/>
    <row customHeight="1" ht="12" r="397" s="391"/>
    <row customHeight="1" ht="12" r="398" s="391"/>
    <row customHeight="1" ht="12" r="399" s="391"/>
    <row customHeight="1" ht="12" r="400" s="391"/>
    <row customHeight="1" ht="12" r="401" s="391"/>
    <row customHeight="1" ht="12" r="402" s="391"/>
    <row customHeight="1" ht="12" r="403" s="391"/>
    <row customHeight="1" ht="12" r="404" s="391"/>
    <row customHeight="1" ht="12" r="405" s="391"/>
    <row customHeight="1" ht="12" r="406" s="391"/>
    <row customHeight="1" ht="12" r="407" s="391"/>
    <row customHeight="1" ht="12" r="408" s="391"/>
    <row customHeight="1" ht="12" r="409" s="391"/>
    <row customHeight="1" ht="12" r="410" s="391"/>
    <row customHeight="1" ht="12" r="411" s="391"/>
    <row customHeight="1" ht="12" r="412" s="391"/>
    <row customHeight="1" ht="12" r="413" s="391"/>
    <row customHeight="1" ht="12" r="414" s="391"/>
    <row customHeight="1" ht="12" r="415" s="391"/>
    <row customHeight="1" ht="12" r="416" s="391"/>
    <row customHeight="1" ht="12" r="417" s="391"/>
    <row customHeight="1" ht="12" r="418" s="391"/>
    <row customHeight="1" ht="12" r="419" s="391"/>
    <row customHeight="1" ht="12" r="420" s="391"/>
    <row customHeight="1" ht="12" r="421" s="391"/>
    <row customHeight="1" ht="12" r="422" s="391"/>
    <row customHeight="1" ht="12" r="423" s="391"/>
    <row customHeight="1" ht="12" r="424" s="391"/>
    <row customHeight="1" ht="12" r="425" s="391"/>
    <row customHeight="1" ht="12" r="426" s="391"/>
    <row customHeight="1" ht="12" r="427" s="391"/>
    <row customHeight="1" ht="12" r="428" s="391"/>
    <row customHeight="1" ht="12" r="429" s="391"/>
    <row customHeight="1" ht="12" r="430" s="391"/>
    <row customHeight="1" ht="12" r="431" s="391"/>
    <row customHeight="1" ht="12" r="432" s="391"/>
    <row customHeight="1" ht="12" r="433" s="391"/>
    <row customHeight="1" ht="12" r="434" s="391"/>
    <row customHeight="1" ht="12" r="435" s="391"/>
    <row customHeight="1" ht="12" r="436" s="391"/>
    <row customHeight="1" ht="12" r="437" s="391"/>
    <row customHeight="1" ht="12" r="438" s="391"/>
    <row customHeight="1" ht="12" r="439" s="391"/>
    <row customHeight="1" ht="12" r="440" s="391"/>
    <row customHeight="1" ht="12" r="441" s="391"/>
    <row customHeight="1" ht="12" r="442" s="391"/>
    <row customHeight="1" ht="12" r="443" s="391"/>
    <row customHeight="1" ht="12" r="444" s="391"/>
    <row customHeight="1" ht="12" r="445" s="391"/>
    <row customHeight="1" ht="12" r="446" s="391"/>
    <row customHeight="1" ht="12" r="447" s="391"/>
    <row customHeight="1" ht="12" r="448" s="391"/>
    <row customHeight="1" ht="12" r="449" s="391"/>
    <row customHeight="1" ht="12" r="450" s="391"/>
    <row customHeight="1" ht="12" r="451" s="391"/>
    <row customHeight="1" ht="12" r="452" s="391"/>
    <row customHeight="1" ht="12" r="453" s="391"/>
    <row customHeight="1" ht="12" r="454" s="391"/>
    <row customHeight="1" ht="12" r="455" s="391"/>
    <row customHeight="1" ht="12" r="456" s="391"/>
    <row customHeight="1" ht="12" r="457" s="391"/>
    <row customHeight="1" ht="12" r="458" s="391"/>
    <row customHeight="1" ht="12" r="459" s="391"/>
    <row customHeight="1" ht="12" r="460" s="391"/>
    <row customHeight="1" ht="12" r="461" s="391"/>
    <row customHeight="1" ht="12" r="462" s="391"/>
    <row customHeight="1" ht="12" r="463" s="391"/>
    <row customHeight="1" ht="12" r="464" s="391"/>
    <row customHeight="1" ht="12" r="465" s="391"/>
    <row customHeight="1" ht="12" r="466" s="391"/>
    <row customHeight="1" ht="12" r="467" s="391"/>
    <row customHeight="1" ht="12" r="468" s="391"/>
    <row customHeight="1" ht="12" r="469" s="391"/>
    <row customHeight="1" ht="12" r="470" s="391"/>
    <row customHeight="1" ht="12" r="471" s="391"/>
    <row customHeight="1" ht="12" r="472" s="391"/>
    <row customHeight="1" ht="12" r="473" s="391"/>
    <row customHeight="1" ht="12" r="474" s="391"/>
    <row customHeight="1" ht="12" r="475" s="391"/>
    <row customHeight="1" ht="12" r="476" s="391"/>
    <row customHeight="1" ht="12" r="477" s="391"/>
    <row customHeight="1" ht="12" r="478" s="391"/>
    <row customHeight="1" ht="12" r="479" s="391"/>
    <row customHeight="1" ht="12" r="480" s="391"/>
    <row customHeight="1" ht="12" r="481" s="391"/>
    <row customHeight="1" ht="12" r="482" s="391"/>
    <row customHeight="1" ht="12" r="483" s="391"/>
    <row customHeight="1" ht="12" r="484" s="391"/>
    <row customHeight="1" ht="12" r="485" s="391"/>
    <row customHeight="1" ht="12" r="486" s="391"/>
    <row customHeight="1" ht="12" r="487" s="391"/>
    <row customHeight="1" ht="12" r="488" s="391"/>
    <row customHeight="1" ht="12" r="489" s="391"/>
    <row customHeight="1" ht="12" r="490" s="391"/>
    <row customHeight="1" ht="12" r="491" s="391"/>
    <row customHeight="1" ht="12" r="492" s="391"/>
    <row customHeight="1" ht="12" r="493" s="391"/>
    <row customHeight="1" ht="12" r="494" s="391"/>
    <row customHeight="1" ht="12" r="495" s="391"/>
    <row customHeight="1" ht="12" r="496" s="391"/>
    <row customHeight="1" ht="12" r="497" s="391"/>
    <row customHeight="1" ht="12" r="498" s="391"/>
    <row customHeight="1" ht="12" r="499" s="391"/>
    <row customHeight="1" ht="12" r="500" s="391"/>
    <row customHeight="1" ht="12" r="501" s="391"/>
    <row customHeight="1" ht="12" r="502" s="391"/>
    <row customHeight="1" ht="12" r="503" s="391"/>
    <row customHeight="1" ht="12" r="504" s="391"/>
    <row customHeight="1" ht="12" r="505" s="391"/>
    <row customHeight="1" ht="12" r="506" s="391"/>
    <row customHeight="1" ht="12" r="507" s="391"/>
    <row customHeight="1" ht="12" r="508" s="391"/>
    <row customHeight="1" ht="12" r="509" s="391"/>
    <row customHeight="1" ht="12" r="510" s="391"/>
    <row customHeight="1" ht="12" r="511" s="391"/>
    <row customHeight="1" ht="12" r="512" s="391"/>
    <row customHeight="1" ht="12" r="513" s="391"/>
  </sheetData>
  <mergeCells count="15">
    <mergeCell ref="M3:M4"/>
    <mergeCell ref="L3:L4"/>
    <mergeCell ref="A3:A4"/>
    <mergeCell ref="B3:B4"/>
    <mergeCell ref="C3:D3"/>
    <mergeCell ref="E3:F3"/>
    <mergeCell ref="I3:K3"/>
    <mergeCell ref="E290:F290"/>
    <mergeCell ref="E289:F289"/>
    <mergeCell ref="E288:F288"/>
    <mergeCell ref="C294:D294"/>
    <mergeCell ref="E294:F294"/>
    <mergeCell ref="E293:F293"/>
    <mergeCell ref="E292:F292"/>
    <mergeCell ref="E291:F291"/>
  </mergeCells>
  <pageMargins bottom="0.984251968503937" footer="0.5118110236220472" header="0.5118110236220472" left="0.7480314960629921" right="0.7480314960629921" top="0.984251968503937"/>
  <pageSetup horizontalDpi="300" orientation="landscape" paperSize="9" verticalDpi="300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78"/>
  <sheetViews>
    <sheetView tabSelected="1" topLeftCell="A27" workbookViewId="0">
      <selection activeCell="L47" sqref="L47"/>
    </sheetView>
  </sheetViews>
  <sheetFormatPr baseColWidth="8" defaultColWidth="8.77734375" defaultRowHeight="13.5"/>
  <cols>
    <col customWidth="1" max="1" min="1" style="391" width="12.44140625"/>
    <col customWidth="1" max="4" min="2" style="391" width="8"/>
    <col customWidth="1" max="5" min="5" style="391" width="9.77734375"/>
    <col customWidth="1" max="6" min="6" style="391" width="9.33203125"/>
    <col customWidth="1" max="7" min="7" style="391" width="8.6640625"/>
    <col customWidth="1" max="8" min="8" style="391" width="10.33203125"/>
    <col customWidth="1" max="11" min="9" style="391" width="10.6640625"/>
    <col customWidth="1" max="12" min="12" style="391" width="9.6640625"/>
    <col customWidth="1" max="13" min="13" style="391" width="8.77734375"/>
    <col customWidth="1" max="14" min="14" style="391" width="7.6640625"/>
    <col customWidth="1" max="15" min="15" style="391" width="8"/>
    <col customWidth="1" max="17" min="17" style="391" width="6.33203125"/>
    <col customWidth="1" max="18" min="18" style="391" width="6"/>
    <col customWidth="1" max="19" min="19" style="391" width="5"/>
  </cols>
  <sheetData>
    <row customHeight="1" ht="12" r="1" s="391" thickBot="1">
      <c r="A1" s="66" t="inlineStr">
        <is>
          <t>전기요금 계산표</t>
        </is>
      </c>
      <c r="B1" s="222" t="n"/>
      <c r="C1" s="221">
        <f>Q17&amp;M17&amp;R17&amp;O17&amp;M17&amp;R17&amp;P17</f>
        <v/>
      </c>
      <c r="D1" s="67" t="n"/>
      <c r="E1" s="67" t="n"/>
      <c r="F1" s="67" t="n"/>
      <c r="G1" s="67" t="n"/>
      <c r="H1" s="67" t="n"/>
      <c r="L1" s="68" t="n"/>
      <c r="M1" s="69" t="n"/>
      <c r="N1" s="69" t="n"/>
      <c r="O1" s="69" t="n"/>
      <c r="P1" s="69" t="n"/>
      <c r="Q1" s="69" t="n"/>
    </row>
    <row customHeight="1" ht="12" r="2" s="391" thickTop="1">
      <c r="A2" s="68" t="n"/>
      <c r="B2" s="69" t="n"/>
      <c r="C2" s="69" t="n"/>
      <c r="D2" s="69" t="n"/>
      <c r="E2" s="69" t="n"/>
      <c r="F2" s="69" t="n"/>
      <c r="G2" s="69" t="n"/>
      <c r="H2" s="632" t="n"/>
      <c r="I2" s="397" t="inlineStr">
        <is>
          <t>기본/사용요금 계산에 사용됨</t>
        </is>
      </c>
      <c r="J2" s="350" t="n"/>
      <c r="K2" s="176" t="n"/>
      <c r="L2" s="68" t="n"/>
      <c r="M2" s="69" t="n"/>
      <c r="N2" s="69" t="n"/>
      <c r="O2" s="69" t="n"/>
      <c r="P2" s="69" t="n"/>
      <c r="Q2" s="69" t="n"/>
    </row>
    <row customHeight="1" ht="12" r="3" s="391">
      <c r="A3" s="383" t="inlineStr">
        <is>
          <t>전기요금 내용</t>
        </is>
      </c>
      <c r="B3" s="350" t="n"/>
      <c r="C3" s="383" t="inlineStr">
        <is>
          <t>금액</t>
        </is>
      </c>
      <c r="D3" s="350" t="n"/>
      <c r="E3" s="383" t="inlineStr">
        <is>
          <t>기본요금</t>
        </is>
      </c>
      <c r="F3" s="383" t="inlineStr">
        <is>
          <t>사용요금</t>
        </is>
      </c>
      <c r="G3" s="383" t="inlineStr">
        <is>
          <t>할인</t>
        </is>
      </c>
      <c r="H3" s="174" t="inlineStr">
        <is>
          <t>부가가치세</t>
        </is>
      </c>
      <c r="I3" s="279" t="inlineStr">
        <is>
          <t>기본요금 계산</t>
        </is>
      </c>
      <c r="J3" s="279" t="inlineStr">
        <is>
          <t>사용요금 계산</t>
        </is>
      </c>
      <c r="K3" s="72" t="n"/>
      <c r="L3" s="199" t="n"/>
      <c r="M3" s="199" t="n"/>
      <c r="N3" s="204" t="inlineStr">
        <is>
          <t>단가(원)</t>
        </is>
      </c>
      <c r="O3" s="199" t="n"/>
      <c r="P3" s="69" t="n"/>
      <c r="Q3" s="217" t="inlineStr">
        <is>
          <t>사용요금 = 전력량요금 + 기후환경요금 + 연료비조정액</t>
        </is>
      </c>
      <c r="R3" s="11" t="n"/>
      <c r="S3" s="11" t="n"/>
    </row>
    <row customHeight="1" ht="12" r="4" s="391">
      <c r="A4" s="383" t="inlineStr">
        <is>
          <t>전기요금계</t>
        </is>
      </c>
      <c r="B4" s="350" t="n"/>
      <c r="C4" s="633">
        <f>E4+F4+H4-G4</f>
        <v/>
      </c>
      <c r="D4" s="348" t="n"/>
      <c r="E4" s="280" t="n">
        <v>609840</v>
      </c>
      <c r="F4" s="280" t="n">
        <v>2502000</v>
      </c>
      <c r="G4" s="280" t="n">
        <v>6798</v>
      </c>
      <c r="H4" s="175">
        <f>(E4+F4-G4)*0.1</f>
        <v/>
      </c>
      <c r="I4" s="634">
        <f>E4+(E4*0.1)</f>
        <v/>
      </c>
      <c r="J4" s="634">
        <f>(F4-G4)+((F4-G4)*0.1)+C5</f>
        <v/>
      </c>
      <c r="K4" s="616" t="n"/>
      <c r="L4" s="206" t="inlineStr">
        <is>
          <t>기본요금</t>
        </is>
      </c>
      <c r="M4" s="205" t="inlineStr">
        <is>
          <t>99KW</t>
        </is>
      </c>
      <c r="N4" s="200" t="inlineStr">
        <is>
          <t>6160원</t>
        </is>
      </c>
      <c r="O4" s="201">
        <f>99*6160</f>
        <v/>
      </c>
      <c r="P4" s="161" t="n"/>
      <c r="Q4" s="218" t="inlineStr">
        <is>
          <t>할인 = 자동이체할인 + 인터넷빌링할인 + 지상역률료</t>
        </is>
      </c>
    </row>
    <row customHeight="1" ht="12" r="5" s="391">
      <c r="A5" s="383" t="inlineStr">
        <is>
          <t>전력기금</t>
        </is>
      </c>
      <c r="B5" s="350" t="n"/>
      <c r="C5" s="635" t="n">
        <v>114880</v>
      </c>
      <c r="D5" s="350" t="n"/>
      <c r="E5" s="388" t="n"/>
      <c r="F5" s="389" t="n"/>
      <c r="G5" s="389" t="n"/>
      <c r="H5" s="350" t="n"/>
      <c r="I5" s="282" t="inlineStr">
        <is>
          <t>합계</t>
        </is>
      </c>
      <c r="J5" s="636">
        <f>I4+J4</f>
        <v/>
      </c>
      <c r="L5" s="393" t="inlineStr">
        <is>
          <t>사용요금   (1KW당)</t>
        </is>
      </c>
      <c r="M5" s="205" t="inlineStr">
        <is>
          <t>여름(6,7,8)</t>
        </is>
      </c>
      <c r="N5" s="202" t="n">
        <v>105.7</v>
      </c>
      <c r="O5" s="201" t="n"/>
      <c r="P5" s="161" t="n"/>
      <c r="Q5" s="161" t="n"/>
    </row>
    <row customHeight="1" ht="12" r="6" s="391">
      <c r="A6" s="383" t="inlineStr">
        <is>
          <t>TV 수신료</t>
        </is>
      </c>
      <c r="B6" s="350" t="n"/>
      <c r="C6" s="635" t="n">
        <v>7500</v>
      </c>
      <c r="D6" s="350" t="n"/>
      <c r="E6" s="388" t="inlineStr">
        <is>
          <t>3대</t>
        </is>
      </c>
      <c r="F6" s="389" t="n"/>
      <c r="G6" s="389" t="n"/>
      <c r="H6" s="350" t="n"/>
      <c r="J6" s="611" t="n"/>
      <c r="K6" s="611" t="n"/>
      <c r="L6" s="364" t="n"/>
      <c r="M6" s="199" t="inlineStr">
        <is>
          <t>겨울(11,12,1,2)</t>
        </is>
      </c>
      <c r="N6" s="202" t="n">
        <v>92.3</v>
      </c>
      <c r="O6" s="201" t="n"/>
      <c r="P6" s="161" t="n"/>
      <c r="Q6" s="161" t="n"/>
    </row>
    <row customHeight="1" ht="12" r="7" s="391">
      <c r="A7" s="385" t="inlineStr">
        <is>
          <t>합계</t>
        </is>
      </c>
      <c r="B7" s="350" t="n"/>
      <c r="C7" s="637">
        <f>SUM(C4:D6)</f>
        <v/>
      </c>
      <c r="D7" s="350" t="n"/>
      <c r="E7" s="392" t="n"/>
      <c r="F7" s="389" t="n"/>
      <c r="G7" s="389" t="n"/>
      <c r="H7" s="350" t="n"/>
      <c r="L7" s="361" t="n"/>
      <c r="M7" s="203" t="inlineStr">
        <is>
          <t>봄가을</t>
        </is>
      </c>
      <c r="N7" s="202" t="n">
        <v>65.2</v>
      </c>
      <c r="O7" s="201" t="n"/>
      <c r="P7" s="390" t="n"/>
    </row>
    <row customHeight="1" ht="12" r="8" s="391">
      <c r="A8" s="69" t="n"/>
      <c r="B8" s="69" t="n"/>
      <c r="C8" s="69" t="n"/>
      <c r="D8" s="69" t="n"/>
      <c r="E8" s="69" t="n"/>
      <c r="F8" s="69" t="n"/>
      <c r="G8" s="69" t="n"/>
      <c r="H8" s="638" t="n"/>
      <c r="J8" s="639" t="n"/>
      <c r="K8" s="639" t="n"/>
      <c r="L8" s="69" t="n"/>
      <c r="M8" s="69" t="n"/>
      <c r="N8" s="69" t="n"/>
      <c r="O8" s="69" t="n"/>
      <c r="P8" s="69" t="n"/>
      <c r="Q8" s="69" t="n"/>
    </row>
    <row customHeight="1" ht="19.5" r="9" s="391">
      <c r="A9" s="395" t="inlineStr">
        <is>
          <t>층수</t>
        </is>
      </c>
      <c r="B9" s="640">
        <f>M17&amp;M18&amp;Q18</f>
        <v/>
      </c>
      <c r="C9" s="640">
        <f>M17&amp;N18&amp;Q18</f>
        <v/>
      </c>
      <c r="D9" s="395" t="inlineStr">
        <is>
          <t>사용량</t>
        </is>
      </c>
      <c r="E9" s="395" t="inlineStr">
        <is>
          <t>사용량       (공용포함)</t>
        </is>
      </c>
      <c r="F9" s="395" t="inlineStr">
        <is>
          <t>기본요금</t>
        </is>
      </c>
      <c r="G9" s="395" t="inlineStr">
        <is>
          <t>사용요금</t>
        </is>
      </c>
      <c r="H9" s="395" t="inlineStr">
        <is>
          <t>층별전기요금</t>
        </is>
      </c>
      <c r="I9" s="186" t="inlineStr">
        <is>
          <t>층별 전력기금</t>
        </is>
      </c>
      <c r="J9" s="187" t="inlineStr">
        <is>
          <t>부가가치세         전기요금</t>
        </is>
      </c>
      <c r="K9" s="188" t="n"/>
      <c r="M9" s="77" t="n"/>
      <c r="N9" s="77" t="n"/>
      <c r="O9" s="77" t="n"/>
      <c r="P9" s="77" t="n"/>
    </row>
    <row customHeight="1" ht="12" r="10" s="391">
      <c r="A10" s="286" t="inlineStr">
        <is>
          <t>1층(바른고기정육점)</t>
        </is>
      </c>
      <c r="B10" s="641">
        <f>C66</f>
        <v/>
      </c>
      <c r="C10" s="641">
        <f>C67</f>
        <v/>
      </c>
      <c r="D10" s="641">
        <f>C10-B10</f>
        <v/>
      </c>
      <c r="E10" s="642">
        <f>D10+((D18/5)*(37.4/107.4))</f>
        <v/>
      </c>
      <c r="F10" s="643">
        <f>(I4/5)*(37.4/107.4)</f>
        <v/>
      </c>
      <c r="G10" s="643">
        <f>J4*E10/E19</f>
        <v/>
      </c>
      <c r="H10" s="644">
        <f>F10+G10</f>
        <v/>
      </c>
      <c r="I10" s="645">
        <f>$C$5*E10/$E$19</f>
        <v/>
      </c>
      <c r="J10" s="645">
        <f>H10-I10</f>
        <v/>
      </c>
      <c r="K10" s="646" t="n"/>
      <c r="L10" s="647" t="n"/>
      <c r="M10" s="647" t="n"/>
      <c r="N10" s="648" t="n"/>
      <c r="O10" s="647" t="n"/>
      <c r="P10" s="616" t="n"/>
      <c r="Q10" s="649" t="n"/>
      <c r="R10" s="616" t="n"/>
    </row>
    <row customHeight="1" ht="12" r="11" s="391">
      <c r="A11" s="286" t="inlineStr">
        <is>
          <t>1층(하모니마트)</t>
        </is>
      </c>
      <c r="B11" s="641">
        <f>D66</f>
        <v/>
      </c>
      <c r="C11" s="641">
        <f>D67</f>
        <v/>
      </c>
      <c r="D11" s="641">
        <f>C11-B11</f>
        <v/>
      </c>
      <c r="E11" s="642">
        <f>D11+((D18/5)*(70/107.4))</f>
        <v/>
      </c>
      <c r="F11" s="643">
        <f>(I4/5)*(70/107.4)</f>
        <v/>
      </c>
      <c r="G11" s="643">
        <f>J4*E11/E19</f>
        <v/>
      </c>
      <c r="H11" s="644">
        <f>F11+G11</f>
        <v/>
      </c>
      <c r="I11" s="645">
        <f>$C$5*E11/$E$19</f>
        <v/>
      </c>
      <c r="J11" s="645">
        <f>H11-I11</f>
        <v/>
      </c>
      <c r="K11" s="645" t="n"/>
      <c r="L11" s="647" t="n"/>
      <c r="M11" s="647" t="n"/>
      <c r="N11" s="647" t="n"/>
      <c r="O11" s="647" t="n"/>
      <c r="P11" s="616" t="n"/>
      <c r="Q11" s="649" t="n"/>
      <c r="R11" s="616" t="n"/>
    </row>
    <row customHeight="1" ht="12" r="12" s="391">
      <c r="A12" s="286" t="inlineStr">
        <is>
          <t>2층(김영광치과)</t>
        </is>
      </c>
      <c r="B12" s="641">
        <f>F66</f>
        <v/>
      </c>
      <c r="C12" s="641">
        <f>F67</f>
        <v/>
      </c>
      <c r="D12" s="641">
        <f>C12-B12</f>
        <v/>
      </c>
      <c r="E12" s="642">
        <f>D12+((D18/5)*0.5)</f>
        <v/>
      </c>
      <c r="F12" s="643">
        <f>(I4/5)*0.5</f>
        <v/>
      </c>
      <c r="G12" s="643">
        <f>J4*E12/E19</f>
        <v/>
      </c>
      <c r="H12" s="644">
        <f>F12+G12</f>
        <v/>
      </c>
      <c r="I12" s="645">
        <f>$C$5*E12/$E$19</f>
        <v/>
      </c>
      <c r="J12" s="645">
        <f>H12-I12</f>
        <v/>
      </c>
      <c r="K12" s="645" t="n"/>
      <c r="L12" s="647" t="n"/>
      <c r="M12" s="647" t="n"/>
      <c r="N12" s="647" t="n"/>
      <c r="O12" s="647" t="n"/>
      <c r="P12" s="616" t="n"/>
      <c r="Q12" s="649" t="n"/>
      <c r="R12" s="616" t="n"/>
    </row>
    <row customHeight="1" ht="12" r="13" s="391">
      <c r="A13" s="286" t="inlineStr">
        <is>
          <t>2층(백야)</t>
        </is>
      </c>
      <c r="B13" s="641">
        <f>E66</f>
        <v/>
      </c>
      <c r="C13" s="641">
        <f>E67</f>
        <v/>
      </c>
      <c r="D13" s="641">
        <f>C13-B13</f>
        <v/>
      </c>
      <c r="E13" s="642">
        <f>D13+((D18/5)*0.5)</f>
        <v/>
      </c>
      <c r="F13" s="643">
        <f>(I4/5)*0.5</f>
        <v/>
      </c>
      <c r="G13" s="643">
        <f>J4*E13/E19</f>
        <v/>
      </c>
      <c r="H13" s="644">
        <f>F13+G13</f>
        <v/>
      </c>
      <c r="I13" s="645">
        <f>$C$5*E13/$E$19</f>
        <v/>
      </c>
      <c r="J13" s="645">
        <f>H13-I13</f>
        <v/>
      </c>
      <c r="K13" s="645" t="n"/>
      <c r="L13" s="180" t="n"/>
      <c r="M13" s="180" t="n"/>
      <c r="N13" s="180" t="n"/>
      <c r="O13" s="180" t="n"/>
      <c r="P13" s="616" t="n"/>
      <c r="Q13" s="649" t="n"/>
      <c r="R13" s="616" t="n"/>
    </row>
    <row customHeight="1" ht="12" r="14" s="391">
      <c r="A14" s="286" t="inlineStr">
        <is>
          <t>3층(주한)</t>
        </is>
      </c>
      <c r="B14" s="641">
        <f>G66</f>
        <v/>
      </c>
      <c r="C14" s="641">
        <f>G67</f>
        <v/>
      </c>
      <c r="D14" s="641">
        <f>C14-B14</f>
        <v/>
      </c>
      <c r="E14" s="642">
        <f>D14+(D18/5)</f>
        <v/>
      </c>
      <c r="F14" s="643">
        <f>(I4/5)</f>
        <v/>
      </c>
      <c r="G14" s="643">
        <f>J4*E14/E19</f>
        <v/>
      </c>
      <c r="H14" s="644">
        <f>F14+G14</f>
        <v/>
      </c>
      <c r="I14" s="645">
        <f>$C$5*E14/$E$19</f>
        <v/>
      </c>
      <c r="J14" s="645">
        <f>H14-I14</f>
        <v/>
      </c>
      <c r="K14" s="645" t="n"/>
      <c r="L14" s="180" t="n"/>
      <c r="M14" s="180" t="n"/>
      <c r="N14" s="180" t="n"/>
      <c r="O14" s="180" t="n"/>
      <c r="P14" s="616" t="n"/>
      <c r="Q14" s="649" t="n"/>
      <c r="R14" s="616" t="n"/>
    </row>
    <row customHeight="1" ht="12" r="15" s="391">
      <c r="A15" s="286" t="inlineStr">
        <is>
          <t>4층(사무실)</t>
        </is>
      </c>
      <c r="B15" s="641">
        <f>H66</f>
        <v/>
      </c>
      <c r="C15" s="641">
        <f>H67</f>
        <v/>
      </c>
      <c r="D15" s="641">
        <f>C15-B15</f>
        <v/>
      </c>
      <c r="E15" s="642">
        <f>D15+((D18/5)*0.5)</f>
        <v/>
      </c>
      <c r="F15" s="643">
        <f>(I4/5)*0.5</f>
        <v/>
      </c>
      <c r="G15" s="643">
        <f>J4*E15/E19</f>
        <v/>
      </c>
      <c r="H15" s="644">
        <f>F15+G15</f>
        <v/>
      </c>
      <c r="I15" s="645">
        <f>$C$5*E15/$E$19</f>
        <v/>
      </c>
      <c r="J15" s="645">
        <f>H15-I15</f>
        <v/>
      </c>
      <c r="K15" s="645" t="n"/>
      <c r="L15" s="650" t="n"/>
      <c r="M15" s="651" t="n"/>
      <c r="N15" s="651" t="n"/>
      <c r="O15" s="651" t="n"/>
      <c r="P15" s="616" t="n"/>
      <c r="Q15" s="649" t="n"/>
      <c r="R15" s="616" t="n"/>
    </row>
    <row customHeight="1" ht="12" r="16" s="391">
      <c r="A16" s="286" t="inlineStr">
        <is>
          <t>4층(사무실)</t>
        </is>
      </c>
      <c r="B16" s="641">
        <f>I66</f>
        <v/>
      </c>
      <c r="C16" s="641">
        <f>I67</f>
        <v/>
      </c>
      <c r="D16" s="641">
        <f>C16-B16</f>
        <v/>
      </c>
      <c r="E16" s="642">
        <f>D16+((D18/5)*0.5)</f>
        <v/>
      </c>
      <c r="F16" s="643">
        <f>(I4/5)*0.5</f>
        <v/>
      </c>
      <c r="G16" s="643">
        <f>J4*E16/E19</f>
        <v/>
      </c>
      <c r="H16" s="644">
        <f>F16+G16</f>
        <v/>
      </c>
      <c r="I16" s="645">
        <f>$C$5*E16/$E$19</f>
        <v/>
      </c>
      <c r="J16" s="645">
        <f>H16-I16</f>
        <v/>
      </c>
      <c r="K16" s="645" t="n"/>
      <c r="L16" s="650" t="n"/>
      <c r="M16" s="652" t="inlineStr">
        <is>
          <t>검침일자 자동화</t>
        </is>
      </c>
      <c r="N16" s="653" t="n"/>
      <c r="O16" s="653" t="n"/>
      <c r="P16" s="645" t="n"/>
      <c r="Q16" s="654" t="n"/>
      <c r="R16" s="645" t="n"/>
    </row>
    <row customHeight="1" ht="12" r="17" s="391">
      <c r="A17" s="286" t="inlineStr">
        <is>
          <t>5층(지니컵)</t>
        </is>
      </c>
      <c r="B17" s="641">
        <f>J66</f>
        <v/>
      </c>
      <c r="C17" s="641">
        <f>J67</f>
        <v/>
      </c>
      <c r="D17" s="641">
        <f>C17-B17</f>
        <v/>
      </c>
      <c r="E17" s="642">
        <f>D17+(D18/5)</f>
        <v/>
      </c>
      <c r="F17" s="643">
        <f>(I4/5)</f>
        <v/>
      </c>
      <c r="G17" s="643">
        <f>J4*E17/E19</f>
        <v/>
      </c>
      <c r="H17" s="644">
        <f>F17+G17</f>
        <v/>
      </c>
      <c r="I17" s="645">
        <f>$C$5*E17/$E$19</f>
        <v/>
      </c>
      <c r="J17" s="645">
        <f>H17-I17</f>
        <v/>
      </c>
      <c r="K17" s="645" t="n"/>
      <c r="L17" s="650" t="n"/>
      <c r="M17" s="226">
        <f>IF(정육점!V1 = 1,12,정육점!V1-1)</f>
        <v/>
      </c>
      <c r="N17" s="226">
        <f>정육점!V1</f>
        <v/>
      </c>
      <c r="O17" s="226" t="inlineStr">
        <is>
          <t xml:space="preserve"> 1일 ~ </t>
        </is>
      </c>
      <c r="P17" s="226" t="inlineStr">
        <is>
          <t xml:space="preserve"> 30일)</t>
        </is>
      </c>
      <c r="Q17" s="226" t="inlineStr">
        <is>
          <t>(</t>
        </is>
      </c>
      <c r="R17" s="227" t="inlineStr">
        <is>
          <t>월</t>
        </is>
      </c>
    </row>
    <row customHeight="1" ht="12" r="18" s="391" thickBot="1">
      <c r="A18" s="291" t="inlineStr">
        <is>
          <t>공용</t>
        </is>
      </c>
      <c r="B18" s="655">
        <f>K66</f>
        <v/>
      </c>
      <c r="C18" s="655">
        <f>K67</f>
        <v/>
      </c>
      <c r="D18" s="655">
        <f>C18-B18</f>
        <v/>
      </c>
      <c r="E18" s="656" t="n"/>
      <c r="F18" s="657" t="n"/>
      <c r="G18" s="657" t="n"/>
      <c r="H18" s="657" t="n"/>
      <c r="I18" s="658" t="n"/>
      <c r="J18" s="645" t="n"/>
      <c r="K18" s="188" t="n"/>
      <c r="L18" s="72" t="n"/>
      <c r="M18" s="227" t="inlineStr">
        <is>
          <t>/1</t>
        </is>
      </c>
      <c r="N18" s="226" t="inlineStr">
        <is>
          <t>/30</t>
        </is>
      </c>
      <c r="O18" s="227" t="inlineStr">
        <is>
          <t>/8</t>
        </is>
      </c>
      <c r="P18" s="227" t="inlineStr">
        <is>
          <t>/7</t>
        </is>
      </c>
      <c r="Q18" s="226" t="inlineStr">
        <is>
          <t xml:space="preserve"> 검침</t>
        </is>
      </c>
      <c r="R18" s="226" t="n"/>
    </row>
    <row customHeight="1" ht="12" r="19" s="391" thickTop="1">
      <c r="A19" s="73" t="inlineStr">
        <is>
          <t>합계</t>
        </is>
      </c>
      <c r="B19" s="659">
        <f>SUM(B10:B18)</f>
        <v/>
      </c>
      <c r="C19" s="659">
        <f>SUM(C10:C18)</f>
        <v/>
      </c>
      <c r="D19" s="659">
        <f>SUM(D10:D18)</f>
        <v/>
      </c>
      <c r="E19" s="660">
        <f>SUM(E10:E17)</f>
        <v/>
      </c>
      <c r="F19" s="661">
        <f>SUM(F10:F18)</f>
        <v/>
      </c>
      <c r="G19" s="661">
        <f>SUM(G10:G18)</f>
        <v/>
      </c>
      <c r="H19" s="662">
        <f>SUM(F19:G19)</f>
        <v/>
      </c>
      <c r="I19" s="658">
        <f>SUM(I10:I18)</f>
        <v/>
      </c>
      <c r="J19" s="645">
        <f>H19-I19</f>
        <v/>
      </c>
      <c r="K19" s="188" t="n"/>
      <c r="L19" s="72" t="n"/>
      <c r="M19" s="654" t="inlineStr">
        <is>
          <t xml:space="preserve"> 8일 ~ </t>
        </is>
      </c>
      <c r="N19" s="654" t="inlineStr">
        <is>
          <t xml:space="preserve"> 7일)</t>
        </is>
      </c>
      <c r="O19" s="654" t="n"/>
      <c r="P19" s="654" t="n"/>
      <c r="Q19" s="654" t="n"/>
      <c r="R19" s="663" t="n"/>
    </row>
    <row customHeight="1" ht="12" r="20" s="391">
      <c r="A20" s="72" t="n"/>
      <c r="B20" s="69" t="n"/>
      <c r="C20" s="69" t="n"/>
      <c r="D20" s="69" t="n"/>
      <c r="E20" s="664" t="n"/>
      <c r="F20" s="638" t="n"/>
      <c r="G20" s="638" t="n"/>
      <c r="H20" s="665" t="n"/>
      <c r="I20" s="188" t="n"/>
      <c r="J20" s="188" t="n"/>
      <c r="K20" s="188" t="n"/>
      <c r="L20" s="72" t="n"/>
      <c r="M20" s="215" t="n"/>
      <c r="N20" s="651" t="n"/>
      <c r="O20" s="651" t="n"/>
      <c r="P20" s="651" t="n"/>
      <c r="Q20" s="649" t="n"/>
      <c r="R20" s="616" t="n"/>
    </row>
    <row customHeight="1" ht="12" r="21" s="391">
      <c r="A21" s="72" t="n"/>
      <c r="B21" s="69" t="n"/>
      <c r="C21" s="69" t="n"/>
      <c r="D21" s="69" t="n"/>
      <c r="E21" s="664" t="n"/>
      <c r="F21" s="638" t="n"/>
      <c r="G21" s="638" t="n"/>
      <c r="H21" s="665" t="n"/>
      <c r="I21" s="666">
        <f>H19/1.1</f>
        <v/>
      </c>
      <c r="J21" s="666">
        <f>J19/1.1</f>
        <v/>
      </c>
      <c r="K21" s="193" t="inlineStr">
        <is>
          <t>부가세 차액</t>
        </is>
      </c>
      <c r="L21" s="72" t="n"/>
      <c r="M21" s="69" t="n"/>
      <c r="N21" s="69" t="n"/>
      <c r="O21" s="651" t="n"/>
      <c r="P21" s="651" t="n"/>
      <c r="Q21" s="649" t="n"/>
      <c r="R21" s="616" t="n"/>
    </row>
    <row customHeight="1" ht="12" r="22" s="391" thickBot="1">
      <c r="A22" s="66" t="inlineStr">
        <is>
          <t xml:space="preserve">상/하수도요금 계산표 </t>
        </is>
      </c>
      <c r="B22" s="67" t="n"/>
      <c r="C22" s="221">
        <f>Q17&amp;M17&amp;R17&amp;M19&amp;N17&amp;R17&amp;N19</f>
        <v/>
      </c>
      <c r="D22" s="67" t="n"/>
      <c r="E22" s="67" t="n"/>
      <c r="F22" s="67" t="n"/>
      <c r="G22" s="67" t="n"/>
      <c r="H22" s="67" t="n"/>
      <c r="I22" s="645">
        <f>H19-I21</f>
        <v/>
      </c>
      <c r="J22" s="645">
        <f>J19-J21</f>
        <v/>
      </c>
      <c r="K22" s="667">
        <f>I22-J22</f>
        <v/>
      </c>
      <c r="L22" s="72" t="n"/>
      <c r="M22" s="69" t="n"/>
      <c r="N22" s="69" t="n"/>
      <c r="O22" s="651" t="n"/>
      <c r="P22" s="651" t="n"/>
      <c r="Q22" s="69" t="n"/>
      <c r="R22" s="651" t="n"/>
    </row>
    <row customHeight="1" ht="12" r="23" s="391" thickTop="1">
      <c r="A23" s="68" t="n"/>
      <c r="B23" s="69" t="n"/>
      <c r="C23" s="69" t="n"/>
      <c r="D23" s="69" t="n"/>
      <c r="E23" s="69" t="n"/>
      <c r="F23" s="69" t="n"/>
      <c r="G23" s="638" t="n"/>
      <c r="H23" s="665" t="n"/>
      <c r="L23" s="72" t="n"/>
      <c r="M23" s="69" t="n"/>
      <c r="N23" s="69" t="n"/>
      <c r="O23" s="69" t="n"/>
      <c r="P23" s="664" t="n"/>
      <c r="Q23" s="668" t="n"/>
    </row>
    <row customHeight="1" ht="12" r="24" s="391">
      <c r="A24" s="383" t="inlineStr">
        <is>
          <t>수도요금 내용</t>
        </is>
      </c>
      <c r="B24" s="350" t="n"/>
      <c r="C24" s="383" t="inlineStr">
        <is>
          <t>금액</t>
        </is>
      </c>
      <c r="D24" s="350" t="n"/>
      <c r="E24" s="383" t="inlineStr">
        <is>
          <t>비고</t>
        </is>
      </c>
      <c r="F24" s="389" t="n"/>
      <c r="G24" s="389" t="n"/>
      <c r="H24" s="350" t="n"/>
      <c r="L24" s="72" t="n"/>
      <c r="M24" s="69" t="n"/>
      <c r="N24" s="69" t="n"/>
      <c r="O24" s="69" t="n"/>
      <c r="P24" s="664" t="n"/>
      <c r="Q24" s="668" t="n"/>
    </row>
    <row customHeight="1" ht="12" r="25" s="391">
      <c r="A25" s="383" t="inlineStr">
        <is>
          <t>상수도 요금</t>
        </is>
      </c>
      <c r="B25" s="350" t="n"/>
      <c r="C25" s="635" t="n">
        <v>48810</v>
      </c>
      <c r="D25" s="350" t="n"/>
      <c r="E25" s="392" t="n"/>
      <c r="F25" s="389" t="n"/>
      <c r="G25" s="389" t="n"/>
      <c r="H25" s="350" t="n"/>
      <c r="L25" s="72" t="n"/>
      <c r="M25" s="69" t="n"/>
      <c r="N25" s="69" t="n"/>
      <c r="O25" s="69" t="n"/>
      <c r="P25" s="664" t="n"/>
      <c r="Q25" s="668" t="n"/>
    </row>
    <row customHeight="1" ht="12" r="26" s="391">
      <c r="A26" s="383" t="inlineStr">
        <is>
          <t>하수도 요금</t>
        </is>
      </c>
      <c r="B26" s="350" t="n"/>
      <c r="C26" s="635" t="n">
        <v>28680</v>
      </c>
      <c r="D26" s="350" t="n"/>
      <c r="E26" s="392" t="n"/>
      <c r="F26" s="389" t="n"/>
      <c r="G26" s="389" t="n"/>
      <c r="H26" s="350" t="n"/>
      <c r="L26" s="72" t="n"/>
      <c r="M26" s="69" t="n"/>
      <c r="N26" s="69" t="n"/>
      <c r="O26" s="651" t="n"/>
      <c r="P26" s="651" t="n"/>
      <c r="Q26" s="668" t="n"/>
    </row>
    <row customHeight="1" ht="12" r="27" s="391">
      <c r="A27" s="383" t="inlineStr">
        <is>
          <t>물이용부담금</t>
        </is>
      </c>
      <c r="B27" s="350" t="n"/>
      <c r="C27" s="635" t="n">
        <v>6260</v>
      </c>
      <c r="D27" s="350" t="n"/>
      <c r="E27" s="392" t="n"/>
      <c r="F27" s="389" t="n"/>
      <c r="G27" s="389" t="n"/>
      <c r="H27" s="350" t="n"/>
      <c r="L27" s="72" t="n"/>
      <c r="M27" s="69" t="n"/>
      <c r="N27" s="69" t="n"/>
      <c r="O27" s="651" t="n"/>
      <c r="P27" s="651" t="n"/>
      <c r="Q27" s="668" t="n"/>
    </row>
    <row customHeight="1" ht="12" r="28" s="391">
      <c r="A28" s="385" t="inlineStr">
        <is>
          <t>합계</t>
        </is>
      </c>
      <c r="B28" s="350" t="n"/>
      <c r="C28" s="637">
        <f>SUM(C25:C27)</f>
        <v/>
      </c>
      <c r="D28" s="350" t="n"/>
      <c r="E28" s="392" t="n"/>
      <c r="F28" s="389" t="n"/>
      <c r="G28" s="389" t="n"/>
      <c r="H28" s="350" t="n"/>
      <c r="L28" s="72" t="n"/>
      <c r="M28" s="69" t="n"/>
      <c r="N28" s="69" t="n"/>
      <c r="O28" s="651" t="n"/>
      <c r="P28" s="651" t="n"/>
      <c r="Q28" s="668" t="n"/>
    </row>
    <row customHeight="1" ht="12" r="29" s="391">
      <c r="A29" s="69" t="n"/>
      <c r="B29" s="69" t="n"/>
      <c r="C29" s="69" t="n"/>
      <c r="D29" s="69" t="n"/>
      <c r="E29" s="69" t="n"/>
      <c r="F29" s="69" t="n"/>
      <c r="G29" s="638" t="n"/>
      <c r="H29" s="665" t="n"/>
      <c r="J29" s="195" t="inlineStr">
        <is>
          <t>수도요금 검산 - 빈사무실</t>
        </is>
      </c>
      <c r="K29" s="196" t="n"/>
      <c r="L29" s="72" t="n"/>
      <c r="M29" s="69" t="n"/>
      <c r="N29" s="69" t="n"/>
      <c r="O29" s="651" t="n"/>
      <c r="P29" s="651" t="n"/>
      <c r="Q29" s="668" t="n"/>
    </row>
    <row customHeight="1" ht="12" r="30" s="391">
      <c r="A30" s="395" t="inlineStr">
        <is>
          <t>층수</t>
        </is>
      </c>
      <c r="B30" s="395">
        <f>M17&amp;O18&amp;Q18</f>
        <v/>
      </c>
      <c r="C30" s="395">
        <f>N17&amp;P18&amp;Q18</f>
        <v/>
      </c>
      <c r="D30" s="395" t="inlineStr">
        <is>
          <t>사용량</t>
        </is>
      </c>
      <c r="E30" s="395" t="inlineStr">
        <is>
          <t>사용량 (공용포함)</t>
        </is>
      </c>
      <c r="F30" s="350" t="n"/>
      <c r="G30" s="395" t="inlineStr">
        <is>
          <t>층별 수도요금</t>
        </is>
      </c>
      <c r="H30" s="350" t="n"/>
      <c r="J30" s="188" t="inlineStr">
        <is>
          <t>4층 빈사무실 수도요금</t>
        </is>
      </c>
      <c r="K30" s="196" t="n"/>
      <c r="L30" s="72" t="n"/>
      <c r="M30" s="69" t="n"/>
      <c r="N30" s="69" t="n"/>
      <c r="O30" s="651" t="n"/>
      <c r="P30" s="651" t="n"/>
      <c r="Q30" s="668" t="n"/>
    </row>
    <row customHeight="1" ht="12" r="31" s="391">
      <c r="A31" s="286" t="inlineStr">
        <is>
          <t>1층(바른고기정육점)</t>
        </is>
      </c>
      <c r="B31" s="295">
        <f>C74</f>
        <v/>
      </c>
      <c r="C31" s="295">
        <f>C75</f>
        <v/>
      </c>
      <c r="D31" s="295">
        <f>C31-B31</f>
        <v/>
      </c>
      <c r="E31" s="669">
        <f>D31+(D38/5)*(35/105)</f>
        <v/>
      </c>
      <c r="F31" s="350" t="n"/>
      <c r="G31" s="670">
        <f>C28*(E31/E39)</f>
        <v/>
      </c>
      <c r="H31" s="350" t="n"/>
      <c r="I31" s="671" t="n"/>
      <c r="J31" s="672">
        <f>D38*0.5*(1/5)</f>
        <v/>
      </c>
      <c r="K31" s="673" t="n"/>
      <c r="L31" s="674" t="n"/>
      <c r="M31" s="651" t="n"/>
      <c r="N31" s="651" t="n"/>
      <c r="O31" s="651" t="n"/>
      <c r="P31" s="611" t="n"/>
      <c r="Q31" s="668" t="n"/>
      <c r="R31" s="611" t="n"/>
    </row>
    <row customHeight="1" ht="12" r="32" s="391">
      <c r="A32" s="286" t="inlineStr">
        <is>
          <t>1층(하모니마트)</t>
        </is>
      </c>
      <c r="B32" s="295">
        <f>D74</f>
        <v/>
      </c>
      <c r="C32" s="295">
        <f>D75</f>
        <v/>
      </c>
      <c r="D32" s="295">
        <f>C32-B32</f>
        <v/>
      </c>
      <c r="E32" s="669">
        <f>D32+(D38/5)*(70/105)</f>
        <v/>
      </c>
      <c r="F32" s="350" t="n"/>
      <c r="G32" s="670">
        <f>C28*(E32/E39)</f>
        <v/>
      </c>
      <c r="H32" s="350" t="n"/>
      <c r="I32" s="671" t="n"/>
      <c r="J32" s="673">
        <f>C28*(J31/E39)</f>
        <v/>
      </c>
      <c r="K32" s="673" t="n"/>
      <c r="L32" s="674" t="n"/>
      <c r="M32" s="651" t="n"/>
      <c r="N32" s="651" t="n"/>
      <c r="O32" s="651" t="n"/>
      <c r="P32" s="611" t="n"/>
      <c r="Q32" s="668" t="n"/>
      <c r="R32" s="611" t="n"/>
    </row>
    <row customHeight="1" ht="12" r="33" s="391">
      <c r="A33" s="286" t="inlineStr">
        <is>
          <t>2층(김영광치과)</t>
        </is>
      </c>
      <c r="B33" s="295">
        <f>F74</f>
        <v/>
      </c>
      <c r="C33" s="295">
        <f>F75</f>
        <v/>
      </c>
      <c r="D33" s="295">
        <f>C33-B33</f>
        <v/>
      </c>
      <c r="E33" s="669">
        <f>D33+(D38/5)*(0.5)</f>
        <v/>
      </c>
      <c r="F33" s="350" t="n"/>
      <c r="G33" s="670">
        <f>C28*(E33/E39)</f>
        <v/>
      </c>
      <c r="H33" s="350" t="n"/>
      <c r="I33" s="671" t="n"/>
      <c r="J33" s="673">
        <f>G39+J32</f>
        <v/>
      </c>
      <c r="K33" s="673" t="n"/>
      <c r="L33" s="674" t="n"/>
      <c r="M33" s="651" t="n"/>
      <c r="N33" s="651" t="n"/>
      <c r="O33" s="651" t="n"/>
      <c r="P33" s="611" t="n"/>
      <c r="Q33" s="668" t="n"/>
      <c r="R33" s="611" t="n"/>
    </row>
    <row customHeight="1" ht="12" r="34" s="391">
      <c r="A34" s="286" t="inlineStr">
        <is>
          <t>2층(백야)</t>
        </is>
      </c>
      <c r="B34" s="295">
        <f>E74</f>
        <v/>
      </c>
      <c r="C34" s="295">
        <f>E75</f>
        <v/>
      </c>
      <c r="D34" s="295">
        <f>C34-B34</f>
        <v/>
      </c>
      <c r="E34" s="669">
        <f>D34+(D38/5)*(0.5)</f>
        <v/>
      </c>
      <c r="F34" s="350" t="n"/>
      <c r="G34" s="670">
        <f>C28*(E34/E39)</f>
        <v/>
      </c>
      <c r="H34" s="350" t="n"/>
      <c r="I34" s="671" t="n"/>
      <c r="J34" s="671" t="n"/>
      <c r="K34" s="671" t="n"/>
      <c r="L34" s="674" t="n"/>
      <c r="M34" s="651" t="n"/>
      <c r="N34" s="651" t="n"/>
      <c r="O34" s="651" t="n"/>
      <c r="P34" s="611" t="n"/>
      <c r="Q34" s="668" t="n"/>
      <c r="R34" s="611" t="n"/>
    </row>
    <row customHeight="1" ht="12" r="35" s="391">
      <c r="A35" s="286" t="inlineStr">
        <is>
          <t>3층(주한)</t>
        </is>
      </c>
      <c r="B35" s="295">
        <f>G74</f>
        <v/>
      </c>
      <c r="C35" s="295">
        <f>G75</f>
        <v/>
      </c>
      <c r="D35" s="295">
        <f>C35-B35</f>
        <v/>
      </c>
      <c r="E35" s="669">
        <f>D35+(D38/5)</f>
        <v/>
      </c>
      <c r="F35" s="350" t="n"/>
      <c r="G35" s="670">
        <f>C28*(E35/E39)</f>
        <v/>
      </c>
      <c r="H35" s="350" t="n"/>
      <c r="I35" s="671" t="n"/>
      <c r="J35" s="671" t="n"/>
      <c r="K35" s="671" t="n"/>
      <c r="L35" s="674" t="n"/>
      <c r="M35" s="651" t="n"/>
      <c r="N35" s="651" t="n"/>
      <c r="O35" s="651" t="n"/>
      <c r="P35" s="611" t="n"/>
      <c r="Q35" s="668" t="n"/>
      <c r="R35" s="611" t="n"/>
    </row>
    <row customHeight="1" ht="12" r="36" s="391">
      <c r="A36" s="286" t="inlineStr">
        <is>
          <t>4층(사무실)</t>
        </is>
      </c>
      <c r="B36" s="295">
        <f>H74</f>
        <v/>
      </c>
      <c r="C36" s="295">
        <f>H75</f>
        <v/>
      </c>
      <c r="D36" s="295">
        <f>C36-B36</f>
        <v/>
      </c>
      <c r="E36" s="669">
        <f>D36+(D38/5)*(0.5)</f>
        <v/>
      </c>
      <c r="F36" s="350" t="n"/>
      <c r="G36" s="670">
        <f>C28*(E36/E39)</f>
        <v/>
      </c>
      <c r="H36" s="350" t="n"/>
      <c r="I36" s="671" t="n"/>
      <c r="J36" s="671" t="n"/>
      <c r="K36" s="671" t="n"/>
      <c r="L36" s="674" t="n"/>
      <c r="M36" s="651" t="n"/>
      <c r="N36" s="651" t="n"/>
      <c r="O36" s="651" t="n"/>
      <c r="P36" s="611" t="n"/>
      <c r="Q36" s="668" t="n"/>
      <c r="R36" s="611" t="n"/>
    </row>
    <row customHeight="1" ht="12" r="37" s="391">
      <c r="A37" s="286" t="inlineStr">
        <is>
          <t>5층(지니컵)</t>
        </is>
      </c>
      <c r="B37" s="295">
        <f>K74</f>
        <v/>
      </c>
      <c r="C37" s="295">
        <f>K75</f>
        <v/>
      </c>
      <c r="D37" s="295">
        <f>C37-B37</f>
        <v/>
      </c>
      <c r="E37" s="669">
        <f>D37+(D38/5)</f>
        <v/>
      </c>
      <c r="F37" s="350" t="n"/>
      <c r="G37" s="670">
        <f>C28*(E37/E39)</f>
        <v/>
      </c>
      <c r="H37" s="350" t="n"/>
      <c r="I37" s="671" t="n"/>
      <c r="J37" s="671" t="n"/>
      <c r="K37" s="671" t="n"/>
      <c r="L37" s="675" t="n"/>
      <c r="M37" s="651" t="n"/>
      <c r="N37" s="651" t="n"/>
      <c r="O37" s="651" t="n"/>
      <c r="P37" s="611" t="n"/>
      <c r="Q37" s="668" t="n"/>
      <c r="R37" s="611" t="n"/>
    </row>
    <row customHeight="1" ht="12" r="38" s="391" thickBot="1">
      <c r="A38" s="291" t="inlineStr">
        <is>
          <t>공용</t>
        </is>
      </c>
      <c r="B38" s="296">
        <f>L74</f>
        <v/>
      </c>
      <c r="C38" s="296">
        <f>L75</f>
        <v/>
      </c>
      <c r="D38" s="296">
        <f>C38-B38</f>
        <v/>
      </c>
      <c r="E38" s="676" t="n"/>
      <c r="F38" s="355" t="n"/>
      <c r="G38" s="677" t="n"/>
      <c r="H38" s="355" t="n"/>
      <c r="L38" s="72" t="n"/>
      <c r="M38" s="69" t="n"/>
      <c r="N38" s="69" t="n"/>
      <c r="O38" s="69" t="n"/>
      <c r="P38" s="664" t="n"/>
      <c r="Q38" s="668" t="n"/>
    </row>
    <row customHeight="1" ht="12" r="39" s="391" thickTop="1">
      <c r="A39" s="73" t="inlineStr">
        <is>
          <t>합계</t>
        </is>
      </c>
      <c r="B39" s="82">
        <f>SUM(B31:B38)</f>
        <v/>
      </c>
      <c r="C39" s="82">
        <f>SUM(C31:C38)</f>
        <v/>
      </c>
      <c r="D39" s="82">
        <f>SUM(D31:D38)</f>
        <v/>
      </c>
      <c r="E39" s="678">
        <f>D39</f>
        <v/>
      </c>
      <c r="F39" s="400" t="n"/>
      <c r="G39" s="679">
        <f>SUM(G31:H38)</f>
        <v/>
      </c>
      <c r="H39" s="400" t="n"/>
      <c r="L39" s="72" t="n"/>
      <c r="M39" s="85" t="n"/>
      <c r="N39" s="69" t="n"/>
      <c r="O39" s="69" t="n"/>
      <c r="P39" s="664" t="n"/>
      <c r="Q39" s="668" t="n"/>
    </row>
    <row customHeight="1" ht="12" r="40" s="391">
      <c r="A40" s="72" t="n"/>
      <c r="B40" s="85" t="n"/>
      <c r="C40" s="85" t="n"/>
      <c r="D40" s="85" t="n"/>
      <c r="E40" s="680" t="n"/>
      <c r="F40" s="680" t="n"/>
      <c r="G40" s="649" t="n"/>
      <c r="H40" s="649" t="n"/>
      <c r="L40" s="72" t="n"/>
      <c r="M40" s="69" t="n"/>
      <c r="N40" s="69" t="n"/>
      <c r="O40" s="69" t="n"/>
      <c r="P40" s="664" t="n"/>
      <c r="Q40" s="668" t="n"/>
    </row>
    <row customHeight="1" ht="12" r="41" s="391">
      <c r="B41" s="69" t="n"/>
      <c r="C41" s="69" t="n"/>
      <c r="D41" s="69" t="n"/>
      <c r="E41" t="inlineStr">
        <is>
          <t>0</t>
        </is>
      </c>
      <c r="F41" s="638" t="n"/>
      <c r="G41" s="638" t="n"/>
      <c r="H41" s="665" t="n"/>
      <c r="L41" s="72" t="n"/>
      <c r="M41" s="69" t="n"/>
      <c r="N41" s="69" t="n"/>
      <c r="O41" s="69" t="n"/>
      <c r="P41" s="664" t="n"/>
      <c r="Q41" s="668" t="n"/>
    </row>
    <row customHeight="1" ht="12" r="42" s="391">
      <c r="B42" s="69" t="n"/>
      <c r="C42" s="69" t="n"/>
      <c r="D42" s="69" t="n"/>
      <c r="F42" s="638" t="n"/>
      <c r="G42" s="638" t="n"/>
      <c r="H42" s="665" t="n"/>
      <c r="L42" s="72" t="n"/>
      <c r="M42" s="69" t="n"/>
      <c r="N42" s="69" t="n"/>
      <c r="O42" s="69" t="n"/>
      <c r="P42" s="664" t="n"/>
      <c r="Q42" s="668" t="n"/>
    </row>
    <row customHeight="1" ht="12" r="43" s="391">
      <c r="B43" s="69" t="n"/>
      <c r="C43" s="69" t="n"/>
      <c r="D43" s="69" t="n"/>
      <c r="F43" s="638" t="n"/>
      <c r="G43" s="638" t="n"/>
      <c r="H43" s="665" t="n"/>
      <c r="L43" s="72" t="n"/>
      <c r="M43" s="69" t="n"/>
      <c r="N43" s="69" t="n"/>
      <c r="O43" s="69" t="n"/>
      <c r="P43" s="664" t="n"/>
      <c r="Q43" s="668" t="n"/>
    </row>
    <row customHeight="1" ht="12" r="44" s="391">
      <c r="B44" s="69" t="n"/>
      <c r="C44" s="69" t="n"/>
      <c r="D44" s="69" t="n"/>
      <c r="F44" s="638" t="n"/>
      <c r="G44" s="638" t="n"/>
      <c r="H44" s="665" t="n"/>
      <c r="L44" s="72" t="n"/>
      <c r="M44" s="69" t="n"/>
      <c r="N44" s="69" t="n"/>
      <c r="O44" s="69" t="n"/>
      <c r="P44" s="664" t="n"/>
      <c r="Q44" s="668" t="n"/>
    </row>
    <row customHeight="1" ht="12" r="45" s="391">
      <c r="B45" s="69" t="n"/>
      <c r="C45" s="69" t="n"/>
      <c r="D45" s="69" t="n"/>
      <c r="F45" s="638" t="n"/>
      <c r="G45" s="638" t="n"/>
      <c r="H45" s="665" t="n"/>
      <c r="L45" s="72" t="n"/>
      <c r="M45" s="69" t="n"/>
      <c r="N45" s="69" t="n"/>
      <c r="O45" s="69" t="n"/>
      <c r="P45" s="664" t="n"/>
      <c r="Q45" s="668" t="n"/>
    </row>
    <row customHeight="1" ht="12" r="46" s="391">
      <c r="B46" s="69" t="n"/>
      <c r="C46" s="69" t="n"/>
      <c r="D46" s="69" t="n"/>
      <c r="F46" s="638" t="n"/>
      <c r="G46" s="638" t="n"/>
      <c r="H46" s="665" t="n"/>
      <c r="L46" s="72" t="n"/>
      <c r="M46" s="69" t="n"/>
      <c r="N46" s="69" t="n"/>
      <c r="O46" s="69" t="n"/>
      <c r="P46" s="664" t="n"/>
      <c r="Q46" s="668" t="n"/>
    </row>
    <row customHeight="1" ht="12" r="47" s="391">
      <c r="B47" s="69" t="n"/>
      <c r="C47" s="69" t="n"/>
      <c r="D47" s="69" t="n"/>
      <c r="F47" s="638" t="n"/>
      <c r="H47" s="665" t="n"/>
      <c r="L47" s="72" t="n"/>
      <c r="M47" s="69" t="n"/>
      <c r="N47" s="69" t="n"/>
      <c r="O47" s="69" t="n"/>
      <c r="P47" s="664" t="n"/>
      <c r="Q47" s="668" t="n"/>
    </row>
    <row customHeight="1" ht="12" r="48" s="391">
      <c r="B48" s="69" t="n"/>
      <c r="C48" s="69" t="n"/>
      <c r="D48" s="69" t="n"/>
      <c r="F48" s="638" t="n"/>
      <c r="H48" s="665" t="n"/>
      <c r="L48" s="72" t="n"/>
      <c r="M48" s="69" t="n"/>
      <c r="N48" s="69" t="n"/>
      <c r="O48" s="69" t="n"/>
      <c r="P48" s="664" t="n"/>
      <c r="Q48" s="668" t="n"/>
    </row>
    <row customHeight="1" ht="12" r="49" s="391">
      <c r="B49" s="69" t="n"/>
      <c r="C49" s="69" t="n"/>
      <c r="D49" s="69" t="n"/>
      <c r="F49" s="638" t="n"/>
      <c r="H49" s="665" t="n"/>
      <c r="L49" s="72" t="n"/>
      <c r="M49" s="69" t="n"/>
      <c r="N49" s="69" t="n"/>
      <c r="O49" s="69" t="n"/>
      <c r="P49" s="664" t="n"/>
      <c r="Q49" s="668" t="n"/>
    </row>
    <row customHeight="1" ht="12" r="50" s="391">
      <c r="B50" s="69" t="n"/>
      <c r="C50" s="69" t="n"/>
      <c r="D50" s="69" t="n"/>
      <c r="F50" s="638" t="n"/>
      <c r="H50" s="665" t="n"/>
      <c r="L50" s="72" t="n"/>
      <c r="M50" s="69" t="n"/>
      <c r="N50" s="69" t="n"/>
      <c r="O50" s="69" t="n"/>
      <c r="P50" s="664" t="n"/>
      <c r="Q50" s="668" t="n"/>
    </row>
    <row customHeight="1" ht="12" r="51" s="391">
      <c r="B51" s="69" t="n"/>
      <c r="C51" s="69" t="n"/>
      <c r="D51" s="69" t="n"/>
      <c r="F51" s="638" t="n"/>
      <c r="H51" s="665" t="n"/>
      <c r="L51" s="72" t="n"/>
      <c r="M51" s="69" t="n"/>
      <c r="N51" s="69" t="n"/>
      <c r="O51" s="69" t="n"/>
      <c r="P51" s="664" t="n"/>
      <c r="Q51" s="668" t="n"/>
    </row>
    <row customHeight="1" ht="12" r="52" s="391">
      <c r="B52" s="69" t="n"/>
      <c r="C52" s="69" t="n"/>
      <c r="D52" s="69" t="n"/>
      <c r="F52" s="638" t="n"/>
      <c r="H52" s="665" t="n"/>
      <c r="L52" s="72" t="n"/>
      <c r="M52" s="69" t="n"/>
      <c r="N52" s="69" t="n"/>
      <c r="O52" s="69" t="n"/>
      <c r="P52" s="664" t="n"/>
      <c r="Q52" s="668" t="n"/>
    </row>
    <row customHeight="1" ht="12" r="53" s="391">
      <c r="B53" s="69" t="n"/>
      <c r="C53" s="69" t="n"/>
      <c r="D53" s="69" t="n"/>
      <c r="F53" s="638" t="n"/>
      <c r="H53" s="665" t="n"/>
      <c r="L53" s="72" t="n"/>
      <c r="M53" s="69" t="n"/>
      <c r="N53" s="69" t="n"/>
      <c r="O53" s="69" t="n"/>
      <c r="P53" s="664" t="n"/>
      <c r="Q53" s="668" t="n"/>
    </row>
    <row customHeight="1" ht="12" r="54" s="391">
      <c r="B54" s="69" t="n"/>
      <c r="C54" s="69" t="n"/>
      <c r="D54" s="69" t="n"/>
      <c r="F54" s="638" t="n"/>
      <c r="H54" s="665" t="n"/>
      <c r="L54" s="72" t="n"/>
      <c r="M54" s="69" t="n"/>
      <c r="N54" s="69" t="n"/>
      <c r="O54" s="69" t="n"/>
      <c r="P54" s="664" t="n"/>
      <c r="Q54" s="668" t="n"/>
    </row>
    <row customHeight="1" ht="12" r="55" s="391">
      <c r="B55" s="69" t="n"/>
      <c r="C55" s="69" t="n"/>
      <c r="D55" s="69" t="n"/>
      <c r="F55" s="638" t="n"/>
      <c r="H55" s="665" t="n"/>
      <c r="L55" s="72" t="n"/>
      <c r="M55" s="69" t="n"/>
      <c r="N55" s="69" t="n"/>
      <c r="O55" s="69" t="n"/>
      <c r="P55" s="664" t="n"/>
      <c r="Q55" s="668" t="n"/>
    </row>
    <row customHeight="1" ht="12" r="56" s="391">
      <c r="B56" s="69" t="n"/>
      <c r="C56" s="69" t="n"/>
      <c r="D56" s="69" t="n"/>
      <c r="E56" s="664" t="n"/>
      <c r="F56" s="638" t="n"/>
      <c r="H56" s="665" t="n"/>
      <c r="L56" s="72" t="n"/>
      <c r="M56" s="69" t="n"/>
      <c r="N56" s="69" t="n"/>
      <c r="O56" s="69" t="n"/>
      <c r="P56" s="664" t="n"/>
      <c r="Q56" s="668" t="n"/>
    </row>
    <row customHeight="1" ht="12" r="57" s="391">
      <c r="B57" s="69" t="n"/>
      <c r="C57" s="69" t="n"/>
      <c r="D57" s="69" t="n"/>
      <c r="E57" s="664" t="n"/>
      <c r="F57" s="638" t="n"/>
      <c r="H57" s="665" t="n"/>
      <c r="L57" s="72" t="n"/>
      <c r="M57" s="69" t="n"/>
      <c r="N57" s="69" t="n"/>
      <c r="O57" s="69" t="n"/>
      <c r="P57" s="664" t="n"/>
      <c r="Q57" s="668" t="n"/>
    </row>
    <row customHeight="1" ht="12" r="58" s="391">
      <c r="B58" s="69" t="n"/>
      <c r="C58" s="69" t="n"/>
      <c r="D58" s="69" t="n"/>
      <c r="E58" s="664" t="n"/>
      <c r="F58" s="638" t="n"/>
      <c r="H58" s="665" t="n"/>
      <c r="L58" s="72" t="n"/>
      <c r="M58" s="69" t="n"/>
      <c r="N58" s="69" t="n"/>
      <c r="O58" s="69" t="n"/>
      <c r="P58" s="664" t="n"/>
      <c r="Q58" s="668" t="n"/>
    </row>
    <row customHeight="1" ht="12" r="59" s="391">
      <c r="B59" s="69" t="n"/>
      <c r="C59" s="69" t="n"/>
      <c r="D59" s="69" t="n"/>
      <c r="E59" s="664" t="n"/>
      <c r="F59" s="638" t="n"/>
      <c r="H59" s="665" t="n"/>
      <c r="L59" s="72" t="n"/>
      <c r="M59" s="69" t="n"/>
      <c r="N59" s="69" t="n"/>
      <c r="O59" s="69" t="n"/>
      <c r="P59" s="664" t="n"/>
      <c r="Q59" s="668" t="n"/>
    </row>
    <row customHeight="1" ht="12" r="60" s="391">
      <c r="B60" s="69" t="n"/>
      <c r="C60" s="69" t="n"/>
      <c r="D60" s="69" t="n"/>
      <c r="E60" s="664" t="n"/>
      <c r="F60" s="638" t="n"/>
      <c r="H60" s="665" t="n"/>
      <c r="L60" s="72" t="n"/>
      <c r="M60" s="69" t="n"/>
      <c r="N60" s="69" t="n"/>
      <c r="O60" s="69" t="n"/>
      <c r="P60" s="664" t="n"/>
      <c r="Q60" s="668" t="n"/>
    </row>
    <row customHeight="1" ht="12" r="61" s="391">
      <c r="P61" s="681" t="n"/>
    </row>
    <row customHeight="1" ht="15" r="62" s="391" thickBot="1">
      <c r="A62" s="3" t="inlineStr">
        <is>
          <t>전기 계량기 검침</t>
        </is>
      </c>
      <c r="B62" s="346" t="n"/>
    </row>
    <row customHeight="1" ht="15" r="63" s="391" thickTop="1"/>
    <row customFormat="1" customHeight="1" ht="15" r="64" s="5">
      <c r="A64" s="380" t="inlineStr">
        <is>
          <t>검침일자</t>
        </is>
      </c>
      <c r="B64" s="380" t="inlineStr">
        <is>
          <t>전체</t>
        </is>
      </c>
      <c r="C64" s="380" t="inlineStr">
        <is>
          <t>1층</t>
        </is>
      </c>
      <c r="D64" s="350" t="n"/>
      <c r="E64" s="380" t="inlineStr">
        <is>
          <t>2층(포함됨)</t>
        </is>
      </c>
      <c r="F64" s="350" t="n"/>
      <c r="G64" s="380" t="inlineStr">
        <is>
          <t>3층</t>
        </is>
      </c>
      <c r="H64" s="381" t="inlineStr">
        <is>
          <t>4층</t>
        </is>
      </c>
      <c r="I64" s="348" t="n"/>
      <c r="J64" s="380" t="inlineStr">
        <is>
          <t>5층</t>
        </is>
      </c>
      <c r="K64" s="380" t="inlineStr">
        <is>
          <t>공용</t>
        </is>
      </c>
      <c r="L64" s="380" t="inlineStr">
        <is>
          <t>비고</t>
        </is>
      </c>
    </row>
    <row customFormat="1" customHeight="1" ht="15" r="65" s="5">
      <c r="A65" s="366" t="n"/>
      <c r="B65" s="366" t="n"/>
      <c r="C65" s="380" t="inlineStr">
        <is>
          <t>정육점</t>
        </is>
      </c>
      <c r="D65" s="380" t="inlineStr">
        <is>
          <t>하모니마트</t>
        </is>
      </c>
      <c r="E65" s="380" t="inlineStr">
        <is>
          <t>백야</t>
        </is>
      </c>
      <c r="F65" s="380" t="inlineStr">
        <is>
          <t>김영광치과</t>
        </is>
      </c>
      <c r="G65" s="380" t="inlineStr">
        <is>
          <t>주한(3층)</t>
        </is>
      </c>
      <c r="H65" s="380" t="inlineStr">
        <is>
          <t>공실</t>
        </is>
      </c>
      <c r="I65" s="380" t="inlineStr">
        <is>
          <t>주한(4층)</t>
        </is>
      </c>
      <c r="J65" s="380" t="inlineStr">
        <is>
          <t>마이홈고시텔</t>
        </is>
      </c>
      <c r="K65" s="366" t="n"/>
      <c r="L65" s="366" t="n"/>
    </row>
    <row customFormat="1" customHeight="1" ht="15" r="66" s="5">
      <c r="A66" s="252">
        <f aca="1" ca="1" ref="A66" t="array">INDIRECT("전기검침!A6")</f>
        <v/>
      </c>
      <c r="B66" s="682">
        <f aca="1" ca="1" ref="B66" t="array">INDIRECT("전기검침!B6")</f>
        <v/>
      </c>
      <c r="C66" s="299">
        <f aca="1" ca="1" ref="C66" t="array">INDIRECT("전기검침!C6")</f>
        <v/>
      </c>
      <c r="D66" s="299">
        <f aca="1" ca="1" ref="D66" t="array">INDIRECT("전기검침!D6")</f>
        <v/>
      </c>
      <c r="E66" s="299">
        <f aca="1" ca="1" ref="E66" t="array">INDIRECT("전기검침!E6")</f>
        <v/>
      </c>
      <c r="F66" s="299">
        <f aca="1" ca="1" ref="F66" t="array">INDIRECT("전기검침!F6")</f>
        <v/>
      </c>
      <c r="G66" s="299">
        <f aca="1" ca="1" ref="G66" t="array">INDIRECT("전기검침!G6")</f>
        <v/>
      </c>
      <c r="H66" s="299">
        <f aca="1" ca="1" ref="H66" t="array">INDIRECT("전기검침!H6")</f>
        <v/>
      </c>
      <c r="I66" s="299">
        <f aca="1" ca="1" ref="I66" t="array">INDIRECT("전기검침!I6")</f>
        <v/>
      </c>
      <c r="J66" s="299">
        <f aca="1" ca="1" ref="J66" t="array">INDIRECT("전기검침!J6")</f>
        <v/>
      </c>
      <c r="K66" s="299">
        <f aca="1" ca="1" ref="K66" t="array">INDIRECT("전기검침!K6")</f>
        <v/>
      </c>
      <c r="L66" s="253" t="n"/>
    </row>
    <row customFormat="1" customHeight="1" ht="15" r="67" s="5">
      <c r="A67" s="252">
        <f aca="1" ca="1" ref="A67" t="array">INDIRECT("전기검침!A5")</f>
        <v/>
      </c>
      <c r="B67" s="682">
        <f aca="1" ca="1" ref="B67" t="array">INDIRECT("전기검침!B5")</f>
        <v/>
      </c>
      <c r="C67" s="299">
        <f aca="1" ca="1" ref="C67" t="array">INDIRECT("전기검침!C5")</f>
        <v/>
      </c>
      <c r="D67" s="299">
        <f aca="1" ca="1" ref="D67" t="array">INDIRECT("전기검침!D5")</f>
        <v/>
      </c>
      <c r="E67" s="299">
        <f aca="1" ca="1" ref="E67" t="array">INDIRECT("전기검침!E5")</f>
        <v/>
      </c>
      <c r="F67" s="299">
        <f aca="1" ca="1" ref="F67" t="array">INDIRECT("전기검침!F5")</f>
        <v/>
      </c>
      <c r="G67" s="299">
        <f aca="1" ca="1" ref="G67" t="array">INDIRECT("전기검침!G5")</f>
        <v/>
      </c>
      <c r="H67" s="299">
        <f aca="1" ca="1" ref="H67" t="array">INDIRECT("전기검침!H5")</f>
        <v/>
      </c>
      <c r="I67" s="299">
        <f aca="1" ca="1" ref="I67" t="array">INDIRECT("전기검침!I5")</f>
        <v/>
      </c>
      <c r="J67" s="299">
        <f aca="1" ca="1" ref="J67" t="array">INDIRECT("전기검침!J5")</f>
        <v/>
      </c>
      <c r="K67" s="299">
        <f aca="1" ca="1" ref="K67" t="array">INDIRECT("전기검침!K5")</f>
        <v/>
      </c>
      <c r="L67" s="253" t="n"/>
    </row>
    <row customFormat="1" customHeight="1" ht="15" r="68" s="5">
      <c r="A68" s="25" t="inlineStr">
        <is>
          <t>*고객번호: 02-2700-0900</t>
        </is>
      </c>
      <c r="I68" s="163" t="n"/>
      <c r="J68" s="163" t="n"/>
      <c r="K68" s="163" t="n"/>
    </row>
    <row customHeight="1" ht="15" r="69" s="391"/>
    <row customHeight="1" ht="15" r="70" s="391" thickBot="1">
      <c r="A70" s="3" t="inlineStr">
        <is>
          <t>수도 계량기 검침</t>
        </is>
      </c>
      <c r="B70" s="346" t="n"/>
      <c r="C70" s="4" t="n"/>
      <c r="D70" s="4" t="n"/>
      <c r="E70" s="4" t="n"/>
      <c r="F70" s="4" t="n"/>
      <c r="G70" s="4" t="n"/>
      <c r="H70" s="4" t="n"/>
      <c r="I70" s="4" t="n"/>
      <c r="J70" s="4" t="n"/>
      <c r="K70" s="4" t="n"/>
      <c r="L70" s="4" t="n"/>
      <c r="M70" s="4" t="n"/>
      <c r="N70" s="4" t="n"/>
      <c r="O70" s="4" t="n"/>
    </row>
    <row customHeight="1" ht="15" r="71" s="391" thickTop="1">
      <c r="A71" s="7" t="n"/>
      <c r="B71" s="7" t="n"/>
      <c r="C71" s="7" t="n"/>
      <c r="D71" s="7" t="n"/>
      <c r="E71" s="7" t="n"/>
      <c r="F71" s="7" t="n"/>
      <c r="G71" s="7" t="n"/>
      <c r="H71" s="7" t="n"/>
      <c r="I71" s="7" t="n"/>
      <c r="J71" s="7" t="n"/>
      <c r="K71" s="7" t="n"/>
      <c r="L71" s="7" t="n"/>
      <c r="M71" s="7" t="n"/>
      <c r="N71" s="7" t="n"/>
      <c r="O71" s="7" t="n"/>
    </row>
    <row customFormat="1" customHeight="1" ht="15" r="72" s="5">
      <c r="A72" s="380" t="inlineStr">
        <is>
          <t>검침일자</t>
        </is>
      </c>
      <c r="B72" s="380" t="inlineStr">
        <is>
          <t>전체</t>
        </is>
      </c>
      <c r="C72" s="380" t="inlineStr">
        <is>
          <t>1층(포함됨)</t>
        </is>
      </c>
      <c r="D72" s="350" t="n"/>
      <c r="E72" s="380" t="inlineStr">
        <is>
          <t>2층</t>
        </is>
      </c>
      <c r="F72" s="350" t="n"/>
      <c r="G72" s="380" t="inlineStr">
        <is>
          <t>3층</t>
        </is>
      </c>
      <c r="H72" s="380" t="inlineStr">
        <is>
          <t>4층</t>
        </is>
      </c>
      <c r="I72" s="381" t="inlineStr">
        <is>
          <t>5층</t>
        </is>
      </c>
      <c r="J72" s="382" t="n"/>
      <c r="K72" s="348" t="n"/>
      <c r="L72" s="379" t="inlineStr">
        <is>
          <t>공용</t>
        </is>
      </c>
      <c r="M72" s="379" t="inlineStr">
        <is>
          <t>비고</t>
        </is>
      </c>
    </row>
    <row customFormat="1" customHeight="1" ht="15" r="73" s="5">
      <c r="A73" s="366" t="n"/>
      <c r="B73" s="366" t="n"/>
      <c r="C73" s="380" t="inlineStr">
        <is>
          <t>정육점</t>
        </is>
      </c>
      <c r="D73" s="380" t="inlineStr">
        <is>
          <t>하모니마트</t>
        </is>
      </c>
      <c r="E73" s="380" t="inlineStr">
        <is>
          <t>백야</t>
        </is>
      </c>
      <c r="F73" s="380" t="inlineStr">
        <is>
          <t>김영광치과</t>
        </is>
      </c>
      <c r="G73" s="380" t="inlineStr">
        <is>
          <t>주한(3층)</t>
        </is>
      </c>
      <c r="H73" s="380" t="inlineStr">
        <is>
          <t>공실</t>
        </is>
      </c>
      <c r="I73" s="380" t="inlineStr">
        <is>
          <t>마이홈고시텔</t>
        </is>
      </c>
      <c r="J73" s="380" t="inlineStr">
        <is>
          <t>옥상</t>
        </is>
      </c>
      <c r="K73" s="380" t="inlineStr">
        <is>
          <t>합계</t>
        </is>
      </c>
      <c r="L73" s="361" t="n"/>
      <c r="M73" s="361" t="n"/>
    </row>
    <row customFormat="1" customHeight="1" ht="15" r="74" s="5">
      <c r="A74" s="252">
        <f aca="1" ca="1" ref="A74" t="array">INDIRECT("수도검침!A6")</f>
        <v/>
      </c>
      <c r="B74" s="299">
        <f aca="1" ca="1" ref="B74" t="array">INDIRECT("수도검침!B6")</f>
        <v/>
      </c>
      <c r="C74" s="299">
        <f aca="1" ca="1" ref="C74" t="array">INDIRECT("수도검침!C6")</f>
        <v/>
      </c>
      <c r="D74" s="299">
        <f aca="1" ca="1" ref="D74" t="array">INDIRECT("수도검침!D6")</f>
        <v/>
      </c>
      <c r="E74" s="299">
        <f aca="1" ca="1" ref="E74" t="array">INDIRECT("수도검침!E6")</f>
        <v/>
      </c>
      <c r="F74" s="299">
        <f aca="1" ca="1" ref="F74" t="array">INDIRECT("수도검침!F6")</f>
        <v/>
      </c>
      <c r="G74" s="299">
        <f aca="1" ca="1" ref="G74" t="array">INDIRECT("수도검침!G6")</f>
        <v/>
      </c>
      <c r="H74" s="299">
        <f aca="1" ca="1" ref="H74" t="array">INDIRECT("수도검침!H6")</f>
        <v/>
      </c>
      <c r="I74" s="299">
        <f aca="1" ca="1" ref="I74" t="array">INDIRECT("수도검침!I6")</f>
        <v/>
      </c>
      <c r="J74" s="299">
        <f aca="1" ca="1" ref="J74" t="array">INDIRECT("수도검침!J6")</f>
        <v/>
      </c>
      <c r="K74" s="299">
        <f aca="1" ca="1" ref="K74" t="array">INDIRECT("수도검침!K6")</f>
        <v/>
      </c>
      <c r="L74" s="683" t="n">
        <v>0</v>
      </c>
      <c r="M74" s="301" t="n"/>
    </row>
    <row customFormat="1" customHeight="1" ht="15" r="75" s="5">
      <c r="A75" s="252">
        <f aca="1" ca="1" ref="A75" t="array">INDIRECT("수도검침!A5")</f>
        <v/>
      </c>
      <c r="B75" s="299">
        <f aca="1" ca="1" ref="B75" t="array">INDIRECT("수도검침!B5")</f>
        <v/>
      </c>
      <c r="C75" s="299">
        <f aca="1" ca="1" ref="C75" t="array">INDIRECT("수도검침!C5")</f>
        <v/>
      </c>
      <c r="D75" s="299">
        <f aca="1" ca="1" ref="D75" t="array">INDIRECT("수도검침!D5")</f>
        <v/>
      </c>
      <c r="E75" s="299">
        <f aca="1" ca="1" ref="E75" t="array">INDIRECT("수도검침!E5")</f>
        <v/>
      </c>
      <c r="F75" s="299">
        <f aca="1" ca="1" ref="F75" t="array">INDIRECT("수도검침!F5")</f>
        <v/>
      </c>
      <c r="G75" s="299">
        <f aca="1" ca="1" ref="G75" t="array">INDIRECT("수도검침!G5")</f>
        <v/>
      </c>
      <c r="H75" s="299">
        <f aca="1" ca="1" ref="H75" t="array">INDIRECT("수도검침!H5")</f>
        <v/>
      </c>
      <c r="I75" s="299">
        <f aca="1" ca="1" ref="I75" t="array">INDIRECT("수도검침!I5")</f>
        <v/>
      </c>
      <c r="J75" s="299">
        <f aca="1" ca="1" ref="J75" t="array">INDIRECT("수도검침!J5")</f>
        <v/>
      </c>
      <c r="K75" s="299">
        <f aca="1" ca="1" ref="K75" t="array">INDIRECT("수도검침!K5")</f>
        <v/>
      </c>
      <c r="L75" s="302">
        <f aca="1" ca="1" ref="L75" t="array">INDIRECT("수도검침!L5")</f>
        <v/>
      </c>
      <c r="M75" s="301" t="n"/>
    </row>
    <row customFormat="1" customHeight="1" ht="15" r="76" s="5">
      <c r="M76" s="684" t="n"/>
      <c r="N76" s="685" t="n"/>
    </row>
    <row customFormat="1" customHeight="1" ht="15" r="77" s="5">
      <c r="A77" s="25" t="inlineStr">
        <is>
          <t>* 신 수용가번호: 1014 101 118 1300 00</t>
        </is>
      </c>
      <c r="B77" s="25" t="n"/>
      <c r="C77" s="25" t="n"/>
      <c r="D77" s="25" t="n"/>
      <c r="O77" s="30" t="n"/>
    </row>
    <row customFormat="1" customHeight="1" ht="15" r="78" s="5">
      <c r="A78" s="25" t="inlineStr">
        <is>
          <t>* 구 수용가번호: 1014 002 700 0400 00</t>
        </is>
      </c>
      <c r="B78" s="25" t="n"/>
      <c r="C78" s="25" t="n"/>
      <c r="D78" s="25" t="n"/>
    </row>
    <row customFormat="1" customHeight="1" ht="15" r="79" s="5"/>
    <row customFormat="1" customHeight="1" ht="15" r="80" s="5"/>
    <row customFormat="1" customHeight="1" ht="15" r="81" s="5"/>
    <row customFormat="1" customHeight="1" ht="12" r="82" s="5"/>
    <row customFormat="1" customHeight="1" ht="12" r="83" s="5"/>
  </sheetData>
  <mergeCells count="65">
    <mergeCell ref="I2:J2"/>
    <mergeCell ref="L64:L65"/>
    <mergeCell ref="E38:F38"/>
    <mergeCell ref="E39:F39"/>
    <mergeCell ref="E24:H24"/>
    <mergeCell ref="E25:H25"/>
    <mergeCell ref="E26:H26"/>
    <mergeCell ref="E27:H27"/>
    <mergeCell ref="E28:H28"/>
    <mergeCell ref="G38:H38"/>
    <mergeCell ref="G39:H39"/>
    <mergeCell ref="E34:F34"/>
    <mergeCell ref="E35:F35"/>
    <mergeCell ref="E36:F36"/>
    <mergeCell ref="E37:F37"/>
    <mergeCell ref="G34:H34"/>
    <mergeCell ref="G36:H36"/>
    <mergeCell ref="A27:B27"/>
    <mergeCell ref="C27:D27"/>
    <mergeCell ref="G35:H35"/>
    <mergeCell ref="G37:H37"/>
    <mergeCell ref="E30:F30"/>
    <mergeCell ref="E31:F31"/>
    <mergeCell ref="E32:F32"/>
    <mergeCell ref="E33:F33"/>
    <mergeCell ref="G30:H30"/>
    <mergeCell ref="G31:H31"/>
    <mergeCell ref="G32:H32"/>
    <mergeCell ref="G33:H33"/>
    <mergeCell ref="E6:H6"/>
    <mergeCell ref="E5:H5"/>
    <mergeCell ref="P7:Q7"/>
    <mergeCell ref="A24:B24"/>
    <mergeCell ref="C24:D24"/>
    <mergeCell ref="A7:B7"/>
    <mergeCell ref="C7:D7"/>
    <mergeCell ref="E7:H7"/>
    <mergeCell ref="L5:L7"/>
    <mergeCell ref="K64:K65"/>
    <mergeCell ref="A64:A65"/>
    <mergeCell ref="B64:B65"/>
    <mergeCell ref="C64:D64"/>
    <mergeCell ref="E64:F64"/>
    <mergeCell ref="H64:I64"/>
    <mergeCell ref="A4:B4"/>
    <mergeCell ref="C4:D4"/>
    <mergeCell ref="A3:B3"/>
    <mergeCell ref="C3:D3"/>
    <mergeCell ref="A28:B28"/>
    <mergeCell ref="C28:D28"/>
    <mergeCell ref="A5:B5"/>
    <mergeCell ref="C5:D5"/>
    <mergeCell ref="A6:B6"/>
    <mergeCell ref="C6:D6"/>
    <mergeCell ref="A25:B25"/>
    <mergeCell ref="C25:D25"/>
    <mergeCell ref="A26:B26"/>
    <mergeCell ref="C26:D26"/>
    <mergeCell ref="L72:L73"/>
    <mergeCell ref="M72:M73"/>
    <mergeCell ref="A72:A73"/>
    <mergeCell ref="B72:B73"/>
    <mergeCell ref="C72:D72"/>
    <mergeCell ref="E72:F72"/>
    <mergeCell ref="I72:K72"/>
  </mergeCells>
  <pageMargins bottom="0.984251968503937" footer="0.5118110236220472" header="0.5118110236220472" left="0.7480314960629921" right="0.7480314960629921" top="0.984251968503937"/>
  <pageSetup orientation="portrait" paperSize="9"/>
  <rowBreaks count="1" manualBreakCount="1">
    <brk id="58" man="1" max="16383" min="0"/>
  </rowBreaks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L65"/>
  <sheetViews>
    <sheetView topLeftCell="C1" workbookViewId="0">
      <selection activeCell="AJ10" sqref="AJ10"/>
    </sheetView>
  </sheetViews>
  <sheetFormatPr baseColWidth="8" defaultColWidth="8.77734375" defaultRowHeight="13.5"/>
  <cols>
    <col customWidth="1" max="32" min="1" style="391" width="2.33203125"/>
    <col bestFit="1" customWidth="1" max="34" min="34" style="611" width="14.33203125"/>
    <col customWidth="1" max="36" min="36" style="391" width="15.77734375"/>
    <col bestFit="1" customWidth="1" max="38" min="38" style="391" width="9.88671875"/>
  </cols>
  <sheetData>
    <row customFormat="1" customHeight="1" ht="23.25" r="1" s="4" thickBot="1">
      <c r="A1" s="53" t="inlineStr">
        <is>
          <t>바른고기정육점 임대료내역</t>
        </is>
      </c>
      <c r="B1" s="39" t="n"/>
      <c r="C1" s="40" t="n"/>
      <c r="D1" s="41" t="n"/>
      <c r="E1" s="41" t="n"/>
      <c r="F1" s="41" t="n"/>
      <c r="G1" s="41" t="n"/>
      <c r="H1" s="41" t="n"/>
      <c r="I1" s="41" t="n"/>
      <c r="J1" s="41" t="n"/>
      <c r="K1" s="41" t="n"/>
      <c r="L1" s="41" t="n"/>
      <c r="M1" s="41" t="n"/>
      <c r="N1" s="41" t="n"/>
      <c r="O1" s="53" t="n"/>
      <c r="P1" s="53" t="inlineStr">
        <is>
          <t>(</t>
        </is>
      </c>
      <c r="Q1" s="516" t="n">
        <v>2023</v>
      </c>
      <c r="R1" s="346" t="n"/>
      <c r="S1" s="346" t="n"/>
      <c r="T1" s="53" t="inlineStr">
        <is>
          <t>년</t>
        </is>
      </c>
      <c r="U1" s="53" t="n"/>
      <c r="V1" s="83" t="n">
        <v>2</v>
      </c>
      <c r="W1" s="53" t="inlineStr">
        <is>
          <t>월</t>
        </is>
      </c>
      <c r="X1" s="53" t="inlineStr">
        <is>
          <t>)</t>
        </is>
      </c>
      <c r="Y1" s="53" t="n"/>
      <c r="Z1" s="53" t="n"/>
      <c r="AA1" s="53" t="n"/>
      <c r="AB1" s="53" t="n"/>
      <c r="AC1" s="41" t="n"/>
      <c r="AD1" s="41" t="n"/>
      <c r="AE1" s="41" t="n"/>
      <c r="AF1" s="41" t="n"/>
      <c r="AH1" s="686" t="n"/>
    </row>
    <row customFormat="1" customHeight="1" ht="15" r="2" s="4" thickTop="1">
      <c r="A2" s="42" t="n"/>
      <c r="B2" s="42" t="n"/>
      <c r="C2" s="42" t="n"/>
      <c r="AH2" s="686" t="n"/>
    </row>
    <row customFormat="1" customHeight="1" ht="15" r="3" s="4">
      <c r="A3" s="513" t="inlineStr">
        <is>
          <t>내역상세</t>
        </is>
      </c>
      <c r="B3" s="389" t="n"/>
      <c r="C3" s="389" t="n"/>
      <c r="D3" s="389" t="n"/>
      <c r="E3" s="389" t="n"/>
      <c r="F3" s="350" t="n"/>
      <c r="G3" s="513" t="inlineStr">
        <is>
          <t>금   액</t>
        </is>
      </c>
      <c r="H3" s="389" t="n"/>
      <c r="I3" s="389" t="n"/>
      <c r="J3" s="389" t="n"/>
      <c r="K3" s="350" t="n"/>
      <c r="L3" s="513" t="inlineStr">
        <is>
          <t>비   고</t>
        </is>
      </c>
      <c r="M3" s="389" t="n"/>
      <c r="N3" s="389" t="n"/>
      <c r="O3" s="389" t="n"/>
      <c r="P3" s="389" t="n"/>
      <c r="Q3" s="389" t="n"/>
      <c r="R3" s="389" t="n"/>
      <c r="S3" s="389" t="n"/>
      <c r="T3" s="389" t="n"/>
      <c r="U3" s="389" t="n"/>
      <c r="V3" s="350" t="n"/>
      <c r="X3" s="514" t="inlineStr">
        <is>
          <t>미납임대료</t>
        </is>
      </c>
      <c r="Y3" s="382" t="n"/>
      <c r="Z3" s="382" t="n"/>
      <c r="AA3" s="382" t="n"/>
      <c r="AB3" s="382" t="n"/>
      <c r="AC3" s="382" t="n"/>
      <c r="AD3" s="382" t="n"/>
      <c r="AE3" s="382" t="n"/>
      <c r="AF3" s="348" t="n"/>
      <c r="AH3" s="687" t="n"/>
    </row>
    <row customFormat="1" customHeight="1" ht="15" r="4" s="4">
      <c r="A4" s="512" t="inlineStr">
        <is>
          <t>월세</t>
        </is>
      </c>
      <c r="B4" s="389" t="n"/>
      <c r="C4" s="389" t="n"/>
      <c r="D4" s="389" t="n"/>
      <c r="E4" s="389" t="n"/>
      <c r="F4" s="350" t="n"/>
      <c r="G4" s="688">
        <f>1500000</f>
        <v/>
      </c>
      <c r="H4" s="389" t="n"/>
      <c r="I4" s="389" t="n"/>
      <c r="J4" s="389" t="n"/>
      <c r="K4" s="350" t="n"/>
      <c r="L4" s="515" t="n"/>
      <c r="M4" s="389" t="n"/>
      <c r="N4" s="389" t="n"/>
      <c r="O4" s="389" t="n"/>
      <c r="P4" s="389" t="n"/>
      <c r="Q4" s="389" t="n"/>
      <c r="R4" s="389" t="n"/>
      <c r="S4" s="389" t="n"/>
      <c r="T4" s="389" t="n"/>
      <c r="U4" s="389" t="n"/>
      <c r="V4" s="350" t="n"/>
      <c r="X4" s="511" t="n"/>
      <c r="Y4" s="382" t="n"/>
      <c r="Z4" s="382" t="n"/>
      <c r="AA4" s="348" t="n"/>
      <c r="AB4" s="689" t="n"/>
      <c r="AC4" s="382" t="n"/>
      <c r="AD4" s="382" t="n"/>
      <c r="AE4" s="382" t="n"/>
      <c r="AF4" s="690" t="n"/>
      <c r="AH4" s="686" t="n"/>
    </row>
    <row customFormat="1" customHeight="1" ht="15" r="5" s="4">
      <c r="A5" s="512" t="inlineStr">
        <is>
          <t>부가세(10%)</t>
        </is>
      </c>
      <c r="B5" s="389" t="n"/>
      <c r="C5" s="389" t="n"/>
      <c r="D5" s="389" t="n"/>
      <c r="E5" s="389" t="n"/>
      <c r="F5" s="350" t="n"/>
      <c r="G5" s="688">
        <f>G4*0.1</f>
        <v/>
      </c>
      <c r="H5" s="389" t="n"/>
      <c r="I5" s="389" t="n"/>
      <c r="J5" s="389" t="n"/>
      <c r="K5" s="350" t="n"/>
      <c r="L5" s="512" t="n"/>
      <c r="M5" s="389" t="n"/>
      <c r="N5" s="389" t="n"/>
      <c r="O5" s="389" t="n"/>
      <c r="P5" s="389" t="n"/>
      <c r="Q5" s="389" t="n"/>
      <c r="R5" s="389" t="n"/>
      <c r="S5" s="389" t="n"/>
      <c r="T5" s="389" t="n"/>
      <c r="U5" s="389" t="n"/>
      <c r="V5" s="350" t="n"/>
      <c r="X5" s="511" t="n"/>
      <c r="Y5" s="382" t="n"/>
      <c r="Z5" s="382" t="n"/>
      <c r="AA5" s="348" t="n"/>
      <c r="AB5" s="689" t="n"/>
      <c r="AC5" s="382" t="n"/>
      <c r="AD5" s="382" t="n"/>
      <c r="AE5" s="382" t="n"/>
      <c r="AF5" s="690" t="n"/>
      <c r="AG5" s="691" t="n"/>
      <c r="AH5" s="686" t="n"/>
    </row>
    <row customFormat="1" customHeight="1" ht="15" r="6" s="4">
      <c r="A6" s="512" t="inlineStr">
        <is>
          <t>공동 관리비</t>
        </is>
      </c>
      <c r="B6" s="389" t="n"/>
      <c r="C6" s="389" t="n"/>
      <c r="D6" s="389" t="n"/>
      <c r="E6" s="389" t="n"/>
      <c r="F6" s="350" t="n"/>
      <c r="G6" s="688">
        <f>(6000*35)</f>
        <v/>
      </c>
      <c r="H6" s="389" t="n"/>
      <c r="I6" s="389" t="n"/>
      <c r="J6" s="389" t="n"/>
      <c r="K6" s="350" t="n"/>
      <c r="L6" s="512" t="inlineStr">
        <is>
          <t>1층35평,월6,000원/평</t>
        </is>
      </c>
      <c r="M6" s="389" t="n"/>
      <c r="N6" s="389" t="n"/>
      <c r="O6" s="389" t="n"/>
      <c r="P6" s="389" t="n"/>
      <c r="Q6" s="389" t="n"/>
      <c r="R6" s="389" t="n"/>
      <c r="S6" s="389" t="n"/>
      <c r="T6" s="389" t="n"/>
      <c r="U6" s="389" t="n"/>
      <c r="V6" s="350" t="n"/>
      <c r="X6" s="511" t="n"/>
      <c r="Y6" s="382" t="n"/>
      <c r="Z6" s="382" t="n"/>
      <c r="AA6" s="348" t="n"/>
      <c r="AB6" s="689" t="n"/>
      <c r="AC6" s="382" t="n"/>
      <c r="AD6" s="382" t="n"/>
      <c r="AE6" s="382" t="n"/>
      <c r="AF6" s="690" t="n"/>
      <c r="AG6" s="691" t="n"/>
      <c r="AH6" s="686" t="n"/>
    </row>
    <row customFormat="1" customHeight="1" ht="15" r="7" s="4">
      <c r="A7" s="512" t="inlineStr">
        <is>
          <t>전기요금</t>
        </is>
      </c>
      <c r="B7" s="389" t="n"/>
      <c r="C7" s="389" t="n"/>
      <c r="D7" s="389" t="n"/>
      <c r="E7" s="389" t="n"/>
      <c r="F7" s="350" t="n"/>
      <c r="G7" s="688">
        <f>전기수도요금!H10</f>
        <v/>
      </c>
      <c r="H7" s="389" t="n"/>
      <c r="I7" s="389" t="n"/>
      <c r="J7" s="389" t="n"/>
      <c r="K7" s="350" t="n"/>
      <c r="L7" s="520" t="n"/>
      <c r="M7" s="389" t="n"/>
      <c r="N7" s="389" t="n"/>
      <c r="O7" s="389" t="n"/>
      <c r="P7" s="389" t="n"/>
      <c r="Q7" s="389" t="n"/>
      <c r="R7" s="389" t="n"/>
      <c r="S7" s="389" t="n"/>
      <c r="T7" s="389" t="n"/>
      <c r="U7" s="389" t="n"/>
      <c r="V7" s="350" t="n"/>
      <c r="X7" s="511" t="n"/>
      <c r="Y7" s="382" t="n"/>
      <c r="Z7" s="382" t="n"/>
      <c r="AA7" s="348" t="n"/>
      <c r="AB7" s="689" t="n"/>
      <c r="AC7" s="382" t="n"/>
      <c r="AD7" s="382" t="n"/>
      <c r="AE7" s="382" t="n"/>
      <c r="AF7" s="690" t="n"/>
      <c r="AH7" s="686" t="n"/>
    </row>
    <row customFormat="1" customHeight="1" ht="15" r="8" s="4">
      <c r="A8" s="512" t="inlineStr">
        <is>
          <t>상/하수도 요금</t>
        </is>
      </c>
      <c r="B8" s="389" t="n"/>
      <c r="C8" s="389" t="n"/>
      <c r="D8" s="389" t="n"/>
      <c r="E8" s="389" t="n"/>
      <c r="F8" s="350" t="n"/>
      <c r="G8" s="688">
        <f>전기수도요금!G31</f>
        <v/>
      </c>
      <c r="H8" s="389" t="n"/>
      <c r="I8" s="389" t="n"/>
      <c r="J8" s="389" t="n"/>
      <c r="K8" s="350" t="n"/>
      <c r="L8" s="520" t="n"/>
      <c r="M8" s="389" t="n"/>
      <c r="N8" s="389" t="n"/>
      <c r="O8" s="389" t="n"/>
      <c r="P8" s="389" t="n"/>
      <c r="Q8" s="389" t="n"/>
      <c r="R8" s="389" t="n"/>
      <c r="S8" s="389" t="n"/>
      <c r="T8" s="389" t="n"/>
      <c r="U8" s="389" t="n"/>
      <c r="V8" s="350" t="n"/>
      <c r="X8" s="511" t="n"/>
      <c r="Y8" s="382" t="n"/>
      <c r="Z8" s="382" t="n"/>
      <c r="AA8" s="348" t="n"/>
      <c r="AB8" s="689" t="n"/>
      <c r="AC8" s="382" t="n"/>
      <c r="AD8" s="382" t="n"/>
      <c r="AE8" s="382" t="n"/>
      <c r="AF8" s="690" t="n"/>
      <c r="AG8" s="692" t="n"/>
      <c r="AH8" s="686" t="n"/>
      <c r="AI8" s="164" t="n"/>
    </row>
    <row customFormat="1" customHeight="1" ht="15" r="9" s="4">
      <c r="A9" s="513" t="n"/>
      <c r="B9" s="389" t="n"/>
      <c r="C9" s="389" t="n"/>
      <c r="D9" s="389" t="n"/>
      <c r="E9" s="389" t="n"/>
      <c r="F9" s="350" t="n"/>
      <c r="G9" s="688" t="n"/>
      <c r="H9" s="389" t="n"/>
      <c r="I9" s="389" t="n"/>
      <c r="J9" s="389" t="n"/>
      <c r="K9" s="350" t="n"/>
      <c r="L9" s="512" t="n"/>
      <c r="M9" s="389" t="n"/>
      <c r="N9" s="389" t="n"/>
      <c r="O9" s="389" t="n"/>
      <c r="P9" s="389" t="n"/>
      <c r="Q9" s="389" t="n"/>
      <c r="R9" s="389" t="n"/>
      <c r="S9" s="389" t="n"/>
      <c r="T9" s="389" t="n"/>
      <c r="U9" s="389" t="n"/>
      <c r="V9" s="350" t="n"/>
      <c r="X9" s="511" t="n"/>
      <c r="Y9" s="382" t="n"/>
      <c r="Z9" s="382" t="n"/>
      <c r="AA9" s="348" t="n"/>
      <c r="AB9" s="689" t="n"/>
      <c r="AC9" s="382" t="n"/>
      <c r="AD9" s="382" t="n"/>
      <c r="AE9" s="382" t="n"/>
      <c r="AF9" s="690" t="n"/>
      <c r="AG9" s="692" t="n"/>
      <c r="AH9" s="686" t="n"/>
    </row>
    <row customFormat="1" customHeight="1" ht="15" r="10" s="4">
      <c r="A10" s="508" t="inlineStr">
        <is>
          <t>임대료 합계</t>
        </is>
      </c>
      <c r="B10" s="389" t="n"/>
      <c r="C10" s="389" t="n"/>
      <c r="D10" s="389" t="n"/>
      <c r="E10" s="389" t="n"/>
      <c r="F10" s="350" t="n"/>
      <c r="G10" s="693">
        <f>SUM(G4:J9)</f>
        <v/>
      </c>
      <c r="H10" s="389" t="n"/>
      <c r="I10" s="389" t="n"/>
      <c r="J10" s="389" t="n"/>
      <c r="K10" s="350" t="n"/>
      <c r="L10" s="522" t="n"/>
      <c r="M10" s="389" t="n"/>
      <c r="N10" s="389" t="n"/>
      <c r="O10" s="389" t="n"/>
      <c r="P10" s="389" t="n"/>
      <c r="Q10" s="389" t="n"/>
      <c r="R10" s="389" t="n"/>
      <c r="S10" s="389" t="n"/>
      <c r="T10" s="389" t="n"/>
      <c r="U10" s="389" t="n"/>
      <c r="V10" s="350" t="n"/>
      <c r="X10" s="511" t="n"/>
      <c r="Y10" s="382" t="n"/>
      <c r="Z10" s="382" t="n"/>
      <c r="AA10" s="348" t="n"/>
      <c r="AB10" s="689" t="n"/>
      <c r="AC10" s="382" t="n"/>
      <c r="AD10" s="382" t="n"/>
      <c r="AE10" s="382" t="n"/>
      <c r="AF10" s="690" t="n"/>
      <c r="AH10" s="686" t="n"/>
    </row>
    <row customFormat="1" customHeight="1" ht="15" r="11" s="4">
      <c r="A11" s="42" t="n"/>
      <c r="B11" s="42" t="n"/>
      <c r="C11" s="42" t="n"/>
      <c r="X11" s="511" t="n"/>
      <c r="Y11" s="382" t="n"/>
      <c r="Z11" s="382" t="n"/>
      <c r="AA11" s="348" t="n"/>
      <c r="AB11" s="689" t="n"/>
      <c r="AC11" s="382" t="n"/>
      <c r="AD11" s="382" t="n"/>
      <c r="AE11" s="382" t="n"/>
      <c r="AF11" s="690" t="n"/>
      <c r="AH11" s="686" t="n"/>
      <c r="AJ11" s="692" t="n"/>
    </row>
    <row customFormat="1" customHeight="1" ht="15" r="12" s="4">
      <c r="A12" s="43" t="inlineStr">
        <is>
          <t>매월 말일까지 아래 은행계좌로 입금하여 주십시요.</t>
        </is>
      </c>
      <c r="B12" s="44" t="n"/>
      <c r="C12" s="45" t="n"/>
      <c r="D12" s="46" t="n"/>
      <c r="E12" s="46" t="n"/>
      <c r="F12" s="46" t="n"/>
      <c r="G12" s="46" t="n"/>
      <c r="H12" s="46" t="n"/>
      <c r="I12" s="46" t="n"/>
      <c r="J12" s="46" t="n"/>
      <c r="K12" s="46" t="n"/>
      <c r="L12" s="46" t="n"/>
      <c r="M12" s="46" t="n"/>
      <c r="N12" s="46" t="n"/>
      <c r="O12" s="46" t="n"/>
      <c r="P12" s="46" t="n"/>
      <c r="Q12" s="46" t="n"/>
      <c r="R12" s="46" t="n"/>
      <c r="S12" s="46" t="n"/>
      <c r="T12" s="46" t="n"/>
      <c r="U12" s="46" t="n"/>
      <c r="V12" s="46" t="n"/>
      <c r="X12" s="511" t="n"/>
      <c r="Y12" s="382" t="n"/>
      <c r="Z12" s="382" t="n"/>
      <c r="AA12" s="348" t="n"/>
      <c r="AB12" s="689" t="n"/>
      <c r="AC12" s="382" t="n"/>
      <c r="AD12" s="382" t="n"/>
      <c r="AE12" s="382" t="n"/>
      <c r="AF12" s="690" t="n"/>
      <c r="AH12" s="686" t="n"/>
      <c r="AI12" s="92" t="n"/>
      <c r="AJ12" s="92" t="n"/>
      <c r="AK12" s="93" t="n"/>
    </row>
    <row customFormat="1" customHeight="1" ht="15" r="13" s="4">
      <c r="A13" s="47" t="inlineStr">
        <is>
          <t>신한은행 379-02-099892 (예금주:곽순욱/세림빌딩)</t>
        </is>
      </c>
      <c r="B13" s="44" t="n"/>
      <c r="C13" s="45" t="n"/>
      <c r="D13" s="46" t="n"/>
      <c r="E13" s="46" t="n"/>
      <c r="F13" s="46" t="n"/>
      <c r="G13" s="46" t="n"/>
      <c r="H13" s="46" t="n"/>
      <c r="I13" s="46" t="n"/>
      <c r="J13" s="46" t="n"/>
      <c r="K13" s="46" t="n"/>
      <c r="L13" s="46" t="n"/>
      <c r="M13" s="46" t="n"/>
      <c r="N13" s="46" t="n"/>
      <c r="O13" s="46" t="n"/>
      <c r="P13" s="46" t="n"/>
      <c r="Q13" s="46" t="n"/>
      <c r="R13" s="46" t="n"/>
      <c r="S13" s="46" t="n"/>
      <c r="T13" s="46" t="n"/>
      <c r="U13" s="46" t="n"/>
      <c r="V13" s="46" t="n"/>
      <c r="X13" s="476" t="inlineStr">
        <is>
          <t>합계</t>
        </is>
      </c>
      <c r="Y13" s="382" t="n"/>
      <c r="Z13" s="382" t="n"/>
      <c r="AA13" s="348" t="n"/>
      <c r="AB13" s="694">
        <f>SUM(AB4:AE12)</f>
        <v/>
      </c>
      <c r="AC13" s="382" t="n"/>
      <c r="AD13" s="382" t="n"/>
      <c r="AE13" s="382" t="n"/>
      <c r="AF13" s="695" t="inlineStr">
        <is>
          <t>원</t>
        </is>
      </c>
      <c r="AH13" s="686" t="n"/>
    </row>
    <row customFormat="1" customHeight="1" ht="15" r="14" s="4">
      <c r="A14" s="54" t="n"/>
      <c r="B14" s="55" t="n"/>
      <c r="C14" s="56" t="n"/>
      <c r="X14" s="49" t="n"/>
      <c r="Y14" s="49" t="n"/>
      <c r="Z14" s="49" t="n"/>
      <c r="AA14" s="49" t="n"/>
      <c r="AB14" s="696" t="n"/>
      <c r="AC14" s="696" t="n"/>
      <c r="AD14" s="696" t="n"/>
      <c r="AE14" s="696" t="n"/>
      <c r="AF14" s="697" t="n"/>
      <c r="AH14" s="686" t="n"/>
    </row>
    <row customFormat="1" r="15" s="4">
      <c r="AH15" s="686" t="n"/>
    </row>
    <row customFormat="1" r="16" s="4">
      <c r="AH16" s="686" t="n"/>
    </row>
    <row customFormat="1" r="17" s="4">
      <c r="A17" s="48" t="n"/>
      <c r="B17" s="48" t="n"/>
      <c r="C17" s="48" t="n"/>
      <c r="D17" s="48" t="n"/>
      <c r="E17" s="48" t="n"/>
      <c r="F17" s="48" t="n"/>
      <c r="G17" s="48" t="n"/>
      <c r="H17" s="48" t="n"/>
      <c r="I17" s="48" t="n"/>
      <c r="J17" s="48" t="n"/>
      <c r="K17" s="48" t="n"/>
      <c r="L17" s="48" t="n"/>
      <c r="M17" s="48" t="n"/>
      <c r="N17" s="48" t="n"/>
      <c r="O17" s="48" t="n"/>
      <c r="P17" s="48" t="n"/>
      <c r="Q17" s="48" t="n"/>
      <c r="R17" s="48" t="n"/>
      <c r="S17" s="48" t="n"/>
      <c r="T17" s="48" t="n"/>
      <c r="U17" s="48" t="n"/>
      <c r="V17" s="48" t="n"/>
      <c r="W17" s="48" t="n"/>
      <c r="X17" s="48" t="n"/>
      <c r="Y17" s="48" t="n"/>
      <c r="Z17" s="48" t="n"/>
      <c r="AA17" s="48" t="n"/>
      <c r="AB17" s="48" t="n"/>
      <c r="AC17" s="48" t="n"/>
      <c r="AD17" s="48" t="n"/>
      <c r="AE17" s="48" t="n"/>
      <c r="AF17" s="48" t="n"/>
      <c r="AH17" s="686" t="n"/>
    </row>
    <row customHeight="1" ht="14.25" r="18" s="391" thickBot="1">
      <c r="A18" s="31" t="inlineStr">
        <is>
          <t>[별지 제11호 서식]</t>
        </is>
      </c>
      <c r="B18" s="31" t="n"/>
      <c r="C18" s="32" t="n"/>
      <c r="D18" s="32" t="n"/>
      <c r="E18" s="32" t="n"/>
      <c r="F18" s="32" t="n"/>
      <c r="G18" s="33" t="n"/>
      <c r="H18" s="33" t="n"/>
      <c r="I18" s="32" t="n"/>
      <c r="J18" s="32" t="n"/>
      <c r="K18" s="32" t="n"/>
      <c r="L18" s="32" t="n"/>
      <c r="M18" s="32" t="n"/>
      <c r="N18" s="32" t="n"/>
      <c r="O18" s="32" t="n"/>
      <c r="P18" s="32" t="n"/>
      <c r="Q18" s="32" t="n"/>
      <c r="R18" s="32" t="n"/>
      <c r="S18" s="32" t="n"/>
      <c r="T18" s="32" t="n"/>
      <c r="U18" s="32" t="n"/>
      <c r="V18" s="470" t="n"/>
      <c r="AB18" s="470" t="n"/>
    </row>
    <row r="19">
      <c r="A19" s="500" t="inlineStr">
        <is>
          <t>세 금 계 산 서</t>
        </is>
      </c>
      <c r="B19" s="404" t="n"/>
      <c r="C19" s="404" t="n"/>
      <c r="D19" s="404" t="n"/>
      <c r="E19" s="404" t="n"/>
      <c r="F19" s="404" t="n"/>
      <c r="G19" s="404" t="n"/>
      <c r="H19" s="404" t="n"/>
      <c r="I19" s="404" t="n"/>
      <c r="J19" s="404" t="n"/>
      <c r="K19" s="404" t="n"/>
      <c r="L19" s="404" t="n"/>
      <c r="M19" s="404" t="n"/>
      <c r="N19" s="404" t="n"/>
      <c r="O19" s="404" t="n"/>
      <c r="P19" s="502" t="inlineStr">
        <is>
          <t>(</t>
        </is>
      </c>
      <c r="Q19" s="503" t="inlineStr">
        <is>
          <t>공급받는자</t>
        </is>
      </c>
      <c r="R19" s="404" t="n"/>
      <c r="S19" s="404" t="n"/>
      <c r="T19" s="404" t="n"/>
      <c r="U19" s="404" t="n"/>
      <c r="V19" s="503" t="inlineStr">
        <is>
          <t>)</t>
        </is>
      </c>
      <c r="W19" s="504" t="inlineStr">
        <is>
          <t>책   번   호</t>
        </is>
      </c>
      <c r="X19" s="430" t="n"/>
      <c r="Y19" s="430" t="n"/>
      <c r="Z19" s="431" t="n"/>
      <c r="AA19" s="505" t="n"/>
      <c r="AB19" s="430" t="n"/>
      <c r="AC19" s="34" t="inlineStr">
        <is>
          <t>권</t>
        </is>
      </c>
      <c r="AD19" s="505" t="n"/>
      <c r="AE19" s="430" t="n"/>
      <c r="AF19" s="35" t="inlineStr">
        <is>
          <t>호</t>
        </is>
      </c>
    </row>
    <row customHeight="1" ht="14.25" r="20" s="391" thickBot="1">
      <c r="A20" s="501" t="n"/>
      <c r="Q20" s="506" t="inlineStr">
        <is>
          <t>보  관  용</t>
        </is>
      </c>
      <c r="R20" s="419" t="n"/>
      <c r="S20" s="419" t="n"/>
      <c r="T20" s="419" t="n"/>
      <c r="U20" s="419" t="n"/>
      <c r="W20" s="462" t="inlineStr">
        <is>
          <t>일 련 번 호</t>
        </is>
      </c>
      <c r="X20" s="408" t="n"/>
      <c r="Y20" s="408" t="n"/>
      <c r="Z20" s="409" t="n"/>
      <c r="AA20" s="303" t="n"/>
      <c r="AB20" s="304" t="n"/>
      <c r="AC20" s="303" t="n"/>
      <c r="AD20" s="303" t="n"/>
      <c r="AE20" s="303" t="n"/>
      <c r="AF20" s="305" t="n"/>
    </row>
    <row r="21">
      <c r="A21" s="463" t="inlineStr">
        <is>
          <t>공 급 자</t>
        </is>
      </c>
      <c r="B21" s="433" t="inlineStr">
        <is>
          <t>등록번호</t>
        </is>
      </c>
      <c r="C21" s="416" t="n"/>
      <c r="D21" s="417" t="n"/>
      <c r="E21" s="458" t="n">
        <v>1</v>
      </c>
      <c r="F21" s="452" t="n">
        <v>2</v>
      </c>
      <c r="G21" s="452" t="n">
        <v>4</v>
      </c>
      <c r="H21" s="452" t="inlineStr">
        <is>
          <t>-</t>
        </is>
      </c>
      <c r="I21" s="452" t="n">
        <v>2</v>
      </c>
      <c r="J21" s="452" t="n">
        <v>0</v>
      </c>
      <c r="K21" s="452" t="inlineStr">
        <is>
          <t>-</t>
        </is>
      </c>
      <c r="L21" s="452" t="n">
        <v>2</v>
      </c>
      <c r="M21" s="452" t="n">
        <v>6</v>
      </c>
      <c r="N21" s="452" t="n">
        <v>4</v>
      </c>
      <c r="O21" s="452" t="n">
        <v>4</v>
      </c>
      <c r="P21" s="465" t="n">
        <v>9</v>
      </c>
      <c r="Q21" s="467" t="inlineStr">
        <is>
          <t>공급받는자</t>
        </is>
      </c>
      <c r="R21" s="433" t="inlineStr">
        <is>
          <t>등록번호</t>
        </is>
      </c>
      <c r="S21" s="416" t="n"/>
      <c r="T21" s="417" t="n"/>
      <c r="U21" s="458" t="n">
        <v>1</v>
      </c>
      <c r="V21" s="452" t="n">
        <v>1</v>
      </c>
      <c r="W21" s="452" t="n">
        <v>6</v>
      </c>
      <c r="X21" s="452" t="inlineStr">
        <is>
          <t>-</t>
        </is>
      </c>
      <c r="Y21" s="452" t="n">
        <v>0</v>
      </c>
      <c r="Z21" s="452" t="n">
        <v>6</v>
      </c>
      <c r="AA21" s="452" t="inlineStr">
        <is>
          <t>-</t>
        </is>
      </c>
      <c r="AB21" s="452" t="n">
        <v>3</v>
      </c>
      <c r="AC21" s="452" t="n">
        <v>8</v>
      </c>
      <c r="AD21" s="452" t="n">
        <v>6</v>
      </c>
      <c r="AE21" s="452" t="n">
        <v>2</v>
      </c>
      <c r="AF21" s="453" t="n">
        <v>8</v>
      </c>
    </row>
    <row customHeight="1" ht="14.25" r="22" s="391" thickBot="1">
      <c r="A22" s="464" t="n"/>
      <c r="B22" s="418" t="n"/>
      <c r="C22" s="419" t="n"/>
      <c r="D22" s="420" t="n"/>
      <c r="E22" s="459" t="n"/>
      <c r="F22" s="439" t="n"/>
      <c r="G22" s="439" t="n"/>
      <c r="H22" s="439" t="n"/>
      <c r="I22" s="439" t="n"/>
      <c r="J22" s="439" t="n"/>
      <c r="K22" s="439" t="n"/>
      <c r="L22" s="439" t="n"/>
      <c r="M22" s="439" t="n"/>
      <c r="N22" s="439" t="n"/>
      <c r="O22" s="439" t="n"/>
      <c r="P22" s="466" t="n"/>
      <c r="Q22" s="468" t="n"/>
      <c r="R22" s="418" t="n"/>
      <c r="S22" s="419" t="n"/>
      <c r="T22" s="420" t="n"/>
      <c r="U22" s="459" t="n"/>
      <c r="V22" s="439" t="n"/>
      <c r="W22" s="439" t="n"/>
      <c r="X22" s="439" t="n"/>
      <c r="Y22" s="439" t="n"/>
      <c r="Z22" s="439" t="n"/>
      <c r="AA22" s="439" t="n"/>
      <c r="AB22" s="439" t="n"/>
      <c r="AC22" s="439" t="n"/>
      <c r="AD22" s="439" t="n"/>
      <c r="AE22" s="439" t="n"/>
      <c r="AF22" s="454" t="n"/>
    </row>
    <row r="23">
      <c r="A23" s="464" t="n"/>
      <c r="B23" s="444" t="inlineStr">
        <is>
          <t>상     호</t>
        </is>
      </c>
      <c r="C23" s="416" t="n"/>
      <c r="D23" s="417" t="n"/>
      <c r="E23" s="445" t="inlineStr">
        <is>
          <t>세림빌딩</t>
        </is>
      </c>
      <c r="F23" s="416" t="n"/>
      <c r="G23" s="416" t="n"/>
      <c r="H23" s="416" t="n"/>
      <c r="I23" s="416" t="n"/>
      <c r="J23" s="417" t="n"/>
      <c r="K23" s="438" t="inlineStr">
        <is>
          <t>성명</t>
        </is>
      </c>
      <c r="L23" s="447" t="inlineStr">
        <is>
          <t>곽순욱 외1인</t>
        </is>
      </c>
      <c r="M23" s="416" t="n"/>
      <c r="N23" s="416" t="n"/>
      <c r="O23" s="417" t="n"/>
      <c r="P23" s="448" t="inlineStr">
        <is>
          <t>인</t>
        </is>
      </c>
      <c r="Q23" s="468" t="n"/>
      <c r="R23" s="444" t="inlineStr">
        <is>
          <t>상     호</t>
        </is>
      </c>
      <c r="S23" s="416" t="n"/>
      <c r="T23" s="417" t="n"/>
      <c r="U23" s="455" t="inlineStr">
        <is>
          <t>바른고기정육점</t>
        </is>
      </c>
      <c r="V23" s="404" t="n"/>
      <c r="W23" s="404" t="n"/>
      <c r="X23" s="404" t="n"/>
      <c r="Y23" s="404" t="n"/>
      <c r="Z23" s="456" t="n"/>
      <c r="AA23" s="457" t="inlineStr">
        <is>
          <t>성명</t>
        </is>
      </c>
      <c r="AB23" s="460" t="inlineStr">
        <is>
          <t>양성철</t>
        </is>
      </c>
      <c r="AC23" s="404" t="n"/>
      <c r="AD23" s="404" t="n"/>
      <c r="AE23" s="404" t="n"/>
      <c r="AF23" s="461" t="inlineStr">
        <is>
          <t>인</t>
        </is>
      </c>
    </row>
    <row customHeight="1" ht="14.25" r="24" s="391" thickBot="1">
      <c r="A24" s="464" t="n"/>
      <c r="B24" s="443" t="inlineStr">
        <is>
          <t>(법인명)</t>
        </is>
      </c>
      <c r="C24" s="419" t="n"/>
      <c r="D24" s="420" t="n"/>
      <c r="E24" s="446" t="n"/>
      <c r="F24" s="436" t="n"/>
      <c r="G24" s="436" t="n"/>
      <c r="H24" s="436" t="n"/>
      <c r="I24" s="436" t="n"/>
      <c r="J24" s="437" t="n"/>
      <c r="K24" s="439" t="n"/>
      <c r="L24" s="418" t="n"/>
      <c r="M24" s="419" t="n"/>
      <c r="N24" s="419" t="n"/>
      <c r="O24" s="420" t="n"/>
      <c r="P24" s="406" t="n"/>
      <c r="Q24" s="468" t="n"/>
      <c r="R24" s="443" t="inlineStr">
        <is>
          <t>(법인명)</t>
        </is>
      </c>
      <c r="S24" s="419" t="n"/>
      <c r="T24" s="420" t="n"/>
      <c r="U24" s="418" t="n"/>
      <c r="V24" s="419" t="n"/>
      <c r="W24" s="419" t="n"/>
      <c r="X24" s="419" t="n"/>
      <c r="Y24" s="419" t="n"/>
      <c r="Z24" s="420" t="n"/>
      <c r="AA24" s="439" t="n"/>
      <c r="AB24" s="418" t="n"/>
      <c r="AC24" s="419" t="n"/>
      <c r="AD24" s="419" t="n"/>
      <c r="AE24" s="419" t="n"/>
      <c r="AF24" s="406" t="n"/>
    </row>
    <row r="25">
      <c r="A25" s="464" t="n"/>
      <c r="B25" s="444" t="inlineStr">
        <is>
          <t>사 업 장</t>
        </is>
      </c>
      <c r="C25" s="416" t="n"/>
      <c r="D25" s="417" t="n"/>
      <c r="E25" s="469" t="inlineStr">
        <is>
          <t>경기도 수원시 영통구 동수원로 514</t>
        </is>
      </c>
      <c r="F25" s="404" t="n"/>
      <c r="G25" s="404" t="n"/>
      <c r="H25" s="404" t="n"/>
      <c r="I25" s="404" t="n"/>
      <c r="J25" s="404" t="n"/>
      <c r="K25" s="404" t="n"/>
      <c r="L25" s="404" t="n"/>
      <c r="M25" s="404" t="n"/>
      <c r="N25" s="404" t="n"/>
      <c r="O25" s="404" t="n"/>
      <c r="P25" s="456" t="n"/>
      <c r="Q25" s="468" t="n"/>
      <c r="R25" s="444" t="inlineStr">
        <is>
          <t>사 업 장</t>
        </is>
      </c>
      <c r="S25" s="416" t="n"/>
      <c r="T25" s="417" t="n"/>
      <c r="U25" s="469" t="inlineStr">
        <is>
          <t>경기도 수원시 영통구 동수원로 514</t>
        </is>
      </c>
      <c r="V25" s="404" t="n"/>
      <c r="W25" s="404" t="n"/>
      <c r="X25" s="404" t="n"/>
      <c r="Y25" s="404" t="n"/>
      <c r="Z25" s="404" t="n"/>
      <c r="AA25" s="404" t="n"/>
      <c r="AB25" s="404" t="n"/>
      <c r="AC25" s="404" t="n"/>
      <c r="AD25" s="404" t="n"/>
      <c r="AE25" s="404" t="n"/>
      <c r="AF25" s="456" t="n"/>
      <c r="AH25" s="95" t="inlineStr">
        <is>
          <t>공급가액</t>
        </is>
      </c>
      <c r="AI25" s="95" t="inlineStr">
        <is>
          <t>세액</t>
        </is>
      </c>
      <c r="AJ25" s="95" t="inlineStr">
        <is>
          <t>합계금액</t>
        </is>
      </c>
    </row>
    <row r="26">
      <c r="A26" s="464" t="n"/>
      <c r="B26" s="443" t="inlineStr">
        <is>
          <t>주     소</t>
        </is>
      </c>
      <c r="C26" s="419" t="n"/>
      <c r="D26" s="420" t="n"/>
      <c r="E26" s="418" t="n"/>
      <c r="F26" s="419" t="n"/>
      <c r="G26" s="419" t="n"/>
      <c r="H26" s="419" t="n"/>
      <c r="I26" s="419" t="n"/>
      <c r="J26" s="419" t="n"/>
      <c r="K26" s="419" t="n"/>
      <c r="L26" s="419" t="n"/>
      <c r="M26" s="419" t="n"/>
      <c r="N26" s="419" t="n"/>
      <c r="O26" s="419" t="n"/>
      <c r="P26" s="420" t="n"/>
      <c r="Q26" s="468" t="n"/>
      <c r="R26" s="443" t="inlineStr">
        <is>
          <t>주     소</t>
        </is>
      </c>
      <c r="S26" s="419" t="n"/>
      <c r="T26" s="420" t="n"/>
      <c r="U26" s="418" t="n"/>
      <c r="V26" s="419" t="n"/>
      <c r="W26" s="419" t="n"/>
      <c r="X26" s="419" t="n"/>
      <c r="Y26" s="419" t="n"/>
      <c r="Z26" s="419" t="n"/>
      <c r="AA26" s="419" t="n"/>
      <c r="AB26" s="419" t="n"/>
      <c r="AC26" s="419" t="n"/>
      <c r="AD26" s="419" t="n"/>
      <c r="AE26" s="419" t="n"/>
      <c r="AF26" s="420" t="n"/>
      <c r="AH26" s="698">
        <f>T33</f>
        <v/>
      </c>
      <c r="AI26" s="698">
        <f>Z33</f>
        <v/>
      </c>
    </row>
    <row r="27">
      <c r="A27" s="464" t="n"/>
      <c r="B27" s="433" t="inlineStr">
        <is>
          <t>업     태</t>
        </is>
      </c>
      <c r="C27" s="416" t="n"/>
      <c r="D27" s="417" t="n"/>
      <c r="E27" s="434" t="inlineStr">
        <is>
          <t>부동산업</t>
        </is>
      </c>
      <c r="F27" s="416" t="n"/>
      <c r="G27" s="416" t="n"/>
      <c r="H27" s="416" t="n"/>
      <c r="I27" s="416" t="n"/>
      <c r="J27" s="417" t="n"/>
      <c r="K27" s="438" t="inlineStr">
        <is>
          <t>종목</t>
        </is>
      </c>
      <c r="L27" s="434" t="inlineStr">
        <is>
          <t>비주거용            건물임대업</t>
        </is>
      </c>
      <c r="M27" s="416" t="n"/>
      <c r="N27" s="416" t="n"/>
      <c r="O27" s="416" t="n"/>
      <c r="P27" s="417" t="n"/>
      <c r="Q27" s="468" t="n"/>
      <c r="R27" s="433" t="inlineStr">
        <is>
          <t>업     태</t>
        </is>
      </c>
      <c r="S27" s="416" t="n"/>
      <c r="T27" s="417" t="n"/>
      <c r="U27" s="434" t="inlineStr">
        <is>
          <t>소매업</t>
        </is>
      </c>
      <c r="V27" s="416" t="n"/>
      <c r="W27" s="416" t="n"/>
      <c r="X27" s="416" t="n"/>
      <c r="Y27" s="416" t="n"/>
      <c r="Z27" s="417" t="n"/>
      <c r="AA27" s="438" t="inlineStr">
        <is>
          <t>종목</t>
        </is>
      </c>
      <c r="AB27" s="449" t="inlineStr">
        <is>
          <t>식육판매</t>
        </is>
      </c>
      <c r="AC27" s="416" t="n"/>
      <c r="AD27" s="416" t="n"/>
      <c r="AE27" s="416" t="n"/>
      <c r="AF27" s="450" t="n"/>
      <c r="AH27" s="698">
        <f>T34</f>
        <v/>
      </c>
      <c r="AI27" s="698">
        <f>Z34</f>
        <v/>
      </c>
    </row>
    <row customHeight="1" ht="14.25" r="28" s="391" thickBot="1">
      <c r="A28" s="459" t="n"/>
      <c r="B28" s="418" t="n"/>
      <c r="C28" s="419" t="n"/>
      <c r="D28" s="420" t="n"/>
      <c r="E28" s="435" t="n"/>
      <c r="F28" s="436" t="n"/>
      <c r="G28" s="436" t="n"/>
      <c r="H28" s="436" t="n"/>
      <c r="I28" s="436" t="n"/>
      <c r="J28" s="437" t="n"/>
      <c r="K28" s="439" t="n"/>
      <c r="L28" s="435" t="n"/>
      <c r="M28" s="436" t="n"/>
      <c r="N28" s="436" t="n"/>
      <c r="O28" s="436" t="n"/>
      <c r="P28" s="437" t="n"/>
      <c r="Q28" s="420" t="n"/>
      <c r="R28" s="418" t="n"/>
      <c r="S28" s="419" t="n"/>
      <c r="T28" s="420" t="n"/>
      <c r="U28" s="435" t="n"/>
      <c r="V28" s="436" t="n"/>
      <c r="W28" s="436" t="n"/>
      <c r="X28" s="436" t="n"/>
      <c r="Y28" s="436" t="n"/>
      <c r="Z28" s="437" t="n"/>
      <c r="AA28" s="439" t="n"/>
      <c r="AB28" s="435" t="n"/>
      <c r="AC28" s="436" t="n"/>
      <c r="AD28" s="436" t="n"/>
      <c r="AE28" s="436" t="n"/>
      <c r="AF28" s="451" t="n"/>
      <c r="AH28" s="698">
        <f>T35</f>
        <v/>
      </c>
      <c r="AI28" s="698">
        <f>Z35</f>
        <v/>
      </c>
    </row>
    <row r="29">
      <c r="A29" s="432" t="inlineStr">
        <is>
          <t>작     성</t>
        </is>
      </c>
      <c r="B29" s="430" t="n"/>
      <c r="C29" s="430" t="n"/>
      <c r="D29" s="431" t="n"/>
      <c r="E29" s="429" t="inlineStr">
        <is>
          <t>공      급      가      액</t>
        </is>
      </c>
      <c r="F29" s="430" t="n"/>
      <c r="G29" s="430" t="n"/>
      <c r="H29" s="430" t="n"/>
      <c r="I29" s="430" t="n"/>
      <c r="J29" s="430" t="n"/>
      <c r="K29" s="430" t="n"/>
      <c r="L29" s="430" t="n"/>
      <c r="M29" s="430" t="n"/>
      <c r="N29" s="430" t="n"/>
      <c r="O29" s="430" t="n"/>
      <c r="P29" s="430" t="n"/>
      <c r="Q29" s="431" t="n"/>
      <c r="R29" s="429" t="inlineStr">
        <is>
          <t>세               액</t>
        </is>
      </c>
      <c r="S29" s="430" t="n"/>
      <c r="T29" s="430" t="n"/>
      <c r="U29" s="430" t="n"/>
      <c r="V29" s="430" t="n"/>
      <c r="W29" s="430" t="n"/>
      <c r="X29" s="430" t="n"/>
      <c r="Y29" s="430" t="n"/>
      <c r="Z29" s="430" t="n"/>
      <c r="AA29" s="431" t="n"/>
      <c r="AB29" s="429" t="inlineStr">
        <is>
          <t>비      고</t>
        </is>
      </c>
      <c r="AC29" s="430" t="n"/>
      <c r="AD29" s="430" t="n"/>
      <c r="AE29" s="430" t="n"/>
      <c r="AF29" s="431" t="n"/>
      <c r="AH29" s="699">
        <f>ROUND(SUM(AH26:AH28),0)</f>
        <v/>
      </c>
      <c r="AI29" s="699">
        <f>ROUND(SUM(AI26:AI28),0)</f>
        <v/>
      </c>
      <c r="AJ29" s="700">
        <f>SUM(AH29:AI29)</f>
        <v/>
      </c>
      <c r="AL29" s="639" t="n"/>
    </row>
    <row r="30">
      <c r="A30" s="413" t="inlineStr">
        <is>
          <t>년</t>
        </is>
      </c>
      <c r="B30" s="412" t="n"/>
      <c r="C30" s="306" t="inlineStr">
        <is>
          <t>월</t>
        </is>
      </c>
      <c r="D30" s="306" t="inlineStr">
        <is>
          <t>일</t>
        </is>
      </c>
      <c r="E30" s="415" t="inlineStr">
        <is>
          <t>공란수</t>
        </is>
      </c>
      <c r="F30" s="412" t="n"/>
      <c r="G30" s="415" t="inlineStr">
        <is>
          <t>백</t>
        </is>
      </c>
      <c r="H30" s="306" t="inlineStr">
        <is>
          <t>십</t>
        </is>
      </c>
      <c r="I30" s="306" t="inlineStr">
        <is>
          <t>억</t>
        </is>
      </c>
      <c r="J30" s="306" t="inlineStr">
        <is>
          <t>천</t>
        </is>
      </c>
      <c r="K30" s="306" t="inlineStr">
        <is>
          <t>백</t>
        </is>
      </c>
      <c r="L30" s="306" t="inlineStr">
        <is>
          <t>십</t>
        </is>
      </c>
      <c r="M30" s="306" t="inlineStr">
        <is>
          <t>만</t>
        </is>
      </c>
      <c r="N30" s="306" t="inlineStr">
        <is>
          <t>천</t>
        </is>
      </c>
      <c r="O30" s="306" t="inlineStr">
        <is>
          <t>백</t>
        </is>
      </c>
      <c r="P30" s="306" t="inlineStr">
        <is>
          <t>십</t>
        </is>
      </c>
      <c r="Q30" s="306" t="inlineStr">
        <is>
          <t>일</t>
        </is>
      </c>
      <c r="R30" s="306" t="inlineStr">
        <is>
          <t>십</t>
        </is>
      </c>
      <c r="S30" s="306" t="inlineStr">
        <is>
          <t>억</t>
        </is>
      </c>
      <c r="T30" s="306" t="inlineStr">
        <is>
          <t>천</t>
        </is>
      </c>
      <c r="U30" s="306" t="inlineStr">
        <is>
          <t>백</t>
        </is>
      </c>
      <c r="V30" s="306" t="inlineStr">
        <is>
          <t>십</t>
        </is>
      </c>
      <c r="W30" s="306" t="inlineStr">
        <is>
          <t>만</t>
        </is>
      </c>
      <c r="X30" s="306" t="inlineStr">
        <is>
          <t>천</t>
        </is>
      </c>
      <c r="Y30" s="306" t="inlineStr">
        <is>
          <t>백</t>
        </is>
      </c>
      <c r="Z30" s="306" t="inlineStr">
        <is>
          <t>십</t>
        </is>
      </c>
      <c r="AA30" s="306" t="inlineStr">
        <is>
          <t>일</t>
        </is>
      </c>
      <c r="AB30" s="440" t="n"/>
      <c r="AC30" s="416" t="n"/>
      <c r="AD30" s="416" t="n"/>
      <c r="AE30" s="416" t="n"/>
      <c r="AF30" s="417" t="n"/>
    </row>
    <row customHeight="1" ht="14.25" r="31" s="391" thickBot="1">
      <c r="A31" s="441">
        <f>Q1</f>
        <v/>
      </c>
      <c r="B31" s="408" t="n"/>
      <c r="C31" s="308">
        <f>V1</f>
        <v/>
      </c>
      <c r="D31" s="309" t="n">
        <v>25</v>
      </c>
      <c r="E31" s="701" t="n"/>
      <c r="F31" s="409" t="n"/>
      <c r="G31" s="702" t="n"/>
      <c r="H31" s="702" t="n"/>
      <c r="I31" s="702" t="n"/>
      <c r="J31" s="702" t="n"/>
      <c r="K31" s="702">
        <f>MID(AH29,1,1)</f>
        <v/>
      </c>
      <c r="L31" s="702">
        <f>MID(AH29,2,1)</f>
        <v/>
      </c>
      <c r="M31" s="702">
        <f>MID(AH29,3,1)</f>
        <v/>
      </c>
      <c r="N31" s="702">
        <f>MID(AH29,4,1)</f>
        <v/>
      </c>
      <c r="O31" s="702">
        <f>MID(AH29,5,1)</f>
        <v/>
      </c>
      <c r="P31" s="702">
        <f>MID(AH29,6,1)</f>
        <v/>
      </c>
      <c r="Q31" s="702">
        <f>MID(AH29,7,1)</f>
        <v/>
      </c>
      <c r="R31" s="702" t="n"/>
      <c r="S31" s="702" t="n"/>
      <c r="T31" s="702" t="n"/>
      <c r="U31" s="702" t="n"/>
      <c r="V31" s="702">
        <f>MID(AI29,1,1)</f>
        <v/>
      </c>
      <c r="W31" s="702">
        <f>MID(AI29,2,1)</f>
        <v/>
      </c>
      <c r="X31" s="702">
        <f>MID(AI29,3,1)</f>
        <v/>
      </c>
      <c r="Y31" s="702">
        <f>MID(AI29,4,1)</f>
        <v/>
      </c>
      <c r="Z31" s="702">
        <f>MID(AI29,5,1)</f>
        <v/>
      </c>
      <c r="AA31" s="702">
        <f>MID(AI29,6,1)</f>
        <v/>
      </c>
      <c r="AB31" s="418" t="n"/>
      <c r="AC31" s="419" t="n"/>
      <c r="AD31" s="419" t="n"/>
      <c r="AE31" s="419" t="n"/>
      <c r="AF31" s="420" t="n"/>
    </row>
    <row r="32">
      <c r="A32" s="36" t="inlineStr">
        <is>
          <t>월</t>
        </is>
      </c>
      <c r="B32" s="37" t="inlineStr">
        <is>
          <t>일</t>
        </is>
      </c>
      <c r="C32" s="428" t="inlineStr">
        <is>
          <t>품          목</t>
        </is>
      </c>
      <c r="D32" s="419" t="n"/>
      <c r="E32" s="419" t="n"/>
      <c r="F32" s="419" t="n"/>
      <c r="G32" s="419" t="n"/>
      <c r="H32" s="420" t="n"/>
      <c r="I32" s="429" t="inlineStr">
        <is>
          <t>규격</t>
        </is>
      </c>
      <c r="J32" s="430" t="n"/>
      <c r="K32" s="431" t="n"/>
      <c r="L32" s="429" t="inlineStr">
        <is>
          <t>수량</t>
        </is>
      </c>
      <c r="M32" s="430" t="n"/>
      <c r="N32" s="431" t="n"/>
      <c r="O32" s="428" t="inlineStr">
        <is>
          <t>단      가</t>
        </is>
      </c>
      <c r="P32" s="419" t="n"/>
      <c r="Q32" s="419" t="n"/>
      <c r="R32" s="419" t="n"/>
      <c r="S32" s="420" t="n"/>
      <c r="T32" s="428" t="inlineStr">
        <is>
          <t>공  급  가  액</t>
        </is>
      </c>
      <c r="U32" s="419" t="n"/>
      <c r="V32" s="419" t="n"/>
      <c r="W32" s="419" t="n"/>
      <c r="X32" s="419" t="n"/>
      <c r="Y32" s="420" t="n"/>
      <c r="Z32" s="428" t="inlineStr">
        <is>
          <t>세        액</t>
        </is>
      </c>
      <c r="AA32" s="419" t="n"/>
      <c r="AB32" s="419" t="n"/>
      <c r="AC32" s="419" t="n"/>
      <c r="AD32" s="420" t="n"/>
      <c r="AE32" s="428" t="inlineStr">
        <is>
          <t>비고</t>
        </is>
      </c>
      <c r="AF32" s="420" t="n"/>
      <c r="AJ32" s="639" t="n"/>
    </row>
    <row r="33">
      <c r="A33" s="311">
        <f>C31</f>
        <v/>
      </c>
      <c r="B33" s="312">
        <f>D31</f>
        <v/>
      </c>
      <c r="C33" s="424" t="inlineStr">
        <is>
          <t>월세</t>
        </is>
      </c>
      <c r="D33" s="414" t="n"/>
      <c r="E33" s="414" t="n"/>
      <c r="F33" s="414" t="n"/>
      <c r="G33" s="414" t="n"/>
      <c r="H33" s="412" t="n"/>
      <c r="I33" s="425" t="n"/>
      <c r="J33" s="414" t="n"/>
      <c r="K33" s="412" t="n"/>
      <c r="L33" s="703" t="n"/>
      <c r="M33" s="414" t="n"/>
      <c r="N33" s="412" t="n"/>
      <c r="O33" s="704" t="n"/>
      <c r="P33" s="414" t="n"/>
      <c r="Q33" s="414" t="n"/>
      <c r="R33" s="414" t="n"/>
      <c r="S33" s="412" t="n"/>
      <c r="T33" s="704">
        <f>G4</f>
        <v/>
      </c>
      <c r="U33" s="414" t="n"/>
      <c r="V33" s="414" t="n"/>
      <c r="W33" s="414" t="n"/>
      <c r="X33" s="414" t="n"/>
      <c r="Y33" s="412" t="n"/>
      <c r="Z33" s="704">
        <f>T33*0.1</f>
        <v/>
      </c>
      <c r="AA33" s="414" t="n"/>
      <c r="AB33" s="414" t="n"/>
      <c r="AC33" s="414" t="n"/>
      <c r="AD33" s="412" t="n"/>
      <c r="AE33" s="411" t="n"/>
      <c r="AF33" s="412" t="n"/>
      <c r="AH33" s="705" t="n"/>
    </row>
    <row r="34">
      <c r="A34" s="311">
        <f>A33</f>
        <v/>
      </c>
      <c r="B34" s="312">
        <f>B33</f>
        <v/>
      </c>
      <c r="C34" s="424" t="inlineStr">
        <is>
          <t>관리비</t>
        </is>
      </c>
      <c r="D34" s="414" t="n"/>
      <c r="E34" s="414" t="n"/>
      <c r="F34" s="414" t="n"/>
      <c r="G34" s="414" t="n"/>
      <c r="H34" s="412" t="n"/>
      <c r="I34" s="425" t="n"/>
      <c r="J34" s="414" t="n"/>
      <c r="K34" s="412" t="n"/>
      <c r="L34" s="703" t="n"/>
      <c r="M34" s="414" t="n"/>
      <c r="N34" s="412" t="n"/>
      <c r="O34" s="704" t="n"/>
      <c r="P34" s="414" t="n"/>
      <c r="Q34" s="414" t="n"/>
      <c r="R34" s="414" t="n"/>
      <c r="S34" s="412" t="n"/>
      <c r="T34" s="704">
        <f>G6/1.1</f>
        <v/>
      </c>
      <c r="U34" s="414" t="n"/>
      <c r="V34" s="414" t="n"/>
      <c r="W34" s="414" t="n"/>
      <c r="X34" s="414" t="n"/>
      <c r="Y34" s="412" t="n"/>
      <c r="Z34" s="704">
        <f>G6-T34</f>
        <v/>
      </c>
      <c r="AA34" s="414" t="n"/>
      <c r="AB34" s="414" t="n"/>
      <c r="AC34" s="414" t="n"/>
      <c r="AD34" s="412" t="n"/>
      <c r="AE34" s="411" t="n"/>
      <c r="AF34" s="412" t="n"/>
    </row>
    <row r="35">
      <c r="A35" s="311">
        <f>A34</f>
        <v/>
      </c>
      <c r="B35" s="312">
        <f>B34</f>
        <v/>
      </c>
      <c r="C35" s="424" t="inlineStr">
        <is>
          <t>전기요금</t>
        </is>
      </c>
      <c r="D35" s="414" t="n"/>
      <c r="E35" s="414" t="n"/>
      <c r="F35" s="414" t="n"/>
      <c r="G35" s="414" t="n"/>
      <c r="H35" s="412" t="n"/>
      <c r="I35" s="425" t="n"/>
      <c r="J35" s="414" t="n"/>
      <c r="K35" s="412" t="n"/>
      <c r="L35" s="703" t="n"/>
      <c r="M35" s="414" t="n"/>
      <c r="N35" s="412" t="n"/>
      <c r="O35" s="704" t="n"/>
      <c r="P35" s="414" t="n"/>
      <c r="Q35" s="414" t="n"/>
      <c r="R35" s="414" t="n"/>
      <c r="S35" s="412" t="n"/>
      <c r="T35" s="704">
        <f>G7/1.1</f>
        <v/>
      </c>
      <c r="U35" s="414" t="n"/>
      <c r="V35" s="414" t="n"/>
      <c r="W35" s="414" t="n"/>
      <c r="X35" s="414" t="n"/>
      <c r="Y35" s="412" t="n"/>
      <c r="Z35" s="704">
        <f>G7-T35</f>
        <v/>
      </c>
      <c r="AA35" s="414" t="n"/>
      <c r="AB35" s="414" t="n"/>
      <c r="AC35" s="414" t="n"/>
      <c r="AD35" s="412" t="n"/>
      <c r="AE35" s="411" t="n"/>
      <c r="AF35" s="412" t="n"/>
    </row>
    <row r="36">
      <c r="A36" s="311" t="n"/>
      <c r="B36" s="312" t="n"/>
      <c r="C36" s="424" t="n"/>
      <c r="D36" s="414" t="n"/>
      <c r="E36" s="414" t="n"/>
      <c r="F36" s="414" t="n"/>
      <c r="G36" s="414" t="n"/>
      <c r="H36" s="412" t="n"/>
      <c r="I36" s="425" t="n"/>
      <c r="J36" s="414" t="n"/>
      <c r="K36" s="412" t="n"/>
      <c r="L36" s="703" t="n"/>
      <c r="M36" s="414" t="n"/>
      <c r="N36" s="412" t="n"/>
      <c r="O36" s="704" t="n"/>
      <c r="P36" s="414" t="n"/>
      <c r="Q36" s="414" t="n"/>
      <c r="R36" s="414" t="n"/>
      <c r="S36" s="412" t="n"/>
      <c r="T36" s="704" t="n"/>
      <c r="U36" s="414" t="n"/>
      <c r="V36" s="414" t="n"/>
      <c r="W36" s="414" t="n"/>
      <c r="X36" s="414" t="n"/>
      <c r="Y36" s="412" t="n"/>
      <c r="Z36" s="704" t="n"/>
      <c r="AA36" s="414" t="n"/>
      <c r="AB36" s="414" t="n"/>
      <c r="AC36" s="414" t="n"/>
      <c r="AD36" s="412" t="n"/>
      <c r="AE36" s="411" t="n"/>
      <c r="AF36" s="412" t="n"/>
      <c r="AI36" s="639" t="n"/>
    </row>
    <row r="37">
      <c r="A37" s="413" t="inlineStr">
        <is>
          <t>합계금액</t>
        </is>
      </c>
      <c r="B37" s="414" t="n"/>
      <c r="C37" s="414" t="n"/>
      <c r="D37" s="414" t="n"/>
      <c r="E37" s="412" t="n"/>
      <c r="F37" s="415" t="inlineStr">
        <is>
          <t>현  금</t>
        </is>
      </c>
      <c r="G37" s="414" t="n"/>
      <c r="H37" s="414" t="n"/>
      <c r="I37" s="414" t="n"/>
      <c r="J37" s="412" t="n"/>
      <c r="K37" s="415" t="inlineStr">
        <is>
          <t>수  표</t>
        </is>
      </c>
      <c r="L37" s="414" t="n"/>
      <c r="M37" s="414" t="n"/>
      <c r="N37" s="414" t="n"/>
      <c r="O37" s="412" t="n"/>
      <c r="P37" s="415" t="inlineStr">
        <is>
          <t>어  음</t>
        </is>
      </c>
      <c r="Q37" s="414" t="n"/>
      <c r="R37" s="414" t="n"/>
      <c r="S37" s="414" t="n"/>
      <c r="T37" s="412" t="n"/>
      <c r="U37" s="415" t="inlineStr">
        <is>
          <t>외상미수금</t>
        </is>
      </c>
      <c r="V37" s="414" t="n"/>
      <c r="W37" s="414" t="n"/>
      <c r="X37" s="414" t="n"/>
      <c r="Y37" s="412" t="n"/>
      <c r="Z37" s="415" t="inlineStr">
        <is>
          <t xml:space="preserve">이 금액을 </t>
        </is>
      </c>
      <c r="AA37" s="416" t="n"/>
      <c r="AB37" s="416" t="n"/>
      <c r="AC37" s="417" t="n"/>
      <c r="AD37" s="421" t="inlineStr">
        <is>
          <t>청구</t>
        </is>
      </c>
      <c r="AE37" s="422" t="n"/>
      <c r="AF37" s="405" t="inlineStr">
        <is>
          <t>함</t>
        </is>
      </c>
    </row>
    <row customHeight="1" ht="14.25" r="38" s="391" thickBot="1">
      <c r="A38" s="706">
        <f>SUM(T33:AD35)</f>
        <v/>
      </c>
      <c r="B38" s="408" t="n"/>
      <c r="C38" s="408" t="n"/>
      <c r="D38" s="408" t="n"/>
      <c r="E38" s="409" t="n"/>
      <c r="F38" s="707" t="n"/>
      <c r="G38" s="408" t="n"/>
      <c r="H38" s="408" t="n"/>
      <c r="I38" s="408" t="n"/>
      <c r="J38" s="409" t="n"/>
      <c r="K38" s="707" t="n"/>
      <c r="L38" s="408" t="n"/>
      <c r="M38" s="408" t="n"/>
      <c r="N38" s="408" t="n"/>
      <c r="O38" s="409" t="n"/>
      <c r="P38" s="707" t="n"/>
      <c r="Q38" s="408" t="n"/>
      <c r="R38" s="408" t="n"/>
      <c r="S38" s="408" t="n"/>
      <c r="T38" s="409" t="n"/>
      <c r="U38" s="707" t="n"/>
      <c r="V38" s="408" t="n"/>
      <c r="W38" s="408" t="n"/>
      <c r="X38" s="408" t="n"/>
      <c r="Y38" s="409" t="n"/>
      <c r="Z38" s="418" t="n"/>
      <c r="AA38" s="419" t="n"/>
      <c r="AB38" s="419" t="n"/>
      <c r="AC38" s="420" t="n"/>
      <c r="AD38" s="423" t="n"/>
      <c r="AE38" s="423" t="n"/>
      <c r="AF38" s="406" t="n"/>
    </row>
    <row r="39">
      <c r="A39" s="31" t="inlineStr">
        <is>
          <t>22226-28131일 '96.3.27승인</t>
        </is>
      </c>
      <c r="B39" s="31" t="n"/>
      <c r="C39" s="32" t="n"/>
      <c r="D39" s="32" t="n"/>
      <c r="E39" s="32" t="n"/>
      <c r="F39" s="32" t="n"/>
      <c r="G39" s="32" t="n"/>
      <c r="H39" s="32" t="n"/>
      <c r="I39" s="32" t="n"/>
      <c r="J39" s="32" t="n"/>
      <c r="K39" s="32" t="n"/>
      <c r="L39" s="32" t="n"/>
      <c r="M39" s="32" t="n"/>
      <c r="N39" s="32" t="n"/>
      <c r="O39" s="32" t="n"/>
      <c r="P39" s="32" t="n"/>
      <c r="Q39" s="32" t="n"/>
      <c r="R39" s="32" t="n"/>
      <c r="S39" s="32" t="n"/>
      <c r="T39" s="32" t="n"/>
      <c r="U39" s="32" t="n"/>
      <c r="V39" s="32" t="n"/>
      <c r="W39" s="403" t="inlineStr">
        <is>
          <t>인쇄용지(특급)34g/m2 182mmx128mm</t>
        </is>
      </c>
      <c r="X39" s="404" t="n"/>
      <c r="Y39" s="404" t="n"/>
      <c r="Z39" s="404" t="n"/>
      <c r="AA39" s="404" t="n"/>
      <c r="AB39" s="404" t="n"/>
      <c r="AC39" s="404" t="n"/>
      <c r="AD39" s="404" t="n"/>
      <c r="AE39" s="404" t="n"/>
      <c r="AF39" s="404" t="n"/>
    </row>
    <row customHeight="1" ht="14.25" r="44" s="391" thickBot="1">
      <c r="A44" s="57" t="inlineStr">
        <is>
          <t>[별지 제11호 서식]</t>
        </is>
      </c>
      <c r="B44" s="57" t="n"/>
      <c r="C44" s="58" t="n"/>
      <c r="D44" s="58" t="n"/>
      <c r="E44" s="58" t="n"/>
      <c r="F44" s="58" t="n"/>
      <c r="G44" s="58" t="n"/>
      <c r="H44" s="58" t="n"/>
      <c r="I44" s="58" t="n"/>
      <c r="J44" s="58" t="n"/>
      <c r="K44" s="58" t="n"/>
      <c r="L44" s="58" t="n"/>
      <c r="M44" s="58" t="n"/>
      <c r="N44" s="58" t="n"/>
      <c r="O44" s="58" t="n"/>
      <c r="P44" s="58" t="n"/>
      <c r="Q44" s="58" t="n"/>
      <c r="R44" s="58" t="n"/>
      <c r="S44" s="58" t="n"/>
      <c r="T44" s="58" t="n"/>
      <c r="U44" s="58" t="n"/>
      <c r="V44" s="58" t="n"/>
      <c r="W44" s="58" t="n"/>
      <c r="X44" s="58" t="n"/>
      <c r="Y44" s="58" t="n"/>
      <c r="Z44" s="58" t="n"/>
      <c r="AA44" s="58" t="n"/>
      <c r="AB44" s="58" t="n"/>
      <c r="AC44" s="58" t="n"/>
      <c r="AD44" s="58" t="n"/>
      <c r="AE44" s="58" t="n"/>
      <c r="AF44" s="58" t="n"/>
    </row>
    <row r="45">
      <c r="A45" s="539" t="inlineStr">
        <is>
          <t>세 금 계 산 서</t>
        </is>
      </c>
      <c r="B45" s="475" t="n"/>
      <c r="C45" s="475" t="n"/>
      <c r="D45" s="475" t="n"/>
      <c r="E45" s="475" t="n"/>
      <c r="F45" s="475" t="n"/>
      <c r="G45" s="475" t="n"/>
      <c r="H45" s="475" t="n"/>
      <c r="I45" s="475" t="n"/>
      <c r="J45" s="475" t="n"/>
      <c r="K45" s="475" t="n"/>
      <c r="L45" s="475" t="n"/>
      <c r="M45" s="475" t="n"/>
      <c r="N45" s="475" t="n"/>
      <c r="O45" s="475" t="n"/>
      <c r="P45" s="541" t="inlineStr">
        <is>
          <t>(</t>
        </is>
      </c>
      <c r="Q45" s="474" t="inlineStr">
        <is>
          <t>공  급  자</t>
        </is>
      </c>
      <c r="R45" s="475" t="n"/>
      <c r="S45" s="475" t="n"/>
      <c r="T45" s="475" t="n"/>
      <c r="U45" s="475" t="n"/>
      <c r="V45" s="474" t="inlineStr">
        <is>
          <t>)</t>
        </is>
      </c>
      <c r="W45" s="471" t="inlineStr">
        <is>
          <t>책   번   호</t>
        </is>
      </c>
      <c r="X45" s="472" t="n"/>
      <c r="Y45" s="472" t="n"/>
      <c r="Z45" s="473" t="n"/>
      <c r="AA45" s="535">
        <f>AA19</f>
        <v/>
      </c>
      <c r="AB45" s="472" t="n"/>
      <c r="AC45" s="59" t="inlineStr">
        <is>
          <t>권</t>
        </is>
      </c>
      <c r="AD45" s="535">
        <f>AD19</f>
        <v/>
      </c>
      <c r="AE45" s="472" t="n"/>
      <c r="AF45" s="60" t="inlineStr">
        <is>
          <t>호</t>
        </is>
      </c>
    </row>
    <row customHeight="1" ht="14.25" r="46" s="391" thickBot="1">
      <c r="A46" s="540" t="n"/>
      <c r="Q46" s="536" t="inlineStr">
        <is>
          <t>보  관  용</t>
        </is>
      </c>
      <c r="R46" s="490" t="n"/>
      <c r="S46" s="490" t="n"/>
      <c r="T46" s="490" t="n"/>
      <c r="U46" s="490" t="n"/>
      <c r="W46" s="484" t="inlineStr">
        <is>
          <t>일 련 번 호</t>
        </is>
      </c>
      <c r="X46" s="537" t="n"/>
      <c r="Y46" s="537" t="n"/>
      <c r="Z46" s="538" t="n"/>
      <c r="AA46" s="313">
        <f>AA20</f>
        <v/>
      </c>
      <c r="AB46" s="314">
        <f>AB20</f>
        <v/>
      </c>
      <c r="AC46" s="313">
        <f>AC20</f>
        <v/>
      </c>
      <c r="AD46" s="313">
        <f>AD20</f>
        <v/>
      </c>
      <c r="AE46" s="313">
        <f>AE20</f>
        <v/>
      </c>
      <c r="AF46" s="315">
        <f>AF20</f>
        <v/>
      </c>
    </row>
    <row r="47">
      <c r="A47" s="517" t="inlineStr">
        <is>
          <t>공 급 자</t>
        </is>
      </c>
      <c r="B47" s="487" t="inlineStr">
        <is>
          <t>등록번호</t>
        </is>
      </c>
      <c r="C47" s="479" t="n"/>
      <c r="D47" s="488" t="n"/>
      <c r="E47" s="494">
        <f>E21</f>
        <v/>
      </c>
      <c r="F47" s="498">
        <f>F21</f>
        <v/>
      </c>
      <c r="G47" s="498">
        <f>G21</f>
        <v/>
      </c>
      <c r="H47" s="498">
        <f>H21</f>
        <v/>
      </c>
      <c r="I47" s="498">
        <f>I21</f>
        <v/>
      </c>
      <c r="J47" s="498">
        <f>J21</f>
        <v/>
      </c>
      <c r="K47" s="498">
        <f>K21</f>
        <v/>
      </c>
      <c r="L47" s="498">
        <f>L21</f>
        <v/>
      </c>
      <c r="M47" s="498">
        <f>M21</f>
        <v/>
      </c>
      <c r="N47" s="498">
        <f>N21</f>
        <v/>
      </c>
      <c r="O47" s="498">
        <f>O21</f>
        <v/>
      </c>
      <c r="P47" s="529">
        <f>P21</f>
        <v/>
      </c>
      <c r="Q47" s="485" t="inlineStr">
        <is>
          <t>공급받는자</t>
        </is>
      </c>
      <c r="R47" s="487" t="inlineStr">
        <is>
          <t>등록번호</t>
        </is>
      </c>
      <c r="S47" s="479" t="n"/>
      <c r="T47" s="488" t="n"/>
      <c r="U47" s="542">
        <f>U21</f>
        <v/>
      </c>
      <c r="V47" s="507">
        <f>V21</f>
        <v/>
      </c>
      <c r="W47" s="507">
        <f>W21</f>
        <v/>
      </c>
      <c r="X47" s="507" t="inlineStr">
        <is>
          <t>-</t>
        </is>
      </c>
      <c r="Y47" s="507">
        <f>Y21</f>
        <v/>
      </c>
      <c r="Z47" s="507">
        <f>Z21</f>
        <v/>
      </c>
      <c r="AA47" s="507" t="inlineStr">
        <is>
          <t>-</t>
        </is>
      </c>
      <c r="AB47" s="507">
        <f>AB21</f>
        <v/>
      </c>
      <c r="AC47" s="507">
        <f>AC21</f>
        <v/>
      </c>
      <c r="AD47" s="507">
        <f>AD21</f>
        <v/>
      </c>
      <c r="AE47" s="507">
        <f>AE21</f>
        <v/>
      </c>
      <c r="AF47" s="554">
        <f>AF21</f>
        <v/>
      </c>
    </row>
    <row customHeight="1" ht="14.25" r="48" s="391" thickBot="1">
      <c r="A48" s="518" t="n"/>
      <c r="B48" s="489" t="n"/>
      <c r="C48" s="490" t="n"/>
      <c r="D48" s="491" t="n"/>
      <c r="E48" s="495" t="n"/>
      <c r="F48" s="499" t="n"/>
      <c r="G48" s="499" t="n"/>
      <c r="H48" s="499" t="n"/>
      <c r="I48" s="499" t="n"/>
      <c r="J48" s="499" t="n"/>
      <c r="K48" s="499" t="n"/>
      <c r="L48" s="499" t="n"/>
      <c r="M48" s="499" t="n"/>
      <c r="N48" s="499" t="n"/>
      <c r="O48" s="499" t="n"/>
      <c r="P48" s="530" t="n"/>
      <c r="Q48" s="486" t="n"/>
      <c r="R48" s="489" t="n"/>
      <c r="S48" s="490" t="n"/>
      <c r="T48" s="491" t="n"/>
      <c r="U48" s="519" t="n"/>
      <c r="V48" s="493" t="n"/>
      <c r="W48" s="493" t="n"/>
      <c r="X48" s="493" t="n"/>
      <c r="Y48" s="493" t="n"/>
      <c r="Z48" s="493" t="n"/>
      <c r="AA48" s="493" t="n"/>
      <c r="AB48" s="493" t="n"/>
      <c r="AC48" s="493" t="n"/>
      <c r="AD48" s="493" t="n"/>
      <c r="AE48" s="493" t="n"/>
      <c r="AF48" s="555" t="n"/>
    </row>
    <row r="49">
      <c r="A49" s="518" t="n"/>
      <c r="B49" s="556" t="inlineStr">
        <is>
          <t>상     호</t>
        </is>
      </c>
      <c r="C49" s="479" t="n"/>
      <c r="D49" s="488" t="n"/>
      <c r="E49" s="557">
        <f>E23</f>
        <v/>
      </c>
      <c r="F49" s="479" t="n"/>
      <c r="G49" s="479" t="n"/>
      <c r="H49" s="479" t="n"/>
      <c r="I49" s="479" t="n"/>
      <c r="J49" s="480" t="n"/>
      <c r="K49" s="492" t="inlineStr">
        <is>
          <t>성명</t>
        </is>
      </c>
      <c r="L49" s="523">
        <f>L23</f>
        <v/>
      </c>
      <c r="M49" s="479" t="n"/>
      <c r="N49" s="479" t="n"/>
      <c r="O49" s="479" t="n"/>
      <c r="P49" s="524" t="inlineStr">
        <is>
          <t>인</t>
        </is>
      </c>
      <c r="Q49" s="486" t="n"/>
      <c r="R49" s="526" t="inlineStr">
        <is>
          <t>상     호</t>
        </is>
      </c>
      <c r="S49" s="479" t="n"/>
      <c r="T49" s="480" t="n"/>
      <c r="U49" s="527">
        <f>U23</f>
        <v/>
      </c>
      <c r="V49" s="475" t="n"/>
      <c r="W49" s="475" t="n"/>
      <c r="X49" s="475" t="n"/>
      <c r="Y49" s="475" t="n"/>
      <c r="Z49" s="528" t="n"/>
      <c r="AA49" s="543" t="inlineStr">
        <is>
          <t>성명</t>
        </is>
      </c>
      <c r="AB49" s="544">
        <f>AB23</f>
        <v/>
      </c>
      <c r="AC49" s="475" t="n"/>
      <c r="AD49" s="475" t="n"/>
      <c r="AE49" s="475" t="n"/>
      <c r="AF49" s="545" t="inlineStr">
        <is>
          <t>인</t>
        </is>
      </c>
    </row>
    <row customHeight="1" ht="14.25" r="50" s="391" thickBot="1">
      <c r="A50" s="518" t="n"/>
      <c r="B50" s="546" t="inlineStr">
        <is>
          <t>(법인명)</t>
        </is>
      </c>
      <c r="C50" s="490" t="n"/>
      <c r="D50" s="491" t="n"/>
      <c r="E50" s="558" t="n"/>
      <c r="F50" s="482" t="n"/>
      <c r="G50" s="482" t="n"/>
      <c r="H50" s="482" t="n"/>
      <c r="I50" s="482" t="n"/>
      <c r="J50" s="483" t="n"/>
      <c r="K50" s="493" t="n"/>
      <c r="L50" s="481" t="n"/>
      <c r="M50" s="482" t="n"/>
      <c r="N50" s="482" t="n"/>
      <c r="O50" s="482" t="n"/>
      <c r="P50" s="525" t="n"/>
      <c r="Q50" s="486" t="n"/>
      <c r="R50" s="496" t="inlineStr">
        <is>
          <t>(법인명)</t>
        </is>
      </c>
      <c r="S50" s="490" t="n"/>
      <c r="T50" s="497" t="n"/>
      <c r="U50" s="489" t="n"/>
      <c r="V50" s="490" t="n"/>
      <c r="W50" s="490" t="n"/>
      <c r="X50" s="490" t="n"/>
      <c r="Y50" s="490" t="n"/>
      <c r="Z50" s="497" t="n"/>
      <c r="AA50" s="499" t="n"/>
      <c r="AB50" s="489" t="n"/>
      <c r="AC50" s="490" t="n"/>
      <c r="AD50" s="490" t="n"/>
      <c r="AE50" s="490" t="n"/>
      <c r="AF50" s="491" t="n"/>
    </row>
    <row r="51">
      <c r="A51" s="518" t="n"/>
      <c r="B51" s="526" t="inlineStr">
        <is>
          <t>사 업 장</t>
        </is>
      </c>
      <c r="C51" s="479" t="n"/>
      <c r="D51" s="480" t="n"/>
      <c r="E51" s="559">
        <f>E25</f>
        <v/>
      </c>
      <c r="F51" s="475" t="n"/>
      <c r="G51" s="475" t="n"/>
      <c r="H51" s="475" t="n"/>
      <c r="I51" s="475" t="n"/>
      <c r="J51" s="475" t="n"/>
      <c r="K51" s="475" t="n"/>
      <c r="L51" s="475" t="n"/>
      <c r="M51" s="475" t="n"/>
      <c r="N51" s="475" t="n"/>
      <c r="O51" s="475" t="n"/>
      <c r="P51" s="528" t="n"/>
      <c r="Q51" s="486" t="n"/>
      <c r="R51" s="526" t="inlineStr">
        <is>
          <t>사 업 장</t>
        </is>
      </c>
      <c r="S51" s="479" t="n"/>
      <c r="T51" s="480" t="n"/>
      <c r="U51" s="531">
        <f>U25</f>
        <v/>
      </c>
      <c r="V51" s="479" t="n"/>
      <c r="W51" s="479" t="n"/>
      <c r="X51" s="479" t="n"/>
      <c r="Y51" s="479" t="n"/>
      <c r="Z51" s="479" t="n"/>
      <c r="AA51" s="479" t="n"/>
      <c r="AB51" s="479" t="n"/>
      <c r="AC51" s="479" t="n"/>
      <c r="AD51" s="479" t="n"/>
      <c r="AE51" s="479" t="n"/>
      <c r="AF51" s="488" t="n"/>
    </row>
    <row r="52">
      <c r="A52" s="518" t="n"/>
      <c r="B52" s="496" t="inlineStr">
        <is>
          <t>주     소</t>
        </is>
      </c>
      <c r="C52" s="490" t="n"/>
      <c r="D52" s="497" t="n"/>
      <c r="E52" s="489" t="n"/>
      <c r="F52" s="490" t="n"/>
      <c r="G52" s="490" t="n"/>
      <c r="H52" s="490" t="n"/>
      <c r="I52" s="490" t="n"/>
      <c r="J52" s="490" t="n"/>
      <c r="K52" s="490" t="n"/>
      <c r="L52" s="490" t="n"/>
      <c r="M52" s="490" t="n"/>
      <c r="N52" s="490" t="n"/>
      <c r="O52" s="490" t="n"/>
      <c r="P52" s="497" t="n"/>
      <c r="Q52" s="486" t="n"/>
      <c r="R52" s="496" t="inlineStr">
        <is>
          <t>주     소</t>
        </is>
      </c>
      <c r="S52" s="490" t="n"/>
      <c r="T52" s="497" t="n"/>
      <c r="U52" s="489" t="n"/>
      <c r="V52" s="490" t="n"/>
      <c r="W52" s="490" t="n"/>
      <c r="X52" s="490" t="n"/>
      <c r="Y52" s="490" t="n"/>
      <c r="Z52" s="490" t="n"/>
      <c r="AA52" s="490" t="n"/>
      <c r="AB52" s="490" t="n"/>
      <c r="AC52" s="490" t="n"/>
      <c r="AD52" s="490" t="n"/>
      <c r="AE52" s="490" t="n"/>
      <c r="AF52" s="491" t="n"/>
    </row>
    <row r="53">
      <c r="A53" s="518" t="n"/>
      <c r="B53" s="484" t="inlineStr">
        <is>
          <t>업     태</t>
        </is>
      </c>
      <c r="C53" s="479" t="n"/>
      <c r="D53" s="480" t="n"/>
      <c r="E53" s="478">
        <f>E27</f>
        <v/>
      </c>
      <c r="F53" s="479" t="n"/>
      <c r="G53" s="479" t="n"/>
      <c r="H53" s="479" t="n"/>
      <c r="I53" s="479" t="n"/>
      <c r="J53" s="480" t="n"/>
      <c r="K53" s="492" t="inlineStr">
        <is>
          <t>종목</t>
        </is>
      </c>
      <c r="L53" s="478">
        <f>L27</f>
        <v/>
      </c>
      <c r="M53" s="479" t="n"/>
      <c r="N53" s="479" t="n"/>
      <c r="O53" s="479" t="n"/>
      <c r="P53" s="480" t="n"/>
      <c r="Q53" s="486" t="n"/>
      <c r="R53" s="484" t="inlineStr">
        <is>
          <t>업     태</t>
        </is>
      </c>
      <c r="S53" s="479" t="n"/>
      <c r="T53" s="480" t="n"/>
      <c r="U53" s="478">
        <f>U27</f>
        <v/>
      </c>
      <c r="V53" s="479" t="n"/>
      <c r="W53" s="479" t="n"/>
      <c r="X53" s="479" t="n"/>
      <c r="Y53" s="479" t="n"/>
      <c r="Z53" s="480" t="n"/>
      <c r="AA53" s="492" t="inlineStr">
        <is>
          <t>종목</t>
        </is>
      </c>
      <c r="AB53" s="534">
        <f>AB27</f>
        <v/>
      </c>
      <c r="AC53" s="479" t="n"/>
      <c r="AD53" s="479" t="n"/>
      <c r="AE53" s="479" t="n"/>
      <c r="AF53" s="488" t="n"/>
    </row>
    <row customHeight="1" ht="14.25" r="54" s="391" thickBot="1">
      <c r="A54" s="519" t="n"/>
      <c r="B54" s="481" t="n"/>
      <c r="C54" s="482" t="n"/>
      <c r="D54" s="483" t="n"/>
      <c r="E54" s="481" t="n"/>
      <c r="F54" s="482" t="n"/>
      <c r="G54" s="482" t="n"/>
      <c r="H54" s="482" t="n"/>
      <c r="I54" s="482" t="n"/>
      <c r="J54" s="483" t="n"/>
      <c r="K54" s="493" t="n"/>
      <c r="L54" s="481" t="n"/>
      <c r="M54" s="482" t="n"/>
      <c r="N54" s="482" t="n"/>
      <c r="O54" s="482" t="n"/>
      <c r="P54" s="483" t="n"/>
      <c r="Q54" s="483" t="n"/>
      <c r="R54" s="481" t="n"/>
      <c r="S54" s="482" t="n"/>
      <c r="T54" s="483" t="n"/>
      <c r="U54" s="481" t="n"/>
      <c r="V54" s="482" t="n"/>
      <c r="W54" s="482" t="n"/>
      <c r="X54" s="482" t="n"/>
      <c r="Y54" s="482" t="n"/>
      <c r="Z54" s="483" t="n"/>
      <c r="AA54" s="493" t="n"/>
      <c r="AB54" s="481" t="n"/>
      <c r="AC54" s="482" t="n"/>
      <c r="AD54" s="482" t="n"/>
      <c r="AE54" s="482" t="n"/>
      <c r="AF54" s="525" t="n"/>
    </row>
    <row r="55">
      <c r="A55" s="565" t="inlineStr">
        <is>
          <t>작     성</t>
        </is>
      </c>
      <c r="B55" s="472" t="n"/>
      <c r="C55" s="472" t="n"/>
      <c r="D55" s="473" t="n"/>
      <c r="E55" s="561" t="inlineStr">
        <is>
          <t>공      급       가      액</t>
        </is>
      </c>
      <c r="F55" s="472" t="n"/>
      <c r="G55" s="472" t="n"/>
      <c r="H55" s="472" t="n"/>
      <c r="I55" s="472" t="n"/>
      <c r="J55" s="472" t="n"/>
      <c r="K55" s="472" t="n"/>
      <c r="L55" s="472" t="n"/>
      <c r="M55" s="472" t="n"/>
      <c r="N55" s="472" t="n"/>
      <c r="O55" s="472" t="n"/>
      <c r="P55" s="472" t="n"/>
      <c r="Q55" s="473" t="n"/>
      <c r="R55" s="561" t="inlineStr">
        <is>
          <t>세                액</t>
        </is>
      </c>
      <c r="S55" s="472" t="n"/>
      <c r="T55" s="472" t="n"/>
      <c r="U55" s="472" t="n"/>
      <c r="V55" s="472" t="n"/>
      <c r="W55" s="472" t="n"/>
      <c r="X55" s="472" t="n"/>
      <c r="Y55" s="472" t="n"/>
      <c r="Z55" s="472" t="n"/>
      <c r="AA55" s="473" t="n"/>
      <c r="AB55" s="532" t="inlineStr">
        <is>
          <t>비     고</t>
        </is>
      </c>
      <c r="AC55" s="472" t="n"/>
      <c r="AD55" s="472" t="n"/>
      <c r="AE55" s="472" t="n"/>
      <c r="AF55" s="533" t="n"/>
    </row>
    <row r="56">
      <c r="A56" s="560" t="inlineStr">
        <is>
          <t>년</t>
        </is>
      </c>
      <c r="B56" s="549" t="n"/>
      <c r="C56" s="316" t="inlineStr">
        <is>
          <t>월</t>
        </is>
      </c>
      <c r="D56" s="316" t="inlineStr">
        <is>
          <t>일</t>
        </is>
      </c>
      <c r="E56" s="562" t="inlineStr">
        <is>
          <t>공란수</t>
        </is>
      </c>
      <c r="F56" s="549" t="n"/>
      <c r="G56" s="562" t="inlineStr">
        <is>
          <t>백</t>
        </is>
      </c>
      <c r="H56" s="316" t="inlineStr">
        <is>
          <t>십</t>
        </is>
      </c>
      <c r="I56" s="316" t="inlineStr">
        <is>
          <t>억</t>
        </is>
      </c>
      <c r="J56" s="316" t="inlineStr">
        <is>
          <t>천</t>
        </is>
      </c>
      <c r="K56" s="316" t="inlineStr">
        <is>
          <t>백</t>
        </is>
      </c>
      <c r="L56" s="316" t="inlineStr">
        <is>
          <t>십</t>
        </is>
      </c>
      <c r="M56" s="316" t="inlineStr">
        <is>
          <t>만</t>
        </is>
      </c>
      <c r="N56" s="316" t="inlineStr">
        <is>
          <t>천</t>
        </is>
      </c>
      <c r="O56" s="316" t="inlineStr">
        <is>
          <t>백</t>
        </is>
      </c>
      <c r="P56" s="316" t="inlineStr">
        <is>
          <t>십</t>
        </is>
      </c>
      <c r="Q56" s="316" t="inlineStr">
        <is>
          <t>일</t>
        </is>
      </c>
      <c r="R56" s="316" t="inlineStr">
        <is>
          <t>십</t>
        </is>
      </c>
      <c r="S56" s="316" t="inlineStr">
        <is>
          <t>억</t>
        </is>
      </c>
      <c r="T56" s="316" t="inlineStr">
        <is>
          <t>천</t>
        </is>
      </c>
      <c r="U56" s="316" t="inlineStr">
        <is>
          <t>백</t>
        </is>
      </c>
      <c r="V56" s="316" t="inlineStr">
        <is>
          <t>십</t>
        </is>
      </c>
      <c r="W56" s="316" t="inlineStr">
        <is>
          <t>만</t>
        </is>
      </c>
      <c r="X56" s="316" t="inlineStr">
        <is>
          <t>천</t>
        </is>
      </c>
      <c r="Y56" s="316" t="inlineStr">
        <is>
          <t>백</t>
        </is>
      </c>
      <c r="Z56" s="316" t="inlineStr">
        <is>
          <t>십</t>
        </is>
      </c>
      <c r="AA56" s="316" t="inlineStr">
        <is>
          <t>일</t>
        </is>
      </c>
      <c r="AB56" s="566" t="n"/>
      <c r="AC56" s="479" t="n"/>
      <c r="AD56" s="479" t="n"/>
      <c r="AE56" s="479" t="n"/>
      <c r="AF56" s="488" t="n"/>
    </row>
    <row customHeight="1" ht="14.25" r="57" s="391" thickBot="1">
      <c r="A57" s="563">
        <f>A31</f>
        <v/>
      </c>
      <c r="B57" s="538" t="n"/>
      <c r="C57" s="318">
        <f>C31</f>
        <v/>
      </c>
      <c r="D57" s="318">
        <f>D31</f>
        <v/>
      </c>
      <c r="E57" s="708" t="n"/>
      <c r="F57" s="538" t="n"/>
      <c r="G57" s="709" t="n"/>
      <c r="H57" s="709" t="n"/>
      <c r="I57" s="709" t="n"/>
      <c r="J57" s="709" t="n"/>
      <c r="K57" s="709">
        <f>K31</f>
        <v/>
      </c>
      <c r="L57" s="709">
        <f>L31</f>
        <v/>
      </c>
      <c r="M57" s="709">
        <f>M31</f>
        <v/>
      </c>
      <c r="N57" s="709">
        <f>N31</f>
        <v/>
      </c>
      <c r="O57" s="709">
        <f>O31</f>
        <v/>
      </c>
      <c r="P57" s="709">
        <f>P31</f>
        <v/>
      </c>
      <c r="Q57" s="709">
        <f>Q31</f>
        <v/>
      </c>
      <c r="R57" s="709" t="n"/>
      <c r="S57" s="709" t="n"/>
      <c r="T57" s="709" t="n"/>
      <c r="U57" s="709" t="n"/>
      <c r="V57" s="709">
        <f>V31</f>
        <v/>
      </c>
      <c r="W57" s="709">
        <f>W31</f>
        <v/>
      </c>
      <c r="X57" s="709">
        <f>X31</f>
        <v/>
      </c>
      <c r="Y57" s="709">
        <f>Y31</f>
        <v/>
      </c>
      <c r="Z57" s="709">
        <f>Z31</f>
        <v/>
      </c>
      <c r="AA57" s="709">
        <f>AA31</f>
        <v/>
      </c>
      <c r="AB57" s="481" t="n"/>
      <c r="AC57" s="482" t="n"/>
      <c r="AD57" s="482" t="n"/>
      <c r="AE57" s="482" t="n"/>
      <c r="AF57" s="525" t="n"/>
    </row>
    <row r="58">
      <c r="A58" s="61" t="inlineStr">
        <is>
          <t>월</t>
        </is>
      </c>
      <c r="B58" s="62" t="inlineStr">
        <is>
          <t>일</t>
        </is>
      </c>
      <c r="C58" s="561" t="inlineStr">
        <is>
          <t>품          목</t>
        </is>
      </c>
      <c r="D58" s="472" t="n"/>
      <c r="E58" s="472" t="n"/>
      <c r="F58" s="472" t="n"/>
      <c r="G58" s="472" t="n"/>
      <c r="H58" s="473" t="n"/>
      <c r="I58" s="561" t="inlineStr">
        <is>
          <t>규격</t>
        </is>
      </c>
      <c r="J58" s="472" t="n"/>
      <c r="K58" s="473" t="n"/>
      <c r="L58" s="561" t="inlineStr">
        <is>
          <t>수량</t>
        </is>
      </c>
      <c r="M58" s="472" t="n"/>
      <c r="N58" s="473" t="n"/>
      <c r="O58" s="561" t="inlineStr">
        <is>
          <t>단      가</t>
        </is>
      </c>
      <c r="P58" s="472" t="n"/>
      <c r="Q58" s="472" t="n"/>
      <c r="R58" s="472" t="n"/>
      <c r="S58" s="473" t="n"/>
      <c r="T58" s="561" t="inlineStr">
        <is>
          <t>공  급  가  액</t>
        </is>
      </c>
      <c r="U58" s="472" t="n"/>
      <c r="V58" s="472" t="n"/>
      <c r="W58" s="472" t="n"/>
      <c r="X58" s="472" t="n"/>
      <c r="Y58" s="473" t="n"/>
      <c r="Z58" s="561" t="inlineStr">
        <is>
          <t>세        액</t>
        </is>
      </c>
      <c r="AA58" s="472" t="n"/>
      <c r="AB58" s="472" t="n"/>
      <c r="AC58" s="472" t="n"/>
      <c r="AD58" s="473" t="n"/>
      <c r="AE58" s="532" t="inlineStr">
        <is>
          <t>비고</t>
        </is>
      </c>
      <c r="AF58" s="533" t="n"/>
    </row>
    <row r="59">
      <c r="A59" s="320">
        <f>A33</f>
        <v/>
      </c>
      <c r="B59" s="320">
        <f>B33</f>
        <v/>
      </c>
      <c r="C59" s="567">
        <f>C33</f>
        <v/>
      </c>
      <c r="D59" s="548" t="n"/>
      <c r="E59" s="548" t="n"/>
      <c r="F59" s="548" t="n"/>
      <c r="G59" s="548" t="n"/>
      <c r="H59" s="549" t="n"/>
      <c r="I59" s="547" t="n"/>
      <c r="J59" s="548" t="n"/>
      <c r="K59" s="549" t="n"/>
      <c r="L59" s="710">
        <f>L33</f>
        <v/>
      </c>
      <c r="M59" s="548" t="n"/>
      <c r="N59" s="549" t="n"/>
      <c r="O59" s="711">
        <f>O33</f>
        <v/>
      </c>
      <c r="P59" s="548" t="n"/>
      <c r="Q59" s="548" t="n"/>
      <c r="R59" s="548" t="n"/>
      <c r="S59" s="549" t="n"/>
      <c r="T59" s="711">
        <f>T33</f>
        <v/>
      </c>
      <c r="U59" s="548" t="n"/>
      <c r="V59" s="548" t="n"/>
      <c r="W59" s="548" t="n"/>
      <c r="X59" s="548" t="n"/>
      <c r="Y59" s="549" t="n"/>
      <c r="Z59" s="711">
        <f>Z33</f>
        <v/>
      </c>
      <c r="AA59" s="548" t="n"/>
      <c r="AB59" s="548" t="n"/>
      <c r="AC59" s="548" t="n"/>
      <c r="AD59" s="549" t="n"/>
      <c r="AE59" s="552" t="n"/>
      <c r="AF59" s="553" t="n"/>
    </row>
    <row r="60">
      <c r="A60" s="320">
        <f>A34</f>
        <v/>
      </c>
      <c r="B60" s="320">
        <f>B34</f>
        <v/>
      </c>
      <c r="C60" s="567">
        <f>C34</f>
        <v/>
      </c>
      <c r="D60" s="548" t="n"/>
      <c r="E60" s="548" t="n"/>
      <c r="F60" s="548" t="n"/>
      <c r="G60" s="548" t="n"/>
      <c r="H60" s="549" t="n"/>
      <c r="I60" s="547" t="n"/>
      <c r="J60" s="548" t="n"/>
      <c r="K60" s="549" t="n"/>
      <c r="L60" s="710">
        <f>L34</f>
        <v/>
      </c>
      <c r="M60" s="548" t="n"/>
      <c r="N60" s="549" t="n"/>
      <c r="O60" s="711">
        <f>O34</f>
        <v/>
      </c>
      <c r="P60" s="548" t="n"/>
      <c r="Q60" s="548" t="n"/>
      <c r="R60" s="548" t="n"/>
      <c r="S60" s="549" t="n"/>
      <c r="T60" s="711">
        <f>T34</f>
        <v/>
      </c>
      <c r="U60" s="548" t="n"/>
      <c r="V60" s="548" t="n"/>
      <c r="W60" s="548" t="n"/>
      <c r="X60" s="548" t="n"/>
      <c r="Y60" s="549" t="n"/>
      <c r="Z60" s="711">
        <f>Z34</f>
        <v/>
      </c>
      <c r="AA60" s="548" t="n"/>
      <c r="AB60" s="548" t="n"/>
      <c r="AC60" s="548" t="n"/>
      <c r="AD60" s="549" t="n"/>
      <c r="AE60" s="552" t="n"/>
      <c r="AF60" s="553" t="n"/>
    </row>
    <row r="61">
      <c r="A61" s="320">
        <f>A35</f>
        <v/>
      </c>
      <c r="B61" s="320">
        <f>B35</f>
        <v/>
      </c>
      <c r="C61" s="567">
        <f>C35</f>
        <v/>
      </c>
      <c r="D61" s="548" t="n"/>
      <c r="E61" s="548" t="n"/>
      <c r="F61" s="548" t="n"/>
      <c r="G61" s="548" t="n"/>
      <c r="H61" s="549" t="n"/>
      <c r="I61" s="547" t="n"/>
      <c r="J61" s="548" t="n"/>
      <c r="K61" s="549" t="n"/>
      <c r="L61" s="710">
        <f>L35</f>
        <v/>
      </c>
      <c r="M61" s="548" t="n"/>
      <c r="N61" s="549" t="n"/>
      <c r="O61" s="711">
        <f>O35</f>
        <v/>
      </c>
      <c r="P61" s="548" t="n"/>
      <c r="Q61" s="548" t="n"/>
      <c r="R61" s="548" t="n"/>
      <c r="S61" s="549" t="n"/>
      <c r="T61" s="711">
        <f>T35</f>
        <v/>
      </c>
      <c r="U61" s="548" t="n"/>
      <c r="V61" s="548" t="n"/>
      <c r="W61" s="548" t="n"/>
      <c r="X61" s="548" t="n"/>
      <c r="Y61" s="549" t="n"/>
      <c r="Z61" s="711">
        <f>Z35</f>
        <v/>
      </c>
      <c r="AA61" s="548" t="n"/>
      <c r="AB61" s="548" t="n"/>
      <c r="AC61" s="548" t="n"/>
      <c r="AD61" s="549" t="n"/>
      <c r="AE61" s="552" t="n"/>
      <c r="AF61" s="553" t="n"/>
    </row>
    <row r="62">
      <c r="A62" s="320" t="n"/>
      <c r="B62" s="320" t="n"/>
      <c r="C62" s="567" t="n"/>
      <c r="D62" s="548" t="n"/>
      <c r="E62" s="548" t="n"/>
      <c r="F62" s="548" t="n"/>
      <c r="G62" s="548" t="n"/>
      <c r="H62" s="549" t="n"/>
      <c r="I62" s="547" t="n"/>
      <c r="J62" s="548" t="n"/>
      <c r="K62" s="549" t="n"/>
      <c r="L62" s="710">
        <f>L36</f>
        <v/>
      </c>
      <c r="M62" s="548" t="n"/>
      <c r="N62" s="549" t="n"/>
      <c r="O62" s="711">
        <f>O36</f>
        <v/>
      </c>
      <c r="P62" s="548" t="n"/>
      <c r="Q62" s="548" t="n"/>
      <c r="R62" s="548" t="n"/>
      <c r="S62" s="549" t="n"/>
      <c r="T62" s="711">
        <f>T36</f>
        <v/>
      </c>
      <c r="U62" s="548" t="n"/>
      <c r="V62" s="548" t="n"/>
      <c r="W62" s="548" t="n"/>
      <c r="X62" s="548" t="n"/>
      <c r="Y62" s="549" t="n"/>
      <c r="Z62" s="711">
        <f>Z36</f>
        <v/>
      </c>
      <c r="AA62" s="548" t="n"/>
      <c r="AB62" s="548" t="n"/>
      <c r="AC62" s="548" t="n"/>
      <c r="AD62" s="549" t="n"/>
      <c r="AE62" s="552" t="n"/>
      <c r="AF62" s="553" t="n"/>
    </row>
    <row r="63">
      <c r="A63" s="560" t="inlineStr">
        <is>
          <t>합계금액</t>
        </is>
      </c>
      <c r="B63" s="548" t="n"/>
      <c r="C63" s="548" t="n"/>
      <c r="D63" s="548" t="n"/>
      <c r="E63" s="549" t="n"/>
      <c r="F63" s="562" t="inlineStr">
        <is>
          <t>현  금</t>
        </is>
      </c>
      <c r="G63" s="548" t="n"/>
      <c r="H63" s="548" t="n"/>
      <c r="I63" s="548" t="n"/>
      <c r="J63" s="549" t="n"/>
      <c r="K63" s="562" t="inlineStr">
        <is>
          <t>수  표</t>
        </is>
      </c>
      <c r="L63" s="548" t="n"/>
      <c r="M63" s="548" t="n"/>
      <c r="N63" s="548" t="n"/>
      <c r="O63" s="549" t="n"/>
      <c r="P63" s="562" t="inlineStr">
        <is>
          <t>어  음</t>
        </is>
      </c>
      <c r="Q63" s="548" t="n"/>
      <c r="R63" s="548" t="n"/>
      <c r="S63" s="548" t="n"/>
      <c r="T63" s="549" t="n"/>
      <c r="U63" s="562" t="inlineStr">
        <is>
          <t>외상미수금</t>
        </is>
      </c>
      <c r="V63" s="548" t="n"/>
      <c r="W63" s="548" t="n"/>
      <c r="X63" s="548" t="n"/>
      <c r="Y63" s="549" t="n"/>
      <c r="Z63" s="571" t="inlineStr">
        <is>
          <t xml:space="preserve">이 금액을 </t>
        </is>
      </c>
      <c r="AA63" s="479" t="n"/>
      <c r="AB63" s="479" t="n"/>
      <c r="AC63" s="479" t="n"/>
      <c r="AD63" s="572">
        <f>AD37</f>
        <v/>
      </c>
      <c r="AE63" s="479" t="n"/>
      <c r="AF63" s="573" t="inlineStr">
        <is>
          <t>함</t>
        </is>
      </c>
    </row>
    <row customHeight="1" ht="14.25" r="64" s="391" thickBot="1">
      <c r="A64" s="712">
        <f>A38</f>
        <v/>
      </c>
      <c r="B64" s="537" t="n"/>
      <c r="C64" s="537" t="n"/>
      <c r="D64" s="537" t="n"/>
      <c r="E64" s="538" t="n"/>
      <c r="F64" s="713" t="n"/>
      <c r="G64" s="537" t="n"/>
      <c r="H64" s="537" t="n"/>
      <c r="I64" s="537" t="n"/>
      <c r="J64" s="538" t="n"/>
      <c r="K64" s="713" t="n"/>
      <c r="L64" s="537" t="n"/>
      <c r="M64" s="537" t="n"/>
      <c r="N64" s="537" t="n"/>
      <c r="O64" s="538" t="n"/>
      <c r="P64" s="713" t="n"/>
      <c r="Q64" s="537" t="n"/>
      <c r="R64" s="537" t="n"/>
      <c r="S64" s="537" t="n"/>
      <c r="T64" s="538" t="n"/>
      <c r="U64" s="713" t="n"/>
      <c r="V64" s="537" t="n"/>
      <c r="W64" s="537" t="n"/>
      <c r="X64" s="537" t="n"/>
      <c r="Y64" s="538" t="n"/>
      <c r="Z64" s="481" t="n"/>
      <c r="AA64" s="482" t="n"/>
      <c r="AB64" s="482" t="n"/>
      <c r="AC64" s="482" t="n"/>
      <c r="AD64" s="482" t="n"/>
      <c r="AE64" s="482" t="n"/>
      <c r="AF64" s="525" t="n"/>
    </row>
    <row r="65">
      <c r="A65" s="57" t="inlineStr">
        <is>
          <t>22226-28131일 '96.3.27승인</t>
        </is>
      </c>
      <c r="B65" s="57" t="n"/>
      <c r="C65" s="58" t="n"/>
      <c r="D65" s="58" t="n"/>
      <c r="E65" s="58" t="n"/>
      <c r="F65" s="58" t="n"/>
      <c r="G65" s="58" t="n"/>
      <c r="H65" s="58" t="n"/>
      <c r="I65" s="58" t="n"/>
      <c r="J65" s="58" t="n"/>
      <c r="K65" s="58" t="n"/>
      <c r="L65" s="58" t="n"/>
      <c r="M65" s="58" t="n"/>
      <c r="N65" s="58" t="n"/>
      <c r="O65" s="58" t="n"/>
      <c r="P65" s="58" t="n"/>
      <c r="Q65" s="58" t="n"/>
      <c r="R65" s="58" t="n"/>
      <c r="S65" s="58" t="n"/>
      <c r="T65" s="58" t="n"/>
      <c r="U65" s="570" t="inlineStr">
        <is>
          <t>인쇄용지(특급)34g/m2 182mmx128mm</t>
        </is>
      </c>
      <c r="V65" s="475" t="n"/>
      <c r="W65" s="475" t="n"/>
      <c r="X65" s="475" t="n"/>
      <c r="Y65" s="475" t="n"/>
      <c r="Z65" s="475" t="n"/>
      <c r="AA65" s="475" t="n"/>
      <c r="AB65" s="475" t="n"/>
      <c r="AC65" s="475" t="n"/>
      <c r="AD65" s="475" t="n"/>
      <c r="AE65" s="475" t="n"/>
      <c r="AF65" s="475" t="n"/>
    </row>
  </sheetData>
  <mergeCells count="290">
    <mergeCell ref="U65:AF65"/>
    <mergeCell ref="Z62:AD62"/>
    <mergeCell ref="AE62:AF62"/>
    <mergeCell ref="U63:Y63"/>
    <mergeCell ref="Z63:AC64"/>
    <mergeCell ref="AD63:AE64"/>
    <mergeCell ref="AF63:AF64"/>
    <mergeCell ref="T62:Y62"/>
    <mergeCell ref="U64:Y64"/>
    <mergeCell ref="P63:T63"/>
    <mergeCell ref="O62:S62"/>
    <mergeCell ref="AB56:AF57"/>
    <mergeCell ref="C60:H60"/>
    <mergeCell ref="I60:K60"/>
    <mergeCell ref="L60:N60"/>
    <mergeCell ref="O60:S60"/>
    <mergeCell ref="A64:E64"/>
    <mergeCell ref="F64:J64"/>
    <mergeCell ref="K64:O64"/>
    <mergeCell ref="A63:E63"/>
    <mergeCell ref="F63:J63"/>
    <mergeCell ref="K63:O63"/>
    <mergeCell ref="C62:H62"/>
    <mergeCell ref="P64:T64"/>
    <mergeCell ref="I62:K62"/>
    <mergeCell ref="L62:N62"/>
    <mergeCell ref="Z58:AD58"/>
    <mergeCell ref="AE58:AF58"/>
    <mergeCell ref="L59:N59"/>
    <mergeCell ref="O59:S59"/>
    <mergeCell ref="T59:Y59"/>
    <mergeCell ref="Z59:AD59"/>
    <mergeCell ref="C59:H59"/>
    <mergeCell ref="I59:K59"/>
    <mergeCell ref="C61:H61"/>
    <mergeCell ref="B51:D51"/>
    <mergeCell ref="E51:P52"/>
    <mergeCell ref="A56:B56"/>
    <mergeCell ref="T58:Y58"/>
    <mergeCell ref="E56:F56"/>
    <mergeCell ref="I58:K58"/>
    <mergeCell ref="L58:N58"/>
    <mergeCell ref="O58:S58"/>
    <mergeCell ref="C58:H58"/>
    <mergeCell ref="A57:B57"/>
    <mergeCell ref="E57:F57"/>
    <mergeCell ref="B53:D54"/>
    <mergeCell ref="A55:D55"/>
    <mergeCell ref="E55:Q55"/>
    <mergeCell ref="R55:AA55"/>
    <mergeCell ref="AF47:AF48"/>
    <mergeCell ref="B49:D49"/>
    <mergeCell ref="E49:J50"/>
    <mergeCell ref="K47:K48"/>
    <mergeCell ref="L47:L48"/>
    <mergeCell ref="M47:M48"/>
    <mergeCell ref="G47:G48"/>
    <mergeCell ref="H47:H48"/>
    <mergeCell ref="I47:I48"/>
    <mergeCell ref="J47:J48"/>
    <mergeCell ref="V47:V48"/>
    <mergeCell ref="I61:K61"/>
    <mergeCell ref="L61:N61"/>
    <mergeCell ref="O61:S61"/>
    <mergeCell ref="AE59:AF59"/>
    <mergeCell ref="T60:Y60"/>
    <mergeCell ref="Z60:AD60"/>
    <mergeCell ref="AE60:AF60"/>
    <mergeCell ref="T61:Y61"/>
    <mergeCell ref="Z61:AD61"/>
    <mergeCell ref="AE61:AF61"/>
    <mergeCell ref="AB55:AF55"/>
    <mergeCell ref="AA53:AA54"/>
    <mergeCell ref="U53:Z54"/>
    <mergeCell ref="AB53:AF54"/>
    <mergeCell ref="AD45:AE45"/>
    <mergeCell ref="Q46:U46"/>
    <mergeCell ref="W46:Z46"/>
    <mergeCell ref="A45:O46"/>
    <mergeCell ref="P45:P46"/>
    <mergeCell ref="V45:V46"/>
    <mergeCell ref="AA45:AB45"/>
    <mergeCell ref="AA47:AA48"/>
    <mergeCell ref="AB47:AB48"/>
    <mergeCell ref="AC47:AC48"/>
    <mergeCell ref="W47:W48"/>
    <mergeCell ref="X47:X48"/>
    <mergeCell ref="U47:U48"/>
    <mergeCell ref="AA49:AA50"/>
    <mergeCell ref="AB49:AE50"/>
    <mergeCell ref="AF49:AF50"/>
    <mergeCell ref="B50:D50"/>
    <mergeCell ref="R50:T50"/>
    <mergeCell ref="AD47:AD48"/>
    <mergeCell ref="AE47:AE48"/>
    <mergeCell ref="Q1:S1"/>
    <mergeCell ref="A47:A54"/>
    <mergeCell ref="B47:D48"/>
    <mergeCell ref="L5:V5"/>
    <mergeCell ref="L6:V6"/>
    <mergeCell ref="L7:V7"/>
    <mergeCell ref="L8:V8"/>
    <mergeCell ref="G8:K8"/>
    <mergeCell ref="G9:K9"/>
    <mergeCell ref="G10:K10"/>
    <mergeCell ref="L9:V9"/>
    <mergeCell ref="L10:V10"/>
    <mergeCell ref="K49:K50"/>
    <mergeCell ref="L49:O50"/>
    <mergeCell ref="P49:P50"/>
    <mergeCell ref="R49:T49"/>
    <mergeCell ref="U49:Z50"/>
    <mergeCell ref="Z47:Z48"/>
    <mergeCell ref="N47:N48"/>
    <mergeCell ref="O47:O48"/>
    <mergeCell ref="P47:P48"/>
    <mergeCell ref="R51:T51"/>
    <mergeCell ref="U51:AF52"/>
    <mergeCell ref="B52:D52"/>
    <mergeCell ref="AB5:AE5"/>
    <mergeCell ref="X7:AA7"/>
    <mergeCell ref="AB7:AE7"/>
    <mergeCell ref="X8:AA8"/>
    <mergeCell ref="AB8:AE8"/>
    <mergeCell ref="X3:AF3"/>
    <mergeCell ref="A3:F3"/>
    <mergeCell ref="A4:F4"/>
    <mergeCell ref="A5:F5"/>
    <mergeCell ref="AB4:AE4"/>
    <mergeCell ref="X4:AA4"/>
    <mergeCell ref="X5:AA5"/>
    <mergeCell ref="G3:K3"/>
    <mergeCell ref="G4:K4"/>
    <mergeCell ref="G5:K5"/>
    <mergeCell ref="L3:V3"/>
    <mergeCell ref="L4:V4"/>
    <mergeCell ref="X6:AA6"/>
    <mergeCell ref="AB6:AE6"/>
    <mergeCell ref="A10:F10"/>
    <mergeCell ref="G7:K7"/>
    <mergeCell ref="AB12:AE12"/>
    <mergeCell ref="X9:AA9"/>
    <mergeCell ref="AB9:AE9"/>
    <mergeCell ref="X10:AA10"/>
    <mergeCell ref="A6:F6"/>
    <mergeCell ref="A7:F7"/>
    <mergeCell ref="A8:F8"/>
    <mergeCell ref="A9:F9"/>
    <mergeCell ref="G6:K6"/>
    <mergeCell ref="X11:AA11"/>
    <mergeCell ref="AB11:AE11"/>
    <mergeCell ref="X12:AA12"/>
    <mergeCell ref="AB10:AE10"/>
    <mergeCell ref="V18:AA18"/>
    <mergeCell ref="W45:Z45"/>
    <mergeCell ref="Q45:U45"/>
    <mergeCell ref="X13:AA13"/>
    <mergeCell ref="AB13:AE13"/>
    <mergeCell ref="E53:J54"/>
    <mergeCell ref="L53:P54"/>
    <mergeCell ref="R53:T54"/>
    <mergeCell ref="Q47:Q54"/>
    <mergeCell ref="R47:T48"/>
    <mergeCell ref="K53:K54"/>
    <mergeCell ref="E47:E48"/>
    <mergeCell ref="R52:T52"/>
    <mergeCell ref="F47:F48"/>
    <mergeCell ref="AB18:AF18"/>
    <mergeCell ref="A19:O20"/>
    <mergeCell ref="P19:P20"/>
    <mergeCell ref="Q19:U19"/>
    <mergeCell ref="V19:V20"/>
    <mergeCell ref="W19:Z19"/>
    <mergeCell ref="AA19:AB19"/>
    <mergeCell ref="AD19:AE19"/>
    <mergeCell ref="Q20:U20"/>
    <mergeCell ref="Y47:Y48"/>
    <mergeCell ref="W20:Z20"/>
    <mergeCell ref="A21:A28"/>
    <mergeCell ref="B21:D22"/>
    <mergeCell ref="E21:E22"/>
    <mergeCell ref="F21:F22"/>
    <mergeCell ref="B25:D25"/>
    <mergeCell ref="B26:D26"/>
    <mergeCell ref="K21:K22"/>
    <mergeCell ref="L21:L22"/>
    <mergeCell ref="M21:M22"/>
    <mergeCell ref="N21:N22"/>
    <mergeCell ref="I21:I22"/>
    <mergeCell ref="J21:J22"/>
    <mergeCell ref="Y21:Y22"/>
    <mergeCell ref="O21:O22"/>
    <mergeCell ref="P21:P22"/>
    <mergeCell ref="Q21:Q28"/>
    <mergeCell ref="E25:P26"/>
    <mergeCell ref="R26:T26"/>
    <mergeCell ref="G21:G22"/>
    <mergeCell ref="H21:H22"/>
    <mergeCell ref="R21:T22"/>
    <mergeCell ref="R25:T25"/>
    <mergeCell ref="U25:AF26"/>
    <mergeCell ref="AE21:AE22"/>
    <mergeCell ref="AF21:AF22"/>
    <mergeCell ref="R23:T23"/>
    <mergeCell ref="U23:Z24"/>
    <mergeCell ref="AA23:AA24"/>
    <mergeCell ref="U27:Z28"/>
    <mergeCell ref="AB21:AB22"/>
    <mergeCell ref="AC21:AC22"/>
    <mergeCell ref="AD21:AD22"/>
    <mergeCell ref="U21:U22"/>
    <mergeCell ref="AA21:AA22"/>
    <mergeCell ref="W21:W22"/>
    <mergeCell ref="X21:X22"/>
    <mergeCell ref="Z21:Z22"/>
    <mergeCell ref="V21:V22"/>
    <mergeCell ref="AB23:AE24"/>
    <mergeCell ref="AF23:AF24"/>
    <mergeCell ref="B24:D24"/>
    <mergeCell ref="R24:T24"/>
    <mergeCell ref="B23:D23"/>
    <mergeCell ref="E23:J24"/>
    <mergeCell ref="K23:K24"/>
    <mergeCell ref="L23:O24"/>
    <mergeCell ref="P23:P24"/>
    <mergeCell ref="AA27:AA28"/>
    <mergeCell ref="AB27:AF28"/>
    <mergeCell ref="R27:T28"/>
    <mergeCell ref="A29:D29"/>
    <mergeCell ref="E29:Q29"/>
    <mergeCell ref="R29:AA29"/>
    <mergeCell ref="AB29:AF29"/>
    <mergeCell ref="B27:D28"/>
    <mergeCell ref="E27:J28"/>
    <mergeCell ref="K27:K28"/>
    <mergeCell ref="L27:P28"/>
    <mergeCell ref="A30:B30"/>
    <mergeCell ref="E30:F30"/>
    <mergeCell ref="AB30:AF31"/>
    <mergeCell ref="A31:B31"/>
    <mergeCell ref="E31:F31"/>
    <mergeCell ref="C32:H32"/>
    <mergeCell ref="I32:K32"/>
    <mergeCell ref="L32:N32"/>
    <mergeCell ref="O32:S32"/>
    <mergeCell ref="T32:Y32"/>
    <mergeCell ref="Z32:AD32"/>
    <mergeCell ref="AE32:AF32"/>
    <mergeCell ref="C33:H33"/>
    <mergeCell ref="I33:K33"/>
    <mergeCell ref="L33:N33"/>
    <mergeCell ref="O33:S33"/>
    <mergeCell ref="T33:Y33"/>
    <mergeCell ref="Z33:AD33"/>
    <mergeCell ref="AE33:AF33"/>
    <mergeCell ref="T34:Y34"/>
    <mergeCell ref="Z34:AD34"/>
    <mergeCell ref="L34:N34"/>
    <mergeCell ref="O34:S34"/>
    <mergeCell ref="AE34:AF34"/>
    <mergeCell ref="C35:H35"/>
    <mergeCell ref="I35:K35"/>
    <mergeCell ref="L35:N35"/>
    <mergeCell ref="O35:S35"/>
    <mergeCell ref="T35:Y35"/>
    <mergeCell ref="Z35:AD35"/>
    <mergeCell ref="AE35:AF35"/>
    <mergeCell ref="C34:H34"/>
    <mergeCell ref="I34:K34"/>
    <mergeCell ref="W39:AF39"/>
    <mergeCell ref="AF37:AF38"/>
    <mergeCell ref="A38:E38"/>
    <mergeCell ref="F38:J38"/>
    <mergeCell ref="K38:O38"/>
    <mergeCell ref="P38:T38"/>
    <mergeCell ref="U38:Y38"/>
    <mergeCell ref="AE36:AF36"/>
    <mergeCell ref="A37:E37"/>
    <mergeCell ref="F37:J37"/>
    <mergeCell ref="K37:O37"/>
    <mergeCell ref="P37:T37"/>
    <mergeCell ref="U37:Y37"/>
    <mergeCell ref="Z37:AC38"/>
    <mergeCell ref="AD37:AE38"/>
    <mergeCell ref="C36:H36"/>
    <mergeCell ref="I36:K36"/>
    <mergeCell ref="L36:N36"/>
    <mergeCell ref="O36:S36"/>
    <mergeCell ref="T36:Y36"/>
    <mergeCell ref="Z36:AD36"/>
  </mergeCells>
  <pageMargins bottom="0.984251968503937" footer="0.5118110236220472" header="0.5118110236220472" left="0.7480314960629921" right="0.7480314960629921" top="0.984251968503937"/>
  <pageSetup orientation="portrait" paperSize="9"/>
  <rowBreaks count="1" manualBreakCount="1">
    <brk id="41" man="1" max="16383" min="0"/>
  </rowBreaks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65"/>
  <sheetViews>
    <sheetView workbookViewId="0">
      <selection activeCell="AI34" sqref="AI34"/>
    </sheetView>
  </sheetViews>
  <sheetFormatPr baseColWidth="8" defaultColWidth="8.77734375" defaultRowHeight="13.5"/>
  <cols>
    <col customWidth="1" max="32" min="1" style="391" width="2.33203125"/>
    <col bestFit="1" customWidth="1" max="34" min="34" style="391" width="14.33203125"/>
  </cols>
  <sheetData>
    <row customFormat="1" customHeight="1" ht="23.25" r="1" s="4" thickBot="1">
      <c r="A1" s="53" t="inlineStr">
        <is>
          <t>하모니마트 임대료내역</t>
        </is>
      </c>
      <c r="B1" s="39" t="n"/>
      <c r="C1" s="40" t="n"/>
      <c r="D1" s="41" t="n"/>
      <c r="E1" s="41" t="n"/>
      <c r="F1" s="41" t="n"/>
      <c r="G1" s="41" t="n"/>
      <c r="H1" s="41" t="n"/>
      <c r="I1" s="41" t="n"/>
      <c r="J1" s="41" t="n"/>
      <c r="K1" s="41" t="n"/>
      <c r="L1" s="41" t="n"/>
      <c r="M1" s="41" t="n"/>
      <c r="N1" s="41" t="n"/>
      <c r="O1" s="53" t="n"/>
      <c r="P1" s="53" t="inlineStr">
        <is>
          <t>(</t>
        </is>
      </c>
      <c r="Q1" s="516">
        <f>정육점!Q1</f>
        <v/>
      </c>
      <c r="R1" s="346" t="n"/>
      <c r="S1" s="346" t="n"/>
      <c r="T1" s="53" t="inlineStr">
        <is>
          <t>년</t>
        </is>
      </c>
      <c r="U1" s="53" t="n"/>
      <c r="V1" s="83">
        <f>정육점!V1</f>
        <v/>
      </c>
      <c r="W1" s="53" t="inlineStr">
        <is>
          <t>월</t>
        </is>
      </c>
      <c r="X1" s="53" t="inlineStr">
        <is>
          <t>)</t>
        </is>
      </c>
      <c r="Y1" s="53" t="n"/>
      <c r="Z1" s="53" t="n"/>
      <c r="AA1" s="53" t="n"/>
      <c r="AB1" s="53" t="n"/>
      <c r="AC1" s="41" t="n"/>
      <c r="AD1" s="41" t="n"/>
      <c r="AE1" s="41" t="n"/>
      <c r="AF1" s="41" t="n"/>
    </row>
    <row customFormat="1" customHeight="1" ht="15" r="2" s="4" thickTop="1">
      <c r="A2" s="42" t="n"/>
      <c r="B2" s="42" t="n"/>
      <c r="C2" s="42" t="n"/>
    </row>
    <row customFormat="1" customHeight="1" ht="15" r="3" s="4">
      <c r="A3" s="579" t="inlineStr">
        <is>
          <t>내역상세</t>
        </is>
      </c>
      <c r="B3" s="382" t="n"/>
      <c r="C3" s="382" t="n"/>
      <c r="D3" s="382" t="n"/>
      <c r="E3" s="382" t="n"/>
      <c r="F3" s="348" t="n"/>
      <c r="G3" s="579" t="inlineStr">
        <is>
          <t>금   액</t>
        </is>
      </c>
      <c r="H3" s="382" t="n"/>
      <c r="I3" s="382" t="n"/>
      <c r="J3" s="382" t="n"/>
      <c r="K3" s="348" t="n"/>
      <c r="L3" s="579" t="inlineStr">
        <is>
          <t>비   고</t>
        </is>
      </c>
      <c r="M3" s="382" t="n"/>
      <c r="N3" s="382" t="n"/>
      <c r="O3" s="382" t="n"/>
      <c r="P3" s="382" t="n"/>
      <c r="Q3" s="382" t="n"/>
      <c r="R3" s="382" t="n"/>
      <c r="S3" s="382" t="n"/>
      <c r="T3" s="382" t="n"/>
      <c r="U3" s="382" t="n"/>
      <c r="V3" s="348" t="n"/>
      <c r="X3" s="514" t="inlineStr">
        <is>
          <t>미납임대료</t>
        </is>
      </c>
      <c r="Y3" s="382" t="n"/>
      <c r="Z3" s="382" t="n"/>
      <c r="AA3" s="382" t="n"/>
      <c r="AB3" s="382" t="n"/>
      <c r="AC3" s="382" t="n"/>
      <c r="AD3" s="382" t="n"/>
      <c r="AE3" s="382" t="n"/>
      <c r="AF3" s="348" t="n"/>
      <c r="AH3" s="24" t="n"/>
    </row>
    <row customFormat="1" customHeight="1" ht="15" r="4" s="4">
      <c r="A4" s="576" t="inlineStr">
        <is>
          <t>월세</t>
        </is>
      </c>
      <c r="B4" s="382" t="n"/>
      <c r="C4" s="382" t="n"/>
      <c r="D4" s="382" t="n"/>
      <c r="E4" s="382" t="n"/>
      <c r="F4" s="348" t="n"/>
      <c r="G4" s="714">
        <f>2500000</f>
        <v/>
      </c>
      <c r="H4" s="382" t="n"/>
      <c r="I4" s="382" t="n"/>
      <c r="J4" s="382" t="n"/>
      <c r="K4" s="348" t="n"/>
      <c r="L4" s="580" t="n"/>
      <c r="M4" s="382" t="n"/>
      <c r="N4" s="382" t="n"/>
      <c r="O4" s="382" t="n"/>
      <c r="P4" s="382" t="n"/>
      <c r="Q4" s="382" t="n"/>
      <c r="R4" s="382" t="n"/>
      <c r="S4" s="382" t="n"/>
      <c r="T4" s="382" t="n"/>
      <c r="U4" s="382" t="n"/>
      <c r="V4" s="348" t="n"/>
      <c r="X4" s="511" t="n"/>
      <c r="Y4" s="382" t="n"/>
      <c r="Z4" s="382" t="n"/>
      <c r="AA4" s="348" t="n"/>
      <c r="AB4" s="689" t="n"/>
      <c r="AC4" s="382" t="n"/>
      <c r="AD4" s="382" t="n"/>
      <c r="AE4" s="382" t="n"/>
      <c r="AF4" s="715" t="n"/>
      <c r="AH4" s="24" t="n"/>
    </row>
    <row customFormat="1" customHeight="1" ht="15" r="5" s="4">
      <c r="A5" s="576" t="inlineStr">
        <is>
          <t>부가세(10%)</t>
        </is>
      </c>
      <c r="B5" s="382" t="n"/>
      <c r="C5" s="382" t="n"/>
      <c r="D5" s="382" t="n"/>
      <c r="E5" s="382" t="n"/>
      <c r="F5" s="348" t="n"/>
      <c r="G5" s="714">
        <f>G4*0.1</f>
        <v/>
      </c>
      <c r="H5" s="382" t="n"/>
      <c r="I5" s="382" t="n"/>
      <c r="J5" s="382" t="n"/>
      <c r="K5" s="348" t="n"/>
      <c r="L5" s="576" t="n"/>
      <c r="M5" s="382" t="n"/>
      <c r="N5" s="382" t="n"/>
      <c r="O5" s="382" t="n"/>
      <c r="P5" s="382" t="n"/>
      <c r="Q5" s="382" t="n"/>
      <c r="R5" s="382" t="n"/>
      <c r="S5" s="382" t="n"/>
      <c r="T5" s="382" t="n"/>
      <c r="U5" s="382" t="n"/>
      <c r="V5" s="348" t="n"/>
      <c r="X5" s="511" t="n"/>
      <c r="Y5" s="382" t="n"/>
      <c r="Z5" s="382" t="n"/>
      <c r="AA5" s="348" t="n"/>
      <c r="AB5" s="689" t="n"/>
      <c r="AC5" s="382" t="n"/>
      <c r="AD5" s="382" t="n"/>
      <c r="AE5" s="382" t="n"/>
      <c r="AF5" s="715" t="n"/>
      <c r="AH5" s="24" t="n"/>
    </row>
    <row customFormat="1" customHeight="1" ht="15" r="6" s="4">
      <c r="A6" s="576" t="inlineStr">
        <is>
          <t>공동 관리비</t>
        </is>
      </c>
      <c r="B6" s="382" t="n"/>
      <c r="C6" s="382" t="n"/>
      <c r="D6" s="382" t="n"/>
      <c r="E6" s="382" t="n"/>
      <c r="F6" s="348" t="n"/>
      <c r="G6" s="714">
        <f>6000*70</f>
        <v/>
      </c>
      <c r="H6" s="382" t="n"/>
      <c r="I6" s="382" t="n"/>
      <c r="J6" s="382" t="n"/>
      <c r="K6" s="348" t="n"/>
      <c r="L6" s="576" t="inlineStr">
        <is>
          <t xml:space="preserve">1층 70평, 월 6,000원/평 </t>
        </is>
      </c>
      <c r="M6" s="382" t="n"/>
      <c r="N6" s="382" t="n"/>
      <c r="O6" s="382" t="n"/>
      <c r="P6" s="382" t="n"/>
      <c r="Q6" s="382" t="n"/>
      <c r="R6" s="382" t="n"/>
      <c r="S6" s="382" t="n"/>
      <c r="T6" s="382" t="n"/>
      <c r="U6" s="382" t="n"/>
      <c r="V6" s="348" t="n"/>
      <c r="X6" s="511" t="n"/>
      <c r="Y6" s="382" t="n"/>
      <c r="Z6" s="382" t="n"/>
      <c r="AA6" s="348" t="n"/>
      <c r="AB6" s="689" t="n"/>
      <c r="AC6" s="382" t="n"/>
      <c r="AD6" s="382" t="n"/>
      <c r="AE6" s="382" t="n"/>
      <c r="AF6" s="715" t="n"/>
      <c r="AH6" s="24" t="n"/>
    </row>
    <row customFormat="1" customHeight="1" ht="15" r="7" s="4">
      <c r="A7" s="576" t="inlineStr">
        <is>
          <t>전기요금</t>
        </is>
      </c>
      <c r="B7" s="382" t="n"/>
      <c r="C7" s="382" t="n"/>
      <c r="D7" s="382" t="n"/>
      <c r="E7" s="382" t="n"/>
      <c r="F7" s="348" t="n"/>
      <c r="G7" s="714">
        <f>전기수도요금!H11</f>
        <v/>
      </c>
      <c r="H7" s="382" t="n"/>
      <c r="I7" s="382" t="n"/>
      <c r="J7" s="382" t="n"/>
      <c r="K7" s="348" t="n"/>
      <c r="L7" s="577" t="n"/>
      <c r="M7" s="382" t="n"/>
      <c r="N7" s="382" t="n"/>
      <c r="O7" s="382" t="n"/>
      <c r="P7" s="382" t="n"/>
      <c r="Q7" s="382" t="n"/>
      <c r="R7" s="382" t="n"/>
      <c r="S7" s="382" t="n"/>
      <c r="T7" s="382" t="n"/>
      <c r="U7" s="382" t="n"/>
      <c r="V7" s="348" t="n"/>
      <c r="X7" s="511" t="n"/>
      <c r="Y7" s="382" t="n"/>
      <c r="Z7" s="382" t="n"/>
      <c r="AA7" s="348" t="n"/>
      <c r="AB7" s="689" t="n"/>
      <c r="AC7" s="382" t="n"/>
      <c r="AD7" s="382" t="n"/>
      <c r="AE7" s="382" t="n"/>
      <c r="AF7" s="715" t="n"/>
      <c r="AH7" s="606" t="n"/>
    </row>
    <row customFormat="1" customHeight="1" ht="15" r="8" s="4">
      <c r="A8" s="576" t="inlineStr">
        <is>
          <t>상/하수도 요금</t>
        </is>
      </c>
      <c r="B8" s="382" t="n"/>
      <c r="C8" s="382" t="n"/>
      <c r="D8" s="382" t="n"/>
      <c r="E8" s="382" t="n"/>
      <c r="F8" s="348" t="n"/>
      <c r="G8" s="714">
        <f>전기수도요금!G32</f>
        <v/>
      </c>
      <c r="H8" s="382" t="n"/>
      <c r="I8" s="382" t="n"/>
      <c r="J8" s="382" t="n"/>
      <c r="K8" s="348" t="n"/>
      <c r="L8" s="576" t="n"/>
      <c r="M8" s="382" t="n"/>
      <c r="N8" s="382" t="n"/>
      <c r="O8" s="382" t="n"/>
      <c r="P8" s="382" t="n"/>
      <c r="Q8" s="382" t="n"/>
      <c r="R8" s="382" t="n"/>
      <c r="S8" s="382" t="n"/>
      <c r="T8" s="382" t="n"/>
      <c r="U8" s="382" t="n"/>
      <c r="V8" s="348" t="n"/>
      <c r="X8" s="511" t="n"/>
      <c r="Y8" s="382" t="n"/>
      <c r="Z8" s="382" t="n"/>
      <c r="AA8" s="348" t="n"/>
      <c r="AB8" s="689" t="n"/>
      <c r="AC8" s="382" t="n"/>
      <c r="AD8" s="382" t="n"/>
      <c r="AE8" s="382" t="n"/>
      <c r="AF8" s="715" t="n"/>
      <c r="AH8" s="686" t="n"/>
    </row>
    <row customFormat="1" customHeight="1" ht="15" r="9" s="4">
      <c r="A9" s="579" t="n"/>
      <c r="B9" s="382" t="n"/>
      <c r="C9" s="382" t="n"/>
      <c r="D9" s="382" t="n"/>
      <c r="E9" s="382" t="n"/>
      <c r="F9" s="348" t="n"/>
      <c r="G9" s="714" t="n"/>
      <c r="H9" s="382" t="n"/>
      <c r="I9" s="382" t="n"/>
      <c r="J9" s="382" t="n"/>
      <c r="K9" s="348" t="n"/>
      <c r="L9" s="576" t="n"/>
      <c r="M9" s="382" t="n"/>
      <c r="N9" s="382" t="n"/>
      <c r="O9" s="382" t="n"/>
      <c r="P9" s="382" t="n"/>
      <c r="Q9" s="382" t="n"/>
      <c r="R9" s="382" t="n"/>
      <c r="S9" s="382" t="n"/>
      <c r="T9" s="382" t="n"/>
      <c r="U9" s="382" t="n"/>
      <c r="V9" s="348" t="n"/>
      <c r="X9" s="511" t="n"/>
      <c r="Y9" s="382" t="n"/>
      <c r="Z9" s="382" t="n"/>
      <c r="AA9" s="348" t="n"/>
      <c r="AB9" s="689" t="n"/>
      <c r="AC9" s="382" t="n"/>
      <c r="AD9" s="382" t="n"/>
      <c r="AE9" s="382" t="n"/>
      <c r="AF9" s="715" t="n"/>
      <c r="AH9" s="686" t="n"/>
    </row>
    <row customFormat="1" customHeight="1" ht="15" r="10" s="4">
      <c r="A10" s="582" t="inlineStr">
        <is>
          <t>임대료 합계</t>
        </is>
      </c>
      <c r="B10" s="382" t="n"/>
      <c r="C10" s="382" t="n"/>
      <c r="D10" s="382" t="n"/>
      <c r="E10" s="382" t="n"/>
      <c r="F10" s="348" t="n"/>
      <c r="G10" s="716">
        <f>SUM(G4:J9)</f>
        <v/>
      </c>
      <c r="H10" s="382" t="n"/>
      <c r="I10" s="382" t="n"/>
      <c r="J10" s="382" t="n"/>
      <c r="K10" s="348" t="n"/>
      <c r="L10" s="583" t="n"/>
      <c r="M10" s="382" t="n"/>
      <c r="N10" s="382" t="n"/>
      <c r="O10" s="382" t="n"/>
      <c r="P10" s="382" t="n"/>
      <c r="Q10" s="382" t="n"/>
      <c r="R10" s="382" t="n"/>
      <c r="S10" s="382" t="n"/>
      <c r="T10" s="382" t="n"/>
      <c r="U10" s="382" t="n"/>
      <c r="V10" s="348" t="n"/>
      <c r="X10" s="511" t="n"/>
      <c r="Y10" s="382" t="n"/>
      <c r="Z10" s="382" t="n"/>
      <c r="AA10" s="348" t="n"/>
      <c r="AB10" s="689" t="n"/>
      <c r="AC10" s="382" t="n"/>
      <c r="AD10" s="382" t="n"/>
      <c r="AE10" s="382" t="n"/>
      <c r="AF10" s="715" t="n"/>
      <c r="AH10" s="717" t="n"/>
    </row>
    <row customFormat="1" customHeight="1" ht="15" r="11" s="4">
      <c r="A11" s="42" t="n"/>
      <c r="B11" s="42" t="n"/>
      <c r="C11" s="42" t="n"/>
      <c r="X11" s="511" t="n"/>
      <c r="Y11" s="382" t="n"/>
      <c r="Z11" s="382" t="n"/>
      <c r="AA11" s="348" t="n"/>
      <c r="AB11" s="689" t="n"/>
      <c r="AC11" s="382" t="n"/>
      <c r="AD11" s="382" t="n"/>
      <c r="AE11" s="382" t="n"/>
      <c r="AF11" s="715" t="n"/>
      <c r="AH11" s="686" t="n"/>
    </row>
    <row customFormat="1" customHeight="1" ht="15" r="12" s="4">
      <c r="A12" s="43">
        <f>정육점!A12</f>
        <v/>
      </c>
      <c r="B12" s="44" t="n"/>
      <c r="C12" s="45" t="n"/>
      <c r="D12" s="46" t="n"/>
      <c r="E12" s="46" t="n"/>
      <c r="F12" s="46" t="n"/>
      <c r="G12" s="46" t="n"/>
      <c r="H12" s="46" t="n"/>
      <c r="I12" s="46" t="n"/>
      <c r="J12" s="46" t="n"/>
      <c r="K12" s="46" t="n"/>
      <c r="L12" s="46" t="n"/>
      <c r="M12" s="46" t="n"/>
      <c r="N12" s="46" t="n"/>
      <c r="O12" s="46" t="n"/>
      <c r="P12" s="46" t="n"/>
      <c r="Q12" s="46" t="n"/>
      <c r="R12" s="46" t="n"/>
      <c r="S12" s="46" t="n"/>
      <c r="T12" s="46" t="n"/>
      <c r="U12" s="46" t="n"/>
      <c r="V12" s="46" t="n"/>
      <c r="X12" s="511" t="n"/>
      <c r="Y12" s="382" t="n"/>
      <c r="Z12" s="382" t="n"/>
      <c r="AA12" s="348" t="n"/>
      <c r="AB12" s="718" t="n"/>
      <c r="AC12" s="378" t="n"/>
      <c r="AD12" s="378" t="n"/>
      <c r="AE12" s="378" t="n"/>
      <c r="AF12" s="719" t="n"/>
      <c r="AH12" s="686" t="n"/>
    </row>
    <row customFormat="1" customHeight="1" ht="15" r="13" s="4">
      <c r="A13" s="47" t="inlineStr">
        <is>
          <t>신한은행 379-02-099892 (예금주:곽순욱/세림빌딩)</t>
        </is>
      </c>
      <c r="B13" s="44" t="n"/>
      <c r="C13" s="45" t="n"/>
      <c r="D13" s="46" t="n"/>
      <c r="E13" s="46" t="n"/>
      <c r="F13" s="46" t="n"/>
      <c r="G13" s="46" t="n"/>
      <c r="H13" s="46" t="n"/>
      <c r="I13" s="46" t="n"/>
      <c r="J13" s="46" t="n"/>
      <c r="K13" s="46" t="n"/>
      <c r="L13" s="46" t="n"/>
      <c r="M13" s="46" t="n"/>
      <c r="N13" s="46" t="n"/>
      <c r="O13" s="46" t="n"/>
      <c r="P13" s="46" t="n"/>
      <c r="Q13" s="46" t="n"/>
      <c r="R13" s="46" t="n"/>
      <c r="S13" s="46" t="n"/>
      <c r="T13" s="46" t="n"/>
      <c r="U13" s="46" t="n"/>
      <c r="V13" s="46" t="n"/>
      <c r="X13" s="574" t="inlineStr">
        <is>
          <t>합계</t>
        </is>
      </c>
      <c r="Y13" s="382" t="n"/>
      <c r="Z13" s="382" t="n"/>
      <c r="AA13" s="382" t="n"/>
      <c r="AB13" s="694">
        <f>SUM(AB4:AE12)</f>
        <v/>
      </c>
      <c r="AC13" s="382" t="n"/>
      <c r="AD13" s="382" t="n"/>
      <c r="AE13" s="382" t="n"/>
      <c r="AF13" s="720" t="inlineStr">
        <is>
          <t>원</t>
        </is>
      </c>
      <c r="AH13" s="686" t="n"/>
    </row>
    <row customFormat="1" customHeight="1" ht="15" r="14" s="4">
      <c r="A14" s="54" t="n"/>
      <c r="B14" s="55" t="n"/>
      <c r="C14" s="56" t="n"/>
      <c r="X14" s="49" t="n"/>
      <c r="Y14" s="49" t="n"/>
      <c r="Z14" s="49" t="n"/>
      <c r="AA14" s="49" t="n"/>
      <c r="AB14" s="696" t="n"/>
      <c r="AC14" s="696" t="n"/>
      <c r="AD14" s="696" t="n"/>
      <c r="AE14" s="696" t="n"/>
      <c r="AF14" s="697" t="n"/>
      <c r="AH14" s="686" t="n"/>
    </row>
    <row customFormat="1" r="15" s="4">
      <c r="AH15" s="686" t="n"/>
    </row>
    <row customFormat="1" r="16" s="4">
      <c r="AH16" s="686" t="n"/>
    </row>
    <row customFormat="1" r="17" s="4">
      <c r="A17" s="48" t="n"/>
      <c r="B17" s="48" t="n"/>
      <c r="C17" s="48" t="n"/>
      <c r="D17" s="48" t="n"/>
      <c r="E17" s="48" t="n"/>
      <c r="F17" s="48" t="n"/>
      <c r="G17" s="48" t="n"/>
      <c r="H17" s="48" t="n"/>
      <c r="I17" s="48" t="n"/>
      <c r="J17" s="48" t="n"/>
      <c r="K17" s="48" t="n"/>
      <c r="L17" s="48" t="n"/>
      <c r="M17" s="48" t="n"/>
      <c r="N17" s="48" t="n"/>
      <c r="O17" s="48" t="n"/>
      <c r="P17" s="48" t="n"/>
      <c r="Q17" s="48" t="n"/>
      <c r="R17" s="48" t="n"/>
      <c r="S17" s="48" t="n"/>
      <c r="T17" s="48" t="n"/>
      <c r="U17" s="48" t="n"/>
      <c r="V17" s="48" t="n"/>
      <c r="W17" s="48" t="n"/>
      <c r="X17" s="48" t="n"/>
      <c r="Y17" s="48" t="n"/>
      <c r="Z17" s="48" t="n"/>
      <c r="AA17" s="48" t="n"/>
      <c r="AB17" s="48" t="n"/>
      <c r="AC17" s="48" t="n"/>
      <c r="AD17" s="48" t="n"/>
      <c r="AE17" s="48" t="n"/>
      <c r="AF17" s="48" t="n"/>
      <c r="AH17" s="691" t="n"/>
    </row>
    <row customHeight="1" ht="14.25" r="18" s="391" thickBot="1">
      <c r="A18" s="31" t="inlineStr">
        <is>
          <t>[별지 제11호 서식]</t>
        </is>
      </c>
      <c r="B18" s="31" t="n"/>
      <c r="C18" s="32" t="n"/>
      <c r="D18" s="32" t="n"/>
      <c r="E18" s="32" t="n"/>
      <c r="F18" s="32" t="n"/>
      <c r="G18" s="33" t="n"/>
      <c r="H18" s="33" t="n"/>
      <c r="I18" s="32" t="n"/>
      <c r="J18" s="32" t="n"/>
      <c r="K18" s="32" t="n"/>
      <c r="L18" s="32" t="n"/>
      <c r="M18" s="32" t="n"/>
      <c r="N18" s="32" t="n"/>
      <c r="O18" s="32" t="n"/>
      <c r="P18" s="32" t="n"/>
      <c r="Q18" s="32" t="n"/>
      <c r="R18" s="32" t="n"/>
      <c r="S18" s="32" t="n"/>
      <c r="T18" s="32" t="n"/>
      <c r="U18" s="32" t="n"/>
      <c r="V18" s="470" t="n"/>
      <c r="AB18" s="470" t="n"/>
      <c r="AH18" s="721" t="n"/>
    </row>
    <row r="19">
      <c r="A19" s="500" t="inlineStr">
        <is>
          <t>세 금 계 산 서</t>
        </is>
      </c>
      <c r="B19" s="404" t="n"/>
      <c r="C19" s="404" t="n"/>
      <c r="D19" s="404" t="n"/>
      <c r="E19" s="404" t="n"/>
      <c r="F19" s="404" t="n"/>
      <c r="G19" s="404" t="n"/>
      <c r="H19" s="404" t="n"/>
      <c r="I19" s="404" t="n"/>
      <c r="J19" s="404" t="n"/>
      <c r="K19" s="404" t="n"/>
      <c r="L19" s="404" t="n"/>
      <c r="M19" s="404" t="n"/>
      <c r="N19" s="404" t="n"/>
      <c r="O19" s="404" t="n"/>
      <c r="P19" s="502" t="inlineStr">
        <is>
          <t>(</t>
        </is>
      </c>
      <c r="Q19" s="503" t="inlineStr">
        <is>
          <t>공급받는자</t>
        </is>
      </c>
      <c r="R19" s="404" t="n"/>
      <c r="S19" s="404" t="n"/>
      <c r="T19" s="404" t="n"/>
      <c r="U19" s="404" t="n"/>
      <c r="V19" s="503" t="inlineStr">
        <is>
          <t>)</t>
        </is>
      </c>
      <c r="W19" s="504" t="inlineStr">
        <is>
          <t>책   번   호</t>
        </is>
      </c>
      <c r="X19" s="430" t="n"/>
      <c r="Y19" s="430" t="n"/>
      <c r="Z19" s="431" t="n"/>
      <c r="AA19" s="505" t="n"/>
      <c r="AB19" s="430" t="n"/>
      <c r="AC19" s="34" t="inlineStr">
        <is>
          <t>권</t>
        </is>
      </c>
      <c r="AD19" s="505" t="n"/>
      <c r="AE19" s="430" t="n"/>
      <c r="AF19" s="35" t="inlineStr">
        <is>
          <t>호</t>
        </is>
      </c>
    </row>
    <row customHeight="1" ht="14.25" r="20" s="391" thickBot="1">
      <c r="A20" s="501" t="n"/>
      <c r="Q20" s="506" t="inlineStr">
        <is>
          <t>보  관  용</t>
        </is>
      </c>
      <c r="R20" s="419" t="n"/>
      <c r="S20" s="419" t="n"/>
      <c r="T20" s="419" t="n"/>
      <c r="U20" s="419" t="n"/>
      <c r="W20" s="462" t="inlineStr">
        <is>
          <t>일 련 번 호</t>
        </is>
      </c>
      <c r="X20" s="408" t="n"/>
      <c r="Y20" s="408" t="n"/>
      <c r="Z20" s="409" t="n"/>
      <c r="AA20" s="303" t="n"/>
      <c r="AB20" s="304" t="n"/>
      <c r="AC20" s="303" t="n"/>
      <c r="AD20" s="303" t="n"/>
      <c r="AE20" s="303" t="n"/>
      <c r="AF20" s="305" t="n"/>
    </row>
    <row customHeight="1" ht="13.5" r="21" s="391">
      <c r="A21" s="463" t="inlineStr">
        <is>
          <t>공 급 자</t>
        </is>
      </c>
      <c r="B21" s="433" t="inlineStr">
        <is>
          <t>등록번호</t>
        </is>
      </c>
      <c r="C21" s="416" t="n"/>
      <c r="D21" s="417" t="n"/>
      <c r="E21" s="458" t="n">
        <v>1</v>
      </c>
      <c r="F21" s="452" t="n">
        <v>2</v>
      </c>
      <c r="G21" s="452" t="n">
        <v>4</v>
      </c>
      <c r="H21" s="452" t="inlineStr">
        <is>
          <t>-</t>
        </is>
      </c>
      <c r="I21" s="452" t="n">
        <v>2</v>
      </c>
      <c r="J21" s="452" t="n">
        <v>0</v>
      </c>
      <c r="K21" s="452" t="inlineStr">
        <is>
          <t>-</t>
        </is>
      </c>
      <c r="L21" s="452" t="n">
        <v>2</v>
      </c>
      <c r="M21" s="452" t="n">
        <v>6</v>
      </c>
      <c r="N21" s="452" t="n">
        <v>4</v>
      </c>
      <c r="O21" s="452" t="n">
        <v>4</v>
      </c>
      <c r="P21" s="465" t="n">
        <v>9</v>
      </c>
      <c r="Q21" s="467" t="inlineStr">
        <is>
          <t>공급받는자</t>
        </is>
      </c>
      <c r="R21" s="433" t="inlineStr">
        <is>
          <t>등록번호</t>
        </is>
      </c>
      <c r="S21" s="416" t="n"/>
      <c r="T21" s="417" t="n"/>
      <c r="U21" s="458" t="n">
        <v>4</v>
      </c>
      <c r="V21" s="452" t="n">
        <v>9</v>
      </c>
      <c r="W21" s="452" t="n">
        <v>9</v>
      </c>
      <c r="X21" s="452" t="inlineStr">
        <is>
          <t>-</t>
        </is>
      </c>
      <c r="Y21" s="452" t="n">
        <v>7</v>
      </c>
      <c r="Z21" s="452" t="n">
        <v>4</v>
      </c>
      <c r="AA21" s="452" t="inlineStr">
        <is>
          <t>-</t>
        </is>
      </c>
      <c r="AB21" s="452" t="n">
        <v>0</v>
      </c>
      <c r="AC21" s="452" t="n">
        <v>0</v>
      </c>
      <c r="AD21" s="452" t="n">
        <v>2</v>
      </c>
      <c r="AE21" s="452" t="n">
        <v>2</v>
      </c>
      <c r="AF21" s="453" t="n">
        <v>0</v>
      </c>
    </row>
    <row customHeight="1" ht="14.25" r="22" s="391" thickBot="1">
      <c r="A22" s="464" t="n"/>
      <c r="B22" s="418" t="n"/>
      <c r="C22" s="419" t="n"/>
      <c r="D22" s="420" t="n"/>
      <c r="E22" s="459" t="n"/>
      <c r="F22" s="439" t="n"/>
      <c r="G22" s="439" t="n"/>
      <c r="H22" s="439" t="n"/>
      <c r="I22" s="439" t="n"/>
      <c r="J22" s="439" t="n"/>
      <c r="K22" s="439" t="n"/>
      <c r="L22" s="439" t="n"/>
      <c r="M22" s="439" t="n"/>
      <c r="N22" s="439" t="n"/>
      <c r="O22" s="439" t="n"/>
      <c r="P22" s="466" t="n"/>
      <c r="Q22" s="468" t="n"/>
      <c r="R22" s="418" t="n"/>
      <c r="S22" s="419" t="n"/>
      <c r="T22" s="420" t="n"/>
      <c r="U22" s="459" t="n"/>
      <c r="V22" s="439" t="n"/>
      <c r="W22" s="439" t="n"/>
      <c r="X22" s="439" t="n"/>
      <c r="Y22" s="439" t="n"/>
      <c r="Z22" s="439" t="n"/>
      <c r="AA22" s="439" t="n"/>
      <c r="AB22" s="439" t="n"/>
      <c r="AC22" s="439" t="n"/>
      <c r="AD22" s="439" t="n"/>
      <c r="AE22" s="439" t="n"/>
      <c r="AF22" s="454" t="n"/>
    </row>
    <row customHeight="1" ht="13.5" r="23" s="391">
      <c r="A23" s="464" t="n"/>
      <c r="B23" s="444" t="inlineStr">
        <is>
          <t>상     호</t>
        </is>
      </c>
      <c r="C23" s="416" t="n"/>
      <c r="D23" s="417" t="n"/>
      <c r="E23" s="445" t="inlineStr">
        <is>
          <t>세림빌딩</t>
        </is>
      </c>
      <c r="F23" s="416" t="n"/>
      <c r="G23" s="416" t="n"/>
      <c r="H23" s="416" t="n"/>
      <c r="I23" s="416" t="n"/>
      <c r="J23" s="417" t="n"/>
      <c r="K23" s="438" t="inlineStr">
        <is>
          <t>성명</t>
        </is>
      </c>
      <c r="L23" s="447" t="inlineStr">
        <is>
          <t>곽순욱 외1인</t>
        </is>
      </c>
      <c r="M23" s="416" t="n"/>
      <c r="N23" s="416" t="n"/>
      <c r="O23" s="417" t="n"/>
      <c r="P23" s="448" t="inlineStr">
        <is>
          <t>인</t>
        </is>
      </c>
      <c r="Q23" s="468" t="n"/>
      <c r="R23" s="444" t="inlineStr">
        <is>
          <t>상     호</t>
        </is>
      </c>
      <c r="S23" s="416" t="n"/>
      <c r="T23" s="417" t="n"/>
      <c r="U23" s="455" t="inlineStr">
        <is>
          <t>하모니마트</t>
        </is>
      </c>
      <c r="V23" s="404" t="n"/>
      <c r="W23" s="404" t="n"/>
      <c r="X23" s="404" t="n"/>
      <c r="Y23" s="404" t="n"/>
      <c r="Z23" s="456" t="n"/>
      <c r="AA23" s="457" t="inlineStr">
        <is>
          <t>성명</t>
        </is>
      </c>
      <c r="AB23" s="460" t="inlineStr">
        <is>
          <t>김진식</t>
        </is>
      </c>
      <c r="AC23" s="404" t="n"/>
      <c r="AD23" s="404" t="n"/>
      <c r="AE23" s="404" t="n"/>
      <c r="AF23" s="461" t="inlineStr">
        <is>
          <t>인</t>
        </is>
      </c>
    </row>
    <row customHeight="1" ht="14.25" r="24" s="391" thickBot="1">
      <c r="A24" s="464" t="n"/>
      <c r="B24" s="443" t="inlineStr">
        <is>
          <t>(법인명)</t>
        </is>
      </c>
      <c r="C24" s="419" t="n"/>
      <c r="D24" s="420" t="n"/>
      <c r="E24" s="446" t="n"/>
      <c r="F24" s="436" t="n"/>
      <c r="G24" s="436" t="n"/>
      <c r="H24" s="436" t="n"/>
      <c r="I24" s="436" t="n"/>
      <c r="J24" s="437" t="n"/>
      <c r="K24" s="439" t="n"/>
      <c r="L24" s="418" t="n"/>
      <c r="M24" s="419" t="n"/>
      <c r="N24" s="419" t="n"/>
      <c r="O24" s="420" t="n"/>
      <c r="P24" s="406" t="n"/>
      <c r="Q24" s="468" t="n"/>
      <c r="R24" s="443" t="inlineStr">
        <is>
          <t>(법인명)</t>
        </is>
      </c>
      <c r="S24" s="419" t="n"/>
      <c r="T24" s="420" t="n"/>
      <c r="U24" s="418" t="n"/>
      <c r="V24" s="419" t="n"/>
      <c r="W24" s="419" t="n"/>
      <c r="X24" s="419" t="n"/>
      <c r="Y24" s="419" t="n"/>
      <c r="Z24" s="420" t="n"/>
      <c r="AA24" s="439" t="n"/>
      <c r="AB24" s="418" t="n"/>
      <c r="AC24" s="419" t="n"/>
      <c r="AD24" s="419" t="n"/>
      <c r="AE24" s="419" t="n"/>
      <c r="AF24" s="406" t="n"/>
    </row>
    <row customHeight="1" ht="13.5" r="25" s="391">
      <c r="A25" s="464" t="n"/>
      <c r="B25" s="444" t="inlineStr">
        <is>
          <t>사 업 장</t>
        </is>
      </c>
      <c r="C25" s="416" t="n"/>
      <c r="D25" s="417" t="n"/>
      <c r="E25" s="469" t="inlineStr">
        <is>
          <t>경기도 수원시 영통구 동수원로 514</t>
        </is>
      </c>
      <c r="F25" s="404" t="n"/>
      <c r="G25" s="404" t="n"/>
      <c r="H25" s="404" t="n"/>
      <c r="I25" s="404" t="n"/>
      <c r="J25" s="404" t="n"/>
      <c r="K25" s="404" t="n"/>
      <c r="L25" s="404" t="n"/>
      <c r="M25" s="404" t="n"/>
      <c r="N25" s="404" t="n"/>
      <c r="O25" s="404" t="n"/>
      <c r="P25" s="456" t="n"/>
      <c r="Q25" s="468" t="n"/>
      <c r="R25" s="444" t="inlineStr">
        <is>
          <t>사 업 장</t>
        </is>
      </c>
      <c r="S25" s="416" t="n"/>
      <c r="T25" s="417" t="n"/>
      <c r="U25" s="469" t="inlineStr">
        <is>
          <t>경기도 수원시 영통구 동수원로 514</t>
        </is>
      </c>
      <c r="V25" s="404" t="n"/>
      <c r="W25" s="404" t="n"/>
      <c r="X25" s="404" t="n"/>
      <c r="Y25" s="404" t="n"/>
      <c r="Z25" s="404" t="n"/>
      <c r="AA25" s="404" t="n"/>
      <c r="AB25" s="404" t="n"/>
      <c r="AC25" s="404" t="n"/>
      <c r="AD25" s="404" t="n"/>
      <c r="AE25" s="404" t="n"/>
      <c r="AF25" s="456" t="n"/>
      <c r="AH25" s="95" t="inlineStr">
        <is>
          <t>공급가액</t>
        </is>
      </c>
      <c r="AI25" s="95" t="inlineStr">
        <is>
          <t>세액</t>
        </is>
      </c>
      <c r="AJ25" s="95" t="inlineStr">
        <is>
          <t>합계금액</t>
        </is>
      </c>
    </row>
    <row r="26">
      <c r="A26" s="464" t="n"/>
      <c r="B26" s="443" t="inlineStr">
        <is>
          <t>주     소</t>
        </is>
      </c>
      <c r="C26" s="419" t="n"/>
      <c r="D26" s="420" t="n"/>
      <c r="E26" s="418" t="n"/>
      <c r="F26" s="419" t="n"/>
      <c r="G26" s="419" t="n"/>
      <c r="H26" s="419" t="n"/>
      <c r="I26" s="419" t="n"/>
      <c r="J26" s="419" t="n"/>
      <c r="K26" s="419" t="n"/>
      <c r="L26" s="419" t="n"/>
      <c r="M26" s="419" t="n"/>
      <c r="N26" s="419" t="n"/>
      <c r="O26" s="419" t="n"/>
      <c r="P26" s="420" t="n"/>
      <c r="Q26" s="468" t="n"/>
      <c r="R26" s="443" t="inlineStr">
        <is>
          <t>주     소</t>
        </is>
      </c>
      <c r="S26" s="419" t="n"/>
      <c r="T26" s="420" t="n"/>
      <c r="U26" s="418" t="n"/>
      <c r="V26" s="419" t="n"/>
      <c r="W26" s="419" t="n"/>
      <c r="X26" s="419" t="n"/>
      <c r="Y26" s="419" t="n"/>
      <c r="Z26" s="419" t="n"/>
      <c r="AA26" s="419" t="n"/>
      <c r="AB26" s="419" t="n"/>
      <c r="AC26" s="419" t="n"/>
      <c r="AD26" s="419" t="n"/>
      <c r="AE26" s="419" t="n"/>
      <c r="AF26" s="420" t="n"/>
      <c r="AH26" s="698">
        <f>T33</f>
        <v/>
      </c>
      <c r="AI26" s="698">
        <f>Z33</f>
        <v/>
      </c>
    </row>
    <row customHeight="1" ht="13.5" r="27" s="391">
      <c r="A27" s="464" t="n"/>
      <c r="B27" s="433" t="inlineStr">
        <is>
          <t>업     태</t>
        </is>
      </c>
      <c r="C27" s="416" t="n"/>
      <c r="D27" s="417" t="n"/>
      <c r="E27" s="434" t="inlineStr">
        <is>
          <t>부동산업</t>
        </is>
      </c>
      <c r="F27" s="416" t="n"/>
      <c r="G27" s="416" t="n"/>
      <c r="H27" s="416" t="n"/>
      <c r="I27" s="416" t="n"/>
      <c r="J27" s="417" t="n"/>
      <c r="K27" s="438" t="inlineStr">
        <is>
          <t>종목</t>
        </is>
      </c>
      <c r="L27" s="434" t="inlineStr">
        <is>
          <t>비주거용            건물임대업</t>
        </is>
      </c>
      <c r="M27" s="416" t="n"/>
      <c r="N27" s="416" t="n"/>
      <c r="O27" s="416" t="n"/>
      <c r="P27" s="417" t="n"/>
      <c r="Q27" s="468" t="n"/>
      <c r="R27" s="433" t="inlineStr">
        <is>
          <t>업     태</t>
        </is>
      </c>
      <c r="S27" s="416" t="n"/>
      <c r="T27" s="417" t="n"/>
      <c r="U27" s="434" t="inlineStr">
        <is>
          <t>도소매, 소매업</t>
        </is>
      </c>
      <c r="V27" s="416" t="n"/>
      <c r="W27" s="416" t="n"/>
      <c r="X27" s="416" t="n"/>
      <c r="Y27" s="416" t="n"/>
      <c r="Z27" s="417" t="n"/>
      <c r="AA27" s="438" t="inlineStr">
        <is>
          <t>종목</t>
        </is>
      </c>
      <c r="AB27" s="449" t="inlineStr">
        <is>
          <t>슈퍼마켓,담배</t>
        </is>
      </c>
      <c r="AC27" s="416" t="n"/>
      <c r="AD27" s="416" t="n"/>
      <c r="AE27" s="416" t="n"/>
      <c r="AF27" s="450" t="n"/>
      <c r="AH27" s="698">
        <f>T34</f>
        <v/>
      </c>
      <c r="AI27" s="698">
        <f>Z34</f>
        <v/>
      </c>
    </row>
    <row customHeight="1" ht="14.25" r="28" s="391" thickBot="1">
      <c r="A28" s="459" t="n"/>
      <c r="B28" s="418" t="n"/>
      <c r="C28" s="419" t="n"/>
      <c r="D28" s="420" t="n"/>
      <c r="E28" s="435" t="n"/>
      <c r="F28" s="436" t="n"/>
      <c r="G28" s="436" t="n"/>
      <c r="H28" s="436" t="n"/>
      <c r="I28" s="436" t="n"/>
      <c r="J28" s="437" t="n"/>
      <c r="K28" s="439" t="n"/>
      <c r="L28" s="435" t="n"/>
      <c r="M28" s="436" t="n"/>
      <c r="N28" s="436" t="n"/>
      <c r="O28" s="436" t="n"/>
      <c r="P28" s="437" t="n"/>
      <c r="Q28" s="420" t="n"/>
      <c r="R28" s="418" t="n"/>
      <c r="S28" s="419" t="n"/>
      <c r="T28" s="420" t="n"/>
      <c r="U28" s="435" t="n"/>
      <c r="V28" s="436" t="n"/>
      <c r="W28" s="436" t="n"/>
      <c r="X28" s="436" t="n"/>
      <c r="Y28" s="436" t="n"/>
      <c r="Z28" s="437" t="n"/>
      <c r="AA28" s="439" t="n"/>
      <c r="AB28" s="435" t="n"/>
      <c r="AC28" s="436" t="n"/>
      <c r="AD28" s="436" t="n"/>
      <c r="AE28" s="436" t="n"/>
      <c r="AF28" s="451" t="n"/>
      <c r="AH28" s="698">
        <f>T35</f>
        <v/>
      </c>
      <c r="AI28" s="698">
        <f>Z35</f>
        <v/>
      </c>
    </row>
    <row r="29">
      <c r="A29" s="432" t="inlineStr">
        <is>
          <t>작     성</t>
        </is>
      </c>
      <c r="B29" s="430" t="n"/>
      <c r="C29" s="430" t="n"/>
      <c r="D29" s="431" t="n"/>
      <c r="E29" s="429" t="inlineStr">
        <is>
          <t>공      급      가      액</t>
        </is>
      </c>
      <c r="F29" s="430" t="n"/>
      <c r="G29" s="430" t="n"/>
      <c r="H29" s="430" t="n"/>
      <c r="I29" s="430" t="n"/>
      <c r="J29" s="430" t="n"/>
      <c r="K29" s="430" t="n"/>
      <c r="L29" s="430" t="n"/>
      <c r="M29" s="430" t="n"/>
      <c r="N29" s="430" t="n"/>
      <c r="O29" s="430" t="n"/>
      <c r="P29" s="430" t="n"/>
      <c r="Q29" s="431" t="n"/>
      <c r="R29" s="429" t="inlineStr">
        <is>
          <t>세               액</t>
        </is>
      </c>
      <c r="S29" s="430" t="n"/>
      <c r="T29" s="430" t="n"/>
      <c r="U29" s="430" t="n"/>
      <c r="V29" s="430" t="n"/>
      <c r="W29" s="430" t="n"/>
      <c r="X29" s="430" t="n"/>
      <c r="Y29" s="430" t="n"/>
      <c r="Z29" s="430" t="n"/>
      <c r="AA29" s="431" t="n"/>
      <c r="AB29" s="429" t="inlineStr">
        <is>
          <t>비      고</t>
        </is>
      </c>
      <c r="AC29" s="430" t="n"/>
      <c r="AD29" s="430" t="n"/>
      <c r="AE29" s="430" t="n"/>
      <c r="AF29" s="431" t="n"/>
      <c r="AH29" s="699">
        <f>SUM(AH26:AH28)</f>
        <v/>
      </c>
      <c r="AI29" s="699">
        <f>SUM(AI26:AI28)</f>
        <v/>
      </c>
      <c r="AJ29" s="700">
        <f>SUM(AH29:AI29)</f>
        <v/>
      </c>
    </row>
    <row r="30">
      <c r="A30" s="413" t="inlineStr">
        <is>
          <t>년</t>
        </is>
      </c>
      <c r="B30" s="412" t="n"/>
      <c r="C30" s="306" t="inlineStr">
        <is>
          <t>월</t>
        </is>
      </c>
      <c r="D30" s="306" t="inlineStr">
        <is>
          <t>일</t>
        </is>
      </c>
      <c r="E30" s="415" t="inlineStr">
        <is>
          <t>공란수</t>
        </is>
      </c>
      <c r="F30" s="412" t="n"/>
      <c r="G30" s="415" t="inlineStr">
        <is>
          <t>백</t>
        </is>
      </c>
      <c r="H30" s="306" t="inlineStr">
        <is>
          <t>십</t>
        </is>
      </c>
      <c r="I30" s="306" t="inlineStr">
        <is>
          <t>억</t>
        </is>
      </c>
      <c r="J30" s="306" t="inlineStr">
        <is>
          <t>천</t>
        </is>
      </c>
      <c r="K30" s="306" t="inlineStr">
        <is>
          <t>백</t>
        </is>
      </c>
      <c r="L30" s="306" t="inlineStr">
        <is>
          <t>십</t>
        </is>
      </c>
      <c r="M30" s="306" t="inlineStr">
        <is>
          <t>만</t>
        </is>
      </c>
      <c r="N30" s="306" t="inlineStr">
        <is>
          <t>천</t>
        </is>
      </c>
      <c r="O30" s="306" t="inlineStr">
        <is>
          <t>백</t>
        </is>
      </c>
      <c r="P30" s="306" t="inlineStr">
        <is>
          <t>십</t>
        </is>
      </c>
      <c r="Q30" s="306" t="inlineStr">
        <is>
          <t>일</t>
        </is>
      </c>
      <c r="R30" s="306" t="inlineStr">
        <is>
          <t>십</t>
        </is>
      </c>
      <c r="S30" s="306" t="inlineStr">
        <is>
          <t>억</t>
        </is>
      </c>
      <c r="T30" s="306" t="inlineStr">
        <is>
          <t>천</t>
        </is>
      </c>
      <c r="U30" s="306" t="inlineStr">
        <is>
          <t>백</t>
        </is>
      </c>
      <c r="V30" s="306" t="inlineStr">
        <is>
          <t>십</t>
        </is>
      </c>
      <c r="W30" s="306" t="inlineStr">
        <is>
          <t>만</t>
        </is>
      </c>
      <c r="X30" s="306" t="inlineStr">
        <is>
          <t>천</t>
        </is>
      </c>
      <c r="Y30" s="306" t="inlineStr">
        <is>
          <t>백</t>
        </is>
      </c>
      <c r="Z30" s="306" t="inlineStr">
        <is>
          <t>십</t>
        </is>
      </c>
      <c r="AA30" s="306" t="inlineStr">
        <is>
          <t>일</t>
        </is>
      </c>
      <c r="AB30" s="440" t="n"/>
      <c r="AC30" s="416" t="n"/>
      <c r="AD30" s="416" t="n"/>
      <c r="AE30" s="416" t="n"/>
      <c r="AF30" s="417" t="n"/>
    </row>
    <row customHeight="1" ht="14.25" r="31" s="391" thickBot="1">
      <c r="A31" s="441">
        <f>Q1</f>
        <v/>
      </c>
      <c r="B31" s="408" t="n"/>
      <c r="C31" s="308">
        <f>V1</f>
        <v/>
      </c>
      <c r="D31" s="309" t="n">
        <v>25</v>
      </c>
      <c r="E31" s="701" t="n"/>
      <c r="F31" s="409" t="n"/>
      <c r="G31" s="702" t="n"/>
      <c r="H31" s="702" t="n"/>
      <c r="I31" s="702" t="n"/>
      <c r="J31" s="702" t="n"/>
      <c r="K31" s="702">
        <f>MID(AH29,1,1)</f>
        <v/>
      </c>
      <c r="L31" s="702">
        <f>MID(AH29,2,1)</f>
        <v/>
      </c>
      <c r="M31" s="702">
        <f>MID(AH29,3,1)</f>
        <v/>
      </c>
      <c r="N31" s="702">
        <f>MID(AH29,4,1)</f>
        <v/>
      </c>
      <c r="O31" s="702">
        <f>MID(AH29,5,1)</f>
        <v/>
      </c>
      <c r="P31" s="702">
        <f>MID(AH29,6,1)</f>
        <v/>
      </c>
      <c r="Q31" s="702">
        <f>MID(AH29,7,1)</f>
        <v/>
      </c>
      <c r="R31" s="702" t="n"/>
      <c r="S31" s="702" t="n"/>
      <c r="T31" s="702" t="n"/>
      <c r="U31" s="702" t="n"/>
      <c r="V31" s="702">
        <f>MID(AI29,1,1)</f>
        <v/>
      </c>
      <c r="W31" s="702">
        <f>MID(AI29,2,1)</f>
        <v/>
      </c>
      <c r="X31" s="702">
        <f>MID(AI29,3,1)</f>
        <v/>
      </c>
      <c r="Y31" s="702">
        <f>MID(AI29,4,1)</f>
        <v/>
      </c>
      <c r="Z31" s="702">
        <f>MID(AI29,5,1)</f>
        <v/>
      </c>
      <c r="AA31" s="702">
        <f>MID(AI29,6,1)+1</f>
        <v/>
      </c>
      <c r="AB31" s="418" t="n"/>
      <c r="AC31" s="419" t="n"/>
      <c r="AD31" s="419" t="n"/>
      <c r="AE31" s="419" t="n"/>
      <c r="AF31" s="420" t="n"/>
    </row>
    <row r="32">
      <c r="A32" s="36" t="inlineStr">
        <is>
          <t>월</t>
        </is>
      </c>
      <c r="B32" s="37" t="inlineStr">
        <is>
          <t>일</t>
        </is>
      </c>
      <c r="C32" s="428" t="inlineStr">
        <is>
          <t>품          목</t>
        </is>
      </c>
      <c r="D32" s="419" t="n"/>
      <c r="E32" s="419" t="n"/>
      <c r="F32" s="419" t="n"/>
      <c r="G32" s="419" t="n"/>
      <c r="H32" s="420" t="n"/>
      <c r="I32" s="429" t="inlineStr">
        <is>
          <t>규격</t>
        </is>
      </c>
      <c r="J32" s="430" t="n"/>
      <c r="K32" s="431" t="n"/>
      <c r="L32" s="429" t="inlineStr">
        <is>
          <t>수량</t>
        </is>
      </c>
      <c r="M32" s="430" t="n"/>
      <c r="N32" s="431" t="n"/>
      <c r="O32" s="428" t="inlineStr">
        <is>
          <t>단      가</t>
        </is>
      </c>
      <c r="P32" s="419" t="n"/>
      <c r="Q32" s="419" t="n"/>
      <c r="R32" s="419" t="n"/>
      <c r="S32" s="420" t="n"/>
      <c r="T32" s="428" t="inlineStr">
        <is>
          <t>공  급  가  액</t>
        </is>
      </c>
      <c r="U32" s="419" t="n"/>
      <c r="V32" s="419" t="n"/>
      <c r="W32" s="419" t="n"/>
      <c r="X32" s="419" t="n"/>
      <c r="Y32" s="420" t="n"/>
      <c r="Z32" s="428" t="inlineStr">
        <is>
          <t>세        액</t>
        </is>
      </c>
      <c r="AA32" s="419" t="n"/>
      <c r="AB32" s="419" t="n"/>
      <c r="AC32" s="419" t="n"/>
      <c r="AD32" s="420" t="n"/>
      <c r="AE32" s="428" t="inlineStr">
        <is>
          <t>비고</t>
        </is>
      </c>
      <c r="AF32" s="420" t="n"/>
    </row>
    <row r="33">
      <c r="A33" s="311">
        <f>C31</f>
        <v/>
      </c>
      <c r="B33" s="312">
        <f>D31</f>
        <v/>
      </c>
      <c r="C33" s="424" t="inlineStr">
        <is>
          <t>월세</t>
        </is>
      </c>
      <c r="D33" s="414" t="n"/>
      <c r="E33" s="414" t="n"/>
      <c r="F33" s="414" t="n"/>
      <c r="G33" s="414" t="n"/>
      <c r="H33" s="412" t="n"/>
      <c r="I33" s="425" t="n"/>
      <c r="J33" s="414" t="n"/>
      <c r="K33" s="412" t="n"/>
      <c r="L33" s="703" t="n"/>
      <c r="M33" s="414" t="n"/>
      <c r="N33" s="412" t="n"/>
      <c r="O33" s="704" t="n"/>
      <c r="P33" s="414" t="n"/>
      <c r="Q33" s="414" t="n"/>
      <c r="R33" s="414" t="n"/>
      <c r="S33" s="412" t="n"/>
      <c r="T33" s="704">
        <f>G4</f>
        <v/>
      </c>
      <c r="U33" s="414" t="n"/>
      <c r="V33" s="414" t="n"/>
      <c r="W33" s="414" t="n"/>
      <c r="X33" s="414" t="n"/>
      <c r="Y33" s="412" t="n"/>
      <c r="Z33" s="704">
        <f>T33*0.1</f>
        <v/>
      </c>
      <c r="AA33" s="414" t="n"/>
      <c r="AB33" s="414" t="n"/>
      <c r="AC33" s="414" t="n"/>
      <c r="AD33" s="412" t="n"/>
      <c r="AE33" s="411" t="n"/>
      <c r="AF33" s="412" t="n"/>
    </row>
    <row r="34">
      <c r="A34" s="311">
        <f>A33</f>
        <v/>
      </c>
      <c r="B34" s="312">
        <f>B33</f>
        <v/>
      </c>
      <c r="C34" s="424" t="inlineStr">
        <is>
          <t>관리비</t>
        </is>
      </c>
      <c r="D34" s="414" t="n"/>
      <c r="E34" s="414" t="n"/>
      <c r="F34" s="414" t="n"/>
      <c r="G34" s="414" t="n"/>
      <c r="H34" s="412" t="n"/>
      <c r="I34" s="425" t="n"/>
      <c r="J34" s="414" t="n"/>
      <c r="K34" s="412" t="n"/>
      <c r="L34" s="703" t="n"/>
      <c r="M34" s="414" t="n"/>
      <c r="N34" s="412" t="n"/>
      <c r="O34" s="704" t="n"/>
      <c r="P34" s="414" t="n"/>
      <c r="Q34" s="414" t="n"/>
      <c r="R34" s="414" t="n"/>
      <c r="S34" s="412" t="n"/>
      <c r="T34" s="704">
        <f>G6/1.1</f>
        <v/>
      </c>
      <c r="U34" s="414" t="n"/>
      <c r="V34" s="414" t="n"/>
      <c r="W34" s="414" t="n"/>
      <c r="X34" s="414" t="n"/>
      <c r="Y34" s="412" t="n"/>
      <c r="Z34" s="704">
        <f>G6-T34</f>
        <v/>
      </c>
      <c r="AA34" s="414" t="n"/>
      <c r="AB34" s="414" t="n"/>
      <c r="AC34" s="414" t="n"/>
      <c r="AD34" s="412" t="n"/>
      <c r="AE34" s="411" t="n"/>
      <c r="AF34" s="412" t="n"/>
    </row>
    <row r="35">
      <c r="A35" s="311" t="n"/>
      <c r="B35" s="312" t="n"/>
      <c r="C35" s="424" t="n"/>
      <c r="D35" s="414" t="n"/>
      <c r="E35" s="414" t="n"/>
      <c r="F35" s="414" t="n"/>
      <c r="G35" s="414" t="n"/>
      <c r="H35" s="412" t="n"/>
      <c r="I35" s="425" t="n"/>
      <c r="J35" s="414" t="n"/>
      <c r="K35" s="412" t="n"/>
      <c r="L35" s="703" t="n"/>
      <c r="M35" s="414" t="n"/>
      <c r="N35" s="412" t="n"/>
      <c r="O35" s="704" t="n"/>
      <c r="P35" s="414" t="n"/>
      <c r="Q35" s="414" t="n"/>
      <c r="R35" s="414" t="n"/>
      <c r="S35" s="412" t="n"/>
      <c r="T35" s="704" t="n"/>
      <c r="U35" s="414" t="n"/>
      <c r="V35" s="414" t="n"/>
      <c r="W35" s="414" t="n"/>
      <c r="X35" s="414" t="n"/>
      <c r="Y35" s="412" t="n"/>
      <c r="Z35" s="704" t="n"/>
      <c r="AA35" s="414" t="n"/>
      <c r="AB35" s="414" t="n"/>
      <c r="AC35" s="414" t="n"/>
      <c r="AD35" s="412" t="n"/>
      <c r="AE35" s="411" t="n"/>
      <c r="AF35" s="412" t="n"/>
    </row>
    <row r="36">
      <c r="A36" s="311" t="n"/>
      <c r="B36" s="312" t="n"/>
      <c r="C36" s="424" t="n"/>
      <c r="D36" s="414" t="n"/>
      <c r="E36" s="414" t="n"/>
      <c r="F36" s="414" t="n"/>
      <c r="G36" s="414" t="n"/>
      <c r="H36" s="412" t="n"/>
      <c r="I36" s="425" t="n"/>
      <c r="J36" s="414" t="n"/>
      <c r="K36" s="412" t="n"/>
      <c r="L36" s="703" t="n"/>
      <c r="M36" s="414" t="n"/>
      <c r="N36" s="412" t="n"/>
      <c r="O36" s="704" t="n"/>
      <c r="P36" s="414" t="n"/>
      <c r="Q36" s="414" t="n"/>
      <c r="R36" s="414" t="n"/>
      <c r="S36" s="412" t="n"/>
      <c r="T36" s="704" t="n"/>
      <c r="U36" s="414" t="n"/>
      <c r="V36" s="414" t="n"/>
      <c r="W36" s="414" t="n"/>
      <c r="X36" s="414" t="n"/>
      <c r="Y36" s="412" t="n"/>
      <c r="Z36" s="704" t="n"/>
      <c r="AA36" s="414" t="n"/>
      <c r="AB36" s="414" t="n"/>
      <c r="AC36" s="414" t="n"/>
      <c r="AD36" s="412" t="n"/>
      <c r="AE36" s="411" t="n"/>
      <c r="AF36" s="412" t="n"/>
    </row>
    <row r="37">
      <c r="A37" s="413" t="inlineStr">
        <is>
          <t>합계금액</t>
        </is>
      </c>
      <c r="B37" s="414" t="n"/>
      <c r="C37" s="414" t="n"/>
      <c r="D37" s="414" t="n"/>
      <c r="E37" s="412" t="n"/>
      <c r="F37" s="415" t="inlineStr">
        <is>
          <t>현  금</t>
        </is>
      </c>
      <c r="G37" s="414" t="n"/>
      <c r="H37" s="414" t="n"/>
      <c r="I37" s="414" t="n"/>
      <c r="J37" s="412" t="n"/>
      <c r="K37" s="415" t="inlineStr">
        <is>
          <t>수  표</t>
        </is>
      </c>
      <c r="L37" s="414" t="n"/>
      <c r="M37" s="414" t="n"/>
      <c r="N37" s="414" t="n"/>
      <c r="O37" s="412" t="n"/>
      <c r="P37" s="415" t="inlineStr">
        <is>
          <t>어  음</t>
        </is>
      </c>
      <c r="Q37" s="414" t="n"/>
      <c r="R37" s="414" t="n"/>
      <c r="S37" s="414" t="n"/>
      <c r="T37" s="412" t="n"/>
      <c r="U37" s="415" t="inlineStr">
        <is>
          <t>외상미수금</t>
        </is>
      </c>
      <c r="V37" s="414" t="n"/>
      <c r="W37" s="414" t="n"/>
      <c r="X37" s="414" t="n"/>
      <c r="Y37" s="412" t="n"/>
      <c r="Z37" s="415" t="inlineStr">
        <is>
          <t xml:space="preserve">이 금액을 </t>
        </is>
      </c>
      <c r="AA37" s="416" t="n"/>
      <c r="AB37" s="416" t="n"/>
      <c r="AC37" s="417" t="n"/>
      <c r="AD37" s="421" t="inlineStr">
        <is>
          <t>청구</t>
        </is>
      </c>
      <c r="AE37" s="422" t="n"/>
      <c r="AF37" s="405" t="inlineStr">
        <is>
          <t>함</t>
        </is>
      </c>
    </row>
    <row customHeight="1" ht="14.25" r="38" s="391" thickBot="1">
      <c r="A38" s="706">
        <f>SUM(T33:AD34)</f>
        <v/>
      </c>
      <c r="B38" s="408" t="n"/>
      <c r="C38" s="408" t="n"/>
      <c r="D38" s="408" t="n"/>
      <c r="E38" s="409" t="n"/>
      <c r="F38" s="707" t="n"/>
      <c r="G38" s="408" t="n"/>
      <c r="H38" s="408" t="n"/>
      <c r="I38" s="408" t="n"/>
      <c r="J38" s="409" t="n"/>
      <c r="K38" s="707" t="n"/>
      <c r="L38" s="408" t="n"/>
      <c r="M38" s="408" t="n"/>
      <c r="N38" s="408" t="n"/>
      <c r="O38" s="409" t="n"/>
      <c r="P38" s="707" t="n"/>
      <c r="Q38" s="408" t="n"/>
      <c r="R38" s="408" t="n"/>
      <c r="S38" s="408" t="n"/>
      <c r="T38" s="409" t="n"/>
      <c r="U38" s="707" t="n"/>
      <c r="V38" s="408" t="n"/>
      <c r="W38" s="408" t="n"/>
      <c r="X38" s="408" t="n"/>
      <c r="Y38" s="409" t="n"/>
      <c r="Z38" s="418" t="n"/>
      <c r="AA38" s="419" t="n"/>
      <c r="AB38" s="419" t="n"/>
      <c r="AC38" s="420" t="n"/>
      <c r="AD38" s="423" t="n"/>
      <c r="AE38" s="423" t="n"/>
      <c r="AF38" s="406" t="n"/>
    </row>
    <row r="39">
      <c r="A39" s="31" t="inlineStr">
        <is>
          <t>22226-28131일 '96.3.27승인</t>
        </is>
      </c>
      <c r="B39" s="31" t="n"/>
      <c r="C39" s="32" t="n"/>
      <c r="D39" s="32" t="n"/>
      <c r="E39" s="32" t="n"/>
      <c r="F39" s="32" t="n"/>
      <c r="G39" s="32" t="n"/>
      <c r="H39" s="32" t="n"/>
      <c r="I39" s="32" t="n"/>
      <c r="J39" s="32" t="n"/>
      <c r="K39" s="32" t="n"/>
      <c r="L39" s="32" t="n"/>
      <c r="M39" s="32" t="n"/>
      <c r="N39" s="32" t="n"/>
      <c r="O39" s="32" t="n"/>
      <c r="P39" s="32" t="n"/>
      <c r="Q39" s="32" t="n"/>
      <c r="R39" s="32" t="n"/>
      <c r="S39" s="32" t="n"/>
      <c r="T39" s="32" t="n"/>
      <c r="U39" s="32" t="n"/>
      <c r="V39" s="32" t="n"/>
      <c r="W39" s="403" t="inlineStr">
        <is>
          <t>인쇄용지(특급)34g/m2 182mmx128mm</t>
        </is>
      </c>
      <c r="X39" s="404" t="n"/>
      <c r="Y39" s="404" t="n"/>
      <c r="Z39" s="404" t="n"/>
      <c r="AA39" s="404" t="n"/>
      <c r="AB39" s="404" t="n"/>
      <c r="AC39" s="404" t="n"/>
      <c r="AD39" s="404" t="n"/>
      <c r="AE39" s="404" t="n"/>
      <c r="AF39" s="404" t="n"/>
    </row>
    <row customHeight="1" ht="14.25" r="44" s="391" thickBot="1">
      <c r="A44" s="57" t="inlineStr">
        <is>
          <t>[별지 제11호 서식]</t>
        </is>
      </c>
      <c r="B44" s="57" t="n"/>
      <c r="C44" s="58" t="n"/>
      <c r="D44" s="58" t="n"/>
      <c r="E44" s="58" t="n"/>
      <c r="F44" s="58" t="n"/>
      <c r="G44" s="58" t="n"/>
      <c r="H44" s="58" t="n"/>
      <c r="I44" s="58" t="n"/>
      <c r="J44" s="58" t="n"/>
      <c r="K44" s="58" t="n"/>
      <c r="L44" s="58" t="n"/>
      <c r="M44" s="58" t="n"/>
      <c r="N44" s="58" t="n"/>
      <c r="O44" s="58" t="n"/>
      <c r="P44" s="58" t="n"/>
      <c r="Q44" s="58" t="n"/>
      <c r="R44" s="58" t="n"/>
      <c r="S44" s="58" t="n"/>
      <c r="T44" s="58" t="n"/>
      <c r="U44" s="58" t="n"/>
      <c r="V44" s="58" t="n"/>
      <c r="W44" s="58" t="n"/>
      <c r="X44" s="58" t="n"/>
      <c r="Y44" s="58" t="n"/>
      <c r="Z44" s="58" t="n"/>
      <c r="AA44" s="58" t="n"/>
      <c r="AB44" s="58" t="n"/>
      <c r="AC44" s="58" t="n"/>
      <c r="AD44" s="58" t="n"/>
      <c r="AE44" s="58" t="n"/>
      <c r="AF44" s="58" t="n"/>
    </row>
    <row r="45">
      <c r="A45" s="539" t="inlineStr">
        <is>
          <t>세 금 계 산 서</t>
        </is>
      </c>
      <c r="B45" s="475" t="n"/>
      <c r="C45" s="475" t="n"/>
      <c r="D45" s="475" t="n"/>
      <c r="E45" s="475" t="n"/>
      <c r="F45" s="475" t="n"/>
      <c r="G45" s="475" t="n"/>
      <c r="H45" s="475" t="n"/>
      <c r="I45" s="475" t="n"/>
      <c r="J45" s="475" t="n"/>
      <c r="K45" s="475" t="n"/>
      <c r="L45" s="475" t="n"/>
      <c r="M45" s="475" t="n"/>
      <c r="N45" s="475" t="n"/>
      <c r="O45" s="475" t="n"/>
      <c r="P45" s="541" t="inlineStr">
        <is>
          <t>(</t>
        </is>
      </c>
      <c r="Q45" s="474" t="inlineStr">
        <is>
          <t>공  급  자</t>
        </is>
      </c>
      <c r="R45" s="475" t="n"/>
      <c r="S45" s="475" t="n"/>
      <c r="T45" s="475" t="n"/>
      <c r="U45" s="475" t="n"/>
      <c r="V45" s="474" t="inlineStr">
        <is>
          <t>)</t>
        </is>
      </c>
      <c r="W45" s="471" t="inlineStr">
        <is>
          <t>책   번   호</t>
        </is>
      </c>
      <c r="X45" s="472" t="n"/>
      <c r="Y45" s="472" t="n"/>
      <c r="Z45" s="473" t="n"/>
      <c r="AA45" s="535">
        <f>AA19</f>
        <v/>
      </c>
      <c r="AB45" s="472" t="n"/>
      <c r="AC45" s="59" t="inlineStr">
        <is>
          <t>권</t>
        </is>
      </c>
      <c r="AD45" s="535">
        <f>AD19</f>
        <v/>
      </c>
      <c r="AE45" s="472" t="n"/>
      <c r="AF45" s="60" t="inlineStr">
        <is>
          <t>호</t>
        </is>
      </c>
    </row>
    <row customHeight="1" ht="14.25" r="46" s="391" thickBot="1">
      <c r="A46" s="540" t="n"/>
      <c r="Q46" s="536" t="inlineStr">
        <is>
          <t>보  관  용</t>
        </is>
      </c>
      <c r="R46" s="490" t="n"/>
      <c r="S46" s="490" t="n"/>
      <c r="T46" s="490" t="n"/>
      <c r="U46" s="490" t="n"/>
      <c r="W46" s="484" t="inlineStr">
        <is>
          <t>일 련 번 호</t>
        </is>
      </c>
      <c r="X46" s="537" t="n"/>
      <c r="Y46" s="537" t="n"/>
      <c r="Z46" s="538" t="n"/>
      <c r="AA46" s="313">
        <f>AA20</f>
        <v/>
      </c>
      <c r="AB46" s="314">
        <f>AB20</f>
        <v/>
      </c>
      <c r="AC46" s="313">
        <f>AC20</f>
        <v/>
      </c>
      <c r="AD46" s="313">
        <f>AD20</f>
        <v/>
      </c>
      <c r="AE46" s="313">
        <f>AE20</f>
        <v/>
      </c>
      <c r="AF46" s="315">
        <f>AF20</f>
        <v/>
      </c>
    </row>
    <row r="47">
      <c r="A47" s="517" t="inlineStr">
        <is>
          <t>공 급 자</t>
        </is>
      </c>
      <c r="B47" s="487" t="inlineStr">
        <is>
          <t>등록번호</t>
        </is>
      </c>
      <c r="C47" s="479" t="n"/>
      <c r="D47" s="488" t="n"/>
      <c r="E47" s="494">
        <f>E21</f>
        <v/>
      </c>
      <c r="F47" s="498">
        <f>F21</f>
        <v/>
      </c>
      <c r="G47" s="498">
        <f>G21</f>
        <v/>
      </c>
      <c r="H47" s="498">
        <f>H21</f>
        <v/>
      </c>
      <c r="I47" s="498">
        <f>I21</f>
        <v/>
      </c>
      <c r="J47" s="498">
        <f>J21</f>
        <v/>
      </c>
      <c r="K47" s="498">
        <f>K21</f>
        <v/>
      </c>
      <c r="L47" s="498">
        <f>L21</f>
        <v/>
      </c>
      <c r="M47" s="498">
        <f>M21</f>
        <v/>
      </c>
      <c r="N47" s="498">
        <f>N21</f>
        <v/>
      </c>
      <c r="O47" s="498">
        <f>O21</f>
        <v/>
      </c>
      <c r="P47" s="529">
        <f>P21</f>
        <v/>
      </c>
      <c r="Q47" s="485" t="inlineStr">
        <is>
          <t>공급받는자</t>
        </is>
      </c>
      <c r="R47" s="487" t="inlineStr">
        <is>
          <t>등록번호</t>
        </is>
      </c>
      <c r="S47" s="479" t="n"/>
      <c r="T47" s="488" t="n"/>
      <c r="U47" s="542">
        <f>U21</f>
        <v/>
      </c>
      <c r="V47" s="507">
        <f>V21</f>
        <v/>
      </c>
      <c r="W47" s="507">
        <f>W21</f>
        <v/>
      </c>
      <c r="X47" s="507" t="inlineStr">
        <is>
          <t>-</t>
        </is>
      </c>
      <c r="Y47" s="507">
        <f>Y21</f>
        <v/>
      </c>
      <c r="Z47" s="507">
        <f>Z21</f>
        <v/>
      </c>
      <c r="AA47" s="507" t="inlineStr">
        <is>
          <t>-</t>
        </is>
      </c>
      <c r="AB47" s="507">
        <f>AB21</f>
        <v/>
      </c>
      <c r="AC47" s="507">
        <f>AC21</f>
        <v/>
      </c>
      <c r="AD47" s="507">
        <f>AD21</f>
        <v/>
      </c>
      <c r="AE47" s="507">
        <f>AE21</f>
        <v/>
      </c>
      <c r="AF47" s="554">
        <f>AF21</f>
        <v/>
      </c>
    </row>
    <row customHeight="1" ht="14.25" r="48" s="391" thickBot="1">
      <c r="A48" s="518" t="n"/>
      <c r="B48" s="489" t="n"/>
      <c r="C48" s="490" t="n"/>
      <c r="D48" s="491" t="n"/>
      <c r="E48" s="495" t="n"/>
      <c r="F48" s="499" t="n"/>
      <c r="G48" s="499" t="n"/>
      <c r="H48" s="499" t="n"/>
      <c r="I48" s="499" t="n"/>
      <c r="J48" s="499" t="n"/>
      <c r="K48" s="499" t="n"/>
      <c r="L48" s="499" t="n"/>
      <c r="M48" s="499" t="n"/>
      <c r="N48" s="499" t="n"/>
      <c r="O48" s="499" t="n"/>
      <c r="P48" s="530" t="n"/>
      <c r="Q48" s="486" t="n"/>
      <c r="R48" s="489" t="n"/>
      <c r="S48" s="490" t="n"/>
      <c r="T48" s="491" t="n"/>
      <c r="U48" s="519" t="n"/>
      <c r="V48" s="493" t="n"/>
      <c r="W48" s="493" t="n"/>
      <c r="X48" s="493" t="n"/>
      <c r="Y48" s="493" t="n"/>
      <c r="Z48" s="493" t="n"/>
      <c r="AA48" s="493" t="n"/>
      <c r="AB48" s="493" t="n"/>
      <c r="AC48" s="493" t="n"/>
      <c r="AD48" s="493" t="n"/>
      <c r="AE48" s="493" t="n"/>
      <c r="AF48" s="555" t="n"/>
    </row>
    <row r="49">
      <c r="A49" s="518" t="n"/>
      <c r="B49" s="556" t="inlineStr">
        <is>
          <t>상     호</t>
        </is>
      </c>
      <c r="C49" s="479" t="n"/>
      <c r="D49" s="488" t="n"/>
      <c r="E49" s="557">
        <f>E23</f>
        <v/>
      </c>
      <c r="F49" s="479" t="n"/>
      <c r="G49" s="479" t="n"/>
      <c r="H49" s="479" t="n"/>
      <c r="I49" s="479" t="n"/>
      <c r="J49" s="480" t="n"/>
      <c r="K49" s="492" t="inlineStr">
        <is>
          <t>성명</t>
        </is>
      </c>
      <c r="L49" s="523">
        <f>L23</f>
        <v/>
      </c>
      <c r="M49" s="479" t="n"/>
      <c r="N49" s="479" t="n"/>
      <c r="O49" s="479" t="n"/>
      <c r="P49" s="524" t="inlineStr">
        <is>
          <t>인</t>
        </is>
      </c>
      <c r="Q49" s="486" t="n"/>
      <c r="R49" s="526" t="inlineStr">
        <is>
          <t>상     호</t>
        </is>
      </c>
      <c r="S49" s="479" t="n"/>
      <c r="T49" s="480" t="n"/>
      <c r="U49" s="527">
        <f>U23</f>
        <v/>
      </c>
      <c r="V49" s="475" t="n"/>
      <c r="W49" s="475" t="n"/>
      <c r="X49" s="475" t="n"/>
      <c r="Y49" s="475" t="n"/>
      <c r="Z49" s="528" t="n"/>
      <c r="AA49" s="543" t="inlineStr">
        <is>
          <t>성명</t>
        </is>
      </c>
      <c r="AB49" s="544">
        <f>AB23</f>
        <v/>
      </c>
      <c r="AC49" s="475" t="n"/>
      <c r="AD49" s="475" t="n"/>
      <c r="AE49" s="475" t="n"/>
      <c r="AF49" s="545" t="inlineStr">
        <is>
          <t>인</t>
        </is>
      </c>
    </row>
    <row customHeight="1" ht="14.25" r="50" s="391" thickBot="1">
      <c r="A50" s="518" t="n"/>
      <c r="B50" s="546" t="inlineStr">
        <is>
          <t>(법인명)</t>
        </is>
      </c>
      <c r="C50" s="490" t="n"/>
      <c r="D50" s="491" t="n"/>
      <c r="E50" s="558" t="n"/>
      <c r="F50" s="482" t="n"/>
      <c r="G50" s="482" t="n"/>
      <c r="H50" s="482" t="n"/>
      <c r="I50" s="482" t="n"/>
      <c r="J50" s="483" t="n"/>
      <c r="K50" s="493" t="n"/>
      <c r="L50" s="481" t="n"/>
      <c r="M50" s="482" t="n"/>
      <c r="N50" s="482" t="n"/>
      <c r="O50" s="482" t="n"/>
      <c r="P50" s="525" t="n"/>
      <c r="Q50" s="486" t="n"/>
      <c r="R50" s="496" t="inlineStr">
        <is>
          <t>(법인명)</t>
        </is>
      </c>
      <c r="S50" s="490" t="n"/>
      <c r="T50" s="497" t="n"/>
      <c r="U50" s="489" t="n"/>
      <c r="V50" s="490" t="n"/>
      <c r="W50" s="490" t="n"/>
      <c r="X50" s="490" t="n"/>
      <c r="Y50" s="490" t="n"/>
      <c r="Z50" s="497" t="n"/>
      <c r="AA50" s="499" t="n"/>
      <c r="AB50" s="489" t="n"/>
      <c r="AC50" s="490" t="n"/>
      <c r="AD50" s="490" t="n"/>
      <c r="AE50" s="490" t="n"/>
      <c r="AF50" s="491" t="n"/>
    </row>
    <row r="51">
      <c r="A51" s="518" t="n"/>
      <c r="B51" s="526" t="inlineStr">
        <is>
          <t>사 업 장</t>
        </is>
      </c>
      <c r="C51" s="479" t="n"/>
      <c r="D51" s="480" t="n"/>
      <c r="E51" s="559">
        <f>E25</f>
        <v/>
      </c>
      <c r="F51" s="475" t="n"/>
      <c r="G51" s="475" t="n"/>
      <c r="H51" s="475" t="n"/>
      <c r="I51" s="475" t="n"/>
      <c r="J51" s="475" t="n"/>
      <c r="K51" s="475" t="n"/>
      <c r="L51" s="475" t="n"/>
      <c r="M51" s="475" t="n"/>
      <c r="N51" s="475" t="n"/>
      <c r="O51" s="475" t="n"/>
      <c r="P51" s="528" t="n"/>
      <c r="Q51" s="486" t="n"/>
      <c r="R51" s="526" t="inlineStr">
        <is>
          <t>사 업 장</t>
        </is>
      </c>
      <c r="S51" s="479" t="n"/>
      <c r="T51" s="480" t="n"/>
      <c r="U51" s="531">
        <f>U25</f>
        <v/>
      </c>
      <c r="V51" s="479" t="n"/>
      <c r="W51" s="479" t="n"/>
      <c r="X51" s="479" t="n"/>
      <c r="Y51" s="479" t="n"/>
      <c r="Z51" s="479" t="n"/>
      <c r="AA51" s="479" t="n"/>
      <c r="AB51" s="479" t="n"/>
      <c r="AC51" s="479" t="n"/>
      <c r="AD51" s="479" t="n"/>
      <c r="AE51" s="479" t="n"/>
      <c r="AF51" s="488" t="n"/>
    </row>
    <row r="52">
      <c r="A52" s="518" t="n"/>
      <c r="B52" s="496" t="inlineStr">
        <is>
          <t>주     소</t>
        </is>
      </c>
      <c r="C52" s="490" t="n"/>
      <c r="D52" s="497" t="n"/>
      <c r="E52" s="489" t="n"/>
      <c r="F52" s="490" t="n"/>
      <c r="G52" s="490" t="n"/>
      <c r="H52" s="490" t="n"/>
      <c r="I52" s="490" t="n"/>
      <c r="J52" s="490" t="n"/>
      <c r="K52" s="490" t="n"/>
      <c r="L52" s="490" t="n"/>
      <c r="M52" s="490" t="n"/>
      <c r="N52" s="490" t="n"/>
      <c r="O52" s="490" t="n"/>
      <c r="P52" s="497" t="n"/>
      <c r="Q52" s="486" t="n"/>
      <c r="R52" s="496" t="inlineStr">
        <is>
          <t>주     소</t>
        </is>
      </c>
      <c r="S52" s="490" t="n"/>
      <c r="T52" s="497" t="n"/>
      <c r="U52" s="489" t="n"/>
      <c r="V52" s="490" t="n"/>
      <c r="W52" s="490" t="n"/>
      <c r="X52" s="490" t="n"/>
      <c r="Y52" s="490" t="n"/>
      <c r="Z52" s="490" t="n"/>
      <c r="AA52" s="490" t="n"/>
      <c r="AB52" s="490" t="n"/>
      <c r="AC52" s="490" t="n"/>
      <c r="AD52" s="490" t="n"/>
      <c r="AE52" s="490" t="n"/>
      <c r="AF52" s="491" t="n"/>
    </row>
    <row r="53">
      <c r="A53" s="518" t="n"/>
      <c r="B53" s="484" t="inlineStr">
        <is>
          <t>업     태</t>
        </is>
      </c>
      <c r="C53" s="479" t="n"/>
      <c r="D53" s="480" t="n"/>
      <c r="E53" s="478">
        <f>E27</f>
        <v/>
      </c>
      <c r="F53" s="479" t="n"/>
      <c r="G53" s="479" t="n"/>
      <c r="H53" s="479" t="n"/>
      <c r="I53" s="479" t="n"/>
      <c r="J53" s="480" t="n"/>
      <c r="K53" s="492" t="inlineStr">
        <is>
          <t>종목</t>
        </is>
      </c>
      <c r="L53" s="478">
        <f>L27</f>
        <v/>
      </c>
      <c r="M53" s="479" t="n"/>
      <c r="N53" s="479" t="n"/>
      <c r="O53" s="479" t="n"/>
      <c r="P53" s="480" t="n"/>
      <c r="Q53" s="486" t="n"/>
      <c r="R53" s="484" t="inlineStr">
        <is>
          <t>업     태</t>
        </is>
      </c>
      <c r="S53" s="479" t="n"/>
      <c r="T53" s="480" t="n"/>
      <c r="U53" s="478">
        <f>U27</f>
        <v/>
      </c>
      <c r="V53" s="479" t="n"/>
      <c r="W53" s="479" t="n"/>
      <c r="X53" s="479" t="n"/>
      <c r="Y53" s="479" t="n"/>
      <c r="Z53" s="480" t="n"/>
      <c r="AA53" s="492" t="inlineStr">
        <is>
          <t>종목</t>
        </is>
      </c>
      <c r="AB53" s="534">
        <f>AB27</f>
        <v/>
      </c>
      <c r="AC53" s="479" t="n"/>
      <c r="AD53" s="479" t="n"/>
      <c r="AE53" s="479" t="n"/>
      <c r="AF53" s="488" t="n"/>
    </row>
    <row customHeight="1" ht="14.25" r="54" s="391" thickBot="1">
      <c r="A54" s="519" t="n"/>
      <c r="B54" s="481" t="n"/>
      <c r="C54" s="482" t="n"/>
      <c r="D54" s="483" t="n"/>
      <c r="E54" s="481" t="n"/>
      <c r="F54" s="482" t="n"/>
      <c r="G54" s="482" t="n"/>
      <c r="H54" s="482" t="n"/>
      <c r="I54" s="482" t="n"/>
      <c r="J54" s="483" t="n"/>
      <c r="K54" s="493" t="n"/>
      <c r="L54" s="481" t="n"/>
      <c r="M54" s="482" t="n"/>
      <c r="N54" s="482" t="n"/>
      <c r="O54" s="482" t="n"/>
      <c r="P54" s="483" t="n"/>
      <c r="Q54" s="483" t="n"/>
      <c r="R54" s="481" t="n"/>
      <c r="S54" s="482" t="n"/>
      <c r="T54" s="483" t="n"/>
      <c r="U54" s="481" t="n"/>
      <c r="V54" s="482" t="n"/>
      <c r="W54" s="482" t="n"/>
      <c r="X54" s="482" t="n"/>
      <c r="Y54" s="482" t="n"/>
      <c r="Z54" s="483" t="n"/>
      <c r="AA54" s="493" t="n"/>
      <c r="AB54" s="481" t="n"/>
      <c r="AC54" s="482" t="n"/>
      <c r="AD54" s="482" t="n"/>
      <c r="AE54" s="482" t="n"/>
      <c r="AF54" s="525" t="n"/>
    </row>
    <row r="55">
      <c r="A55" s="565" t="inlineStr">
        <is>
          <t>작     성</t>
        </is>
      </c>
      <c r="B55" s="472" t="n"/>
      <c r="C55" s="472" t="n"/>
      <c r="D55" s="473" t="n"/>
      <c r="E55" s="561" t="inlineStr">
        <is>
          <t>공      급       가      액</t>
        </is>
      </c>
      <c r="F55" s="472" t="n"/>
      <c r="G55" s="472" t="n"/>
      <c r="H55" s="472" t="n"/>
      <c r="I55" s="472" t="n"/>
      <c r="J55" s="472" t="n"/>
      <c r="K55" s="472" t="n"/>
      <c r="L55" s="472" t="n"/>
      <c r="M55" s="472" t="n"/>
      <c r="N55" s="472" t="n"/>
      <c r="O55" s="472" t="n"/>
      <c r="P55" s="472" t="n"/>
      <c r="Q55" s="473" t="n"/>
      <c r="R55" s="561" t="inlineStr">
        <is>
          <t>세                액</t>
        </is>
      </c>
      <c r="S55" s="472" t="n"/>
      <c r="T55" s="472" t="n"/>
      <c r="U55" s="472" t="n"/>
      <c r="V55" s="472" t="n"/>
      <c r="W55" s="472" t="n"/>
      <c r="X55" s="472" t="n"/>
      <c r="Y55" s="472" t="n"/>
      <c r="Z55" s="472" t="n"/>
      <c r="AA55" s="473" t="n"/>
      <c r="AB55" s="532" t="inlineStr">
        <is>
          <t>비     고</t>
        </is>
      </c>
      <c r="AC55" s="472" t="n"/>
      <c r="AD55" s="472" t="n"/>
      <c r="AE55" s="472" t="n"/>
      <c r="AF55" s="533" t="n"/>
    </row>
    <row r="56">
      <c r="A56" s="560" t="inlineStr">
        <is>
          <t>년</t>
        </is>
      </c>
      <c r="B56" s="549" t="n"/>
      <c r="C56" s="316" t="inlineStr">
        <is>
          <t>월</t>
        </is>
      </c>
      <c r="D56" s="316" t="inlineStr">
        <is>
          <t>일</t>
        </is>
      </c>
      <c r="E56" s="562" t="inlineStr">
        <is>
          <t>공란수</t>
        </is>
      </c>
      <c r="F56" s="549" t="n"/>
      <c r="G56" s="562" t="inlineStr">
        <is>
          <t>백</t>
        </is>
      </c>
      <c r="H56" s="316" t="inlineStr">
        <is>
          <t>십</t>
        </is>
      </c>
      <c r="I56" s="316" t="inlineStr">
        <is>
          <t>억</t>
        </is>
      </c>
      <c r="J56" s="316" t="inlineStr">
        <is>
          <t>천</t>
        </is>
      </c>
      <c r="K56" s="316" t="inlineStr">
        <is>
          <t>백</t>
        </is>
      </c>
      <c r="L56" s="316" t="inlineStr">
        <is>
          <t>십</t>
        </is>
      </c>
      <c r="M56" s="316" t="inlineStr">
        <is>
          <t>만</t>
        </is>
      </c>
      <c r="N56" s="316" t="inlineStr">
        <is>
          <t>천</t>
        </is>
      </c>
      <c r="O56" s="316" t="inlineStr">
        <is>
          <t>백</t>
        </is>
      </c>
      <c r="P56" s="316" t="inlineStr">
        <is>
          <t>십</t>
        </is>
      </c>
      <c r="Q56" s="316" t="inlineStr">
        <is>
          <t>일</t>
        </is>
      </c>
      <c r="R56" s="316" t="inlineStr">
        <is>
          <t>십</t>
        </is>
      </c>
      <c r="S56" s="316" t="inlineStr">
        <is>
          <t>억</t>
        </is>
      </c>
      <c r="T56" s="316" t="inlineStr">
        <is>
          <t>천</t>
        </is>
      </c>
      <c r="U56" s="316" t="inlineStr">
        <is>
          <t>백</t>
        </is>
      </c>
      <c r="V56" s="316" t="inlineStr">
        <is>
          <t>십</t>
        </is>
      </c>
      <c r="W56" s="316" t="inlineStr">
        <is>
          <t>만</t>
        </is>
      </c>
      <c r="X56" s="316" t="inlineStr">
        <is>
          <t>천</t>
        </is>
      </c>
      <c r="Y56" s="316" t="inlineStr">
        <is>
          <t>백</t>
        </is>
      </c>
      <c r="Z56" s="316" t="inlineStr">
        <is>
          <t>십</t>
        </is>
      </c>
      <c r="AA56" s="316" t="inlineStr">
        <is>
          <t>일</t>
        </is>
      </c>
      <c r="AB56" s="566" t="n"/>
      <c r="AC56" s="479" t="n"/>
      <c r="AD56" s="479" t="n"/>
      <c r="AE56" s="479" t="n"/>
      <c r="AF56" s="488" t="n"/>
    </row>
    <row customHeight="1" ht="14.25" r="57" s="391" thickBot="1">
      <c r="A57" s="563">
        <f>A31</f>
        <v/>
      </c>
      <c r="B57" s="538" t="n"/>
      <c r="C57" s="318">
        <f>C31</f>
        <v/>
      </c>
      <c r="D57" s="318">
        <f>D31</f>
        <v/>
      </c>
      <c r="E57" s="708" t="n"/>
      <c r="F57" s="538" t="n"/>
      <c r="G57" s="709" t="n"/>
      <c r="H57" s="709" t="n"/>
      <c r="I57" s="709" t="n"/>
      <c r="J57" s="709" t="n"/>
      <c r="K57" s="709">
        <f>K31</f>
        <v/>
      </c>
      <c r="L57" s="709">
        <f>L31</f>
        <v/>
      </c>
      <c r="M57" s="709">
        <f>M31</f>
        <v/>
      </c>
      <c r="N57" s="709">
        <f>N31</f>
        <v/>
      </c>
      <c r="O57" s="709">
        <f>O31</f>
        <v/>
      </c>
      <c r="P57" s="709">
        <f>P31</f>
        <v/>
      </c>
      <c r="Q57" s="709">
        <f>Q31</f>
        <v/>
      </c>
      <c r="R57" s="709" t="n"/>
      <c r="S57" s="709" t="n"/>
      <c r="T57" s="709" t="n"/>
      <c r="U57" s="709" t="n"/>
      <c r="V57" s="709">
        <f>V31</f>
        <v/>
      </c>
      <c r="W57" s="709">
        <f>W31</f>
        <v/>
      </c>
      <c r="X57" s="709">
        <f>X31</f>
        <v/>
      </c>
      <c r="Y57" s="709">
        <f>Y31</f>
        <v/>
      </c>
      <c r="Z57" s="709">
        <f>Z31</f>
        <v/>
      </c>
      <c r="AA57" s="709">
        <f>AA31</f>
        <v/>
      </c>
      <c r="AB57" s="481" t="n"/>
      <c r="AC57" s="482" t="n"/>
      <c r="AD57" s="482" t="n"/>
      <c r="AE57" s="482" t="n"/>
      <c r="AF57" s="525" t="n"/>
    </row>
    <row r="58">
      <c r="A58" s="61" t="inlineStr">
        <is>
          <t>월</t>
        </is>
      </c>
      <c r="B58" s="62" t="inlineStr">
        <is>
          <t>일</t>
        </is>
      </c>
      <c r="C58" s="561" t="inlineStr">
        <is>
          <t>품          목</t>
        </is>
      </c>
      <c r="D58" s="472" t="n"/>
      <c r="E58" s="472" t="n"/>
      <c r="F58" s="472" t="n"/>
      <c r="G58" s="472" t="n"/>
      <c r="H58" s="473" t="n"/>
      <c r="I58" s="561" t="inlineStr">
        <is>
          <t>규격</t>
        </is>
      </c>
      <c r="J58" s="472" t="n"/>
      <c r="K58" s="473" t="n"/>
      <c r="L58" s="561" t="inlineStr">
        <is>
          <t>수량</t>
        </is>
      </c>
      <c r="M58" s="472" t="n"/>
      <c r="N58" s="473" t="n"/>
      <c r="O58" s="561" t="inlineStr">
        <is>
          <t>단      가</t>
        </is>
      </c>
      <c r="P58" s="472" t="n"/>
      <c r="Q58" s="472" t="n"/>
      <c r="R58" s="472" t="n"/>
      <c r="S58" s="473" t="n"/>
      <c r="T58" s="561" t="inlineStr">
        <is>
          <t>공  급  가  액</t>
        </is>
      </c>
      <c r="U58" s="472" t="n"/>
      <c r="V58" s="472" t="n"/>
      <c r="W58" s="472" t="n"/>
      <c r="X58" s="472" t="n"/>
      <c r="Y58" s="473" t="n"/>
      <c r="Z58" s="561" t="inlineStr">
        <is>
          <t>세        액</t>
        </is>
      </c>
      <c r="AA58" s="472" t="n"/>
      <c r="AB58" s="472" t="n"/>
      <c r="AC58" s="472" t="n"/>
      <c r="AD58" s="473" t="n"/>
      <c r="AE58" s="532" t="inlineStr">
        <is>
          <t>비고</t>
        </is>
      </c>
      <c r="AF58" s="533" t="n"/>
    </row>
    <row r="59">
      <c r="A59" s="320">
        <f>A33</f>
        <v/>
      </c>
      <c r="B59" s="320">
        <f>B33</f>
        <v/>
      </c>
      <c r="C59" s="567">
        <f>C33</f>
        <v/>
      </c>
      <c r="D59" s="548" t="n"/>
      <c r="E59" s="548" t="n"/>
      <c r="F59" s="548" t="n"/>
      <c r="G59" s="548" t="n"/>
      <c r="H59" s="549" t="n"/>
      <c r="I59" s="547" t="n"/>
      <c r="J59" s="548" t="n"/>
      <c r="K59" s="549" t="n"/>
      <c r="L59" s="710">
        <f>L33</f>
        <v/>
      </c>
      <c r="M59" s="548" t="n"/>
      <c r="N59" s="549" t="n"/>
      <c r="O59" s="711">
        <f>O33</f>
        <v/>
      </c>
      <c r="P59" s="548" t="n"/>
      <c r="Q59" s="548" t="n"/>
      <c r="R59" s="548" t="n"/>
      <c r="S59" s="549" t="n"/>
      <c r="T59" s="711">
        <f>T33</f>
        <v/>
      </c>
      <c r="U59" s="548" t="n"/>
      <c r="V59" s="548" t="n"/>
      <c r="W59" s="548" t="n"/>
      <c r="X59" s="548" t="n"/>
      <c r="Y59" s="549" t="n"/>
      <c r="Z59" s="711">
        <f>Z33</f>
        <v/>
      </c>
      <c r="AA59" s="548" t="n"/>
      <c r="AB59" s="548" t="n"/>
      <c r="AC59" s="548" t="n"/>
      <c r="AD59" s="549" t="n"/>
      <c r="AE59" s="552" t="n"/>
      <c r="AF59" s="553" t="n"/>
    </row>
    <row r="60">
      <c r="A60" s="320">
        <f>A34</f>
        <v/>
      </c>
      <c r="B60" s="320">
        <f>B34</f>
        <v/>
      </c>
      <c r="C60" s="567">
        <f>C34</f>
        <v/>
      </c>
      <c r="D60" s="548" t="n"/>
      <c r="E60" s="548" t="n"/>
      <c r="F60" s="548" t="n"/>
      <c r="G60" s="548" t="n"/>
      <c r="H60" s="549" t="n"/>
      <c r="I60" s="547" t="n"/>
      <c r="J60" s="548" t="n"/>
      <c r="K60" s="549" t="n"/>
      <c r="L60" s="710">
        <f>L34</f>
        <v/>
      </c>
      <c r="M60" s="548" t="n"/>
      <c r="N60" s="549" t="n"/>
      <c r="O60" s="711">
        <f>O34</f>
        <v/>
      </c>
      <c r="P60" s="548" t="n"/>
      <c r="Q60" s="548" t="n"/>
      <c r="R60" s="548" t="n"/>
      <c r="S60" s="549" t="n"/>
      <c r="T60" s="711">
        <f>T34</f>
        <v/>
      </c>
      <c r="U60" s="548" t="n"/>
      <c r="V60" s="548" t="n"/>
      <c r="W60" s="548" t="n"/>
      <c r="X60" s="548" t="n"/>
      <c r="Y60" s="549" t="n"/>
      <c r="Z60" s="711">
        <f>Z34</f>
        <v/>
      </c>
      <c r="AA60" s="548" t="n"/>
      <c r="AB60" s="548" t="n"/>
      <c r="AC60" s="548" t="n"/>
      <c r="AD60" s="549" t="n"/>
      <c r="AE60" s="552" t="n"/>
      <c r="AF60" s="553" t="n"/>
    </row>
    <row r="61">
      <c r="A61" s="320" t="n"/>
      <c r="B61" s="320" t="n"/>
      <c r="C61" s="567" t="n"/>
      <c r="D61" s="548" t="n"/>
      <c r="E61" s="548" t="n"/>
      <c r="F61" s="548" t="n"/>
      <c r="G61" s="548" t="n"/>
      <c r="H61" s="549" t="n"/>
      <c r="I61" s="547" t="n"/>
      <c r="J61" s="548" t="n"/>
      <c r="K61" s="549" t="n"/>
      <c r="L61" s="710">
        <f>L35</f>
        <v/>
      </c>
      <c r="M61" s="548" t="n"/>
      <c r="N61" s="549" t="n"/>
      <c r="O61" s="711">
        <f>O35</f>
        <v/>
      </c>
      <c r="P61" s="548" t="n"/>
      <c r="Q61" s="548" t="n"/>
      <c r="R61" s="548" t="n"/>
      <c r="S61" s="549" t="n"/>
      <c r="T61" s="711">
        <f>T35</f>
        <v/>
      </c>
      <c r="U61" s="548" t="n"/>
      <c r="V61" s="548" t="n"/>
      <c r="W61" s="548" t="n"/>
      <c r="X61" s="548" t="n"/>
      <c r="Y61" s="549" t="n"/>
      <c r="Z61" s="711">
        <f>Z35</f>
        <v/>
      </c>
      <c r="AA61" s="548" t="n"/>
      <c r="AB61" s="548" t="n"/>
      <c r="AC61" s="548" t="n"/>
      <c r="AD61" s="549" t="n"/>
      <c r="AE61" s="552" t="n"/>
      <c r="AF61" s="553" t="n"/>
    </row>
    <row r="62">
      <c r="A62" s="320" t="n"/>
      <c r="B62" s="320" t="n"/>
      <c r="C62" s="567" t="n"/>
      <c r="D62" s="548" t="n"/>
      <c r="E62" s="548" t="n"/>
      <c r="F62" s="548" t="n"/>
      <c r="G62" s="548" t="n"/>
      <c r="H62" s="549" t="n"/>
      <c r="I62" s="547" t="n"/>
      <c r="J62" s="548" t="n"/>
      <c r="K62" s="549" t="n"/>
      <c r="L62" s="710">
        <f>L36</f>
        <v/>
      </c>
      <c r="M62" s="548" t="n"/>
      <c r="N62" s="549" t="n"/>
      <c r="O62" s="711">
        <f>O36</f>
        <v/>
      </c>
      <c r="P62" s="548" t="n"/>
      <c r="Q62" s="548" t="n"/>
      <c r="R62" s="548" t="n"/>
      <c r="S62" s="549" t="n"/>
      <c r="T62" s="711">
        <f>T36</f>
        <v/>
      </c>
      <c r="U62" s="548" t="n"/>
      <c r="V62" s="548" t="n"/>
      <c r="W62" s="548" t="n"/>
      <c r="X62" s="548" t="n"/>
      <c r="Y62" s="549" t="n"/>
      <c r="Z62" s="711">
        <f>Z36</f>
        <v/>
      </c>
      <c r="AA62" s="548" t="n"/>
      <c r="AB62" s="548" t="n"/>
      <c r="AC62" s="548" t="n"/>
      <c r="AD62" s="549" t="n"/>
      <c r="AE62" s="552" t="n"/>
      <c r="AF62" s="553" t="n"/>
    </row>
    <row r="63">
      <c r="A63" s="560" t="inlineStr">
        <is>
          <t>합계금액</t>
        </is>
      </c>
      <c r="B63" s="548" t="n"/>
      <c r="C63" s="548" t="n"/>
      <c r="D63" s="548" t="n"/>
      <c r="E63" s="549" t="n"/>
      <c r="F63" s="562" t="inlineStr">
        <is>
          <t>현  금</t>
        </is>
      </c>
      <c r="G63" s="548" t="n"/>
      <c r="H63" s="548" t="n"/>
      <c r="I63" s="548" t="n"/>
      <c r="J63" s="549" t="n"/>
      <c r="K63" s="562" t="inlineStr">
        <is>
          <t>수  표</t>
        </is>
      </c>
      <c r="L63" s="548" t="n"/>
      <c r="M63" s="548" t="n"/>
      <c r="N63" s="548" t="n"/>
      <c r="O63" s="549" t="n"/>
      <c r="P63" s="562" t="inlineStr">
        <is>
          <t>어  음</t>
        </is>
      </c>
      <c r="Q63" s="548" t="n"/>
      <c r="R63" s="548" t="n"/>
      <c r="S63" s="548" t="n"/>
      <c r="T63" s="549" t="n"/>
      <c r="U63" s="562" t="inlineStr">
        <is>
          <t>외상미수금</t>
        </is>
      </c>
      <c r="V63" s="548" t="n"/>
      <c r="W63" s="548" t="n"/>
      <c r="X63" s="548" t="n"/>
      <c r="Y63" s="549" t="n"/>
      <c r="Z63" s="571" t="inlineStr">
        <is>
          <t xml:space="preserve">이 금액을 </t>
        </is>
      </c>
      <c r="AA63" s="479" t="n"/>
      <c r="AB63" s="479" t="n"/>
      <c r="AC63" s="479" t="n"/>
      <c r="AD63" s="572">
        <f>AD37</f>
        <v/>
      </c>
      <c r="AE63" s="479" t="n"/>
      <c r="AF63" s="573" t="inlineStr">
        <is>
          <t>함</t>
        </is>
      </c>
    </row>
    <row customHeight="1" ht="14.25" r="64" s="391" thickBot="1">
      <c r="A64" s="712">
        <f>A38</f>
        <v/>
      </c>
      <c r="B64" s="537" t="n"/>
      <c r="C64" s="537" t="n"/>
      <c r="D64" s="537" t="n"/>
      <c r="E64" s="538" t="n"/>
      <c r="F64" s="713" t="n"/>
      <c r="G64" s="537" t="n"/>
      <c r="H64" s="537" t="n"/>
      <c r="I64" s="537" t="n"/>
      <c r="J64" s="538" t="n"/>
      <c r="K64" s="713" t="n"/>
      <c r="L64" s="537" t="n"/>
      <c r="M64" s="537" t="n"/>
      <c r="N64" s="537" t="n"/>
      <c r="O64" s="538" t="n"/>
      <c r="P64" s="713" t="n"/>
      <c r="Q64" s="537" t="n"/>
      <c r="R64" s="537" t="n"/>
      <c r="S64" s="537" t="n"/>
      <c r="T64" s="538" t="n"/>
      <c r="U64" s="713" t="n"/>
      <c r="V64" s="537" t="n"/>
      <c r="W64" s="537" t="n"/>
      <c r="X64" s="537" t="n"/>
      <c r="Y64" s="538" t="n"/>
      <c r="Z64" s="481" t="n"/>
      <c r="AA64" s="482" t="n"/>
      <c r="AB64" s="482" t="n"/>
      <c r="AC64" s="482" t="n"/>
      <c r="AD64" s="482" t="n"/>
      <c r="AE64" s="482" t="n"/>
      <c r="AF64" s="525" t="n"/>
    </row>
    <row r="65">
      <c r="A65" s="57" t="inlineStr">
        <is>
          <t>22226-28131일 '96.3.27승인</t>
        </is>
      </c>
      <c r="B65" s="57" t="n"/>
      <c r="C65" s="58" t="n"/>
      <c r="D65" s="58" t="n"/>
      <c r="E65" s="58" t="n"/>
      <c r="F65" s="58" t="n"/>
      <c r="G65" s="58" t="n"/>
      <c r="H65" s="58" t="n"/>
      <c r="I65" s="58" t="n"/>
      <c r="J65" s="58" t="n"/>
      <c r="K65" s="58" t="n"/>
      <c r="L65" s="58" t="n"/>
      <c r="M65" s="58" t="n"/>
      <c r="N65" s="58" t="n"/>
      <c r="O65" s="58" t="n"/>
      <c r="P65" s="58" t="n"/>
      <c r="Q65" s="58" t="n"/>
      <c r="R65" s="58" t="n"/>
      <c r="S65" s="58" t="n"/>
      <c r="T65" s="58" t="n"/>
      <c r="U65" s="570" t="inlineStr">
        <is>
          <t>인쇄용지(특급)34g/m2 182mmx128mm</t>
        </is>
      </c>
      <c r="V65" s="475" t="n"/>
      <c r="W65" s="475" t="n"/>
      <c r="X65" s="475" t="n"/>
      <c r="Y65" s="475" t="n"/>
      <c r="Z65" s="475" t="n"/>
      <c r="AA65" s="475" t="n"/>
      <c r="AB65" s="475" t="n"/>
      <c r="AC65" s="475" t="n"/>
      <c r="AD65" s="475" t="n"/>
      <c r="AE65" s="475" t="n"/>
      <c r="AF65" s="475" t="n"/>
    </row>
  </sheetData>
  <mergeCells count="290">
    <mergeCell ref="A38:E38"/>
    <mergeCell ref="F38:J38"/>
    <mergeCell ref="K38:O38"/>
    <mergeCell ref="P38:T38"/>
    <mergeCell ref="U38:Y38"/>
    <mergeCell ref="A37:E37"/>
    <mergeCell ref="F37:J37"/>
    <mergeCell ref="K37:O37"/>
    <mergeCell ref="P37:T37"/>
    <mergeCell ref="U37:Y37"/>
    <mergeCell ref="C36:H36"/>
    <mergeCell ref="I36:K36"/>
    <mergeCell ref="Z36:AD36"/>
    <mergeCell ref="Z35:AD35"/>
    <mergeCell ref="AE35:AF35"/>
    <mergeCell ref="C34:H34"/>
    <mergeCell ref="I34:K34"/>
    <mergeCell ref="L34:N34"/>
    <mergeCell ref="O34:S34"/>
    <mergeCell ref="T34:Y34"/>
    <mergeCell ref="Z34:AD34"/>
    <mergeCell ref="AE34:AF34"/>
    <mergeCell ref="I35:K35"/>
    <mergeCell ref="L35:N35"/>
    <mergeCell ref="O35:S35"/>
    <mergeCell ref="T35:Y35"/>
    <mergeCell ref="L36:N36"/>
    <mergeCell ref="O36:S36"/>
    <mergeCell ref="T36:Y36"/>
    <mergeCell ref="AE36:AF36"/>
    <mergeCell ref="C35:H35"/>
    <mergeCell ref="C33:H33"/>
    <mergeCell ref="I33:K33"/>
    <mergeCell ref="L33:N33"/>
    <mergeCell ref="O33:S33"/>
    <mergeCell ref="T33:Y33"/>
    <mergeCell ref="Z33:AD33"/>
    <mergeCell ref="AE33:AF33"/>
    <mergeCell ref="C32:H32"/>
    <mergeCell ref="I32:K32"/>
    <mergeCell ref="L32:N32"/>
    <mergeCell ref="O32:S32"/>
    <mergeCell ref="K21:K22"/>
    <mergeCell ref="L21:L22"/>
    <mergeCell ref="M21:M22"/>
    <mergeCell ref="A30:B30"/>
    <mergeCell ref="E30:F30"/>
    <mergeCell ref="AB30:AF31"/>
    <mergeCell ref="A31:B31"/>
    <mergeCell ref="E31:F31"/>
    <mergeCell ref="A29:D29"/>
    <mergeCell ref="E29:Q29"/>
    <mergeCell ref="R29:AA29"/>
    <mergeCell ref="AB29:AF29"/>
    <mergeCell ref="B27:D28"/>
    <mergeCell ref="E27:J28"/>
    <mergeCell ref="K27:K28"/>
    <mergeCell ref="L27:P28"/>
    <mergeCell ref="U21:U22"/>
    <mergeCell ref="A21:A28"/>
    <mergeCell ref="B21:D22"/>
    <mergeCell ref="U23:Z24"/>
    <mergeCell ref="R24:T24"/>
    <mergeCell ref="U25:AF26"/>
    <mergeCell ref="R21:T22"/>
    <mergeCell ref="R23:T23"/>
    <mergeCell ref="AA23:AA24"/>
    <mergeCell ref="AB23:AE24"/>
    <mergeCell ref="AE21:AE22"/>
    <mergeCell ref="AF23:AF24"/>
    <mergeCell ref="R27:T28"/>
    <mergeCell ref="U27:Z28"/>
    <mergeCell ref="V21:V22"/>
    <mergeCell ref="W21:W22"/>
    <mergeCell ref="X21:X22"/>
    <mergeCell ref="Y21:Y22"/>
    <mergeCell ref="AA27:AA28"/>
    <mergeCell ref="AB27:AF28"/>
    <mergeCell ref="R26:T26"/>
    <mergeCell ref="X8:AA8"/>
    <mergeCell ref="AB8:AE8"/>
    <mergeCell ref="A10:F10"/>
    <mergeCell ref="G7:K7"/>
    <mergeCell ref="X9:AA9"/>
    <mergeCell ref="AB9:AE9"/>
    <mergeCell ref="X10:AA10"/>
    <mergeCell ref="X6:AA6"/>
    <mergeCell ref="AB6:AE6"/>
    <mergeCell ref="AB10:AE10"/>
    <mergeCell ref="A6:F6"/>
    <mergeCell ref="A7:F7"/>
    <mergeCell ref="L9:V9"/>
    <mergeCell ref="L10:V10"/>
    <mergeCell ref="A5:F5"/>
    <mergeCell ref="AB4:AE4"/>
    <mergeCell ref="X4:AA4"/>
    <mergeCell ref="X5:AA5"/>
    <mergeCell ref="G3:K3"/>
    <mergeCell ref="G4:K4"/>
    <mergeCell ref="AB5:AE5"/>
    <mergeCell ref="X7:AA7"/>
    <mergeCell ref="AB7:AE7"/>
    <mergeCell ref="X3:AF3"/>
    <mergeCell ref="Q1:S1"/>
    <mergeCell ref="A47:A54"/>
    <mergeCell ref="B47:D48"/>
    <mergeCell ref="L5:V5"/>
    <mergeCell ref="L6:V6"/>
    <mergeCell ref="L7:V7"/>
    <mergeCell ref="L8:V8"/>
    <mergeCell ref="G8:K8"/>
    <mergeCell ref="G9:K9"/>
    <mergeCell ref="G5:K5"/>
    <mergeCell ref="G6:K6"/>
    <mergeCell ref="L3:V3"/>
    <mergeCell ref="L4:V4"/>
    <mergeCell ref="V47:V48"/>
    <mergeCell ref="V18:AA18"/>
    <mergeCell ref="G47:G48"/>
    <mergeCell ref="H47:H48"/>
    <mergeCell ref="I47:I48"/>
    <mergeCell ref="J47:J48"/>
    <mergeCell ref="A8:F8"/>
    <mergeCell ref="A9:F9"/>
    <mergeCell ref="A3:F3"/>
    <mergeCell ref="A4:F4"/>
    <mergeCell ref="G10:K10"/>
    <mergeCell ref="X13:AA13"/>
    <mergeCell ref="AB13:AE13"/>
    <mergeCell ref="X11:AA11"/>
    <mergeCell ref="AB11:AE11"/>
    <mergeCell ref="AB12:AE12"/>
    <mergeCell ref="R53:T54"/>
    <mergeCell ref="Q47:Q54"/>
    <mergeCell ref="R47:T48"/>
    <mergeCell ref="AA47:AA48"/>
    <mergeCell ref="AB47:AB48"/>
    <mergeCell ref="AC47:AC48"/>
    <mergeCell ref="T32:Y32"/>
    <mergeCell ref="Z32:AD32"/>
    <mergeCell ref="AE32:AF32"/>
    <mergeCell ref="W39:AF39"/>
    <mergeCell ref="AF37:AF38"/>
    <mergeCell ref="Z37:AC38"/>
    <mergeCell ref="AD37:AE38"/>
    <mergeCell ref="Y47:Y48"/>
    <mergeCell ref="Z47:Z48"/>
    <mergeCell ref="X12:AA12"/>
    <mergeCell ref="AF49:AF50"/>
    <mergeCell ref="R25:T25"/>
    <mergeCell ref="AF21:AF22"/>
    <mergeCell ref="AB18:AF18"/>
    <mergeCell ref="A19:O20"/>
    <mergeCell ref="P19:P20"/>
    <mergeCell ref="Q19:U19"/>
    <mergeCell ref="A45:O46"/>
    <mergeCell ref="P45:P46"/>
    <mergeCell ref="Q45:U45"/>
    <mergeCell ref="V45:V46"/>
    <mergeCell ref="E47:E48"/>
    <mergeCell ref="F47:F48"/>
    <mergeCell ref="N47:N48"/>
    <mergeCell ref="O47:O48"/>
    <mergeCell ref="P47:P48"/>
    <mergeCell ref="U47:U48"/>
    <mergeCell ref="AD47:AD48"/>
    <mergeCell ref="AE47:AE48"/>
    <mergeCell ref="AF47:AF48"/>
    <mergeCell ref="X47:X48"/>
    <mergeCell ref="B24:D24"/>
    <mergeCell ref="B23:D23"/>
    <mergeCell ref="E23:J24"/>
    <mergeCell ref="E25:P26"/>
    <mergeCell ref="G21:G22"/>
    <mergeCell ref="B26:D26"/>
    <mergeCell ref="A57:B57"/>
    <mergeCell ref="E57:F57"/>
    <mergeCell ref="A56:B56"/>
    <mergeCell ref="A55:D55"/>
    <mergeCell ref="E55:Q55"/>
    <mergeCell ref="R55:AA55"/>
    <mergeCell ref="AE58:AF58"/>
    <mergeCell ref="T58:Y58"/>
    <mergeCell ref="L47:L48"/>
    <mergeCell ref="M47:M48"/>
    <mergeCell ref="B53:D54"/>
    <mergeCell ref="K53:K54"/>
    <mergeCell ref="E53:J54"/>
    <mergeCell ref="L53:P54"/>
    <mergeCell ref="K47:K48"/>
    <mergeCell ref="V19:V20"/>
    <mergeCell ref="W19:Z19"/>
    <mergeCell ref="AD19:AE19"/>
    <mergeCell ref="Q20:U20"/>
    <mergeCell ref="W20:Z20"/>
    <mergeCell ref="AA19:AB19"/>
    <mergeCell ref="E21:E22"/>
    <mergeCell ref="F21:F22"/>
    <mergeCell ref="B25:D25"/>
    <mergeCell ref="AA21:AA22"/>
    <mergeCell ref="AB21:AB22"/>
    <mergeCell ref="AC21:AC22"/>
    <mergeCell ref="AD21:AD22"/>
    <mergeCell ref="H21:H22"/>
    <mergeCell ref="I21:I22"/>
    <mergeCell ref="J21:J22"/>
    <mergeCell ref="Z21:Z22"/>
    <mergeCell ref="O21:O22"/>
    <mergeCell ref="N21:N22"/>
    <mergeCell ref="P21:P22"/>
    <mergeCell ref="K23:K24"/>
    <mergeCell ref="L23:O24"/>
    <mergeCell ref="P23:P24"/>
    <mergeCell ref="Q21:Q28"/>
    <mergeCell ref="AA45:AB45"/>
    <mergeCell ref="AD45:AE45"/>
    <mergeCell ref="Q46:U46"/>
    <mergeCell ref="W46:Z46"/>
    <mergeCell ref="W45:Z45"/>
    <mergeCell ref="W47:W48"/>
    <mergeCell ref="AA49:AA50"/>
    <mergeCell ref="AB49:AE50"/>
    <mergeCell ref="B49:D49"/>
    <mergeCell ref="U49:Z50"/>
    <mergeCell ref="C62:H62"/>
    <mergeCell ref="A63:E63"/>
    <mergeCell ref="F63:J63"/>
    <mergeCell ref="C58:H58"/>
    <mergeCell ref="I58:K58"/>
    <mergeCell ref="I62:K62"/>
    <mergeCell ref="C60:H60"/>
    <mergeCell ref="I60:K60"/>
    <mergeCell ref="C59:H59"/>
    <mergeCell ref="I59:K59"/>
    <mergeCell ref="C61:H61"/>
    <mergeCell ref="L59:N59"/>
    <mergeCell ref="O59:S59"/>
    <mergeCell ref="K63:O63"/>
    <mergeCell ref="L62:N62"/>
    <mergeCell ref="O62:S62"/>
    <mergeCell ref="AE59:AF59"/>
    <mergeCell ref="AA53:AA54"/>
    <mergeCell ref="U53:Z54"/>
    <mergeCell ref="AB53:AF54"/>
    <mergeCell ref="L58:N58"/>
    <mergeCell ref="O58:S58"/>
    <mergeCell ref="I61:K61"/>
    <mergeCell ref="L61:N61"/>
    <mergeCell ref="O61:S61"/>
    <mergeCell ref="T61:Y61"/>
    <mergeCell ref="Z61:AD61"/>
    <mergeCell ref="AE61:AF61"/>
    <mergeCell ref="T60:Y60"/>
    <mergeCell ref="Z58:AD58"/>
    <mergeCell ref="AB55:AF55"/>
    <mergeCell ref="AB56:AF57"/>
    <mergeCell ref="A64:E64"/>
    <mergeCell ref="F64:J64"/>
    <mergeCell ref="K64:O64"/>
    <mergeCell ref="P64:T64"/>
    <mergeCell ref="B50:D50"/>
    <mergeCell ref="R50:T50"/>
    <mergeCell ref="R51:T51"/>
    <mergeCell ref="U51:AF52"/>
    <mergeCell ref="R52:T52"/>
    <mergeCell ref="B51:D51"/>
    <mergeCell ref="E51:P52"/>
    <mergeCell ref="Z60:AD60"/>
    <mergeCell ref="L60:N60"/>
    <mergeCell ref="O60:S60"/>
    <mergeCell ref="B52:D52"/>
    <mergeCell ref="E56:F56"/>
    <mergeCell ref="AE60:AF60"/>
    <mergeCell ref="T59:Y59"/>
    <mergeCell ref="Z59:AD59"/>
    <mergeCell ref="E49:J50"/>
    <mergeCell ref="K49:K50"/>
    <mergeCell ref="L49:O50"/>
    <mergeCell ref="P49:P50"/>
    <mergeCell ref="R49:T49"/>
    <mergeCell ref="U65:AF65"/>
    <mergeCell ref="Z62:AD62"/>
    <mergeCell ref="AE62:AF62"/>
    <mergeCell ref="U63:Y63"/>
    <mergeCell ref="Z63:AC64"/>
    <mergeCell ref="AD63:AE64"/>
    <mergeCell ref="AF63:AF64"/>
    <mergeCell ref="T62:Y62"/>
    <mergeCell ref="P63:T63"/>
    <mergeCell ref="U64:Y64"/>
  </mergeCells>
  <pageMargins bottom="0.984251968503937" footer="0.5118110236220472" header="0.5118110236220472" left="0.7480314960629921" right="0.7480314960629921" top="0.984251968503937"/>
  <pageSetup orientation="portrait" paperSize="9"/>
  <rowBreaks count="1" manualBreakCount="1">
    <brk id="41" man="1" max="16383" min="0"/>
  </rowBreaks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65"/>
  <sheetViews>
    <sheetView topLeftCell="A4" workbookViewId="0">
      <selection activeCell="AK32" sqref="AK32"/>
    </sheetView>
  </sheetViews>
  <sheetFormatPr baseColWidth="8" defaultColWidth="8.77734375" defaultRowHeight="13.5"/>
  <cols>
    <col customWidth="1" max="32" min="1" style="391" width="2.33203125"/>
  </cols>
  <sheetData>
    <row customFormat="1" customHeight="1" ht="23.25" r="1" s="4" thickBot="1">
      <c r="A1" s="53" t="inlineStr">
        <is>
          <t>김영광치과 임대료내역</t>
        </is>
      </c>
      <c r="B1" s="39" t="n"/>
      <c r="C1" s="40" t="n"/>
      <c r="D1" s="41" t="n"/>
      <c r="E1" s="41" t="n"/>
      <c r="F1" s="41" t="n"/>
      <c r="G1" s="41" t="n"/>
      <c r="H1" s="41" t="n"/>
      <c r="I1" s="41" t="n"/>
      <c r="J1" s="41" t="n"/>
      <c r="K1" s="41" t="n"/>
      <c r="L1" s="41" t="n"/>
      <c r="M1" s="41" t="n"/>
      <c r="N1" s="41" t="n"/>
      <c r="O1" s="53" t="n"/>
      <c r="P1" s="53" t="inlineStr">
        <is>
          <t>(</t>
        </is>
      </c>
      <c r="Q1" s="516">
        <f>정육점!Q1</f>
        <v/>
      </c>
      <c r="R1" s="346" t="n"/>
      <c r="S1" s="346" t="n"/>
      <c r="T1" s="53" t="inlineStr">
        <is>
          <t>년</t>
        </is>
      </c>
      <c r="U1" s="53" t="n"/>
      <c r="V1" s="83">
        <f>정육점!V1</f>
        <v/>
      </c>
      <c r="W1" s="53" t="inlineStr">
        <is>
          <t>월</t>
        </is>
      </c>
      <c r="X1" s="53" t="inlineStr">
        <is>
          <t>)</t>
        </is>
      </c>
      <c r="Y1" s="53" t="n"/>
      <c r="Z1" s="53" t="n"/>
      <c r="AA1" s="53" t="n"/>
      <c r="AB1" s="53" t="n"/>
      <c r="AC1" s="41" t="n"/>
      <c r="AD1" s="41" t="n"/>
      <c r="AE1" s="41" t="n"/>
      <c r="AF1" s="41" t="n"/>
    </row>
    <row customFormat="1" customHeight="1" ht="15" r="2" s="4" thickTop="1">
      <c r="A2" s="42" t="n"/>
      <c r="B2" s="42" t="n"/>
      <c r="C2" s="42" t="n"/>
    </row>
    <row customFormat="1" customHeight="1" ht="15" r="3" s="4">
      <c r="A3" s="579" t="inlineStr">
        <is>
          <t>내역상세</t>
        </is>
      </c>
      <c r="B3" s="382" t="n"/>
      <c r="C3" s="382" t="n"/>
      <c r="D3" s="382" t="n"/>
      <c r="E3" s="382" t="n"/>
      <c r="F3" s="348" t="n"/>
      <c r="G3" s="579" t="inlineStr">
        <is>
          <t>금   액</t>
        </is>
      </c>
      <c r="H3" s="382" t="n"/>
      <c r="I3" s="382" t="n"/>
      <c r="J3" s="382" t="n"/>
      <c r="K3" s="348" t="n"/>
      <c r="L3" s="579" t="inlineStr">
        <is>
          <t>비   고</t>
        </is>
      </c>
      <c r="M3" s="382" t="n"/>
      <c r="N3" s="382" t="n"/>
      <c r="O3" s="382" t="n"/>
      <c r="P3" s="382" t="n"/>
      <c r="Q3" s="382" t="n"/>
      <c r="R3" s="382" t="n"/>
      <c r="S3" s="382" t="n"/>
      <c r="T3" s="382" t="n"/>
      <c r="U3" s="382" t="n"/>
      <c r="V3" s="348" t="n"/>
      <c r="X3" s="514" t="inlineStr">
        <is>
          <t>미납임대료</t>
        </is>
      </c>
      <c r="Y3" s="382" t="n"/>
      <c r="Z3" s="382" t="n"/>
      <c r="AA3" s="382" t="n"/>
      <c r="AB3" s="382" t="n"/>
      <c r="AC3" s="382" t="n"/>
      <c r="AD3" s="382" t="n"/>
      <c r="AE3" s="382" t="n"/>
      <c r="AF3" s="348" t="n"/>
    </row>
    <row customFormat="1" customHeight="1" ht="15" r="4" s="4">
      <c r="A4" s="576" t="inlineStr">
        <is>
          <t>월세</t>
        </is>
      </c>
      <c r="B4" s="382" t="n"/>
      <c r="C4" s="382" t="n"/>
      <c r="D4" s="382" t="n"/>
      <c r="E4" s="382" t="n"/>
      <c r="F4" s="348" t="n"/>
      <c r="G4" s="714" t="n">
        <v>1200000</v>
      </c>
      <c r="H4" s="382" t="n"/>
      <c r="I4" s="382" t="n"/>
      <c r="J4" s="382" t="n"/>
      <c r="K4" s="348" t="n"/>
      <c r="L4" s="584" t="n"/>
      <c r="M4" s="382" t="n"/>
      <c r="N4" s="382" t="n"/>
      <c r="O4" s="382" t="n"/>
      <c r="P4" s="382" t="n"/>
      <c r="Q4" s="382" t="n"/>
      <c r="R4" s="382" t="n"/>
      <c r="S4" s="382" t="n"/>
      <c r="T4" s="382" t="n"/>
      <c r="U4" s="382" t="n"/>
      <c r="V4" s="348" t="n"/>
      <c r="X4" s="511" t="n"/>
      <c r="Y4" s="382" t="n"/>
      <c r="Z4" s="382" t="n"/>
      <c r="AA4" s="348" t="n"/>
      <c r="AB4" s="689" t="n"/>
      <c r="AC4" s="382" t="n"/>
      <c r="AD4" s="382" t="n"/>
      <c r="AE4" s="382" t="n"/>
      <c r="AF4" s="715" t="n"/>
    </row>
    <row customFormat="1" customHeight="1" ht="15" r="5" s="4">
      <c r="A5" s="576" t="inlineStr">
        <is>
          <t>부가세(10%)</t>
        </is>
      </c>
      <c r="B5" s="382" t="n"/>
      <c r="C5" s="382" t="n"/>
      <c r="D5" s="382" t="n"/>
      <c r="E5" s="382" t="n"/>
      <c r="F5" s="348" t="n"/>
      <c r="G5" s="714">
        <f>G4*0.1</f>
        <v/>
      </c>
      <c r="H5" s="382" t="n"/>
      <c r="I5" s="382" t="n"/>
      <c r="J5" s="382" t="n"/>
      <c r="K5" s="348" t="n"/>
      <c r="L5" s="576" t="n"/>
      <c r="M5" s="382" t="n"/>
      <c r="N5" s="382" t="n"/>
      <c r="O5" s="382" t="n"/>
      <c r="P5" s="382" t="n"/>
      <c r="Q5" s="382" t="n"/>
      <c r="R5" s="382" t="n"/>
      <c r="S5" s="382" t="n"/>
      <c r="T5" s="382" t="n"/>
      <c r="U5" s="382" t="n"/>
      <c r="V5" s="348" t="n"/>
      <c r="X5" s="511" t="n"/>
      <c r="Y5" s="382" t="n"/>
      <c r="Z5" s="382" t="n"/>
      <c r="AA5" s="348" t="n"/>
      <c r="AB5" s="689" t="n"/>
      <c r="AC5" s="382" t="n"/>
      <c r="AD5" s="382" t="n"/>
      <c r="AE5" s="382" t="n"/>
      <c r="AF5" s="715" t="n"/>
    </row>
    <row customFormat="1" customHeight="1" ht="15" r="6" s="4">
      <c r="A6" s="576" t="inlineStr">
        <is>
          <t>공동 관리비</t>
        </is>
      </c>
      <c r="B6" s="382" t="n"/>
      <c r="C6" s="382" t="n"/>
      <c r="D6" s="382" t="n"/>
      <c r="E6" s="382" t="n"/>
      <c r="F6" s="348" t="n"/>
      <c r="G6" s="714">
        <f>6000*58</f>
        <v/>
      </c>
      <c r="H6" s="382" t="n"/>
      <c r="I6" s="382" t="n"/>
      <c r="J6" s="382" t="n"/>
      <c r="K6" s="348" t="n"/>
      <c r="L6" s="576" t="inlineStr">
        <is>
          <t xml:space="preserve">2층 58평, 월 6,000원/평 </t>
        </is>
      </c>
      <c r="M6" s="382" t="n"/>
      <c r="N6" s="382" t="n"/>
      <c r="O6" s="382" t="n"/>
      <c r="P6" s="382" t="n"/>
      <c r="Q6" s="382" t="n"/>
      <c r="R6" s="382" t="n"/>
      <c r="S6" s="382" t="n"/>
      <c r="T6" s="382" t="n"/>
      <c r="U6" s="382" t="n"/>
      <c r="V6" s="348" t="n"/>
      <c r="X6" s="511" t="n"/>
      <c r="Y6" s="382" t="n"/>
      <c r="Z6" s="382" t="n"/>
      <c r="AA6" s="348" t="n"/>
      <c r="AB6" s="689" t="n"/>
      <c r="AC6" s="382" t="n"/>
      <c r="AD6" s="382" t="n"/>
      <c r="AE6" s="382" t="n"/>
      <c r="AF6" s="715" t="n"/>
    </row>
    <row customFormat="1" customHeight="1" ht="15" r="7" s="4">
      <c r="A7" s="576" t="inlineStr">
        <is>
          <t>전기요금</t>
        </is>
      </c>
      <c r="B7" s="382" t="n"/>
      <c r="C7" s="382" t="n"/>
      <c r="D7" s="382" t="n"/>
      <c r="E7" s="382" t="n"/>
      <c r="F7" s="348" t="n"/>
      <c r="G7" s="714">
        <f>전기수도요금!H12+5000</f>
        <v/>
      </c>
      <c r="H7" s="382" t="n"/>
      <c r="I7" s="382" t="n"/>
      <c r="J7" s="382" t="n"/>
      <c r="K7" s="348" t="n"/>
      <c r="L7" s="576" t="inlineStr">
        <is>
          <t>전기요금 + TV수신료 5,000원</t>
        </is>
      </c>
      <c r="M7" s="382" t="n"/>
      <c r="N7" s="382" t="n"/>
      <c r="O7" s="382" t="n"/>
      <c r="P7" s="382" t="n"/>
      <c r="Q7" s="382" t="n"/>
      <c r="R7" s="382" t="n"/>
      <c r="S7" s="382" t="n"/>
      <c r="T7" s="382" t="n"/>
      <c r="U7" s="382" t="n"/>
      <c r="V7" s="348" t="n"/>
      <c r="X7" s="511" t="n"/>
      <c r="Y7" s="382" t="n"/>
      <c r="Z7" s="382" t="n"/>
      <c r="AA7" s="348" t="n"/>
      <c r="AB7" s="689" t="n"/>
      <c r="AC7" s="382" t="n"/>
      <c r="AD7" s="382" t="n"/>
      <c r="AE7" s="382" t="n"/>
      <c r="AF7" s="715" t="n"/>
    </row>
    <row customFormat="1" customHeight="1" ht="15" r="8" s="4">
      <c r="A8" s="576" t="inlineStr">
        <is>
          <t>상/하수도 요금</t>
        </is>
      </c>
      <c r="B8" s="382" t="n"/>
      <c r="C8" s="382" t="n"/>
      <c r="D8" s="382" t="n"/>
      <c r="E8" s="382" t="n"/>
      <c r="F8" s="348" t="n"/>
      <c r="G8" s="714">
        <f>전기수도요금!G33</f>
        <v/>
      </c>
      <c r="H8" s="382" t="n"/>
      <c r="I8" s="382" t="n"/>
      <c r="J8" s="382" t="n"/>
      <c r="K8" s="348" t="n"/>
      <c r="L8" s="576" t="n"/>
      <c r="M8" s="382" t="n"/>
      <c r="N8" s="382" t="n"/>
      <c r="O8" s="382" t="n"/>
      <c r="P8" s="382" t="n"/>
      <c r="Q8" s="382" t="n"/>
      <c r="R8" s="382" t="n"/>
      <c r="S8" s="382" t="n"/>
      <c r="T8" s="382" t="n"/>
      <c r="U8" s="382" t="n"/>
      <c r="V8" s="348" t="n"/>
      <c r="X8" s="511" t="n"/>
      <c r="Y8" s="382" t="n"/>
      <c r="Z8" s="382" t="n"/>
      <c r="AA8" s="348" t="n"/>
      <c r="AB8" s="689" t="n"/>
      <c r="AC8" s="382" t="n"/>
      <c r="AD8" s="382" t="n"/>
      <c r="AE8" s="382" t="n"/>
      <c r="AF8" s="715" t="n"/>
    </row>
    <row customFormat="1" customHeight="1" ht="15" r="9" s="4">
      <c r="A9" s="579" t="n"/>
      <c r="B9" s="382" t="n"/>
      <c r="C9" s="382" t="n"/>
      <c r="D9" s="382" t="n"/>
      <c r="E9" s="382" t="n"/>
      <c r="F9" s="348" t="n"/>
      <c r="G9" s="714" t="n"/>
      <c r="H9" s="382" t="n"/>
      <c r="I9" s="382" t="n"/>
      <c r="J9" s="382" t="n"/>
      <c r="K9" s="348" t="n"/>
      <c r="L9" s="576" t="n"/>
      <c r="M9" s="382" t="n"/>
      <c r="N9" s="382" t="n"/>
      <c r="O9" s="382" t="n"/>
      <c r="P9" s="382" t="n"/>
      <c r="Q9" s="382" t="n"/>
      <c r="R9" s="382" t="n"/>
      <c r="S9" s="382" t="n"/>
      <c r="T9" s="382" t="n"/>
      <c r="U9" s="382" t="n"/>
      <c r="V9" s="348" t="n"/>
      <c r="X9" s="511" t="n"/>
      <c r="Y9" s="382" t="n"/>
      <c r="Z9" s="382" t="n"/>
      <c r="AA9" s="348" t="n"/>
      <c r="AB9" s="689" t="n"/>
      <c r="AC9" s="382" t="n"/>
      <c r="AD9" s="382" t="n"/>
      <c r="AE9" s="382" t="n"/>
      <c r="AF9" s="715" t="n"/>
    </row>
    <row customFormat="1" customHeight="1" ht="15" r="10" s="4">
      <c r="A10" s="582" t="inlineStr">
        <is>
          <t>임대료 합계</t>
        </is>
      </c>
      <c r="B10" s="382" t="n"/>
      <c r="C10" s="382" t="n"/>
      <c r="D10" s="382" t="n"/>
      <c r="E10" s="382" t="n"/>
      <c r="F10" s="348" t="n"/>
      <c r="G10" s="716">
        <f>SUM(G4:J9)</f>
        <v/>
      </c>
      <c r="H10" s="382" t="n"/>
      <c r="I10" s="382" t="n"/>
      <c r="J10" s="382" t="n"/>
      <c r="K10" s="348" t="n"/>
      <c r="L10" s="583" t="n"/>
      <c r="M10" s="382" t="n"/>
      <c r="N10" s="382" t="n"/>
      <c r="O10" s="382" t="n"/>
      <c r="P10" s="382" t="n"/>
      <c r="Q10" s="382" t="n"/>
      <c r="R10" s="382" t="n"/>
      <c r="S10" s="382" t="n"/>
      <c r="T10" s="382" t="n"/>
      <c r="U10" s="382" t="n"/>
      <c r="V10" s="348" t="n"/>
      <c r="X10" s="511" t="n"/>
      <c r="Y10" s="382" t="n"/>
      <c r="Z10" s="382" t="n"/>
      <c r="AA10" s="348" t="n"/>
      <c r="AB10" s="689" t="n"/>
      <c r="AC10" s="382" t="n"/>
      <c r="AD10" s="382" t="n"/>
      <c r="AE10" s="382" t="n"/>
      <c r="AF10" s="715" t="n"/>
    </row>
    <row customFormat="1" customHeight="1" ht="15" r="11" s="4">
      <c r="A11" s="42" t="n"/>
      <c r="B11" s="42" t="n"/>
      <c r="C11" s="42" t="n"/>
      <c r="X11" s="511" t="n"/>
      <c r="Y11" s="382" t="n"/>
      <c r="Z11" s="382" t="n"/>
      <c r="AA11" s="348" t="n"/>
      <c r="AB11" s="689" t="n"/>
      <c r="AC11" s="382" t="n"/>
      <c r="AD11" s="382" t="n"/>
      <c r="AE11" s="382" t="n"/>
      <c r="AF11" s="715" t="n"/>
    </row>
    <row customFormat="1" customHeight="1" ht="15" r="12" s="4">
      <c r="A12" s="43">
        <f>정육점!A12</f>
        <v/>
      </c>
      <c r="B12" s="44" t="n"/>
      <c r="C12" s="45" t="n"/>
      <c r="D12" s="46" t="n"/>
      <c r="E12" s="46" t="n"/>
      <c r="F12" s="46" t="n"/>
      <c r="G12" s="46" t="n"/>
      <c r="H12" s="46" t="n"/>
      <c r="I12" s="46" t="n"/>
      <c r="J12" s="46" t="n"/>
      <c r="K12" s="46" t="n"/>
      <c r="L12" s="46" t="n"/>
      <c r="M12" s="46" t="n"/>
      <c r="N12" s="46" t="n"/>
      <c r="O12" s="46" t="n"/>
      <c r="P12" s="46" t="n"/>
      <c r="Q12" s="46" t="n"/>
      <c r="R12" s="46" t="n"/>
      <c r="S12" s="46" t="n"/>
      <c r="T12" s="46" t="n"/>
      <c r="U12" s="46" t="n"/>
      <c r="V12" s="46" t="n"/>
      <c r="X12" s="511" t="n"/>
      <c r="Y12" s="382" t="n"/>
      <c r="Z12" s="382" t="n"/>
      <c r="AA12" s="348" t="n"/>
      <c r="AB12" s="718" t="n"/>
      <c r="AC12" s="378" t="n"/>
      <c r="AD12" s="378" t="n"/>
      <c r="AE12" s="378" t="n"/>
      <c r="AF12" s="719" t="n"/>
    </row>
    <row customFormat="1" customHeight="1" ht="15" r="13" s="4">
      <c r="A13" s="47" t="inlineStr">
        <is>
          <t>신한은행 379-02-099892 (예금주:곽순욱/세림빌딩)</t>
        </is>
      </c>
      <c r="B13" s="44" t="n"/>
      <c r="C13" s="45" t="n"/>
      <c r="D13" s="46" t="n"/>
      <c r="E13" s="46" t="n"/>
      <c r="F13" s="46" t="n"/>
      <c r="G13" s="46" t="n"/>
      <c r="H13" s="46" t="n"/>
      <c r="I13" s="46" t="n"/>
      <c r="J13" s="46" t="n"/>
      <c r="K13" s="46" t="n"/>
      <c r="L13" s="46" t="n"/>
      <c r="M13" s="46" t="n"/>
      <c r="N13" s="46" t="n"/>
      <c r="O13" s="46" t="n"/>
      <c r="P13" s="46" t="n"/>
      <c r="Q13" s="46" t="n"/>
      <c r="R13" s="46" t="n"/>
      <c r="S13" s="46" t="n"/>
      <c r="T13" s="46" t="n"/>
      <c r="U13" s="46" t="n"/>
      <c r="V13" s="46" t="n"/>
      <c r="X13" s="574" t="inlineStr">
        <is>
          <t>합계</t>
        </is>
      </c>
      <c r="Y13" s="382" t="n"/>
      <c r="Z13" s="382" t="n"/>
      <c r="AA13" s="382" t="n"/>
      <c r="AB13" s="694">
        <f>SUM(AB4:AE12)</f>
        <v/>
      </c>
      <c r="AC13" s="382" t="n"/>
      <c r="AD13" s="382" t="n"/>
      <c r="AE13" s="382" t="n"/>
      <c r="AF13" s="720" t="inlineStr">
        <is>
          <t>원</t>
        </is>
      </c>
    </row>
    <row customFormat="1" customHeight="1" ht="15" r="14" s="4">
      <c r="A14" s="54" t="n"/>
      <c r="B14" s="55" t="n"/>
      <c r="C14" s="56" t="n"/>
      <c r="X14" s="49" t="n"/>
      <c r="Y14" s="49" t="n"/>
      <c r="Z14" s="49" t="n"/>
      <c r="AA14" s="49" t="n"/>
      <c r="AB14" s="696" t="n"/>
      <c r="AC14" s="696" t="n"/>
      <c r="AD14" s="696" t="n"/>
      <c r="AE14" s="696" t="n"/>
      <c r="AF14" s="697" t="n"/>
    </row>
    <row customFormat="1" r="15" s="4"/>
    <row customFormat="1" r="16" s="4"/>
    <row customFormat="1" r="17" s="4">
      <c r="A17" s="48" t="n"/>
      <c r="B17" s="48" t="n"/>
      <c r="C17" s="48" t="n"/>
      <c r="D17" s="48" t="n"/>
      <c r="E17" s="48" t="n"/>
      <c r="F17" s="48" t="n"/>
      <c r="G17" s="48" t="n"/>
      <c r="H17" s="48" t="n"/>
      <c r="I17" s="48" t="n"/>
      <c r="J17" s="48" t="n"/>
      <c r="K17" s="48" t="n"/>
      <c r="L17" s="48" t="n"/>
      <c r="M17" s="48" t="n"/>
      <c r="N17" s="48" t="n"/>
      <c r="O17" s="48" t="n"/>
      <c r="P17" s="48" t="n"/>
      <c r="Q17" s="48" t="n"/>
      <c r="R17" s="48" t="n"/>
      <c r="S17" s="48" t="n"/>
      <c r="T17" s="48" t="n"/>
      <c r="U17" s="48" t="n"/>
      <c r="V17" s="48" t="n"/>
      <c r="W17" s="48" t="n"/>
      <c r="X17" s="48" t="n"/>
      <c r="Y17" s="48" t="n"/>
      <c r="Z17" s="48" t="n"/>
      <c r="AA17" s="48" t="n"/>
      <c r="AB17" s="48" t="n"/>
      <c r="AC17" s="48" t="n"/>
      <c r="AD17" s="48" t="n"/>
      <c r="AE17" s="48" t="n"/>
      <c r="AF17" s="48" t="n"/>
    </row>
    <row customHeight="1" ht="14.25" r="18" s="391" thickBot="1">
      <c r="A18" s="31" t="inlineStr">
        <is>
          <t>[별지 제11호 서식]</t>
        </is>
      </c>
      <c r="B18" s="31" t="n"/>
      <c r="C18" s="32" t="n"/>
      <c r="D18" s="32" t="n"/>
      <c r="E18" s="32" t="n"/>
      <c r="F18" s="32" t="n"/>
      <c r="G18" s="33" t="n"/>
      <c r="H18" s="33" t="n"/>
      <c r="I18" s="32" t="n"/>
      <c r="J18" s="32" t="n"/>
      <c r="K18" s="32" t="n"/>
      <c r="L18" s="32" t="n"/>
      <c r="M18" s="32" t="n"/>
      <c r="N18" s="32" t="n"/>
      <c r="O18" s="32" t="n"/>
      <c r="P18" s="32" t="n"/>
      <c r="Q18" s="32" t="n"/>
      <c r="R18" s="32" t="n"/>
      <c r="S18" s="32" t="n"/>
      <c r="T18" s="32" t="n"/>
      <c r="U18" s="32" t="n"/>
      <c r="V18" s="470" t="n"/>
      <c r="AB18" s="470" t="n"/>
    </row>
    <row r="19">
      <c r="A19" s="500" t="inlineStr">
        <is>
          <t>세 금 계 산 서</t>
        </is>
      </c>
      <c r="B19" s="404" t="n"/>
      <c r="C19" s="404" t="n"/>
      <c r="D19" s="404" t="n"/>
      <c r="E19" s="404" t="n"/>
      <c r="F19" s="404" t="n"/>
      <c r="G19" s="404" t="n"/>
      <c r="H19" s="404" t="n"/>
      <c r="I19" s="404" t="n"/>
      <c r="J19" s="404" t="n"/>
      <c r="K19" s="404" t="n"/>
      <c r="L19" s="404" t="n"/>
      <c r="M19" s="404" t="n"/>
      <c r="N19" s="404" t="n"/>
      <c r="O19" s="404" t="n"/>
      <c r="P19" s="502" t="inlineStr">
        <is>
          <t>(</t>
        </is>
      </c>
      <c r="Q19" s="503" t="inlineStr">
        <is>
          <t>공급받는자</t>
        </is>
      </c>
      <c r="R19" s="404" t="n"/>
      <c r="S19" s="404" t="n"/>
      <c r="T19" s="404" t="n"/>
      <c r="U19" s="404" t="n"/>
      <c r="V19" s="503" t="inlineStr">
        <is>
          <t>)</t>
        </is>
      </c>
      <c r="W19" s="504" t="inlineStr">
        <is>
          <t>책   번   호</t>
        </is>
      </c>
      <c r="X19" s="430" t="n"/>
      <c r="Y19" s="430" t="n"/>
      <c r="Z19" s="431" t="n"/>
      <c r="AA19" s="505" t="n"/>
      <c r="AB19" s="430" t="n"/>
      <c r="AC19" s="34" t="inlineStr">
        <is>
          <t>권</t>
        </is>
      </c>
      <c r="AD19" s="505" t="n"/>
      <c r="AE19" s="430" t="n"/>
      <c r="AF19" s="35" t="inlineStr">
        <is>
          <t>호</t>
        </is>
      </c>
    </row>
    <row customHeight="1" ht="14.25" r="20" s="391" thickBot="1">
      <c r="A20" s="501" t="n"/>
      <c r="Q20" s="506" t="inlineStr">
        <is>
          <t>보  관  용</t>
        </is>
      </c>
      <c r="R20" s="419" t="n"/>
      <c r="S20" s="419" t="n"/>
      <c r="T20" s="419" t="n"/>
      <c r="U20" s="419" t="n"/>
      <c r="W20" s="462" t="inlineStr">
        <is>
          <t>일 련 번 호</t>
        </is>
      </c>
      <c r="X20" s="408" t="n"/>
      <c r="Y20" s="408" t="n"/>
      <c r="Z20" s="409" t="n"/>
      <c r="AA20" s="303" t="n"/>
      <c r="AB20" s="304" t="n"/>
      <c r="AC20" s="303" t="n"/>
      <c r="AD20" s="303" t="n"/>
      <c r="AE20" s="303" t="n"/>
      <c r="AF20" s="305" t="n"/>
    </row>
    <row customHeight="1" ht="13.5" r="21" s="391">
      <c r="A21" s="463" t="inlineStr">
        <is>
          <t>공 급 자</t>
        </is>
      </c>
      <c r="B21" s="433" t="inlineStr">
        <is>
          <t>등록번호</t>
        </is>
      </c>
      <c r="C21" s="416" t="n"/>
      <c r="D21" s="417" t="n"/>
      <c r="E21" s="458" t="n">
        <v>1</v>
      </c>
      <c r="F21" s="452" t="n">
        <v>2</v>
      </c>
      <c r="G21" s="452" t="n">
        <v>4</v>
      </c>
      <c r="H21" s="452" t="inlineStr">
        <is>
          <t>-</t>
        </is>
      </c>
      <c r="I21" s="452" t="n">
        <v>2</v>
      </c>
      <c r="J21" s="452" t="n">
        <v>0</v>
      </c>
      <c r="K21" s="452" t="inlineStr">
        <is>
          <t>-</t>
        </is>
      </c>
      <c r="L21" s="452" t="n">
        <v>2</v>
      </c>
      <c r="M21" s="452" t="n">
        <v>6</v>
      </c>
      <c r="N21" s="452" t="n">
        <v>4</v>
      </c>
      <c r="O21" s="452" t="n">
        <v>4</v>
      </c>
      <c r="P21" s="465" t="n">
        <v>9</v>
      </c>
      <c r="Q21" s="467" t="inlineStr">
        <is>
          <t>공급받는자</t>
        </is>
      </c>
      <c r="R21" s="433" t="inlineStr">
        <is>
          <t>등록번호</t>
        </is>
      </c>
      <c r="S21" s="416" t="n"/>
      <c r="T21" s="417" t="n"/>
      <c r="U21" s="458" t="n">
        <v>1</v>
      </c>
      <c r="V21" s="452" t="n">
        <v>2</v>
      </c>
      <c r="W21" s="452" t="n">
        <v>4</v>
      </c>
      <c r="X21" s="452" t="inlineStr">
        <is>
          <t>-</t>
        </is>
      </c>
      <c r="Y21" s="452" t="n">
        <v>9</v>
      </c>
      <c r="Z21" s="452" t="n">
        <v>0</v>
      </c>
      <c r="AA21" s="452" t="inlineStr">
        <is>
          <t>-</t>
        </is>
      </c>
      <c r="AB21" s="452" t="n">
        <v>7</v>
      </c>
      <c r="AC21" s="452" t="n">
        <v>5</v>
      </c>
      <c r="AD21" s="452" t="n">
        <v>5</v>
      </c>
      <c r="AE21" s="452" t="n">
        <v>7</v>
      </c>
      <c r="AF21" s="453" t="n">
        <v>9</v>
      </c>
    </row>
    <row customHeight="1" ht="14.25" r="22" s="391" thickBot="1">
      <c r="A22" s="464" t="n"/>
      <c r="B22" s="418" t="n"/>
      <c r="C22" s="419" t="n"/>
      <c r="D22" s="420" t="n"/>
      <c r="E22" s="459" t="n"/>
      <c r="F22" s="439" t="n"/>
      <c r="G22" s="439" t="n"/>
      <c r="H22" s="439" t="n"/>
      <c r="I22" s="439" t="n"/>
      <c r="J22" s="439" t="n"/>
      <c r="K22" s="439" t="n"/>
      <c r="L22" s="439" t="n"/>
      <c r="M22" s="439" t="n"/>
      <c r="N22" s="439" t="n"/>
      <c r="O22" s="439" t="n"/>
      <c r="P22" s="466" t="n"/>
      <c r="Q22" s="468" t="n"/>
      <c r="R22" s="418" t="n"/>
      <c r="S22" s="419" t="n"/>
      <c r="T22" s="420" t="n"/>
      <c r="U22" s="459" t="n"/>
      <c r="V22" s="439" t="n"/>
      <c r="W22" s="439" t="n"/>
      <c r="X22" s="439" t="n"/>
      <c r="Y22" s="439" t="n"/>
      <c r="Z22" s="439" t="n"/>
      <c r="AA22" s="439" t="n"/>
      <c r="AB22" s="439" t="n"/>
      <c r="AC22" s="439" t="n"/>
      <c r="AD22" s="439" t="n"/>
      <c r="AE22" s="439" t="n"/>
      <c r="AF22" s="454" t="n"/>
    </row>
    <row customHeight="1" ht="13.5" r="23" s="391">
      <c r="A23" s="464" t="n"/>
      <c r="B23" s="444" t="inlineStr">
        <is>
          <t>상     호</t>
        </is>
      </c>
      <c r="C23" s="416" t="n"/>
      <c r="D23" s="417" t="n"/>
      <c r="E23" s="445" t="inlineStr">
        <is>
          <t>세림빌딩</t>
        </is>
      </c>
      <c r="F23" s="416" t="n"/>
      <c r="G23" s="416" t="n"/>
      <c r="H23" s="416" t="n"/>
      <c r="I23" s="416" t="n"/>
      <c r="J23" s="417" t="n"/>
      <c r="K23" s="438" t="inlineStr">
        <is>
          <t>성명</t>
        </is>
      </c>
      <c r="L23" s="447" t="inlineStr">
        <is>
          <t>곽순욱 외1인</t>
        </is>
      </c>
      <c r="M23" s="416" t="n"/>
      <c r="N23" s="416" t="n"/>
      <c r="O23" s="417" t="n"/>
      <c r="P23" s="448" t="inlineStr">
        <is>
          <t>인</t>
        </is>
      </c>
      <c r="Q23" s="468" t="n"/>
      <c r="R23" s="444" t="inlineStr">
        <is>
          <t>상     호</t>
        </is>
      </c>
      <c r="S23" s="416" t="n"/>
      <c r="T23" s="417" t="n"/>
      <c r="U23" s="455" t="inlineStr">
        <is>
          <t>김영광치과의원</t>
        </is>
      </c>
      <c r="V23" s="404" t="n"/>
      <c r="W23" s="404" t="n"/>
      <c r="X23" s="404" t="n"/>
      <c r="Y23" s="404" t="n"/>
      <c r="Z23" s="456" t="n"/>
      <c r="AA23" s="457" t="inlineStr">
        <is>
          <t>성명</t>
        </is>
      </c>
      <c r="AB23" s="460" t="inlineStr">
        <is>
          <t>김영광</t>
        </is>
      </c>
      <c r="AC23" s="404" t="n"/>
      <c r="AD23" s="404" t="n"/>
      <c r="AE23" s="404" t="n"/>
      <c r="AF23" s="461" t="inlineStr">
        <is>
          <t>인</t>
        </is>
      </c>
    </row>
    <row customHeight="1" ht="14.25" r="24" s="391" thickBot="1">
      <c r="A24" s="464" t="n"/>
      <c r="B24" s="443" t="inlineStr">
        <is>
          <t>(법인명)</t>
        </is>
      </c>
      <c r="C24" s="419" t="n"/>
      <c r="D24" s="420" t="n"/>
      <c r="E24" s="446" t="n"/>
      <c r="F24" s="436" t="n"/>
      <c r="G24" s="436" t="n"/>
      <c r="H24" s="436" t="n"/>
      <c r="I24" s="436" t="n"/>
      <c r="J24" s="437" t="n"/>
      <c r="K24" s="439" t="n"/>
      <c r="L24" s="418" t="n"/>
      <c r="M24" s="419" t="n"/>
      <c r="N24" s="419" t="n"/>
      <c r="O24" s="420" t="n"/>
      <c r="P24" s="406" t="n"/>
      <c r="Q24" s="468" t="n"/>
      <c r="R24" s="443" t="inlineStr">
        <is>
          <t>(법인명)</t>
        </is>
      </c>
      <c r="S24" s="419" t="n"/>
      <c r="T24" s="420" t="n"/>
      <c r="U24" s="418" t="n"/>
      <c r="V24" s="419" t="n"/>
      <c r="W24" s="419" t="n"/>
      <c r="X24" s="419" t="n"/>
      <c r="Y24" s="419" t="n"/>
      <c r="Z24" s="420" t="n"/>
      <c r="AA24" s="439" t="n"/>
      <c r="AB24" s="418" t="n"/>
      <c r="AC24" s="419" t="n"/>
      <c r="AD24" s="419" t="n"/>
      <c r="AE24" s="419" t="n"/>
      <c r="AF24" s="406" t="n"/>
    </row>
    <row customHeight="1" ht="13.5" r="25" s="391">
      <c r="A25" s="464" t="n"/>
      <c r="B25" s="444" t="inlineStr">
        <is>
          <t>사 업 장</t>
        </is>
      </c>
      <c r="C25" s="416" t="n"/>
      <c r="D25" s="417" t="n"/>
      <c r="E25" s="469" t="inlineStr">
        <is>
          <t>경기도 수원시 영통구 동수원로 514</t>
        </is>
      </c>
      <c r="F25" s="404" t="n"/>
      <c r="G25" s="404" t="n"/>
      <c r="H25" s="404" t="n"/>
      <c r="I25" s="404" t="n"/>
      <c r="J25" s="404" t="n"/>
      <c r="K25" s="404" t="n"/>
      <c r="L25" s="404" t="n"/>
      <c r="M25" s="404" t="n"/>
      <c r="N25" s="404" t="n"/>
      <c r="O25" s="404" t="n"/>
      <c r="P25" s="456" t="n"/>
      <c r="Q25" s="468" t="n"/>
      <c r="R25" s="444" t="inlineStr">
        <is>
          <t>사 업 장</t>
        </is>
      </c>
      <c r="S25" s="416" t="n"/>
      <c r="T25" s="417" t="n"/>
      <c r="U25" s="469" t="inlineStr">
        <is>
          <t>경기도 수원시 영통구 동수원로 514</t>
        </is>
      </c>
      <c r="V25" s="404" t="n"/>
      <c r="W25" s="404" t="n"/>
      <c r="X25" s="404" t="n"/>
      <c r="Y25" s="404" t="n"/>
      <c r="Z25" s="404" t="n"/>
      <c r="AA25" s="404" t="n"/>
      <c r="AB25" s="404" t="n"/>
      <c r="AC25" s="404" t="n"/>
      <c r="AD25" s="404" t="n"/>
      <c r="AE25" s="404" t="n"/>
      <c r="AF25" s="456" t="n"/>
      <c r="AH25" s="95" t="inlineStr">
        <is>
          <t>공급가액</t>
        </is>
      </c>
      <c r="AI25" s="95" t="inlineStr">
        <is>
          <t>세액</t>
        </is>
      </c>
      <c r="AJ25" s="95" t="inlineStr">
        <is>
          <t>합계금액</t>
        </is>
      </c>
    </row>
    <row r="26">
      <c r="A26" s="464" t="n"/>
      <c r="B26" s="443" t="inlineStr">
        <is>
          <t>주     소</t>
        </is>
      </c>
      <c r="C26" s="419" t="n"/>
      <c r="D26" s="420" t="n"/>
      <c r="E26" s="418" t="n"/>
      <c r="F26" s="419" t="n"/>
      <c r="G26" s="419" t="n"/>
      <c r="H26" s="419" t="n"/>
      <c r="I26" s="419" t="n"/>
      <c r="J26" s="419" t="n"/>
      <c r="K26" s="419" t="n"/>
      <c r="L26" s="419" t="n"/>
      <c r="M26" s="419" t="n"/>
      <c r="N26" s="419" t="n"/>
      <c r="O26" s="419" t="n"/>
      <c r="P26" s="420" t="n"/>
      <c r="Q26" s="468" t="n"/>
      <c r="R26" s="443" t="inlineStr">
        <is>
          <t>주     소</t>
        </is>
      </c>
      <c r="S26" s="419" t="n"/>
      <c r="T26" s="420" t="n"/>
      <c r="U26" s="418" t="n"/>
      <c r="V26" s="419" t="n"/>
      <c r="W26" s="419" t="n"/>
      <c r="X26" s="419" t="n"/>
      <c r="Y26" s="419" t="n"/>
      <c r="Z26" s="419" t="n"/>
      <c r="AA26" s="419" t="n"/>
      <c r="AB26" s="419" t="n"/>
      <c r="AC26" s="419" t="n"/>
      <c r="AD26" s="419" t="n"/>
      <c r="AE26" s="419" t="n"/>
      <c r="AF26" s="420" t="n"/>
      <c r="AH26" s="698">
        <f>T33</f>
        <v/>
      </c>
      <c r="AI26" s="698">
        <f>Z33</f>
        <v/>
      </c>
    </row>
    <row customHeight="1" ht="13.5" r="27" s="391">
      <c r="A27" s="464" t="n"/>
      <c r="B27" s="433" t="inlineStr">
        <is>
          <t>업     태</t>
        </is>
      </c>
      <c r="C27" s="416" t="n"/>
      <c r="D27" s="417" t="n"/>
      <c r="E27" s="434" t="inlineStr">
        <is>
          <t>부동산업</t>
        </is>
      </c>
      <c r="F27" s="416" t="n"/>
      <c r="G27" s="416" t="n"/>
      <c r="H27" s="416" t="n"/>
      <c r="I27" s="416" t="n"/>
      <c r="J27" s="417" t="n"/>
      <c r="K27" s="438" t="inlineStr">
        <is>
          <t>종목</t>
        </is>
      </c>
      <c r="L27" s="434" t="inlineStr">
        <is>
          <t>비주거용            건물임대업</t>
        </is>
      </c>
      <c r="M27" s="416" t="n"/>
      <c r="N27" s="416" t="n"/>
      <c r="O27" s="416" t="n"/>
      <c r="P27" s="417" t="n"/>
      <c r="Q27" s="468" t="n"/>
      <c r="R27" s="433" t="inlineStr">
        <is>
          <t>업     태</t>
        </is>
      </c>
      <c r="S27" s="416" t="n"/>
      <c r="T27" s="417" t="n"/>
      <c r="U27" s="434" t="inlineStr">
        <is>
          <t>보건업</t>
        </is>
      </c>
      <c r="V27" s="416" t="n"/>
      <c r="W27" s="416" t="n"/>
      <c r="X27" s="416" t="n"/>
      <c r="Y27" s="416" t="n"/>
      <c r="Z27" s="417" t="n"/>
      <c r="AA27" s="438" t="inlineStr">
        <is>
          <t>종목</t>
        </is>
      </c>
      <c r="AB27" s="449" t="inlineStr">
        <is>
          <t>치과의원</t>
        </is>
      </c>
      <c r="AC27" s="416" t="n"/>
      <c r="AD27" s="416" t="n"/>
      <c r="AE27" s="416" t="n"/>
      <c r="AF27" s="450" t="n"/>
      <c r="AH27" s="698">
        <f>T34</f>
        <v/>
      </c>
      <c r="AI27" s="698">
        <f>Z34</f>
        <v/>
      </c>
    </row>
    <row customHeight="1" ht="14.25" r="28" s="391" thickBot="1">
      <c r="A28" s="459" t="n"/>
      <c r="B28" s="418" t="n"/>
      <c r="C28" s="419" t="n"/>
      <c r="D28" s="420" t="n"/>
      <c r="E28" s="435" t="n"/>
      <c r="F28" s="436" t="n"/>
      <c r="G28" s="436" t="n"/>
      <c r="H28" s="436" t="n"/>
      <c r="I28" s="436" t="n"/>
      <c r="J28" s="437" t="n"/>
      <c r="K28" s="439" t="n"/>
      <c r="L28" s="435" t="n"/>
      <c r="M28" s="436" t="n"/>
      <c r="N28" s="436" t="n"/>
      <c r="O28" s="436" t="n"/>
      <c r="P28" s="437" t="n"/>
      <c r="Q28" s="420" t="n"/>
      <c r="R28" s="418" t="n"/>
      <c r="S28" s="419" t="n"/>
      <c r="T28" s="420" t="n"/>
      <c r="U28" s="435" t="n"/>
      <c r="V28" s="436" t="n"/>
      <c r="W28" s="436" t="n"/>
      <c r="X28" s="436" t="n"/>
      <c r="Y28" s="436" t="n"/>
      <c r="Z28" s="437" t="n"/>
      <c r="AA28" s="439" t="n"/>
      <c r="AB28" s="435" t="n"/>
      <c r="AC28" s="436" t="n"/>
      <c r="AD28" s="436" t="n"/>
      <c r="AE28" s="436" t="n"/>
      <c r="AF28" s="451" t="n"/>
      <c r="AH28" s="698">
        <f>T35</f>
        <v/>
      </c>
      <c r="AI28" s="698">
        <f>Z35</f>
        <v/>
      </c>
    </row>
    <row r="29">
      <c r="A29" s="432" t="inlineStr">
        <is>
          <t>작     성</t>
        </is>
      </c>
      <c r="B29" s="430" t="n"/>
      <c r="C29" s="430" t="n"/>
      <c r="D29" s="431" t="n"/>
      <c r="E29" s="429" t="inlineStr">
        <is>
          <t>공      급      가      액</t>
        </is>
      </c>
      <c r="F29" s="430" t="n"/>
      <c r="G29" s="430" t="n"/>
      <c r="H29" s="430" t="n"/>
      <c r="I29" s="430" t="n"/>
      <c r="J29" s="430" t="n"/>
      <c r="K29" s="430" t="n"/>
      <c r="L29" s="430" t="n"/>
      <c r="M29" s="430" t="n"/>
      <c r="N29" s="430" t="n"/>
      <c r="O29" s="430" t="n"/>
      <c r="P29" s="430" t="n"/>
      <c r="Q29" s="431" t="n"/>
      <c r="R29" s="429" t="inlineStr">
        <is>
          <t>세               액</t>
        </is>
      </c>
      <c r="S29" s="430" t="n"/>
      <c r="T29" s="430" t="n"/>
      <c r="U29" s="430" t="n"/>
      <c r="V29" s="430" t="n"/>
      <c r="W29" s="430" t="n"/>
      <c r="X29" s="430" t="n"/>
      <c r="Y29" s="430" t="n"/>
      <c r="Z29" s="430" t="n"/>
      <c r="AA29" s="431" t="n"/>
      <c r="AB29" s="429" t="inlineStr">
        <is>
          <t>비      고</t>
        </is>
      </c>
      <c r="AC29" s="430" t="n"/>
      <c r="AD29" s="430" t="n"/>
      <c r="AE29" s="430" t="n"/>
      <c r="AF29" s="431" t="n"/>
      <c r="AH29" s="699">
        <f>SUM(AH26:AH28)</f>
        <v/>
      </c>
      <c r="AI29" s="699">
        <f>SUM(AI26:AI28)</f>
        <v/>
      </c>
      <c r="AJ29" s="700">
        <f>SUM(AH29:AI29)</f>
        <v/>
      </c>
    </row>
    <row r="30">
      <c r="A30" s="413" t="inlineStr">
        <is>
          <t>년</t>
        </is>
      </c>
      <c r="B30" s="412" t="n"/>
      <c r="C30" s="306" t="inlineStr">
        <is>
          <t>월</t>
        </is>
      </c>
      <c r="D30" s="306" t="inlineStr">
        <is>
          <t>일</t>
        </is>
      </c>
      <c r="E30" s="415" t="inlineStr">
        <is>
          <t>공란수</t>
        </is>
      </c>
      <c r="F30" s="412" t="n"/>
      <c r="G30" s="415" t="inlineStr">
        <is>
          <t>백</t>
        </is>
      </c>
      <c r="H30" s="306" t="inlineStr">
        <is>
          <t>십</t>
        </is>
      </c>
      <c r="I30" s="306" t="inlineStr">
        <is>
          <t>억</t>
        </is>
      </c>
      <c r="J30" s="306" t="inlineStr">
        <is>
          <t>천</t>
        </is>
      </c>
      <c r="K30" s="306" t="inlineStr">
        <is>
          <t>백</t>
        </is>
      </c>
      <c r="L30" s="306" t="inlineStr">
        <is>
          <t>십</t>
        </is>
      </c>
      <c r="M30" s="306" t="inlineStr">
        <is>
          <t>만</t>
        </is>
      </c>
      <c r="N30" s="306" t="inlineStr">
        <is>
          <t>천</t>
        </is>
      </c>
      <c r="O30" s="306" t="inlineStr">
        <is>
          <t>백</t>
        </is>
      </c>
      <c r="P30" s="306" t="inlineStr">
        <is>
          <t>십</t>
        </is>
      </c>
      <c r="Q30" s="306" t="inlineStr">
        <is>
          <t>일</t>
        </is>
      </c>
      <c r="R30" s="306" t="inlineStr">
        <is>
          <t>십</t>
        </is>
      </c>
      <c r="S30" s="306" t="inlineStr">
        <is>
          <t>억</t>
        </is>
      </c>
      <c r="T30" s="306" t="inlineStr">
        <is>
          <t>천</t>
        </is>
      </c>
      <c r="U30" s="306" t="inlineStr">
        <is>
          <t>백</t>
        </is>
      </c>
      <c r="V30" s="306" t="inlineStr">
        <is>
          <t>십</t>
        </is>
      </c>
      <c r="W30" s="306" t="inlineStr">
        <is>
          <t>만</t>
        </is>
      </c>
      <c r="X30" s="306" t="inlineStr">
        <is>
          <t>천</t>
        </is>
      </c>
      <c r="Y30" s="306" t="inlineStr">
        <is>
          <t>백</t>
        </is>
      </c>
      <c r="Z30" s="306" t="inlineStr">
        <is>
          <t>십</t>
        </is>
      </c>
      <c r="AA30" s="306" t="inlineStr">
        <is>
          <t>일</t>
        </is>
      </c>
      <c r="AB30" s="440" t="n"/>
      <c r="AC30" s="416" t="n"/>
      <c r="AD30" s="416" t="n"/>
      <c r="AE30" s="416" t="n"/>
      <c r="AF30" s="417" t="n"/>
    </row>
    <row customHeight="1" ht="14.25" r="31" s="391" thickBot="1">
      <c r="A31" s="441">
        <f>Q1</f>
        <v/>
      </c>
      <c r="B31" s="408" t="n"/>
      <c r="C31" s="308">
        <f>V1</f>
        <v/>
      </c>
      <c r="D31" s="309" t="n">
        <v>25</v>
      </c>
      <c r="E31" s="701" t="n"/>
      <c r="F31" s="409" t="n"/>
      <c r="G31" s="702" t="n"/>
      <c r="H31" s="702" t="n"/>
      <c r="I31" s="702" t="n"/>
      <c r="J31" s="702" t="n"/>
      <c r="K31" s="702">
        <f>MID(AH29,1,1)</f>
        <v/>
      </c>
      <c r="L31" s="702">
        <f>MID(AH29,2,1)</f>
        <v/>
      </c>
      <c r="M31" s="702">
        <f>MID(AH29,3,1)</f>
        <v/>
      </c>
      <c r="N31" s="702">
        <f>MID(AH29,4,1)</f>
        <v/>
      </c>
      <c r="O31" s="702">
        <f>MID(AH29,5,1)</f>
        <v/>
      </c>
      <c r="P31" s="702">
        <f>MID(AH29,6,1)</f>
        <v/>
      </c>
      <c r="Q31" s="702">
        <f>MID(AH29,7,1)+1</f>
        <v/>
      </c>
      <c r="R31" s="702" t="n"/>
      <c r="S31" s="702" t="n"/>
      <c r="T31" s="702" t="n"/>
      <c r="U31" s="702" t="n"/>
      <c r="V31" s="702">
        <f>MID(AI29,1,1)</f>
        <v/>
      </c>
      <c r="W31" s="702">
        <f>MID(AI29,2,1)</f>
        <v/>
      </c>
      <c r="X31" s="702">
        <f>MID(AI29,3,1)</f>
        <v/>
      </c>
      <c r="Y31" s="702">
        <f>MID(AI29,4,1)</f>
        <v/>
      </c>
      <c r="Z31" s="702">
        <f>MID(AI29,5,1)</f>
        <v/>
      </c>
      <c r="AA31" s="702">
        <f>MID(AI29,6,1)</f>
        <v/>
      </c>
      <c r="AB31" s="418" t="n"/>
      <c r="AC31" s="419" t="n"/>
      <c r="AD31" s="419" t="n"/>
      <c r="AE31" s="419" t="n"/>
      <c r="AF31" s="420" t="n"/>
    </row>
    <row r="32">
      <c r="A32" s="36" t="inlineStr">
        <is>
          <t>월</t>
        </is>
      </c>
      <c r="B32" s="37" t="inlineStr">
        <is>
          <t>일</t>
        </is>
      </c>
      <c r="C32" s="428" t="inlineStr">
        <is>
          <t>품          목</t>
        </is>
      </c>
      <c r="D32" s="419" t="n"/>
      <c r="E32" s="419" t="n"/>
      <c r="F32" s="419" t="n"/>
      <c r="G32" s="419" t="n"/>
      <c r="H32" s="420" t="n"/>
      <c r="I32" s="429" t="inlineStr">
        <is>
          <t>규격</t>
        </is>
      </c>
      <c r="J32" s="430" t="n"/>
      <c r="K32" s="431" t="n"/>
      <c r="L32" s="429" t="inlineStr">
        <is>
          <t>수량</t>
        </is>
      </c>
      <c r="M32" s="430" t="n"/>
      <c r="N32" s="431" t="n"/>
      <c r="O32" s="428" t="inlineStr">
        <is>
          <t>단      가</t>
        </is>
      </c>
      <c r="P32" s="419" t="n"/>
      <c r="Q32" s="419" t="n"/>
      <c r="R32" s="419" t="n"/>
      <c r="S32" s="420" t="n"/>
      <c r="T32" s="428" t="inlineStr">
        <is>
          <t>공  급  가  액</t>
        </is>
      </c>
      <c r="U32" s="419" t="n"/>
      <c r="V32" s="419" t="n"/>
      <c r="W32" s="419" t="n"/>
      <c r="X32" s="419" t="n"/>
      <c r="Y32" s="420" t="n"/>
      <c r="Z32" s="428" t="inlineStr">
        <is>
          <t>세        액</t>
        </is>
      </c>
      <c r="AA32" s="419" t="n"/>
      <c r="AB32" s="419" t="n"/>
      <c r="AC32" s="419" t="n"/>
      <c r="AD32" s="420" t="n"/>
      <c r="AE32" s="428" t="inlineStr">
        <is>
          <t>비고</t>
        </is>
      </c>
      <c r="AF32" s="420" t="n"/>
    </row>
    <row r="33">
      <c r="A33" s="311">
        <f>C31</f>
        <v/>
      </c>
      <c r="B33" s="312">
        <f>D31</f>
        <v/>
      </c>
      <c r="C33" s="424" t="inlineStr">
        <is>
          <t>월세</t>
        </is>
      </c>
      <c r="D33" s="414" t="n"/>
      <c r="E33" s="414" t="n"/>
      <c r="F33" s="414" t="n"/>
      <c r="G33" s="414" t="n"/>
      <c r="H33" s="412" t="n"/>
      <c r="I33" s="425" t="n"/>
      <c r="J33" s="414" t="n"/>
      <c r="K33" s="412" t="n"/>
      <c r="L33" s="703" t="n"/>
      <c r="M33" s="414" t="n"/>
      <c r="N33" s="412" t="n"/>
      <c r="O33" s="704" t="n"/>
      <c r="P33" s="414" t="n"/>
      <c r="Q33" s="414" t="n"/>
      <c r="R33" s="414" t="n"/>
      <c r="S33" s="412" t="n"/>
      <c r="T33" s="704">
        <f>G4</f>
        <v/>
      </c>
      <c r="U33" s="414" t="n"/>
      <c r="V33" s="414" t="n"/>
      <c r="W33" s="414" t="n"/>
      <c r="X33" s="414" t="n"/>
      <c r="Y33" s="412" t="n"/>
      <c r="Z33" s="704">
        <f>T33*0.1</f>
        <v/>
      </c>
      <c r="AA33" s="414" t="n"/>
      <c r="AB33" s="414" t="n"/>
      <c r="AC33" s="414" t="n"/>
      <c r="AD33" s="412" t="n"/>
      <c r="AE33" s="411" t="n"/>
      <c r="AF33" s="412" t="n"/>
    </row>
    <row r="34">
      <c r="A34" s="311">
        <f>A33</f>
        <v/>
      </c>
      <c r="B34" s="312">
        <f>B33</f>
        <v/>
      </c>
      <c r="C34" s="424" t="inlineStr">
        <is>
          <t>관리비</t>
        </is>
      </c>
      <c r="D34" s="414" t="n"/>
      <c r="E34" s="414" t="n"/>
      <c r="F34" s="414" t="n"/>
      <c r="G34" s="414" t="n"/>
      <c r="H34" s="412" t="n"/>
      <c r="I34" s="425" t="n"/>
      <c r="J34" s="414" t="n"/>
      <c r="K34" s="412" t="n"/>
      <c r="L34" s="703" t="n"/>
      <c r="M34" s="414" t="n"/>
      <c r="N34" s="412" t="n"/>
      <c r="O34" s="704" t="n"/>
      <c r="P34" s="414" t="n"/>
      <c r="Q34" s="414" t="n"/>
      <c r="R34" s="414" t="n"/>
      <c r="S34" s="412" t="n"/>
      <c r="T34" s="704">
        <f>G6/1.1</f>
        <v/>
      </c>
      <c r="U34" s="414" t="n"/>
      <c r="V34" s="414" t="n"/>
      <c r="W34" s="414" t="n"/>
      <c r="X34" s="414" t="n"/>
      <c r="Y34" s="412" t="n"/>
      <c r="Z34" s="704">
        <f>G6-T34</f>
        <v/>
      </c>
      <c r="AA34" s="414" t="n"/>
      <c r="AB34" s="414" t="n"/>
      <c r="AC34" s="414" t="n"/>
      <c r="AD34" s="412" t="n"/>
      <c r="AE34" s="411" t="n"/>
      <c r="AF34" s="412" t="n"/>
    </row>
    <row r="35">
      <c r="A35" s="311" t="n"/>
      <c r="B35" s="312" t="n"/>
      <c r="C35" s="424" t="n"/>
      <c r="D35" s="414" t="n"/>
      <c r="E35" s="414" t="n"/>
      <c r="F35" s="414" t="n"/>
      <c r="G35" s="414" t="n"/>
      <c r="H35" s="412" t="n"/>
      <c r="I35" s="425" t="n"/>
      <c r="J35" s="414" t="n"/>
      <c r="K35" s="412" t="n"/>
      <c r="L35" s="703" t="n"/>
      <c r="M35" s="414" t="n"/>
      <c r="N35" s="412" t="n"/>
      <c r="O35" s="704" t="n"/>
      <c r="P35" s="414" t="n"/>
      <c r="Q35" s="414" t="n"/>
      <c r="R35" s="414" t="n"/>
      <c r="S35" s="412" t="n"/>
      <c r="T35" s="704" t="n"/>
      <c r="U35" s="414" t="n"/>
      <c r="V35" s="414" t="n"/>
      <c r="W35" s="414" t="n"/>
      <c r="X35" s="414" t="n"/>
      <c r="Y35" s="412" t="n"/>
      <c r="Z35" s="704" t="n"/>
      <c r="AA35" s="414" t="n"/>
      <c r="AB35" s="414" t="n"/>
      <c r="AC35" s="414" t="n"/>
      <c r="AD35" s="412" t="n"/>
      <c r="AE35" s="411" t="n"/>
      <c r="AF35" s="412" t="n"/>
    </row>
    <row r="36">
      <c r="A36" s="311" t="n"/>
      <c r="B36" s="312" t="n"/>
      <c r="C36" s="424" t="n"/>
      <c r="D36" s="414" t="n"/>
      <c r="E36" s="414" t="n"/>
      <c r="F36" s="414" t="n"/>
      <c r="G36" s="414" t="n"/>
      <c r="H36" s="412" t="n"/>
      <c r="I36" s="425" t="n"/>
      <c r="J36" s="414" t="n"/>
      <c r="K36" s="412" t="n"/>
      <c r="L36" s="703" t="n"/>
      <c r="M36" s="414" t="n"/>
      <c r="N36" s="412" t="n"/>
      <c r="O36" s="704" t="n"/>
      <c r="P36" s="414" t="n"/>
      <c r="Q36" s="414" t="n"/>
      <c r="R36" s="414" t="n"/>
      <c r="S36" s="412" t="n"/>
      <c r="T36" s="704" t="n"/>
      <c r="U36" s="414" t="n"/>
      <c r="V36" s="414" t="n"/>
      <c r="W36" s="414" t="n"/>
      <c r="X36" s="414" t="n"/>
      <c r="Y36" s="412" t="n"/>
      <c r="Z36" s="704" t="n"/>
      <c r="AA36" s="414" t="n"/>
      <c r="AB36" s="414" t="n"/>
      <c r="AC36" s="414" t="n"/>
      <c r="AD36" s="412" t="n"/>
      <c r="AE36" s="411" t="n"/>
      <c r="AF36" s="412" t="n"/>
    </row>
    <row r="37">
      <c r="A37" s="413" t="inlineStr">
        <is>
          <t>합계금액</t>
        </is>
      </c>
      <c r="B37" s="414" t="n"/>
      <c r="C37" s="414" t="n"/>
      <c r="D37" s="414" t="n"/>
      <c r="E37" s="412" t="n"/>
      <c r="F37" s="415" t="inlineStr">
        <is>
          <t>현  금</t>
        </is>
      </c>
      <c r="G37" s="414" t="n"/>
      <c r="H37" s="414" t="n"/>
      <c r="I37" s="414" t="n"/>
      <c r="J37" s="412" t="n"/>
      <c r="K37" s="415" t="inlineStr">
        <is>
          <t>수  표</t>
        </is>
      </c>
      <c r="L37" s="414" t="n"/>
      <c r="M37" s="414" t="n"/>
      <c r="N37" s="414" t="n"/>
      <c r="O37" s="412" t="n"/>
      <c r="P37" s="415" t="inlineStr">
        <is>
          <t>어  음</t>
        </is>
      </c>
      <c r="Q37" s="414" t="n"/>
      <c r="R37" s="414" t="n"/>
      <c r="S37" s="414" t="n"/>
      <c r="T37" s="412" t="n"/>
      <c r="U37" s="415" t="inlineStr">
        <is>
          <t>외상미수금</t>
        </is>
      </c>
      <c r="V37" s="414" t="n"/>
      <c r="W37" s="414" t="n"/>
      <c r="X37" s="414" t="n"/>
      <c r="Y37" s="412" t="n"/>
      <c r="Z37" s="415" t="inlineStr">
        <is>
          <t xml:space="preserve">이 금액을 </t>
        </is>
      </c>
      <c r="AA37" s="416" t="n"/>
      <c r="AB37" s="416" t="n"/>
      <c r="AC37" s="417" t="n"/>
      <c r="AD37" s="421" t="inlineStr">
        <is>
          <t>청구</t>
        </is>
      </c>
      <c r="AE37" s="422" t="n"/>
      <c r="AF37" s="405" t="inlineStr">
        <is>
          <t>함</t>
        </is>
      </c>
    </row>
    <row customHeight="1" ht="14.25" r="38" s="391" thickBot="1">
      <c r="A38" s="706">
        <f>SUM(T33:AD34)</f>
        <v/>
      </c>
      <c r="B38" s="408" t="n"/>
      <c r="C38" s="408" t="n"/>
      <c r="D38" s="408" t="n"/>
      <c r="E38" s="409" t="n"/>
      <c r="F38" s="707" t="n"/>
      <c r="G38" s="408" t="n"/>
      <c r="H38" s="408" t="n"/>
      <c r="I38" s="408" t="n"/>
      <c r="J38" s="409" t="n"/>
      <c r="K38" s="707" t="n"/>
      <c r="L38" s="408" t="n"/>
      <c r="M38" s="408" t="n"/>
      <c r="N38" s="408" t="n"/>
      <c r="O38" s="409" t="n"/>
      <c r="P38" s="707" t="n"/>
      <c r="Q38" s="408" t="n"/>
      <c r="R38" s="408" t="n"/>
      <c r="S38" s="408" t="n"/>
      <c r="T38" s="409" t="n"/>
      <c r="U38" s="707" t="n"/>
      <c r="V38" s="408" t="n"/>
      <c r="W38" s="408" t="n"/>
      <c r="X38" s="408" t="n"/>
      <c r="Y38" s="409" t="n"/>
      <c r="Z38" s="418" t="n"/>
      <c r="AA38" s="419" t="n"/>
      <c r="AB38" s="419" t="n"/>
      <c r="AC38" s="420" t="n"/>
      <c r="AD38" s="423" t="n"/>
      <c r="AE38" s="423" t="n"/>
      <c r="AF38" s="406" t="n"/>
    </row>
    <row r="39">
      <c r="A39" s="31" t="inlineStr">
        <is>
          <t>22226-28131일 '96.3.27승인</t>
        </is>
      </c>
      <c r="B39" s="31" t="n"/>
      <c r="C39" s="32" t="n"/>
      <c r="D39" s="32" t="n"/>
      <c r="E39" s="32" t="n"/>
      <c r="F39" s="32" t="n"/>
      <c r="G39" s="32" t="n"/>
      <c r="H39" s="32" t="n"/>
      <c r="I39" s="32" t="n"/>
      <c r="J39" s="32" t="n"/>
      <c r="K39" s="32" t="n"/>
      <c r="L39" s="32" t="n"/>
      <c r="M39" s="32" t="n"/>
      <c r="N39" s="32" t="n"/>
      <c r="O39" s="32" t="n"/>
      <c r="P39" s="32" t="n"/>
      <c r="Q39" s="32" t="n"/>
      <c r="R39" s="32" t="n"/>
      <c r="S39" s="32" t="n"/>
      <c r="T39" s="32" t="n"/>
      <c r="U39" s="32" t="n"/>
      <c r="V39" s="32" t="n"/>
      <c r="W39" s="403" t="inlineStr">
        <is>
          <t>인쇄용지(특급)34g/m2 182mmx128mm</t>
        </is>
      </c>
      <c r="X39" s="404" t="n"/>
      <c r="Y39" s="404" t="n"/>
      <c r="Z39" s="404" t="n"/>
      <c r="AA39" s="404" t="n"/>
      <c r="AB39" s="404" t="n"/>
      <c r="AC39" s="404" t="n"/>
      <c r="AD39" s="404" t="n"/>
      <c r="AE39" s="404" t="n"/>
      <c r="AF39" s="404" t="n"/>
    </row>
    <row customHeight="1" ht="14.25" r="44" s="391" thickBot="1">
      <c r="A44" s="57" t="inlineStr">
        <is>
          <t>[별지 제11호 서식]</t>
        </is>
      </c>
      <c r="B44" s="57" t="n"/>
      <c r="C44" s="58" t="n"/>
      <c r="D44" s="58" t="n"/>
      <c r="E44" s="58" t="n"/>
      <c r="F44" s="58" t="n"/>
      <c r="G44" s="58" t="n"/>
      <c r="H44" s="58" t="n"/>
      <c r="I44" s="58" t="n"/>
      <c r="J44" s="58" t="n"/>
      <c r="K44" s="58" t="n"/>
      <c r="L44" s="58" t="n"/>
      <c r="M44" s="58" t="n"/>
      <c r="N44" s="58" t="n"/>
      <c r="O44" s="58" t="n"/>
      <c r="P44" s="58" t="n"/>
      <c r="Q44" s="58" t="n"/>
      <c r="R44" s="58" t="n"/>
      <c r="S44" s="58" t="n"/>
      <c r="T44" s="58" t="n"/>
      <c r="U44" s="58" t="n"/>
      <c r="V44" s="58" t="n"/>
      <c r="W44" s="58" t="n"/>
      <c r="X44" s="58" t="n"/>
      <c r="Y44" s="58" t="n"/>
      <c r="Z44" s="58" t="n"/>
      <c r="AA44" s="58" t="n"/>
      <c r="AB44" s="58" t="n"/>
      <c r="AC44" s="58" t="n"/>
      <c r="AD44" s="58" t="n"/>
      <c r="AE44" s="58" t="n"/>
      <c r="AF44" s="58" t="n"/>
    </row>
    <row r="45">
      <c r="A45" s="539" t="inlineStr">
        <is>
          <t>세 금 계 산 서</t>
        </is>
      </c>
      <c r="B45" s="475" t="n"/>
      <c r="C45" s="475" t="n"/>
      <c r="D45" s="475" t="n"/>
      <c r="E45" s="475" t="n"/>
      <c r="F45" s="475" t="n"/>
      <c r="G45" s="475" t="n"/>
      <c r="H45" s="475" t="n"/>
      <c r="I45" s="475" t="n"/>
      <c r="J45" s="475" t="n"/>
      <c r="K45" s="475" t="n"/>
      <c r="L45" s="475" t="n"/>
      <c r="M45" s="475" t="n"/>
      <c r="N45" s="475" t="n"/>
      <c r="O45" s="475" t="n"/>
      <c r="P45" s="541" t="inlineStr">
        <is>
          <t>(</t>
        </is>
      </c>
      <c r="Q45" s="474" t="inlineStr">
        <is>
          <t>공  급  자</t>
        </is>
      </c>
      <c r="R45" s="475" t="n"/>
      <c r="S45" s="475" t="n"/>
      <c r="T45" s="475" t="n"/>
      <c r="U45" s="475" t="n"/>
      <c r="V45" s="474" t="inlineStr">
        <is>
          <t>)</t>
        </is>
      </c>
      <c r="W45" s="471" t="inlineStr">
        <is>
          <t>책   번   호</t>
        </is>
      </c>
      <c r="X45" s="472" t="n"/>
      <c r="Y45" s="472" t="n"/>
      <c r="Z45" s="473" t="n"/>
      <c r="AA45" s="535">
        <f>AA19</f>
        <v/>
      </c>
      <c r="AB45" s="472" t="n"/>
      <c r="AC45" s="59" t="inlineStr">
        <is>
          <t>권</t>
        </is>
      </c>
      <c r="AD45" s="535">
        <f>AD19</f>
        <v/>
      </c>
      <c r="AE45" s="472" t="n"/>
      <c r="AF45" s="60" t="inlineStr">
        <is>
          <t>호</t>
        </is>
      </c>
    </row>
    <row customHeight="1" ht="14.25" r="46" s="391" thickBot="1">
      <c r="A46" s="540" t="n"/>
      <c r="Q46" s="536" t="inlineStr">
        <is>
          <t>보  관  용</t>
        </is>
      </c>
      <c r="R46" s="490" t="n"/>
      <c r="S46" s="490" t="n"/>
      <c r="T46" s="490" t="n"/>
      <c r="U46" s="490" t="n"/>
      <c r="W46" s="484" t="inlineStr">
        <is>
          <t>일 련 번 호</t>
        </is>
      </c>
      <c r="X46" s="537" t="n"/>
      <c r="Y46" s="537" t="n"/>
      <c r="Z46" s="538" t="n"/>
      <c r="AA46" s="313">
        <f>AA20</f>
        <v/>
      </c>
      <c r="AB46" s="314">
        <f>AB20</f>
        <v/>
      </c>
      <c r="AC46" s="313">
        <f>AC20</f>
        <v/>
      </c>
      <c r="AD46" s="313">
        <f>AD20</f>
        <v/>
      </c>
      <c r="AE46" s="313">
        <f>AE20</f>
        <v/>
      </c>
      <c r="AF46" s="315">
        <f>AF20</f>
        <v/>
      </c>
    </row>
    <row r="47">
      <c r="A47" s="517" t="inlineStr">
        <is>
          <t>공 급 자</t>
        </is>
      </c>
      <c r="B47" s="487" t="inlineStr">
        <is>
          <t>등록번호</t>
        </is>
      </c>
      <c r="C47" s="479" t="n"/>
      <c r="D47" s="488" t="n"/>
      <c r="E47" s="494">
        <f>E21</f>
        <v/>
      </c>
      <c r="F47" s="498">
        <f>F21</f>
        <v/>
      </c>
      <c r="G47" s="498">
        <f>G21</f>
        <v/>
      </c>
      <c r="H47" s="498">
        <f>H21</f>
        <v/>
      </c>
      <c r="I47" s="498">
        <f>I21</f>
        <v/>
      </c>
      <c r="J47" s="498">
        <f>J21</f>
        <v/>
      </c>
      <c r="K47" s="498">
        <f>K21</f>
        <v/>
      </c>
      <c r="L47" s="498">
        <f>L21</f>
        <v/>
      </c>
      <c r="M47" s="498">
        <f>M21</f>
        <v/>
      </c>
      <c r="N47" s="498">
        <f>N21</f>
        <v/>
      </c>
      <c r="O47" s="498">
        <f>O21</f>
        <v/>
      </c>
      <c r="P47" s="529">
        <f>P21</f>
        <v/>
      </c>
      <c r="Q47" s="485" t="inlineStr">
        <is>
          <t>공급받는자</t>
        </is>
      </c>
      <c r="R47" s="487" t="inlineStr">
        <is>
          <t>등록번호</t>
        </is>
      </c>
      <c r="S47" s="479" t="n"/>
      <c r="T47" s="488" t="n"/>
      <c r="U47" s="542">
        <f>U21</f>
        <v/>
      </c>
      <c r="V47" s="507">
        <f>V21</f>
        <v/>
      </c>
      <c r="W47" s="507">
        <f>W21</f>
        <v/>
      </c>
      <c r="X47" s="507" t="inlineStr">
        <is>
          <t>-</t>
        </is>
      </c>
      <c r="Y47" s="507">
        <f>Y21</f>
        <v/>
      </c>
      <c r="Z47" s="507">
        <f>Z21</f>
        <v/>
      </c>
      <c r="AA47" s="507" t="inlineStr">
        <is>
          <t>-</t>
        </is>
      </c>
      <c r="AB47" s="507">
        <f>AB21</f>
        <v/>
      </c>
      <c r="AC47" s="507">
        <f>AC21</f>
        <v/>
      </c>
      <c r="AD47" s="507">
        <f>AD21</f>
        <v/>
      </c>
      <c r="AE47" s="507">
        <f>AE21</f>
        <v/>
      </c>
      <c r="AF47" s="554">
        <f>AF21</f>
        <v/>
      </c>
    </row>
    <row customHeight="1" ht="14.25" r="48" s="391" thickBot="1">
      <c r="A48" s="518" t="n"/>
      <c r="B48" s="489" t="n"/>
      <c r="C48" s="490" t="n"/>
      <c r="D48" s="491" t="n"/>
      <c r="E48" s="495" t="n"/>
      <c r="F48" s="499" t="n"/>
      <c r="G48" s="499" t="n"/>
      <c r="H48" s="499" t="n"/>
      <c r="I48" s="499" t="n"/>
      <c r="J48" s="499" t="n"/>
      <c r="K48" s="499" t="n"/>
      <c r="L48" s="499" t="n"/>
      <c r="M48" s="499" t="n"/>
      <c r="N48" s="499" t="n"/>
      <c r="O48" s="499" t="n"/>
      <c r="P48" s="530" t="n"/>
      <c r="Q48" s="486" t="n"/>
      <c r="R48" s="489" t="n"/>
      <c r="S48" s="490" t="n"/>
      <c r="T48" s="491" t="n"/>
      <c r="U48" s="519" t="n"/>
      <c r="V48" s="493" t="n"/>
      <c r="W48" s="493" t="n"/>
      <c r="X48" s="493" t="n"/>
      <c r="Y48" s="493" t="n"/>
      <c r="Z48" s="493" t="n"/>
      <c r="AA48" s="493" t="n"/>
      <c r="AB48" s="493" t="n"/>
      <c r="AC48" s="493" t="n"/>
      <c r="AD48" s="493" t="n"/>
      <c r="AE48" s="493" t="n"/>
      <c r="AF48" s="555" t="n"/>
    </row>
    <row r="49">
      <c r="A49" s="518" t="n"/>
      <c r="B49" s="556" t="inlineStr">
        <is>
          <t>상     호</t>
        </is>
      </c>
      <c r="C49" s="479" t="n"/>
      <c r="D49" s="488" t="n"/>
      <c r="E49" s="557">
        <f>E23</f>
        <v/>
      </c>
      <c r="F49" s="479" t="n"/>
      <c r="G49" s="479" t="n"/>
      <c r="H49" s="479" t="n"/>
      <c r="I49" s="479" t="n"/>
      <c r="J49" s="480" t="n"/>
      <c r="K49" s="492" t="inlineStr">
        <is>
          <t>성명</t>
        </is>
      </c>
      <c r="L49" s="523">
        <f>L23</f>
        <v/>
      </c>
      <c r="M49" s="479" t="n"/>
      <c r="N49" s="479" t="n"/>
      <c r="O49" s="479" t="n"/>
      <c r="P49" s="524" t="inlineStr">
        <is>
          <t>인</t>
        </is>
      </c>
      <c r="Q49" s="486" t="n"/>
      <c r="R49" s="526" t="inlineStr">
        <is>
          <t>상     호</t>
        </is>
      </c>
      <c r="S49" s="479" t="n"/>
      <c r="T49" s="480" t="n"/>
      <c r="U49" s="527">
        <f>U23</f>
        <v/>
      </c>
      <c r="V49" s="475" t="n"/>
      <c r="W49" s="475" t="n"/>
      <c r="X49" s="475" t="n"/>
      <c r="Y49" s="475" t="n"/>
      <c r="Z49" s="528" t="n"/>
      <c r="AA49" s="543" t="inlineStr">
        <is>
          <t>성명</t>
        </is>
      </c>
      <c r="AB49" s="544">
        <f>AB23</f>
        <v/>
      </c>
      <c r="AC49" s="475" t="n"/>
      <c r="AD49" s="475" t="n"/>
      <c r="AE49" s="475" t="n"/>
      <c r="AF49" s="545" t="inlineStr">
        <is>
          <t>인</t>
        </is>
      </c>
    </row>
    <row customHeight="1" ht="14.25" r="50" s="391" thickBot="1">
      <c r="A50" s="518" t="n"/>
      <c r="B50" s="546" t="inlineStr">
        <is>
          <t>(법인명)</t>
        </is>
      </c>
      <c r="C50" s="490" t="n"/>
      <c r="D50" s="491" t="n"/>
      <c r="E50" s="558" t="n"/>
      <c r="F50" s="482" t="n"/>
      <c r="G50" s="482" t="n"/>
      <c r="H50" s="482" t="n"/>
      <c r="I50" s="482" t="n"/>
      <c r="J50" s="483" t="n"/>
      <c r="K50" s="493" t="n"/>
      <c r="L50" s="481" t="n"/>
      <c r="M50" s="482" t="n"/>
      <c r="N50" s="482" t="n"/>
      <c r="O50" s="482" t="n"/>
      <c r="P50" s="525" t="n"/>
      <c r="Q50" s="486" t="n"/>
      <c r="R50" s="496" t="inlineStr">
        <is>
          <t>(법인명)</t>
        </is>
      </c>
      <c r="S50" s="490" t="n"/>
      <c r="T50" s="497" t="n"/>
      <c r="U50" s="489" t="n"/>
      <c r="V50" s="490" t="n"/>
      <c r="W50" s="490" t="n"/>
      <c r="X50" s="490" t="n"/>
      <c r="Y50" s="490" t="n"/>
      <c r="Z50" s="497" t="n"/>
      <c r="AA50" s="499" t="n"/>
      <c r="AB50" s="489" t="n"/>
      <c r="AC50" s="490" t="n"/>
      <c r="AD50" s="490" t="n"/>
      <c r="AE50" s="490" t="n"/>
      <c r="AF50" s="491" t="n"/>
    </row>
    <row r="51">
      <c r="A51" s="518" t="n"/>
      <c r="B51" s="526" t="inlineStr">
        <is>
          <t>사 업 장</t>
        </is>
      </c>
      <c r="C51" s="479" t="n"/>
      <c r="D51" s="480" t="n"/>
      <c r="E51" s="559">
        <f>E25</f>
        <v/>
      </c>
      <c r="F51" s="475" t="n"/>
      <c r="G51" s="475" t="n"/>
      <c r="H51" s="475" t="n"/>
      <c r="I51" s="475" t="n"/>
      <c r="J51" s="475" t="n"/>
      <c r="K51" s="475" t="n"/>
      <c r="L51" s="475" t="n"/>
      <c r="M51" s="475" t="n"/>
      <c r="N51" s="475" t="n"/>
      <c r="O51" s="475" t="n"/>
      <c r="P51" s="528" t="n"/>
      <c r="Q51" s="486" t="n"/>
      <c r="R51" s="526" t="inlineStr">
        <is>
          <t>사 업 장</t>
        </is>
      </c>
      <c r="S51" s="479" t="n"/>
      <c r="T51" s="480" t="n"/>
      <c r="U51" s="531">
        <f>U25</f>
        <v/>
      </c>
      <c r="V51" s="479" t="n"/>
      <c r="W51" s="479" t="n"/>
      <c r="X51" s="479" t="n"/>
      <c r="Y51" s="479" t="n"/>
      <c r="Z51" s="479" t="n"/>
      <c r="AA51" s="479" t="n"/>
      <c r="AB51" s="479" t="n"/>
      <c r="AC51" s="479" t="n"/>
      <c r="AD51" s="479" t="n"/>
      <c r="AE51" s="479" t="n"/>
      <c r="AF51" s="488" t="n"/>
    </row>
    <row r="52">
      <c r="A52" s="518" t="n"/>
      <c r="B52" s="496" t="inlineStr">
        <is>
          <t>주     소</t>
        </is>
      </c>
      <c r="C52" s="490" t="n"/>
      <c r="D52" s="497" t="n"/>
      <c r="E52" s="489" t="n"/>
      <c r="F52" s="490" t="n"/>
      <c r="G52" s="490" t="n"/>
      <c r="H52" s="490" t="n"/>
      <c r="I52" s="490" t="n"/>
      <c r="J52" s="490" t="n"/>
      <c r="K52" s="490" t="n"/>
      <c r="L52" s="490" t="n"/>
      <c r="M52" s="490" t="n"/>
      <c r="N52" s="490" t="n"/>
      <c r="O52" s="490" t="n"/>
      <c r="P52" s="497" t="n"/>
      <c r="Q52" s="486" t="n"/>
      <c r="R52" s="496" t="inlineStr">
        <is>
          <t>주     소</t>
        </is>
      </c>
      <c r="S52" s="490" t="n"/>
      <c r="T52" s="497" t="n"/>
      <c r="U52" s="489" t="n"/>
      <c r="V52" s="490" t="n"/>
      <c r="W52" s="490" t="n"/>
      <c r="X52" s="490" t="n"/>
      <c r="Y52" s="490" t="n"/>
      <c r="Z52" s="490" t="n"/>
      <c r="AA52" s="490" t="n"/>
      <c r="AB52" s="490" t="n"/>
      <c r="AC52" s="490" t="n"/>
      <c r="AD52" s="490" t="n"/>
      <c r="AE52" s="490" t="n"/>
      <c r="AF52" s="491" t="n"/>
    </row>
    <row r="53">
      <c r="A53" s="518" t="n"/>
      <c r="B53" s="484" t="inlineStr">
        <is>
          <t>업     태</t>
        </is>
      </c>
      <c r="C53" s="479" t="n"/>
      <c r="D53" s="480" t="n"/>
      <c r="E53" s="478">
        <f>E27</f>
        <v/>
      </c>
      <c r="F53" s="479" t="n"/>
      <c r="G53" s="479" t="n"/>
      <c r="H53" s="479" t="n"/>
      <c r="I53" s="479" t="n"/>
      <c r="J53" s="480" t="n"/>
      <c r="K53" s="492" t="inlineStr">
        <is>
          <t>종목</t>
        </is>
      </c>
      <c r="L53" s="478">
        <f>L27</f>
        <v/>
      </c>
      <c r="M53" s="479" t="n"/>
      <c r="N53" s="479" t="n"/>
      <c r="O53" s="479" t="n"/>
      <c r="P53" s="480" t="n"/>
      <c r="Q53" s="486" t="n"/>
      <c r="R53" s="484" t="inlineStr">
        <is>
          <t>업     태</t>
        </is>
      </c>
      <c r="S53" s="479" t="n"/>
      <c r="T53" s="480" t="n"/>
      <c r="U53" s="478">
        <f>U27</f>
        <v/>
      </c>
      <c r="V53" s="479" t="n"/>
      <c r="W53" s="479" t="n"/>
      <c r="X53" s="479" t="n"/>
      <c r="Y53" s="479" t="n"/>
      <c r="Z53" s="480" t="n"/>
      <c r="AA53" s="492" t="inlineStr">
        <is>
          <t>종목</t>
        </is>
      </c>
      <c r="AB53" s="534">
        <f>AB27</f>
        <v/>
      </c>
      <c r="AC53" s="479" t="n"/>
      <c r="AD53" s="479" t="n"/>
      <c r="AE53" s="479" t="n"/>
      <c r="AF53" s="488" t="n"/>
    </row>
    <row customHeight="1" ht="14.25" r="54" s="391" thickBot="1">
      <c r="A54" s="519" t="n"/>
      <c r="B54" s="481" t="n"/>
      <c r="C54" s="482" t="n"/>
      <c r="D54" s="483" t="n"/>
      <c r="E54" s="481" t="n"/>
      <c r="F54" s="482" t="n"/>
      <c r="G54" s="482" t="n"/>
      <c r="H54" s="482" t="n"/>
      <c r="I54" s="482" t="n"/>
      <c r="J54" s="483" t="n"/>
      <c r="K54" s="493" t="n"/>
      <c r="L54" s="481" t="n"/>
      <c r="M54" s="482" t="n"/>
      <c r="N54" s="482" t="n"/>
      <c r="O54" s="482" t="n"/>
      <c r="P54" s="483" t="n"/>
      <c r="Q54" s="483" t="n"/>
      <c r="R54" s="481" t="n"/>
      <c r="S54" s="482" t="n"/>
      <c r="T54" s="483" t="n"/>
      <c r="U54" s="481" t="n"/>
      <c r="V54" s="482" t="n"/>
      <c r="W54" s="482" t="n"/>
      <c r="X54" s="482" t="n"/>
      <c r="Y54" s="482" t="n"/>
      <c r="Z54" s="483" t="n"/>
      <c r="AA54" s="493" t="n"/>
      <c r="AB54" s="481" t="n"/>
      <c r="AC54" s="482" t="n"/>
      <c r="AD54" s="482" t="n"/>
      <c r="AE54" s="482" t="n"/>
      <c r="AF54" s="525" t="n"/>
    </row>
    <row r="55">
      <c r="A55" s="565" t="inlineStr">
        <is>
          <t>작     성</t>
        </is>
      </c>
      <c r="B55" s="472" t="n"/>
      <c r="C55" s="472" t="n"/>
      <c r="D55" s="473" t="n"/>
      <c r="E55" s="561" t="inlineStr">
        <is>
          <t>공      급       가      액</t>
        </is>
      </c>
      <c r="F55" s="472" t="n"/>
      <c r="G55" s="472" t="n"/>
      <c r="H55" s="472" t="n"/>
      <c r="I55" s="472" t="n"/>
      <c r="J55" s="472" t="n"/>
      <c r="K55" s="472" t="n"/>
      <c r="L55" s="472" t="n"/>
      <c r="M55" s="472" t="n"/>
      <c r="N55" s="472" t="n"/>
      <c r="O55" s="472" t="n"/>
      <c r="P55" s="472" t="n"/>
      <c r="Q55" s="473" t="n"/>
      <c r="R55" s="561" t="inlineStr">
        <is>
          <t>세                액</t>
        </is>
      </c>
      <c r="S55" s="472" t="n"/>
      <c r="T55" s="472" t="n"/>
      <c r="U55" s="472" t="n"/>
      <c r="V55" s="472" t="n"/>
      <c r="W55" s="472" t="n"/>
      <c r="X55" s="472" t="n"/>
      <c r="Y55" s="472" t="n"/>
      <c r="Z55" s="472" t="n"/>
      <c r="AA55" s="473" t="n"/>
      <c r="AB55" s="532" t="inlineStr">
        <is>
          <t>비     고</t>
        </is>
      </c>
      <c r="AC55" s="472" t="n"/>
      <c r="AD55" s="472" t="n"/>
      <c r="AE55" s="472" t="n"/>
      <c r="AF55" s="533" t="n"/>
    </row>
    <row r="56">
      <c r="A56" s="560" t="inlineStr">
        <is>
          <t>년</t>
        </is>
      </c>
      <c r="B56" s="549" t="n"/>
      <c r="C56" s="316" t="inlineStr">
        <is>
          <t>월</t>
        </is>
      </c>
      <c r="D56" s="316" t="inlineStr">
        <is>
          <t>일</t>
        </is>
      </c>
      <c r="E56" s="562" t="inlineStr">
        <is>
          <t>공란수</t>
        </is>
      </c>
      <c r="F56" s="549" t="n"/>
      <c r="G56" s="562" t="inlineStr">
        <is>
          <t>백</t>
        </is>
      </c>
      <c r="H56" s="316" t="inlineStr">
        <is>
          <t>십</t>
        </is>
      </c>
      <c r="I56" s="316" t="inlineStr">
        <is>
          <t>억</t>
        </is>
      </c>
      <c r="J56" s="316" t="inlineStr">
        <is>
          <t>천</t>
        </is>
      </c>
      <c r="K56" s="316" t="inlineStr">
        <is>
          <t>백</t>
        </is>
      </c>
      <c r="L56" s="316" t="inlineStr">
        <is>
          <t>십</t>
        </is>
      </c>
      <c r="M56" s="316" t="inlineStr">
        <is>
          <t>만</t>
        </is>
      </c>
      <c r="N56" s="316" t="inlineStr">
        <is>
          <t>천</t>
        </is>
      </c>
      <c r="O56" s="316" t="inlineStr">
        <is>
          <t>백</t>
        </is>
      </c>
      <c r="P56" s="316" t="inlineStr">
        <is>
          <t>십</t>
        </is>
      </c>
      <c r="Q56" s="316" t="inlineStr">
        <is>
          <t>일</t>
        </is>
      </c>
      <c r="R56" s="316" t="inlineStr">
        <is>
          <t>십</t>
        </is>
      </c>
      <c r="S56" s="316" t="inlineStr">
        <is>
          <t>억</t>
        </is>
      </c>
      <c r="T56" s="316" t="inlineStr">
        <is>
          <t>천</t>
        </is>
      </c>
      <c r="U56" s="316" t="inlineStr">
        <is>
          <t>백</t>
        </is>
      </c>
      <c r="V56" s="316" t="inlineStr">
        <is>
          <t>십</t>
        </is>
      </c>
      <c r="W56" s="316" t="inlineStr">
        <is>
          <t>만</t>
        </is>
      </c>
      <c r="X56" s="316" t="inlineStr">
        <is>
          <t>천</t>
        </is>
      </c>
      <c r="Y56" s="316" t="inlineStr">
        <is>
          <t>백</t>
        </is>
      </c>
      <c r="Z56" s="316" t="inlineStr">
        <is>
          <t>십</t>
        </is>
      </c>
      <c r="AA56" s="316" t="inlineStr">
        <is>
          <t>일</t>
        </is>
      </c>
      <c r="AB56" s="566" t="n"/>
      <c r="AC56" s="479" t="n"/>
      <c r="AD56" s="479" t="n"/>
      <c r="AE56" s="479" t="n"/>
      <c r="AF56" s="488" t="n"/>
    </row>
    <row customHeight="1" ht="14.25" r="57" s="391" thickBot="1">
      <c r="A57" s="563">
        <f>A31</f>
        <v/>
      </c>
      <c r="B57" s="538" t="n"/>
      <c r="C57" s="318">
        <f>C31</f>
        <v/>
      </c>
      <c r="D57" s="318">
        <f>D31</f>
        <v/>
      </c>
      <c r="E57" s="708" t="n"/>
      <c r="F57" s="538" t="n"/>
      <c r="G57" s="709" t="n"/>
      <c r="H57" s="709" t="n"/>
      <c r="I57" s="709" t="n"/>
      <c r="J57" s="709" t="n"/>
      <c r="K57" s="709">
        <f>K31</f>
        <v/>
      </c>
      <c r="L57" s="709">
        <f>L31</f>
        <v/>
      </c>
      <c r="M57" s="709">
        <f>M31</f>
        <v/>
      </c>
      <c r="N57" s="709">
        <f>N31</f>
        <v/>
      </c>
      <c r="O57" s="709">
        <f>O31</f>
        <v/>
      </c>
      <c r="P57" s="709">
        <f>P31</f>
        <v/>
      </c>
      <c r="Q57" s="709">
        <f>Q31</f>
        <v/>
      </c>
      <c r="R57" s="709" t="n"/>
      <c r="S57" s="709" t="n"/>
      <c r="T57" s="709" t="n"/>
      <c r="U57" s="709" t="n"/>
      <c r="V57" s="709">
        <f>V31</f>
        <v/>
      </c>
      <c r="W57" s="709">
        <f>W31</f>
        <v/>
      </c>
      <c r="X57" s="709">
        <f>X31</f>
        <v/>
      </c>
      <c r="Y57" s="709">
        <f>Y31</f>
        <v/>
      </c>
      <c r="Z57" s="709">
        <f>Z31</f>
        <v/>
      </c>
      <c r="AA57" s="709">
        <f>AA31</f>
        <v/>
      </c>
      <c r="AB57" s="481" t="n"/>
      <c r="AC57" s="482" t="n"/>
      <c r="AD57" s="482" t="n"/>
      <c r="AE57" s="482" t="n"/>
      <c r="AF57" s="525" t="n"/>
    </row>
    <row r="58">
      <c r="A58" s="61" t="inlineStr">
        <is>
          <t>월</t>
        </is>
      </c>
      <c r="B58" s="62" t="inlineStr">
        <is>
          <t>일</t>
        </is>
      </c>
      <c r="C58" s="561" t="inlineStr">
        <is>
          <t>품          목</t>
        </is>
      </c>
      <c r="D58" s="472" t="n"/>
      <c r="E58" s="472" t="n"/>
      <c r="F58" s="472" t="n"/>
      <c r="G58" s="472" t="n"/>
      <c r="H58" s="473" t="n"/>
      <c r="I58" s="561" t="inlineStr">
        <is>
          <t>규격</t>
        </is>
      </c>
      <c r="J58" s="472" t="n"/>
      <c r="K58" s="473" t="n"/>
      <c r="L58" s="561" t="inlineStr">
        <is>
          <t>수량</t>
        </is>
      </c>
      <c r="M58" s="472" t="n"/>
      <c r="N58" s="473" t="n"/>
      <c r="O58" s="561" t="inlineStr">
        <is>
          <t>단      가</t>
        </is>
      </c>
      <c r="P58" s="472" t="n"/>
      <c r="Q58" s="472" t="n"/>
      <c r="R58" s="472" t="n"/>
      <c r="S58" s="473" t="n"/>
      <c r="T58" s="561" t="inlineStr">
        <is>
          <t>공  급  가  액</t>
        </is>
      </c>
      <c r="U58" s="472" t="n"/>
      <c r="V58" s="472" t="n"/>
      <c r="W58" s="472" t="n"/>
      <c r="X58" s="472" t="n"/>
      <c r="Y58" s="473" t="n"/>
      <c r="Z58" s="561" t="inlineStr">
        <is>
          <t>세        액</t>
        </is>
      </c>
      <c r="AA58" s="472" t="n"/>
      <c r="AB58" s="472" t="n"/>
      <c r="AC58" s="472" t="n"/>
      <c r="AD58" s="473" t="n"/>
      <c r="AE58" s="532" t="inlineStr">
        <is>
          <t>비고</t>
        </is>
      </c>
      <c r="AF58" s="533" t="n"/>
    </row>
    <row r="59">
      <c r="A59" s="320">
        <f>A33</f>
        <v/>
      </c>
      <c r="B59" s="320">
        <f>B33</f>
        <v/>
      </c>
      <c r="C59" s="567">
        <f>C33</f>
        <v/>
      </c>
      <c r="D59" s="548" t="n"/>
      <c r="E59" s="548" t="n"/>
      <c r="F59" s="548" t="n"/>
      <c r="G59" s="548" t="n"/>
      <c r="H59" s="549" t="n"/>
      <c r="I59" s="547" t="n"/>
      <c r="J59" s="548" t="n"/>
      <c r="K59" s="549" t="n"/>
      <c r="L59" s="710">
        <f>L33</f>
        <v/>
      </c>
      <c r="M59" s="548" t="n"/>
      <c r="N59" s="549" t="n"/>
      <c r="O59" s="711">
        <f>O33</f>
        <v/>
      </c>
      <c r="P59" s="548" t="n"/>
      <c r="Q59" s="548" t="n"/>
      <c r="R59" s="548" t="n"/>
      <c r="S59" s="549" t="n"/>
      <c r="T59" s="711">
        <f>T33</f>
        <v/>
      </c>
      <c r="U59" s="548" t="n"/>
      <c r="V59" s="548" t="n"/>
      <c r="W59" s="548" t="n"/>
      <c r="X59" s="548" t="n"/>
      <c r="Y59" s="549" t="n"/>
      <c r="Z59" s="711">
        <f>Z33</f>
        <v/>
      </c>
      <c r="AA59" s="548" t="n"/>
      <c r="AB59" s="548" t="n"/>
      <c r="AC59" s="548" t="n"/>
      <c r="AD59" s="549" t="n"/>
      <c r="AE59" s="552" t="n"/>
      <c r="AF59" s="553" t="n"/>
    </row>
    <row r="60">
      <c r="A60" s="320">
        <f>A34</f>
        <v/>
      </c>
      <c r="B60" s="320">
        <f>B34</f>
        <v/>
      </c>
      <c r="C60" s="567">
        <f>C34</f>
        <v/>
      </c>
      <c r="D60" s="548" t="n"/>
      <c r="E60" s="548" t="n"/>
      <c r="F60" s="548" t="n"/>
      <c r="G60" s="548" t="n"/>
      <c r="H60" s="549" t="n"/>
      <c r="I60" s="547" t="n"/>
      <c r="J60" s="548" t="n"/>
      <c r="K60" s="549" t="n"/>
      <c r="L60" s="710">
        <f>L34</f>
        <v/>
      </c>
      <c r="M60" s="548" t="n"/>
      <c r="N60" s="549" t="n"/>
      <c r="O60" s="711">
        <f>O34</f>
        <v/>
      </c>
      <c r="P60" s="548" t="n"/>
      <c r="Q60" s="548" t="n"/>
      <c r="R60" s="548" t="n"/>
      <c r="S60" s="549" t="n"/>
      <c r="T60" s="711">
        <f>T34</f>
        <v/>
      </c>
      <c r="U60" s="548" t="n"/>
      <c r="V60" s="548" t="n"/>
      <c r="W60" s="548" t="n"/>
      <c r="X60" s="548" t="n"/>
      <c r="Y60" s="549" t="n"/>
      <c r="Z60" s="711">
        <f>Z34</f>
        <v/>
      </c>
      <c r="AA60" s="548" t="n"/>
      <c r="AB60" s="548" t="n"/>
      <c r="AC60" s="548" t="n"/>
      <c r="AD60" s="549" t="n"/>
      <c r="AE60" s="552" t="n"/>
      <c r="AF60" s="553" t="n"/>
    </row>
    <row r="61">
      <c r="A61" s="320" t="n"/>
      <c r="B61" s="320" t="n"/>
      <c r="C61" s="567" t="n"/>
      <c r="D61" s="548" t="n"/>
      <c r="E61" s="548" t="n"/>
      <c r="F61" s="548" t="n"/>
      <c r="G61" s="548" t="n"/>
      <c r="H61" s="549" t="n"/>
      <c r="I61" s="547" t="n"/>
      <c r="J61" s="548" t="n"/>
      <c r="K61" s="549" t="n"/>
      <c r="L61" s="710">
        <f>L35</f>
        <v/>
      </c>
      <c r="M61" s="548" t="n"/>
      <c r="N61" s="549" t="n"/>
      <c r="O61" s="711">
        <f>O35</f>
        <v/>
      </c>
      <c r="P61" s="548" t="n"/>
      <c r="Q61" s="548" t="n"/>
      <c r="R61" s="548" t="n"/>
      <c r="S61" s="549" t="n"/>
      <c r="T61" s="711">
        <f>T35</f>
        <v/>
      </c>
      <c r="U61" s="548" t="n"/>
      <c r="V61" s="548" t="n"/>
      <c r="W61" s="548" t="n"/>
      <c r="X61" s="548" t="n"/>
      <c r="Y61" s="549" t="n"/>
      <c r="Z61" s="711">
        <f>Z35</f>
        <v/>
      </c>
      <c r="AA61" s="548" t="n"/>
      <c r="AB61" s="548" t="n"/>
      <c r="AC61" s="548" t="n"/>
      <c r="AD61" s="549" t="n"/>
      <c r="AE61" s="552" t="n"/>
      <c r="AF61" s="553" t="n"/>
    </row>
    <row r="62">
      <c r="A62" s="320" t="n"/>
      <c r="B62" s="320" t="n"/>
      <c r="C62" s="567" t="n"/>
      <c r="D62" s="548" t="n"/>
      <c r="E62" s="548" t="n"/>
      <c r="F62" s="548" t="n"/>
      <c r="G62" s="548" t="n"/>
      <c r="H62" s="549" t="n"/>
      <c r="I62" s="547" t="n"/>
      <c r="J62" s="548" t="n"/>
      <c r="K62" s="549" t="n"/>
      <c r="L62" s="710">
        <f>L36</f>
        <v/>
      </c>
      <c r="M62" s="548" t="n"/>
      <c r="N62" s="549" t="n"/>
      <c r="O62" s="711">
        <f>O36</f>
        <v/>
      </c>
      <c r="P62" s="548" t="n"/>
      <c r="Q62" s="548" t="n"/>
      <c r="R62" s="548" t="n"/>
      <c r="S62" s="549" t="n"/>
      <c r="T62" s="711">
        <f>T36</f>
        <v/>
      </c>
      <c r="U62" s="548" t="n"/>
      <c r="V62" s="548" t="n"/>
      <c r="W62" s="548" t="n"/>
      <c r="X62" s="548" t="n"/>
      <c r="Y62" s="549" t="n"/>
      <c r="Z62" s="711">
        <f>Z36</f>
        <v/>
      </c>
      <c r="AA62" s="548" t="n"/>
      <c r="AB62" s="548" t="n"/>
      <c r="AC62" s="548" t="n"/>
      <c r="AD62" s="549" t="n"/>
      <c r="AE62" s="552" t="n"/>
      <c r="AF62" s="553" t="n"/>
    </row>
    <row r="63">
      <c r="A63" s="560" t="inlineStr">
        <is>
          <t>합계금액</t>
        </is>
      </c>
      <c r="B63" s="548" t="n"/>
      <c r="C63" s="548" t="n"/>
      <c r="D63" s="548" t="n"/>
      <c r="E63" s="549" t="n"/>
      <c r="F63" s="562" t="inlineStr">
        <is>
          <t>현  금</t>
        </is>
      </c>
      <c r="G63" s="548" t="n"/>
      <c r="H63" s="548" t="n"/>
      <c r="I63" s="548" t="n"/>
      <c r="J63" s="549" t="n"/>
      <c r="K63" s="562" t="inlineStr">
        <is>
          <t>수  표</t>
        </is>
      </c>
      <c r="L63" s="548" t="n"/>
      <c r="M63" s="548" t="n"/>
      <c r="N63" s="548" t="n"/>
      <c r="O63" s="549" t="n"/>
      <c r="P63" s="562" t="inlineStr">
        <is>
          <t>어  음</t>
        </is>
      </c>
      <c r="Q63" s="548" t="n"/>
      <c r="R63" s="548" t="n"/>
      <c r="S63" s="548" t="n"/>
      <c r="T63" s="549" t="n"/>
      <c r="U63" s="562" t="inlineStr">
        <is>
          <t>외상미수금</t>
        </is>
      </c>
      <c r="V63" s="548" t="n"/>
      <c r="W63" s="548" t="n"/>
      <c r="X63" s="548" t="n"/>
      <c r="Y63" s="549" t="n"/>
      <c r="Z63" s="571" t="inlineStr">
        <is>
          <t xml:space="preserve">이 금액을 </t>
        </is>
      </c>
      <c r="AA63" s="479" t="n"/>
      <c r="AB63" s="479" t="n"/>
      <c r="AC63" s="479" t="n"/>
      <c r="AD63" s="572">
        <f>AD37</f>
        <v/>
      </c>
      <c r="AE63" s="479" t="n"/>
      <c r="AF63" s="573" t="inlineStr">
        <is>
          <t>함</t>
        </is>
      </c>
    </row>
    <row customHeight="1" ht="14.25" r="64" s="391" thickBot="1">
      <c r="A64" s="712">
        <f>A38</f>
        <v/>
      </c>
      <c r="B64" s="537" t="n"/>
      <c r="C64" s="537" t="n"/>
      <c r="D64" s="537" t="n"/>
      <c r="E64" s="538" t="n"/>
      <c r="F64" s="713" t="n"/>
      <c r="G64" s="537" t="n"/>
      <c r="H64" s="537" t="n"/>
      <c r="I64" s="537" t="n"/>
      <c r="J64" s="538" t="n"/>
      <c r="K64" s="713" t="n"/>
      <c r="L64" s="537" t="n"/>
      <c r="M64" s="537" t="n"/>
      <c r="N64" s="537" t="n"/>
      <c r="O64" s="538" t="n"/>
      <c r="P64" s="713" t="n"/>
      <c r="Q64" s="537" t="n"/>
      <c r="R64" s="537" t="n"/>
      <c r="S64" s="537" t="n"/>
      <c r="T64" s="538" t="n"/>
      <c r="U64" s="713" t="n"/>
      <c r="V64" s="537" t="n"/>
      <c r="W64" s="537" t="n"/>
      <c r="X64" s="537" t="n"/>
      <c r="Y64" s="538" t="n"/>
      <c r="Z64" s="481" t="n"/>
      <c r="AA64" s="482" t="n"/>
      <c r="AB64" s="482" t="n"/>
      <c r="AC64" s="482" t="n"/>
      <c r="AD64" s="482" t="n"/>
      <c r="AE64" s="482" t="n"/>
      <c r="AF64" s="525" t="n"/>
    </row>
    <row r="65">
      <c r="A65" s="57" t="inlineStr">
        <is>
          <t>22226-28131일 '96.3.27승인</t>
        </is>
      </c>
      <c r="B65" s="57" t="n"/>
      <c r="C65" s="58" t="n"/>
      <c r="D65" s="58" t="n"/>
      <c r="E65" s="58" t="n"/>
      <c r="F65" s="58" t="n"/>
      <c r="G65" s="58" t="n"/>
      <c r="H65" s="58" t="n"/>
      <c r="I65" s="58" t="n"/>
      <c r="J65" s="58" t="n"/>
      <c r="K65" s="58" t="n"/>
      <c r="L65" s="58" t="n"/>
      <c r="M65" s="58" t="n"/>
      <c r="N65" s="58" t="n"/>
      <c r="O65" s="58" t="n"/>
      <c r="P65" s="58" t="n"/>
      <c r="Q65" s="58" t="n"/>
      <c r="R65" s="58" t="n"/>
      <c r="S65" s="58" t="n"/>
      <c r="T65" s="58" t="n"/>
      <c r="U65" s="570" t="inlineStr">
        <is>
          <t>인쇄용지(특급)34g/m2 182mmx128mm</t>
        </is>
      </c>
      <c r="V65" s="475" t="n"/>
      <c r="W65" s="475" t="n"/>
      <c r="X65" s="475" t="n"/>
      <c r="Y65" s="475" t="n"/>
      <c r="Z65" s="475" t="n"/>
      <c r="AA65" s="475" t="n"/>
      <c r="AB65" s="475" t="n"/>
      <c r="AC65" s="475" t="n"/>
      <c r="AD65" s="475" t="n"/>
      <c r="AE65" s="475" t="n"/>
      <c r="AF65" s="475" t="n"/>
    </row>
  </sheetData>
  <mergeCells count="290">
    <mergeCell ref="U65:AF65"/>
    <mergeCell ref="Z62:AD62"/>
    <mergeCell ref="AE62:AF62"/>
    <mergeCell ref="U63:Y63"/>
    <mergeCell ref="Z63:AC64"/>
    <mergeCell ref="AD63:AE64"/>
    <mergeCell ref="AF63:AF64"/>
    <mergeCell ref="T62:Y62"/>
    <mergeCell ref="U64:Y64"/>
    <mergeCell ref="P63:T63"/>
    <mergeCell ref="O62:S62"/>
    <mergeCell ref="AB56:AF57"/>
    <mergeCell ref="C60:H60"/>
    <mergeCell ref="I60:K60"/>
    <mergeCell ref="L60:N60"/>
    <mergeCell ref="O60:S60"/>
    <mergeCell ref="A64:E64"/>
    <mergeCell ref="F64:J64"/>
    <mergeCell ref="K64:O64"/>
    <mergeCell ref="A63:E63"/>
    <mergeCell ref="F63:J63"/>
    <mergeCell ref="K63:O63"/>
    <mergeCell ref="C62:H62"/>
    <mergeCell ref="P64:T64"/>
    <mergeCell ref="I62:K62"/>
    <mergeCell ref="L62:N62"/>
    <mergeCell ref="Z58:AD58"/>
    <mergeCell ref="AE58:AF58"/>
    <mergeCell ref="L59:N59"/>
    <mergeCell ref="O59:S59"/>
    <mergeCell ref="T59:Y59"/>
    <mergeCell ref="Z59:AD59"/>
    <mergeCell ref="C59:H59"/>
    <mergeCell ref="I59:K59"/>
    <mergeCell ref="C61:H61"/>
    <mergeCell ref="B51:D51"/>
    <mergeCell ref="E51:P52"/>
    <mergeCell ref="A56:B56"/>
    <mergeCell ref="T58:Y58"/>
    <mergeCell ref="E56:F56"/>
    <mergeCell ref="I58:K58"/>
    <mergeCell ref="L58:N58"/>
    <mergeCell ref="O58:S58"/>
    <mergeCell ref="C58:H58"/>
    <mergeCell ref="A57:B57"/>
    <mergeCell ref="E57:F57"/>
    <mergeCell ref="B53:D54"/>
    <mergeCell ref="A55:D55"/>
    <mergeCell ref="E55:Q55"/>
    <mergeCell ref="R55:AA55"/>
    <mergeCell ref="AF47:AF48"/>
    <mergeCell ref="B49:D49"/>
    <mergeCell ref="E49:J50"/>
    <mergeCell ref="K47:K48"/>
    <mergeCell ref="L47:L48"/>
    <mergeCell ref="M47:M48"/>
    <mergeCell ref="G47:G48"/>
    <mergeCell ref="H47:H48"/>
    <mergeCell ref="I47:I48"/>
    <mergeCell ref="J47:J48"/>
    <mergeCell ref="V47:V48"/>
    <mergeCell ref="I61:K61"/>
    <mergeCell ref="L61:N61"/>
    <mergeCell ref="O61:S61"/>
    <mergeCell ref="AE59:AF59"/>
    <mergeCell ref="T60:Y60"/>
    <mergeCell ref="Z60:AD60"/>
    <mergeCell ref="AE60:AF60"/>
    <mergeCell ref="T61:Y61"/>
    <mergeCell ref="Z61:AD61"/>
    <mergeCell ref="AE61:AF61"/>
    <mergeCell ref="AB55:AF55"/>
    <mergeCell ref="AA53:AA54"/>
    <mergeCell ref="U53:Z54"/>
    <mergeCell ref="AB53:AF54"/>
    <mergeCell ref="AD45:AE45"/>
    <mergeCell ref="Q46:U46"/>
    <mergeCell ref="W46:Z46"/>
    <mergeCell ref="A45:O46"/>
    <mergeCell ref="P45:P46"/>
    <mergeCell ref="V45:V46"/>
    <mergeCell ref="AA45:AB45"/>
    <mergeCell ref="AA47:AA48"/>
    <mergeCell ref="AB47:AB48"/>
    <mergeCell ref="AC47:AC48"/>
    <mergeCell ref="W47:W48"/>
    <mergeCell ref="X47:X48"/>
    <mergeCell ref="U47:U48"/>
    <mergeCell ref="AA49:AA50"/>
    <mergeCell ref="AB49:AE50"/>
    <mergeCell ref="AF49:AF50"/>
    <mergeCell ref="B50:D50"/>
    <mergeCell ref="R50:T50"/>
    <mergeCell ref="AD47:AD48"/>
    <mergeCell ref="AE47:AE48"/>
    <mergeCell ref="Q1:S1"/>
    <mergeCell ref="A47:A54"/>
    <mergeCell ref="B47:D48"/>
    <mergeCell ref="L5:V5"/>
    <mergeCell ref="L6:V6"/>
    <mergeCell ref="L7:V7"/>
    <mergeCell ref="L8:V8"/>
    <mergeCell ref="G8:K8"/>
    <mergeCell ref="G9:K9"/>
    <mergeCell ref="G10:K10"/>
    <mergeCell ref="L9:V9"/>
    <mergeCell ref="L10:V10"/>
    <mergeCell ref="K49:K50"/>
    <mergeCell ref="L49:O50"/>
    <mergeCell ref="P49:P50"/>
    <mergeCell ref="R49:T49"/>
    <mergeCell ref="U49:Z50"/>
    <mergeCell ref="Z47:Z48"/>
    <mergeCell ref="N47:N48"/>
    <mergeCell ref="O47:O48"/>
    <mergeCell ref="P47:P48"/>
    <mergeCell ref="R51:T51"/>
    <mergeCell ref="U51:AF52"/>
    <mergeCell ref="B52:D52"/>
    <mergeCell ref="AB5:AE5"/>
    <mergeCell ref="X7:AA7"/>
    <mergeCell ref="AB7:AE7"/>
    <mergeCell ref="X8:AA8"/>
    <mergeCell ref="AB8:AE8"/>
    <mergeCell ref="X3:AF3"/>
    <mergeCell ref="A3:F3"/>
    <mergeCell ref="A4:F4"/>
    <mergeCell ref="A5:F5"/>
    <mergeCell ref="AB4:AE4"/>
    <mergeCell ref="X4:AA4"/>
    <mergeCell ref="X5:AA5"/>
    <mergeCell ref="G3:K3"/>
    <mergeCell ref="G4:K4"/>
    <mergeCell ref="G5:K5"/>
    <mergeCell ref="L3:V3"/>
    <mergeCell ref="L4:V4"/>
    <mergeCell ref="X6:AA6"/>
    <mergeCell ref="AB6:AE6"/>
    <mergeCell ref="A10:F10"/>
    <mergeCell ref="G7:K7"/>
    <mergeCell ref="AB12:AE12"/>
    <mergeCell ref="X9:AA9"/>
    <mergeCell ref="AB9:AE9"/>
    <mergeCell ref="X10:AA10"/>
    <mergeCell ref="A6:F6"/>
    <mergeCell ref="A7:F7"/>
    <mergeCell ref="A8:F8"/>
    <mergeCell ref="A9:F9"/>
    <mergeCell ref="G6:K6"/>
    <mergeCell ref="X11:AA11"/>
    <mergeCell ref="AB11:AE11"/>
    <mergeCell ref="X12:AA12"/>
    <mergeCell ref="AB10:AE10"/>
    <mergeCell ref="V18:AA18"/>
    <mergeCell ref="W45:Z45"/>
    <mergeCell ref="Q45:U45"/>
    <mergeCell ref="X13:AA13"/>
    <mergeCell ref="AB13:AE13"/>
    <mergeCell ref="E53:J54"/>
    <mergeCell ref="L53:P54"/>
    <mergeCell ref="R53:T54"/>
    <mergeCell ref="Q47:Q54"/>
    <mergeCell ref="R47:T48"/>
    <mergeCell ref="K53:K54"/>
    <mergeCell ref="E47:E48"/>
    <mergeCell ref="R52:T52"/>
    <mergeCell ref="F47:F48"/>
    <mergeCell ref="AB18:AF18"/>
    <mergeCell ref="A19:O20"/>
    <mergeCell ref="P19:P20"/>
    <mergeCell ref="Q19:U19"/>
    <mergeCell ref="V19:V20"/>
    <mergeCell ref="W19:Z19"/>
    <mergeCell ref="AA19:AB19"/>
    <mergeCell ref="AD19:AE19"/>
    <mergeCell ref="Q20:U20"/>
    <mergeCell ref="Y47:Y48"/>
    <mergeCell ref="W20:Z20"/>
    <mergeCell ref="A21:A28"/>
    <mergeCell ref="B21:D22"/>
    <mergeCell ref="E21:E22"/>
    <mergeCell ref="F21:F22"/>
    <mergeCell ref="B25:D25"/>
    <mergeCell ref="B26:D26"/>
    <mergeCell ref="K21:K22"/>
    <mergeCell ref="L21:L22"/>
    <mergeCell ref="M21:M22"/>
    <mergeCell ref="N21:N22"/>
    <mergeCell ref="I21:I22"/>
    <mergeCell ref="J21:J22"/>
    <mergeCell ref="Y21:Y22"/>
    <mergeCell ref="O21:O22"/>
    <mergeCell ref="P21:P22"/>
    <mergeCell ref="Q21:Q28"/>
    <mergeCell ref="E25:P26"/>
    <mergeCell ref="R26:T26"/>
    <mergeCell ref="G21:G22"/>
    <mergeCell ref="H21:H22"/>
    <mergeCell ref="R21:T22"/>
    <mergeCell ref="R25:T25"/>
    <mergeCell ref="U25:AF26"/>
    <mergeCell ref="AE21:AE22"/>
    <mergeCell ref="AF21:AF22"/>
    <mergeCell ref="R23:T23"/>
    <mergeCell ref="U23:Z24"/>
    <mergeCell ref="AA23:AA24"/>
    <mergeCell ref="U27:Z28"/>
    <mergeCell ref="AB21:AB22"/>
    <mergeCell ref="AC21:AC22"/>
    <mergeCell ref="AD21:AD22"/>
    <mergeCell ref="U21:U22"/>
    <mergeCell ref="AA21:AA22"/>
    <mergeCell ref="W21:W22"/>
    <mergeCell ref="X21:X22"/>
    <mergeCell ref="Z21:Z22"/>
    <mergeCell ref="V21:V22"/>
    <mergeCell ref="AB23:AE24"/>
    <mergeCell ref="AF23:AF24"/>
    <mergeCell ref="B24:D24"/>
    <mergeCell ref="R24:T24"/>
    <mergeCell ref="B23:D23"/>
    <mergeCell ref="E23:J24"/>
    <mergeCell ref="K23:K24"/>
    <mergeCell ref="L23:O24"/>
    <mergeCell ref="P23:P24"/>
    <mergeCell ref="AA27:AA28"/>
    <mergeCell ref="AB27:AF28"/>
    <mergeCell ref="R27:T28"/>
    <mergeCell ref="A29:D29"/>
    <mergeCell ref="E29:Q29"/>
    <mergeCell ref="R29:AA29"/>
    <mergeCell ref="AB29:AF29"/>
    <mergeCell ref="B27:D28"/>
    <mergeCell ref="E27:J28"/>
    <mergeCell ref="K27:K28"/>
    <mergeCell ref="L27:P28"/>
    <mergeCell ref="A30:B30"/>
    <mergeCell ref="E30:F30"/>
    <mergeCell ref="AB30:AF31"/>
    <mergeCell ref="A31:B31"/>
    <mergeCell ref="E31:F31"/>
    <mergeCell ref="C32:H32"/>
    <mergeCell ref="I32:K32"/>
    <mergeCell ref="L32:N32"/>
    <mergeCell ref="O32:S32"/>
    <mergeCell ref="T32:Y32"/>
    <mergeCell ref="Z32:AD32"/>
    <mergeCell ref="AE32:AF32"/>
    <mergeCell ref="C33:H33"/>
    <mergeCell ref="I33:K33"/>
    <mergeCell ref="L33:N33"/>
    <mergeCell ref="O33:S33"/>
    <mergeCell ref="T33:Y33"/>
    <mergeCell ref="Z33:AD33"/>
    <mergeCell ref="AE33:AF33"/>
    <mergeCell ref="T34:Y34"/>
    <mergeCell ref="Z34:AD34"/>
    <mergeCell ref="L34:N34"/>
    <mergeCell ref="O34:S34"/>
    <mergeCell ref="AE34:AF34"/>
    <mergeCell ref="C35:H35"/>
    <mergeCell ref="I35:K35"/>
    <mergeCell ref="L35:N35"/>
    <mergeCell ref="O35:S35"/>
    <mergeCell ref="T35:Y35"/>
    <mergeCell ref="Z35:AD35"/>
    <mergeCell ref="AE35:AF35"/>
    <mergeCell ref="C34:H34"/>
    <mergeCell ref="I34:K34"/>
    <mergeCell ref="W39:AF39"/>
    <mergeCell ref="AF37:AF38"/>
    <mergeCell ref="A38:E38"/>
    <mergeCell ref="F38:J38"/>
    <mergeCell ref="K38:O38"/>
    <mergeCell ref="P38:T38"/>
    <mergeCell ref="U38:Y38"/>
    <mergeCell ref="AE36:AF36"/>
    <mergeCell ref="A37:E37"/>
    <mergeCell ref="F37:J37"/>
    <mergeCell ref="K37:O37"/>
    <mergeCell ref="P37:T37"/>
    <mergeCell ref="U37:Y37"/>
    <mergeCell ref="Z37:AC38"/>
    <mergeCell ref="AD37:AE38"/>
    <mergeCell ref="C36:H36"/>
    <mergeCell ref="I36:K36"/>
    <mergeCell ref="L36:N36"/>
    <mergeCell ref="O36:S36"/>
    <mergeCell ref="T36:Y36"/>
    <mergeCell ref="Z36:AD36"/>
  </mergeCells>
  <pageMargins bottom="0.984251968503937" footer="0.5118110236220472" header="0.5118110236220472" left="0.7480314960629921" right="0.7480314960629921" top="0.984251968503937"/>
  <pageSetup orientation="portrait" paperSize="9"/>
  <rowBreaks count="1" manualBreakCount="1">
    <brk id="41" man="1" max="16383" min="0"/>
  </rowBreaks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M65"/>
  <sheetViews>
    <sheetView workbookViewId="0">
      <selection activeCell="T35" sqref="T35:Y35"/>
    </sheetView>
  </sheetViews>
  <sheetFormatPr baseColWidth="8" defaultColWidth="8.77734375" defaultRowHeight="13.5"/>
  <cols>
    <col customWidth="1" max="32" min="1" style="391" width="2.33203125"/>
    <col customWidth="1" max="34" min="34" style="391" width="11.44140625"/>
    <col customWidth="1" max="36" min="36" style="391" width="9.88671875"/>
  </cols>
  <sheetData>
    <row customFormat="1" customHeight="1" ht="23.25" r="1" s="4" thickBot="1">
      <c r="A1" s="53" t="inlineStr">
        <is>
          <t>법률사무소 백야 임대료내역 (2층)</t>
        </is>
      </c>
      <c r="B1" s="39" t="n"/>
      <c r="C1" s="40" t="n"/>
      <c r="D1" s="41" t="n"/>
      <c r="E1" s="41" t="n"/>
      <c r="F1" s="41" t="n"/>
      <c r="G1" s="41" t="n"/>
      <c r="H1" s="41" t="n"/>
      <c r="I1" s="41" t="n"/>
      <c r="J1" s="41" t="n"/>
      <c r="K1" s="41" t="n"/>
      <c r="L1" s="41" t="n"/>
      <c r="M1" s="41" t="n"/>
      <c r="N1" s="41" t="n"/>
      <c r="O1" s="53" t="n"/>
      <c r="P1" s="53" t="inlineStr">
        <is>
          <t>(</t>
        </is>
      </c>
      <c r="Q1" s="516">
        <f>정육점!Q1</f>
        <v/>
      </c>
      <c r="R1" s="346" t="n"/>
      <c r="S1" s="346" t="n"/>
      <c r="T1" s="53" t="inlineStr">
        <is>
          <t>년</t>
        </is>
      </c>
      <c r="U1" s="53" t="n"/>
      <c r="V1" s="83">
        <f>정육점!V1</f>
        <v/>
      </c>
      <c r="W1" s="53" t="inlineStr">
        <is>
          <t>월</t>
        </is>
      </c>
      <c r="X1" s="53" t="inlineStr">
        <is>
          <t>)</t>
        </is>
      </c>
      <c r="Y1" s="53" t="n"/>
      <c r="Z1" s="53" t="n"/>
      <c r="AA1" s="53" t="n"/>
      <c r="AB1" s="53" t="n"/>
      <c r="AC1" s="41" t="n"/>
      <c r="AD1" s="41" t="n"/>
      <c r="AE1" s="41" t="n"/>
      <c r="AF1" s="41" t="n"/>
    </row>
    <row customFormat="1" customHeight="1" ht="15" r="2" s="4" thickTop="1">
      <c r="A2" s="42" t="n"/>
      <c r="B2" s="42" t="n"/>
      <c r="C2" s="42" t="n"/>
    </row>
    <row customFormat="1" customHeight="1" ht="15" r="3" s="4">
      <c r="A3" s="579" t="inlineStr">
        <is>
          <t>내역상세</t>
        </is>
      </c>
      <c r="B3" s="382" t="n"/>
      <c r="C3" s="382" t="n"/>
      <c r="D3" s="382" t="n"/>
      <c r="E3" s="382" t="n"/>
      <c r="F3" s="348" t="n"/>
      <c r="G3" s="579" t="inlineStr">
        <is>
          <t>금   액</t>
        </is>
      </c>
      <c r="H3" s="382" t="n"/>
      <c r="I3" s="382" t="n"/>
      <c r="J3" s="382" t="n"/>
      <c r="K3" s="348" t="n"/>
      <c r="L3" s="579" t="inlineStr">
        <is>
          <t>비   고</t>
        </is>
      </c>
      <c r="M3" s="382" t="n"/>
      <c r="N3" s="382" t="n"/>
      <c r="O3" s="382" t="n"/>
      <c r="P3" s="382" t="n"/>
      <c r="Q3" s="382" t="n"/>
      <c r="R3" s="382" t="n"/>
      <c r="S3" s="382" t="n"/>
      <c r="T3" s="382" t="n"/>
      <c r="U3" s="382" t="n"/>
      <c r="V3" s="348" t="n"/>
      <c r="X3" s="514" t="inlineStr">
        <is>
          <t>미납임대료</t>
        </is>
      </c>
      <c r="Y3" s="382" t="n"/>
      <c r="Z3" s="382" t="n"/>
      <c r="AA3" s="382" t="n"/>
      <c r="AB3" s="382" t="n"/>
      <c r="AC3" s="382" t="n"/>
      <c r="AD3" s="382" t="n"/>
      <c r="AE3" s="382" t="n"/>
      <c r="AF3" s="348" t="n"/>
    </row>
    <row customFormat="1" customHeight="1" ht="15" r="4" s="4">
      <c r="A4" s="576" t="inlineStr">
        <is>
          <t>월세</t>
        </is>
      </c>
      <c r="B4" s="382" t="n"/>
      <c r="C4" s="382" t="n"/>
      <c r="D4" s="382" t="n"/>
      <c r="E4" s="382" t="n"/>
      <c r="F4" s="348" t="n"/>
      <c r="G4" s="714">
        <f>1200000</f>
        <v/>
      </c>
      <c r="H4" s="382" t="n"/>
      <c r="I4" s="382" t="n"/>
      <c r="J4" s="382" t="n"/>
      <c r="K4" s="348" t="n"/>
      <c r="L4" s="584" t="n"/>
      <c r="M4" s="382" t="n"/>
      <c r="N4" s="382" t="n"/>
      <c r="O4" s="382" t="n"/>
      <c r="P4" s="382" t="n"/>
      <c r="Q4" s="382" t="n"/>
      <c r="R4" s="382" t="n"/>
      <c r="S4" s="382" t="n"/>
      <c r="T4" s="382" t="n"/>
      <c r="U4" s="382" t="n"/>
      <c r="V4" s="348" t="n"/>
      <c r="X4" s="511" t="n"/>
      <c r="Y4" s="382" t="n"/>
      <c r="Z4" s="382" t="n"/>
      <c r="AA4" s="348" t="n"/>
      <c r="AB4" s="689" t="n"/>
      <c r="AC4" s="382" t="n"/>
      <c r="AD4" s="382" t="n"/>
      <c r="AE4" s="382" t="n"/>
      <c r="AF4" s="715" t="n"/>
    </row>
    <row customFormat="1" customHeight="1" ht="15" r="5" s="4">
      <c r="A5" s="576" t="inlineStr">
        <is>
          <t>부가세(10%)</t>
        </is>
      </c>
      <c r="B5" s="382" t="n"/>
      <c r="C5" s="382" t="n"/>
      <c r="D5" s="382" t="n"/>
      <c r="E5" s="382" t="n"/>
      <c r="F5" s="348" t="n"/>
      <c r="G5" s="714">
        <f>G4*0.1</f>
        <v/>
      </c>
      <c r="H5" s="382" t="n"/>
      <c r="I5" s="382" t="n"/>
      <c r="J5" s="382" t="n"/>
      <c r="K5" s="348" t="n"/>
      <c r="L5" s="576" t="n"/>
      <c r="M5" s="382" t="n"/>
      <c r="N5" s="382" t="n"/>
      <c r="O5" s="382" t="n"/>
      <c r="P5" s="382" t="n"/>
      <c r="Q5" s="382" t="n"/>
      <c r="R5" s="382" t="n"/>
      <c r="S5" s="382" t="n"/>
      <c r="T5" s="382" t="n"/>
      <c r="U5" s="382" t="n"/>
      <c r="V5" s="348" t="n"/>
      <c r="X5" s="511" t="n"/>
      <c r="Y5" s="382" t="n"/>
      <c r="Z5" s="382" t="n"/>
      <c r="AA5" s="348" t="n"/>
      <c r="AB5" s="689" t="n"/>
      <c r="AC5" s="382" t="n"/>
      <c r="AD5" s="382" t="n"/>
      <c r="AE5" s="382" t="n"/>
      <c r="AF5" s="715" t="n"/>
    </row>
    <row customFormat="1" customHeight="1" ht="15" r="6" s="4">
      <c r="A6" s="576" t="inlineStr">
        <is>
          <t>공동 관리비</t>
        </is>
      </c>
      <c r="B6" s="382" t="n"/>
      <c r="C6" s="382" t="n"/>
      <c r="D6" s="382" t="n"/>
      <c r="E6" s="382" t="n"/>
      <c r="F6" s="348" t="n"/>
      <c r="G6" s="714">
        <f>6000*(58)</f>
        <v/>
      </c>
      <c r="H6" s="382" t="n"/>
      <c r="I6" s="382" t="n"/>
      <c r="J6" s="382" t="n"/>
      <c r="K6" s="348" t="n"/>
      <c r="L6" s="576" t="inlineStr">
        <is>
          <t>2층:58평, 월 6,000원/평</t>
        </is>
      </c>
      <c r="M6" s="382" t="n"/>
      <c r="N6" s="382" t="n"/>
      <c r="O6" s="382" t="n"/>
      <c r="P6" s="382" t="n"/>
      <c r="Q6" s="382" t="n"/>
      <c r="R6" s="382" t="n"/>
      <c r="S6" s="382" t="n"/>
      <c r="T6" s="382" t="n"/>
      <c r="U6" s="382" t="n"/>
      <c r="V6" s="348" t="n"/>
      <c r="X6" s="511" t="n"/>
      <c r="Y6" s="382" t="n"/>
      <c r="Z6" s="382" t="n"/>
      <c r="AA6" s="348" t="n"/>
      <c r="AB6" s="689" t="n"/>
      <c r="AC6" s="382" t="n"/>
      <c r="AD6" s="382" t="n"/>
      <c r="AE6" s="382" t="n"/>
      <c r="AF6" s="715" t="n"/>
      <c r="AH6" s="691" t="n"/>
    </row>
    <row customFormat="1" customHeight="1" ht="15" r="7" s="4">
      <c r="A7" s="576" t="inlineStr">
        <is>
          <t>전기요금</t>
        </is>
      </c>
      <c r="B7" s="382" t="n"/>
      <c r="C7" s="382" t="n"/>
      <c r="D7" s="382" t="n"/>
      <c r="E7" s="382" t="n"/>
      <c r="F7" s="348" t="n"/>
      <c r="G7" s="714">
        <f>전기수도요금!H13</f>
        <v/>
      </c>
      <c r="H7" s="382" t="n"/>
      <c r="I7" s="382" t="n"/>
      <c r="J7" s="382" t="n"/>
      <c r="K7" s="348" t="n"/>
      <c r="L7" s="576" t="n"/>
      <c r="M7" s="382" t="n"/>
      <c r="N7" s="382" t="n"/>
      <c r="O7" s="382" t="n"/>
      <c r="P7" s="382" t="n"/>
      <c r="Q7" s="382" t="n"/>
      <c r="R7" s="382" t="n"/>
      <c r="S7" s="382" t="n"/>
      <c r="T7" s="382" t="n"/>
      <c r="U7" s="382" t="n"/>
      <c r="V7" s="348" t="n"/>
      <c r="X7" s="511" t="n"/>
      <c r="Y7" s="382" t="n"/>
      <c r="Z7" s="382" t="n"/>
      <c r="AA7" s="348" t="n"/>
      <c r="AB7" s="689" t="n"/>
      <c r="AC7" s="382" t="n"/>
      <c r="AD7" s="382" t="n"/>
      <c r="AE7" s="382" t="n"/>
      <c r="AF7" s="715" t="n"/>
    </row>
    <row customFormat="1" customHeight="1" ht="15" r="8" s="4">
      <c r="A8" s="576" t="inlineStr">
        <is>
          <t>상/하수도 요금</t>
        </is>
      </c>
      <c r="B8" s="382" t="n"/>
      <c r="C8" s="382" t="n"/>
      <c r="D8" s="382" t="n"/>
      <c r="E8" s="382" t="n"/>
      <c r="F8" s="348" t="n"/>
      <c r="G8" s="714">
        <f>전기수도요금!G34</f>
        <v/>
      </c>
      <c r="H8" s="382" t="n"/>
      <c r="I8" s="382" t="n"/>
      <c r="J8" s="382" t="n"/>
      <c r="K8" s="348" t="n"/>
      <c r="L8" s="576" t="n"/>
      <c r="M8" s="382" t="n"/>
      <c r="N8" s="382" t="n"/>
      <c r="O8" s="382" t="n"/>
      <c r="P8" s="382" t="n"/>
      <c r="Q8" s="382" t="n"/>
      <c r="R8" s="382" t="n"/>
      <c r="S8" s="382" t="n"/>
      <c r="T8" s="382" t="n"/>
      <c r="U8" s="382" t="n"/>
      <c r="V8" s="348" t="n"/>
      <c r="X8" s="511" t="n"/>
      <c r="Y8" s="382" t="n"/>
      <c r="Z8" s="382" t="n"/>
      <c r="AA8" s="348" t="n"/>
      <c r="AB8" s="689" t="n"/>
      <c r="AC8" s="382" t="n"/>
      <c r="AD8" s="382" t="n"/>
      <c r="AE8" s="382" t="n"/>
      <c r="AF8" s="715" t="n"/>
    </row>
    <row customFormat="1" customHeight="1" ht="15" r="9" s="4">
      <c r="A9" s="579" t="n"/>
      <c r="B9" s="382" t="n"/>
      <c r="C9" s="382" t="n"/>
      <c r="D9" s="382" t="n"/>
      <c r="E9" s="382" t="n"/>
      <c r="F9" s="348" t="n"/>
      <c r="G9" s="714" t="n"/>
      <c r="H9" s="382" t="n"/>
      <c r="I9" s="382" t="n"/>
      <c r="J9" s="382" t="n"/>
      <c r="K9" s="348" t="n"/>
      <c r="L9" s="576" t="n"/>
      <c r="M9" s="382" t="n"/>
      <c r="N9" s="382" t="n"/>
      <c r="O9" s="382" t="n"/>
      <c r="P9" s="382" t="n"/>
      <c r="Q9" s="382" t="n"/>
      <c r="R9" s="382" t="n"/>
      <c r="S9" s="382" t="n"/>
      <c r="T9" s="382" t="n"/>
      <c r="U9" s="382" t="n"/>
      <c r="V9" s="348" t="n"/>
      <c r="X9" s="511" t="n"/>
      <c r="Y9" s="382" t="n"/>
      <c r="Z9" s="382" t="n"/>
      <c r="AA9" s="348" t="n"/>
      <c r="AB9" s="689" t="n"/>
      <c r="AC9" s="382" t="n"/>
      <c r="AD9" s="382" t="n"/>
      <c r="AE9" s="382" t="n"/>
      <c r="AF9" s="715" t="n"/>
    </row>
    <row customFormat="1" customHeight="1" ht="15" r="10" s="4">
      <c r="A10" s="582" t="inlineStr">
        <is>
          <t>임대료 합계</t>
        </is>
      </c>
      <c r="B10" s="382" t="n"/>
      <c r="C10" s="382" t="n"/>
      <c r="D10" s="382" t="n"/>
      <c r="E10" s="382" t="n"/>
      <c r="F10" s="348" t="n"/>
      <c r="G10" s="716">
        <f>SUM(G4:J9)</f>
        <v/>
      </c>
      <c r="H10" s="382" t="n"/>
      <c r="I10" s="382" t="n"/>
      <c r="J10" s="382" t="n"/>
      <c r="K10" s="348" t="n"/>
      <c r="L10" s="583" t="n"/>
      <c r="M10" s="382" t="n"/>
      <c r="N10" s="382" t="n"/>
      <c r="O10" s="382" t="n"/>
      <c r="P10" s="382" t="n"/>
      <c r="Q10" s="382" t="n"/>
      <c r="R10" s="382" t="n"/>
      <c r="S10" s="382" t="n"/>
      <c r="T10" s="382" t="n"/>
      <c r="U10" s="382" t="n"/>
      <c r="V10" s="348" t="n"/>
      <c r="X10" s="511" t="n"/>
      <c r="Y10" s="382" t="n"/>
      <c r="Z10" s="382" t="n"/>
      <c r="AA10" s="348" t="n"/>
      <c r="AB10" s="689" t="n"/>
      <c r="AC10" s="382" t="n"/>
      <c r="AD10" s="382" t="n"/>
      <c r="AE10" s="382" t="n"/>
      <c r="AF10" s="715" t="n"/>
    </row>
    <row customFormat="1" customHeight="1" ht="15" r="11" s="4">
      <c r="A11" s="42" t="n"/>
      <c r="B11" s="42" t="n"/>
      <c r="C11" s="42" t="n"/>
      <c r="X11" s="511" t="n"/>
      <c r="Y11" s="382" t="n"/>
      <c r="Z11" s="382" t="n"/>
      <c r="AA11" s="348" t="n"/>
      <c r="AB11" s="689" t="n"/>
      <c r="AC11" s="382" t="n"/>
      <c r="AD11" s="382" t="n"/>
      <c r="AE11" s="382" t="n"/>
      <c r="AF11" s="715" t="n"/>
    </row>
    <row customFormat="1" customHeight="1" ht="15" r="12" s="4">
      <c r="A12" s="43">
        <f>정육점!A12</f>
        <v/>
      </c>
      <c r="B12" s="44" t="n"/>
      <c r="C12" s="45" t="n"/>
      <c r="D12" s="46" t="n"/>
      <c r="E12" s="46" t="n"/>
      <c r="F12" s="46" t="n"/>
      <c r="G12" s="46" t="n"/>
      <c r="H12" s="46" t="n"/>
      <c r="I12" s="46" t="n"/>
      <c r="J12" s="46" t="n"/>
      <c r="K12" s="46" t="n"/>
      <c r="L12" s="46" t="n"/>
      <c r="M12" s="46" t="n"/>
      <c r="N12" s="46" t="n"/>
      <c r="O12" s="46" t="n"/>
      <c r="P12" s="46" t="n"/>
      <c r="Q12" s="46" t="n"/>
      <c r="R12" s="46" t="n"/>
      <c r="S12" s="46" t="n"/>
      <c r="T12" s="46" t="n"/>
      <c r="U12" s="46" t="n"/>
      <c r="V12" s="46" t="n"/>
      <c r="X12" s="511" t="n"/>
      <c r="Y12" s="382" t="n"/>
      <c r="Z12" s="382" t="n"/>
      <c r="AA12" s="348" t="n"/>
      <c r="AB12" s="718" t="n"/>
      <c r="AC12" s="378" t="n"/>
      <c r="AD12" s="378" t="n"/>
      <c r="AE12" s="378" t="n"/>
      <c r="AF12" s="719" t="n"/>
      <c r="AM12" s="115" t="n"/>
    </row>
    <row customFormat="1" customHeight="1" ht="15" r="13" s="4">
      <c r="A13" s="47" t="inlineStr">
        <is>
          <t>신한은행 379-02-099892 (예금주:곽순욱/세림빌딩)</t>
        </is>
      </c>
      <c r="B13" s="44" t="n"/>
      <c r="C13" s="45" t="n"/>
      <c r="D13" s="46" t="n"/>
      <c r="E13" s="46" t="n"/>
      <c r="F13" s="46" t="n"/>
      <c r="G13" s="46" t="n"/>
      <c r="H13" s="46" t="n"/>
      <c r="I13" s="46" t="n"/>
      <c r="J13" s="46" t="n"/>
      <c r="K13" s="46" t="n"/>
      <c r="L13" s="46" t="n"/>
      <c r="M13" s="46" t="n"/>
      <c r="N13" s="46" t="n"/>
      <c r="O13" s="46" t="n"/>
      <c r="P13" s="46" t="n"/>
      <c r="Q13" s="46" t="n"/>
      <c r="R13" s="46" t="n"/>
      <c r="S13" s="46" t="n"/>
      <c r="T13" s="46" t="n"/>
      <c r="U13" s="46" t="n"/>
      <c r="V13" s="46" t="n"/>
      <c r="X13" s="574" t="inlineStr">
        <is>
          <t>합계</t>
        </is>
      </c>
      <c r="Y13" s="382" t="n"/>
      <c r="Z13" s="382" t="n"/>
      <c r="AA13" s="382" t="n"/>
      <c r="AB13" s="694">
        <f>SUM(AB4:AE12)</f>
        <v/>
      </c>
      <c r="AC13" s="382" t="n"/>
      <c r="AD13" s="382" t="n"/>
      <c r="AE13" s="382" t="n"/>
      <c r="AF13" s="720" t="inlineStr">
        <is>
          <t>원</t>
        </is>
      </c>
    </row>
    <row customFormat="1" customHeight="1" ht="15" r="14" s="4">
      <c r="A14" s="54" t="n"/>
      <c r="B14" s="55" t="n"/>
      <c r="C14" s="56" t="n"/>
      <c r="X14" s="49" t="n"/>
      <c r="Y14" s="49" t="n"/>
      <c r="Z14" s="49" t="n"/>
      <c r="AA14" s="49" t="n"/>
      <c r="AB14" s="696" t="n"/>
      <c r="AC14" s="696" t="n"/>
      <c r="AD14" s="696" t="n"/>
      <c r="AE14" s="696" t="n"/>
      <c r="AF14" s="697" t="n"/>
    </row>
    <row customFormat="1" r="15" s="4"/>
    <row customFormat="1" r="16" s="4"/>
    <row customFormat="1" r="17" s="4">
      <c r="A17" s="48" t="n"/>
      <c r="B17" s="48" t="n"/>
      <c r="C17" s="48" t="n"/>
      <c r="D17" s="48" t="n"/>
      <c r="E17" s="48" t="n"/>
      <c r="F17" s="48" t="n"/>
      <c r="G17" s="48" t="n"/>
      <c r="H17" s="48" t="n"/>
      <c r="I17" s="48" t="n"/>
      <c r="J17" s="48" t="n"/>
      <c r="K17" s="48" t="n"/>
      <c r="L17" s="48" t="n"/>
      <c r="M17" s="48" t="n"/>
      <c r="N17" s="48" t="n"/>
      <c r="O17" s="48" t="n"/>
      <c r="P17" s="48" t="n"/>
      <c r="Q17" s="48" t="n"/>
      <c r="R17" s="48" t="n"/>
      <c r="S17" s="48" t="n"/>
      <c r="T17" s="48" t="n"/>
      <c r="U17" s="48" t="n"/>
      <c r="V17" s="48" t="n"/>
      <c r="W17" s="48" t="n"/>
      <c r="X17" s="48" t="n"/>
      <c r="Y17" s="48" t="n"/>
      <c r="Z17" s="48" t="n"/>
      <c r="AA17" s="48" t="n"/>
      <c r="AB17" s="48" t="n"/>
      <c r="AC17" s="48" t="n"/>
      <c r="AD17" s="48" t="n"/>
      <c r="AE17" s="48" t="n"/>
      <c r="AF17" s="48" t="n"/>
    </row>
    <row customHeight="1" ht="14.25" r="18" s="391" thickBot="1">
      <c r="A18" s="31" t="inlineStr">
        <is>
          <t>[별지 제11호 서식]</t>
        </is>
      </c>
      <c r="B18" s="31" t="n"/>
      <c r="C18" s="32" t="n"/>
      <c r="D18" s="32" t="n"/>
      <c r="E18" s="32" t="n"/>
      <c r="F18" s="32" t="n"/>
      <c r="G18" s="33" t="n"/>
      <c r="H18" s="33" t="n"/>
      <c r="I18" s="32" t="n"/>
      <c r="J18" s="32" t="n"/>
      <c r="K18" s="32" t="n"/>
      <c r="L18" s="32" t="n"/>
      <c r="M18" s="32" t="n"/>
      <c r="N18" s="32" t="n"/>
      <c r="O18" s="32" t="n"/>
      <c r="P18" s="32" t="n"/>
      <c r="Q18" s="32" t="n"/>
      <c r="R18" s="32" t="n"/>
      <c r="S18" s="32" t="n"/>
      <c r="T18" s="32" t="n"/>
      <c r="U18" s="32" t="n"/>
      <c r="V18" s="470" t="n"/>
      <c r="AB18" s="470" t="n"/>
    </row>
    <row r="19">
      <c r="A19" s="500" t="inlineStr">
        <is>
          <t>세 금 계 산 서</t>
        </is>
      </c>
      <c r="B19" s="404" t="n"/>
      <c r="C19" s="404" t="n"/>
      <c r="D19" s="404" t="n"/>
      <c r="E19" s="404" t="n"/>
      <c r="F19" s="404" t="n"/>
      <c r="G19" s="404" t="n"/>
      <c r="H19" s="404" t="n"/>
      <c r="I19" s="404" t="n"/>
      <c r="J19" s="404" t="n"/>
      <c r="K19" s="404" t="n"/>
      <c r="L19" s="404" t="n"/>
      <c r="M19" s="404" t="n"/>
      <c r="N19" s="404" t="n"/>
      <c r="O19" s="404" t="n"/>
      <c r="P19" s="502" t="inlineStr">
        <is>
          <t>(</t>
        </is>
      </c>
      <c r="Q19" s="503" t="inlineStr">
        <is>
          <t>공급받는자</t>
        </is>
      </c>
      <c r="R19" s="404" t="n"/>
      <c r="S19" s="404" t="n"/>
      <c r="T19" s="404" t="n"/>
      <c r="U19" s="404" t="n"/>
      <c r="V19" s="503" t="inlineStr">
        <is>
          <t>)</t>
        </is>
      </c>
      <c r="W19" s="504" t="inlineStr">
        <is>
          <t>책   번   호</t>
        </is>
      </c>
      <c r="X19" s="430" t="n"/>
      <c r="Y19" s="430" t="n"/>
      <c r="Z19" s="431" t="n"/>
      <c r="AA19" s="505" t="n"/>
      <c r="AB19" s="430" t="n"/>
      <c r="AC19" s="34" t="inlineStr">
        <is>
          <t>권</t>
        </is>
      </c>
      <c r="AD19" s="505" t="n"/>
      <c r="AE19" s="430" t="n"/>
      <c r="AF19" s="35" t="inlineStr">
        <is>
          <t>호</t>
        </is>
      </c>
    </row>
    <row customHeight="1" ht="14.25" r="20" s="391" thickBot="1">
      <c r="A20" s="501" t="n"/>
      <c r="Q20" s="506" t="inlineStr">
        <is>
          <t>보  관  용</t>
        </is>
      </c>
      <c r="R20" s="419" t="n"/>
      <c r="S20" s="419" t="n"/>
      <c r="T20" s="419" t="n"/>
      <c r="U20" s="419" t="n"/>
      <c r="W20" s="462" t="inlineStr">
        <is>
          <t>일 련 번 호</t>
        </is>
      </c>
      <c r="X20" s="408" t="n"/>
      <c r="Y20" s="408" t="n"/>
      <c r="Z20" s="409" t="n"/>
      <c r="AA20" s="303" t="n"/>
      <c r="AB20" s="304" t="n"/>
      <c r="AC20" s="303" t="n"/>
      <c r="AD20" s="303" t="n"/>
      <c r="AE20" s="303" t="n"/>
      <c r="AF20" s="305" t="n"/>
    </row>
    <row customHeight="1" ht="13.5" r="21" s="391">
      <c r="A21" s="463" t="inlineStr">
        <is>
          <t>공 급 자</t>
        </is>
      </c>
      <c r="B21" s="433" t="inlineStr">
        <is>
          <t>등록번호</t>
        </is>
      </c>
      <c r="C21" s="416" t="n"/>
      <c r="D21" s="417" t="n"/>
      <c r="E21" s="458" t="n">
        <v>1</v>
      </c>
      <c r="F21" s="452" t="n">
        <v>2</v>
      </c>
      <c r="G21" s="452" t="n">
        <v>4</v>
      </c>
      <c r="H21" s="452" t="inlineStr">
        <is>
          <t>-</t>
        </is>
      </c>
      <c r="I21" s="452" t="n">
        <v>2</v>
      </c>
      <c r="J21" s="452" t="n">
        <v>0</v>
      </c>
      <c r="K21" s="452" t="inlineStr">
        <is>
          <t>-</t>
        </is>
      </c>
      <c r="L21" s="452" t="n">
        <v>2</v>
      </c>
      <c r="M21" s="452" t="n">
        <v>6</v>
      </c>
      <c r="N21" s="452" t="n">
        <v>4</v>
      </c>
      <c r="O21" s="452" t="n">
        <v>4</v>
      </c>
      <c r="P21" s="465" t="n">
        <v>9</v>
      </c>
      <c r="Q21" s="467" t="inlineStr">
        <is>
          <t>공급받는자</t>
        </is>
      </c>
      <c r="R21" s="433" t="inlineStr">
        <is>
          <t>등록번호</t>
        </is>
      </c>
      <c r="S21" s="416" t="n"/>
      <c r="T21" s="417" t="n"/>
      <c r="U21" s="458" t="n">
        <v>6</v>
      </c>
      <c r="V21" s="452" t="n">
        <v>1</v>
      </c>
      <c r="W21" s="452" t="n">
        <v>3</v>
      </c>
      <c r="X21" s="452" t="inlineStr">
        <is>
          <t>-</t>
        </is>
      </c>
      <c r="Y21" s="452" t="n">
        <v>3</v>
      </c>
      <c r="Z21" s="452" t="n">
        <v>2</v>
      </c>
      <c r="AA21" s="452" t="inlineStr">
        <is>
          <t>-</t>
        </is>
      </c>
      <c r="AB21" s="452" t="n">
        <v>5</v>
      </c>
      <c r="AC21" s="452" t="n">
        <v>0</v>
      </c>
      <c r="AD21" s="452" t="n">
        <v>5</v>
      </c>
      <c r="AE21" s="452" t="n">
        <v>7</v>
      </c>
      <c r="AF21" s="453" t="n">
        <v>3</v>
      </c>
    </row>
    <row customHeight="1" ht="14.25" r="22" s="391" thickBot="1">
      <c r="A22" s="464" t="n"/>
      <c r="B22" s="418" t="n"/>
      <c r="C22" s="419" t="n"/>
      <c r="D22" s="420" t="n"/>
      <c r="E22" s="459" t="n"/>
      <c r="F22" s="439" t="n"/>
      <c r="G22" s="439" t="n"/>
      <c r="H22" s="439" t="n"/>
      <c r="I22" s="439" t="n"/>
      <c r="J22" s="439" t="n"/>
      <c r="K22" s="439" t="n"/>
      <c r="L22" s="439" t="n"/>
      <c r="M22" s="439" t="n"/>
      <c r="N22" s="439" t="n"/>
      <c r="O22" s="439" t="n"/>
      <c r="P22" s="466" t="n"/>
      <c r="Q22" s="468" t="n"/>
      <c r="R22" s="418" t="n"/>
      <c r="S22" s="419" t="n"/>
      <c r="T22" s="420" t="n"/>
      <c r="U22" s="459" t="n"/>
      <c r="V22" s="439" t="n"/>
      <c r="W22" s="439" t="n"/>
      <c r="X22" s="439" t="n"/>
      <c r="Y22" s="439" t="n"/>
      <c r="Z22" s="439" t="n"/>
      <c r="AA22" s="439" t="n"/>
      <c r="AB22" s="439" t="n"/>
      <c r="AC22" s="439" t="n"/>
      <c r="AD22" s="439" t="n"/>
      <c r="AE22" s="439" t="n"/>
      <c r="AF22" s="454" t="n"/>
    </row>
    <row customHeight="1" ht="13.5" r="23" s="391">
      <c r="A23" s="464" t="n"/>
      <c r="B23" s="444" t="inlineStr">
        <is>
          <t>상     호</t>
        </is>
      </c>
      <c r="C23" s="416" t="n"/>
      <c r="D23" s="417" t="n"/>
      <c r="E23" s="445" t="inlineStr">
        <is>
          <t>세림빌딩</t>
        </is>
      </c>
      <c r="F23" s="416" t="n"/>
      <c r="G23" s="416" t="n"/>
      <c r="H23" s="416" t="n"/>
      <c r="I23" s="416" t="n"/>
      <c r="J23" s="417" t="n"/>
      <c r="K23" s="438" t="inlineStr">
        <is>
          <t>성명</t>
        </is>
      </c>
      <c r="L23" s="447" t="inlineStr">
        <is>
          <t>곽순욱 외1인</t>
        </is>
      </c>
      <c r="M23" s="416" t="n"/>
      <c r="N23" s="416" t="n"/>
      <c r="O23" s="417" t="n"/>
      <c r="P23" s="448" t="inlineStr">
        <is>
          <t>인</t>
        </is>
      </c>
      <c r="Q23" s="468" t="n"/>
      <c r="R23" s="444" t="inlineStr">
        <is>
          <t>상     호</t>
        </is>
      </c>
      <c r="S23" s="416" t="n"/>
      <c r="T23" s="417" t="n"/>
      <c r="U23" s="585" t="inlineStr">
        <is>
          <t>법률사무소 백야</t>
        </is>
      </c>
      <c r="V23" s="404" t="n"/>
      <c r="W23" s="404" t="n"/>
      <c r="X23" s="404" t="n"/>
      <c r="Y23" s="404" t="n"/>
      <c r="Z23" s="456" t="n"/>
      <c r="AA23" s="457" t="inlineStr">
        <is>
          <t>성명</t>
        </is>
      </c>
      <c r="AB23" s="460" t="inlineStr">
        <is>
          <t>오동수</t>
        </is>
      </c>
      <c r="AC23" s="404" t="n"/>
      <c r="AD23" s="404" t="n"/>
      <c r="AE23" s="404" t="n"/>
      <c r="AF23" s="461" t="inlineStr">
        <is>
          <t>인</t>
        </is>
      </c>
    </row>
    <row customHeight="1" ht="14.25" r="24" s="391" thickBot="1">
      <c r="A24" s="464" t="n"/>
      <c r="B24" s="443" t="inlineStr">
        <is>
          <t>(법인명)</t>
        </is>
      </c>
      <c r="C24" s="419" t="n"/>
      <c r="D24" s="420" t="n"/>
      <c r="E24" s="446" t="n"/>
      <c r="F24" s="436" t="n"/>
      <c r="G24" s="436" t="n"/>
      <c r="H24" s="436" t="n"/>
      <c r="I24" s="436" t="n"/>
      <c r="J24" s="437" t="n"/>
      <c r="K24" s="439" t="n"/>
      <c r="L24" s="418" t="n"/>
      <c r="M24" s="419" t="n"/>
      <c r="N24" s="419" t="n"/>
      <c r="O24" s="420" t="n"/>
      <c r="P24" s="406" t="n"/>
      <c r="Q24" s="468" t="n"/>
      <c r="R24" s="443" t="inlineStr">
        <is>
          <t>(법인명)</t>
        </is>
      </c>
      <c r="S24" s="419" t="n"/>
      <c r="T24" s="420" t="n"/>
      <c r="U24" s="435" t="n"/>
      <c r="V24" s="436" t="n"/>
      <c r="W24" s="436" t="n"/>
      <c r="X24" s="436" t="n"/>
      <c r="Y24" s="436" t="n"/>
      <c r="Z24" s="437" t="n"/>
      <c r="AA24" s="439" t="n"/>
      <c r="AB24" s="418" t="n"/>
      <c r="AC24" s="419" t="n"/>
      <c r="AD24" s="419" t="n"/>
      <c r="AE24" s="419" t="n"/>
      <c r="AF24" s="406" t="n"/>
    </row>
    <row customHeight="1" ht="13.5" r="25" s="391">
      <c r="A25" s="464" t="n"/>
      <c r="B25" s="444" t="inlineStr">
        <is>
          <t>사 업 장</t>
        </is>
      </c>
      <c r="C25" s="416" t="n"/>
      <c r="D25" s="417" t="n"/>
      <c r="E25" s="469" t="inlineStr">
        <is>
          <t>경기도 수원시 영통구 동수원로 514</t>
        </is>
      </c>
      <c r="F25" s="404" t="n"/>
      <c r="G25" s="404" t="n"/>
      <c r="H25" s="404" t="n"/>
      <c r="I25" s="404" t="n"/>
      <c r="J25" s="404" t="n"/>
      <c r="K25" s="404" t="n"/>
      <c r="L25" s="404" t="n"/>
      <c r="M25" s="404" t="n"/>
      <c r="N25" s="404" t="n"/>
      <c r="O25" s="404" t="n"/>
      <c r="P25" s="456" t="n"/>
      <c r="Q25" s="468" t="n"/>
      <c r="R25" s="444" t="inlineStr">
        <is>
          <t>사 업 장</t>
        </is>
      </c>
      <c r="S25" s="416" t="n"/>
      <c r="T25" s="417" t="n"/>
      <c r="U25" s="469" t="inlineStr">
        <is>
          <t>경기도 수원시 영통구 동수원로 514</t>
        </is>
      </c>
      <c r="V25" s="404" t="n"/>
      <c r="W25" s="404" t="n"/>
      <c r="X25" s="404" t="n"/>
      <c r="Y25" s="404" t="n"/>
      <c r="Z25" s="404" t="n"/>
      <c r="AA25" s="404" t="n"/>
      <c r="AB25" s="404" t="n"/>
      <c r="AC25" s="404" t="n"/>
      <c r="AD25" s="404" t="n"/>
      <c r="AE25" s="404" t="n"/>
      <c r="AF25" s="456" t="n"/>
      <c r="AH25" s="95" t="inlineStr">
        <is>
          <t>공급가액</t>
        </is>
      </c>
      <c r="AI25" s="95" t="inlineStr">
        <is>
          <t>세액</t>
        </is>
      </c>
      <c r="AJ25" s="95" t="inlineStr">
        <is>
          <t>합계금액</t>
        </is>
      </c>
    </row>
    <row r="26">
      <c r="A26" s="464" t="n"/>
      <c r="B26" s="443" t="inlineStr">
        <is>
          <t>주     소</t>
        </is>
      </c>
      <c r="C26" s="419" t="n"/>
      <c r="D26" s="420" t="n"/>
      <c r="E26" s="418" t="n"/>
      <c r="F26" s="419" t="n"/>
      <c r="G26" s="419" t="n"/>
      <c r="H26" s="419" t="n"/>
      <c r="I26" s="419" t="n"/>
      <c r="J26" s="419" t="n"/>
      <c r="K26" s="419" t="n"/>
      <c r="L26" s="419" t="n"/>
      <c r="M26" s="419" t="n"/>
      <c r="N26" s="419" t="n"/>
      <c r="O26" s="419" t="n"/>
      <c r="P26" s="420" t="n"/>
      <c r="Q26" s="468" t="n"/>
      <c r="R26" s="443" t="inlineStr">
        <is>
          <t>주     소</t>
        </is>
      </c>
      <c r="S26" s="419" t="n"/>
      <c r="T26" s="420" t="n"/>
      <c r="U26" s="418" t="n"/>
      <c r="V26" s="419" t="n"/>
      <c r="W26" s="419" t="n"/>
      <c r="X26" s="419" t="n"/>
      <c r="Y26" s="419" t="n"/>
      <c r="Z26" s="419" t="n"/>
      <c r="AA26" s="419" t="n"/>
      <c r="AB26" s="419" t="n"/>
      <c r="AC26" s="419" t="n"/>
      <c r="AD26" s="419" t="n"/>
      <c r="AE26" s="419" t="n"/>
      <c r="AF26" s="420" t="n"/>
      <c r="AH26" s="698">
        <f>T33</f>
        <v/>
      </c>
      <c r="AI26" s="698">
        <f>Z33</f>
        <v/>
      </c>
    </row>
    <row customHeight="1" ht="13.5" r="27" s="391">
      <c r="A27" s="464" t="n"/>
      <c r="B27" s="433" t="inlineStr">
        <is>
          <t>업     태</t>
        </is>
      </c>
      <c r="C27" s="416" t="n"/>
      <c r="D27" s="417" t="n"/>
      <c r="E27" s="434" t="inlineStr">
        <is>
          <t>부동산업</t>
        </is>
      </c>
      <c r="F27" s="416" t="n"/>
      <c r="G27" s="416" t="n"/>
      <c r="H27" s="416" t="n"/>
      <c r="I27" s="416" t="n"/>
      <c r="J27" s="417" t="n"/>
      <c r="K27" s="438" t="inlineStr">
        <is>
          <t>종목</t>
        </is>
      </c>
      <c r="L27" s="434" t="inlineStr">
        <is>
          <t>비주거용            건물임대업</t>
        </is>
      </c>
      <c r="M27" s="416" t="n"/>
      <c r="N27" s="416" t="n"/>
      <c r="O27" s="416" t="n"/>
      <c r="P27" s="417" t="n"/>
      <c r="Q27" s="468" t="n"/>
      <c r="R27" s="433" t="inlineStr">
        <is>
          <t>업     태</t>
        </is>
      </c>
      <c r="S27" s="416" t="n"/>
      <c r="T27" s="417" t="n"/>
      <c r="U27" s="434" t="inlineStr">
        <is>
          <t>서비스</t>
        </is>
      </c>
      <c r="V27" s="416" t="n"/>
      <c r="W27" s="416" t="n"/>
      <c r="X27" s="416" t="n"/>
      <c r="Y27" s="416" t="n"/>
      <c r="Z27" s="417" t="n"/>
      <c r="AA27" s="438" t="inlineStr">
        <is>
          <t>종목</t>
        </is>
      </c>
      <c r="AB27" s="449" t="inlineStr">
        <is>
          <t>법률서비스</t>
        </is>
      </c>
      <c r="AC27" s="416" t="n"/>
      <c r="AD27" s="416" t="n"/>
      <c r="AE27" s="416" t="n"/>
      <c r="AF27" s="450" t="n"/>
      <c r="AH27" s="698">
        <f>T34</f>
        <v/>
      </c>
      <c r="AI27" s="698">
        <f>Z34</f>
        <v/>
      </c>
    </row>
    <row customHeight="1" ht="14.25" r="28" s="391" thickBot="1">
      <c r="A28" s="459" t="n"/>
      <c r="B28" s="418" t="n"/>
      <c r="C28" s="419" t="n"/>
      <c r="D28" s="420" t="n"/>
      <c r="E28" s="435" t="n"/>
      <c r="F28" s="436" t="n"/>
      <c r="G28" s="436" t="n"/>
      <c r="H28" s="436" t="n"/>
      <c r="I28" s="436" t="n"/>
      <c r="J28" s="437" t="n"/>
      <c r="K28" s="439" t="n"/>
      <c r="L28" s="435" t="n"/>
      <c r="M28" s="436" t="n"/>
      <c r="N28" s="436" t="n"/>
      <c r="O28" s="436" t="n"/>
      <c r="P28" s="437" t="n"/>
      <c r="Q28" s="420" t="n"/>
      <c r="R28" s="418" t="n"/>
      <c r="S28" s="419" t="n"/>
      <c r="T28" s="420" t="n"/>
      <c r="U28" s="435" t="n"/>
      <c r="V28" s="436" t="n"/>
      <c r="W28" s="436" t="n"/>
      <c r="X28" s="436" t="n"/>
      <c r="Y28" s="436" t="n"/>
      <c r="Z28" s="437" t="n"/>
      <c r="AA28" s="439" t="n"/>
      <c r="AB28" s="435" t="n"/>
      <c r="AC28" s="436" t="n"/>
      <c r="AD28" s="436" t="n"/>
      <c r="AE28" s="436" t="n"/>
      <c r="AF28" s="451" t="n"/>
      <c r="AH28" s="698">
        <f>T35</f>
        <v/>
      </c>
      <c r="AI28" s="698">
        <f>Z35</f>
        <v/>
      </c>
    </row>
    <row r="29">
      <c r="A29" s="432" t="inlineStr">
        <is>
          <t>작     성</t>
        </is>
      </c>
      <c r="B29" s="430" t="n"/>
      <c r="C29" s="430" t="n"/>
      <c r="D29" s="431" t="n"/>
      <c r="E29" s="429" t="inlineStr">
        <is>
          <t>공      급      가      액</t>
        </is>
      </c>
      <c r="F29" s="430" t="n"/>
      <c r="G29" s="430" t="n"/>
      <c r="H29" s="430" t="n"/>
      <c r="I29" s="430" t="n"/>
      <c r="J29" s="430" t="n"/>
      <c r="K29" s="430" t="n"/>
      <c r="L29" s="430" t="n"/>
      <c r="M29" s="430" t="n"/>
      <c r="N29" s="430" t="n"/>
      <c r="O29" s="430" t="n"/>
      <c r="P29" s="430" t="n"/>
      <c r="Q29" s="431" t="n"/>
      <c r="R29" s="429" t="inlineStr">
        <is>
          <t>세               액</t>
        </is>
      </c>
      <c r="S29" s="430" t="n"/>
      <c r="T29" s="430" t="n"/>
      <c r="U29" s="430" t="n"/>
      <c r="V29" s="430" t="n"/>
      <c r="W29" s="430" t="n"/>
      <c r="X29" s="430" t="n"/>
      <c r="Y29" s="430" t="n"/>
      <c r="Z29" s="430" t="n"/>
      <c r="AA29" s="431" t="n"/>
      <c r="AB29" s="429" t="inlineStr">
        <is>
          <t>비      고</t>
        </is>
      </c>
      <c r="AC29" s="430" t="n"/>
      <c r="AD29" s="430" t="n"/>
      <c r="AE29" s="430" t="n"/>
      <c r="AF29" s="431" t="n"/>
      <c r="AH29" s="699">
        <f>ROUND(SUM(AH26:AH28),0)</f>
        <v/>
      </c>
      <c r="AI29" s="699">
        <f>ROUND(SUM(AI26:AI28),0)</f>
        <v/>
      </c>
      <c r="AJ29" s="700">
        <f>SUM(AH29:AI29)</f>
        <v/>
      </c>
    </row>
    <row r="30">
      <c r="A30" s="413" t="inlineStr">
        <is>
          <t>년</t>
        </is>
      </c>
      <c r="B30" s="412" t="n"/>
      <c r="C30" s="306" t="inlineStr">
        <is>
          <t>월</t>
        </is>
      </c>
      <c r="D30" s="306" t="inlineStr">
        <is>
          <t>일</t>
        </is>
      </c>
      <c r="E30" s="415" t="inlineStr">
        <is>
          <t>공란수</t>
        </is>
      </c>
      <c r="F30" s="412" t="n"/>
      <c r="G30" s="415" t="inlineStr">
        <is>
          <t>백</t>
        </is>
      </c>
      <c r="H30" s="306" t="inlineStr">
        <is>
          <t>십</t>
        </is>
      </c>
      <c r="I30" s="306" t="inlineStr">
        <is>
          <t>억</t>
        </is>
      </c>
      <c r="J30" s="306" t="inlineStr">
        <is>
          <t>천</t>
        </is>
      </c>
      <c r="K30" s="306" t="inlineStr">
        <is>
          <t>백</t>
        </is>
      </c>
      <c r="L30" s="306" t="inlineStr">
        <is>
          <t>십</t>
        </is>
      </c>
      <c r="M30" s="306" t="inlineStr">
        <is>
          <t>만</t>
        </is>
      </c>
      <c r="N30" s="306" t="inlineStr">
        <is>
          <t>천</t>
        </is>
      </c>
      <c r="O30" s="306" t="inlineStr">
        <is>
          <t>백</t>
        </is>
      </c>
      <c r="P30" s="306" t="inlineStr">
        <is>
          <t>십</t>
        </is>
      </c>
      <c r="Q30" s="306" t="inlineStr">
        <is>
          <t>일</t>
        </is>
      </c>
      <c r="R30" s="306" t="inlineStr">
        <is>
          <t>십</t>
        </is>
      </c>
      <c r="S30" s="306" t="inlineStr">
        <is>
          <t>억</t>
        </is>
      </c>
      <c r="T30" s="306" t="inlineStr">
        <is>
          <t>천</t>
        </is>
      </c>
      <c r="U30" s="306" t="inlineStr">
        <is>
          <t>백</t>
        </is>
      </c>
      <c r="V30" s="306" t="inlineStr">
        <is>
          <t>십</t>
        </is>
      </c>
      <c r="W30" s="306" t="inlineStr">
        <is>
          <t>만</t>
        </is>
      </c>
      <c r="X30" s="306" t="inlineStr">
        <is>
          <t>천</t>
        </is>
      </c>
      <c r="Y30" s="306" t="inlineStr">
        <is>
          <t>백</t>
        </is>
      </c>
      <c r="Z30" s="306" t="inlineStr">
        <is>
          <t>십</t>
        </is>
      </c>
      <c r="AA30" s="306" t="inlineStr">
        <is>
          <t>일</t>
        </is>
      </c>
      <c r="AB30" s="440" t="n"/>
      <c r="AC30" s="416" t="n"/>
      <c r="AD30" s="416" t="n"/>
      <c r="AE30" s="416" t="n"/>
      <c r="AF30" s="417" t="n"/>
    </row>
    <row customHeight="1" ht="14.25" r="31" s="391" thickBot="1">
      <c r="A31" s="441">
        <f>Q1</f>
        <v/>
      </c>
      <c r="B31" s="408" t="n"/>
      <c r="C31" s="308">
        <f>V1</f>
        <v/>
      </c>
      <c r="D31" s="309" t="n">
        <v>25</v>
      </c>
      <c r="E31" s="701" t="n"/>
      <c r="F31" s="409" t="n"/>
      <c r="G31" s="702" t="n"/>
      <c r="H31" s="702" t="n"/>
      <c r="I31" s="702" t="n"/>
      <c r="J31" s="702" t="n"/>
      <c r="K31" s="702">
        <f>MID(AH29,1,1)</f>
        <v/>
      </c>
      <c r="L31" s="702">
        <f>MID(AH29,2,1)</f>
        <v/>
      </c>
      <c r="M31" s="702">
        <f>MID(AH29,3,1)</f>
        <v/>
      </c>
      <c r="N31" s="702">
        <f>MID(AH29,4,1)</f>
        <v/>
      </c>
      <c r="O31" s="702">
        <f>MID(AH29,5,1)</f>
        <v/>
      </c>
      <c r="P31" s="702">
        <f>MID(AH29,6,1)</f>
        <v/>
      </c>
      <c r="Q31" s="702">
        <f>MID(AH29,7,1)</f>
        <v/>
      </c>
      <c r="R31" s="702" t="n"/>
      <c r="S31" s="702" t="n"/>
      <c r="T31" s="702" t="n"/>
      <c r="U31" s="702" t="n"/>
      <c r="V31" s="702">
        <f>MID(AI29,1,1)</f>
        <v/>
      </c>
      <c r="W31" s="702">
        <f>MID(AI29,2,1)</f>
        <v/>
      </c>
      <c r="X31" s="702">
        <f>MID(AI29,3,1)</f>
        <v/>
      </c>
      <c r="Y31" s="702">
        <f>MID(AI29,4,1)</f>
        <v/>
      </c>
      <c r="Z31" s="702">
        <f>MID(AI29,5,1)</f>
        <v/>
      </c>
      <c r="AA31" s="702">
        <f>MID(AI29,6,1)</f>
        <v/>
      </c>
      <c r="AB31" s="418" t="n"/>
      <c r="AC31" s="419" t="n"/>
      <c r="AD31" s="419" t="n"/>
      <c r="AE31" s="419" t="n"/>
      <c r="AF31" s="420" t="n"/>
    </row>
    <row r="32">
      <c r="A32" s="36" t="inlineStr">
        <is>
          <t>월</t>
        </is>
      </c>
      <c r="B32" s="37" t="inlineStr">
        <is>
          <t>일</t>
        </is>
      </c>
      <c r="C32" s="428" t="inlineStr">
        <is>
          <t>품          목</t>
        </is>
      </c>
      <c r="D32" s="419" t="n"/>
      <c r="E32" s="419" t="n"/>
      <c r="F32" s="419" t="n"/>
      <c r="G32" s="419" t="n"/>
      <c r="H32" s="420" t="n"/>
      <c r="I32" s="429" t="inlineStr">
        <is>
          <t>규격</t>
        </is>
      </c>
      <c r="J32" s="430" t="n"/>
      <c r="K32" s="431" t="n"/>
      <c r="L32" s="429" t="inlineStr">
        <is>
          <t>수량</t>
        </is>
      </c>
      <c r="M32" s="430" t="n"/>
      <c r="N32" s="431" t="n"/>
      <c r="O32" s="428" t="inlineStr">
        <is>
          <t>단      가</t>
        </is>
      </c>
      <c r="P32" s="419" t="n"/>
      <c r="Q32" s="419" t="n"/>
      <c r="R32" s="419" t="n"/>
      <c r="S32" s="420" t="n"/>
      <c r="T32" s="428" t="inlineStr">
        <is>
          <t>공  급  가  액</t>
        </is>
      </c>
      <c r="U32" s="419" t="n"/>
      <c r="V32" s="419" t="n"/>
      <c r="W32" s="419" t="n"/>
      <c r="X32" s="419" t="n"/>
      <c r="Y32" s="420" t="n"/>
      <c r="Z32" s="428" t="inlineStr">
        <is>
          <t>세        액</t>
        </is>
      </c>
      <c r="AA32" s="419" t="n"/>
      <c r="AB32" s="419" t="n"/>
      <c r="AC32" s="419" t="n"/>
      <c r="AD32" s="420" t="n"/>
      <c r="AE32" s="428" t="inlineStr">
        <is>
          <t>비고</t>
        </is>
      </c>
      <c r="AF32" s="420" t="n"/>
    </row>
    <row r="33">
      <c r="A33" s="311">
        <f>C31</f>
        <v/>
      </c>
      <c r="B33" s="312">
        <f>D31</f>
        <v/>
      </c>
      <c r="C33" s="424" t="inlineStr">
        <is>
          <t>월세</t>
        </is>
      </c>
      <c r="D33" s="414" t="n"/>
      <c r="E33" s="414" t="n"/>
      <c r="F33" s="414" t="n"/>
      <c r="G33" s="414" t="n"/>
      <c r="H33" s="412" t="n"/>
      <c r="I33" s="425" t="n"/>
      <c r="J33" s="414" t="n"/>
      <c r="K33" s="412" t="n"/>
      <c r="L33" s="703" t="n"/>
      <c r="M33" s="414" t="n"/>
      <c r="N33" s="412" t="n"/>
      <c r="O33" s="704" t="n"/>
      <c r="P33" s="414" t="n"/>
      <c r="Q33" s="414" t="n"/>
      <c r="R33" s="414" t="n"/>
      <c r="S33" s="412" t="n"/>
      <c r="T33" s="704">
        <f>G4</f>
        <v/>
      </c>
      <c r="U33" s="414" t="n"/>
      <c r="V33" s="414" t="n"/>
      <c r="W33" s="414" t="n"/>
      <c r="X33" s="414" t="n"/>
      <c r="Y33" s="412" t="n"/>
      <c r="Z33" s="704">
        <f>T33*0.1</f>
        <v/>
      </c>
      <c r="AA33" s="414" t="n"/>
      <c r="AB33" s="414" t="n"/>
      <c r="AC33" s="414" t="n"/>
      <c r="AD33" s="412" t="n"/>
      <c r="AE33" s="411" t="n"/>
      <c r="AF33" s="412" t="n"/>
    </row>
    <row r="34">
      <c r="A34" s="311">
        <f>A33</f>
        <v/>
      </c>
      <c r="B34" s="312">
        <f>B33</f>
        <v/>
      </c>
      <c r="C34" s="424" t="inlineStr">
        <is>
          <t>관리비</t>
        </is>
      </c>
      <c r="D34" s="414" t="n"/>
      <c r="E34" s="414" t="n"/>
      <c r="F34" s="414" t="n"/>
      <c r="G34" s="414" t="n"/>
      <c r="H34" s="412" t="n"/>
      <c r="I34" s="425" t="n"/>
      <c r="J34" s="414" t="n"/>
      <c r="K34" s="412" t="n"/>
      <c r="L34" s="703" t="n"/>
      <c r="M34" s="414" t="n"/>
      <c r="N34" s="412" t="n"/>
      <c r="O34" s="704" t="n"/>
      <c r="P34" s="414" t="n"/>
      <c r="Q34" s="414" t="n"/>
      <c r="R34" s="414" t="n"/>
      <c r="S34" s="412" t="n"/>
      <c r="T34" s="704">
        <f>G6/1.1</f>
        <v/>
      </c>
      <c r="U34" s="414" t="n"/>
      <c r="V34" s="414" t="n"/>
      <c r="W34" s="414" t="n"/>
      <c r="X34" s="414" t="n"/>
      <c r="Y34" s="412" t="n"/>
      <c r="Z34" s="704">
        <f>G6-T34</f>
        <v/>
      </c>
      <c r="AA34" s="414" t="n"/>
      <c r="AB34" s="414" t="n"/>
      <c r="AC34" s="414" t="n"/>
      <c r="AD34" s="412" t="n"/>
      <c r="AE34" s="411" t="n"/>
      <c r="AF34" s="412" t="n"/>
    </row>
    <row r="35">
      <c r="A35" s="311">
        <f>A33</f>
        <v/>
      </c>
      <c r="B35" s="312">
        <f>B33</f>
        <v/>
      </c>
      <c r="C35" s="424" t="inlineStr">
        <is>
          <t>전기요금</t>
        </is>
      </c>
      <c r="D35" s="414" t="n"/>
      <c r="E35" s="414" t="n"/>
      <c r="F35" s="414" t="n"/>
      <c r="G35" s="414" t="n"/>
      <c r="H35" s="412" t="n"/>
      <c r="I35" s="425" t="n"/>
      <c r="J35" s="414" t="n"/>
      <c r="K35" s="412" t="n"/>
      <c r="L35" s="703" t="n"/>
      <c r="M35" s="414" t="n"/>
      <c r="N35" s="412" t="n"/>
      <c r="O35" s="704" t="n"/>
      <c r="P35" s="414" t="n"/>
      <c r="Q35" s="414" t="n"/>
      <c r="R35" s="414" t="n"/>
      <c r="S35" s="412" t="n"/>
      <c r="T35" s="704">
        <f>G7/1.1</f>
        <v/>
      </c>
      <c r="U35" s="414" t="n"/>
      <c r="V35" s="414" t="n"/>
      <c r="W35" s="414" t="n"/>
      <c r="X35" s="414" t="n"/>
      <c r="Y35" s="412" t="n"/>
      <c r="Z35" s="704">
        <f>G7-T35</f>
        <v/>
      </c>
      <c r="AA35" s="414" t="n"/>
      <c r="AB35" s="414" t="n"/>
      <c r="AC35" s="414" t="n"/>
      <c r="AD35" s="412" t="n"/>
      <c r="AE35" s="411" t="n"/>
      <c r="AF35" s="412" t="n"/>
    </row>
    <row r="36">
      <c r="A36" s="311" t="n"/>
      <c r="B36" s="312" t="n"/>
      <c r="C36" s="424" t="n"/>
      <c r="D36" s="414" t="n"/>
      <c r="E36" s="414" t="n"/>
      <c r="F36" s="414" t="n"/>
      <c r="G36" s="414" t="n"/>
      <c r="H36" s="412" t="n"/>
      <c r="I36" s="425" t="n"/>
      <c r="J36" s="414" t="n"/>
      <c r="K36" s="412" t="n"/>
      <c r="L36" s="703" t="n"/>
      <c r="M36" s="414" t="n"/>
      <c r="N36" s="412" t="n"/>
      <c r="O36" s="704" t="n"/>
      <c r="P36" s="414" t="n"/>
      <c r="Q36" s="414" t="n"/>
      <c r="R36" s="414" t="n"/>
      <c r="S36" s="412" t="n"/>
      <c r="T36" s="704" t="n"/>
      <c r="U36" s="414" t="n"/>
      <c r="V36" s="414" t="n"/>
      <c r="W36" s="414" t="n"/>
      <c r="X36" s="414" t="n"/>
      <c r="Y36" s="412" t="n"/>
      <c r="Z36" s="704" t="n"/>
      <c r="AA36" s="414" t="n"/>
      <c r="AB36" s="414" t="n"/>
      <c r="AC36" s="414" t="n"/>
      <c r="AD36" s="412" t="n"/>
      <c r="AE36" s="411" t="n"/>
      <c r="AF36" s="412" t="n"/>
    </row>
    <row r="37">
      <c r="A37" s="413" t="inlineStr">
        <is>
          <t>합계금액</t>
        </is>
      </c>
      <c r="B37" s="414" t="n"/>
      <c r="C37" s="414" t="n"/>
      <c r="D37" s="414" t="n"/>
      <c r="E37" s="412" t="n"/>
      <c r="F37" s="415" t="inlineStr">
        <is>
          <t>현  금</t>
        </is>
      </c>
      <c r="G37" s="414" t="n"/>
      <c r="H37" s="414" t="n"/>
      <c r="I37" s="414" t="n"/>
      <c r="J37" s="412" t="n"/>
      <c r="K37" s="415" t="inlineStr">
        <is>
          <t>수  표</t>
        </is>
      </c>
      <c r="L37" s="414" t="n"/>
      <c r="M37" s="414" t="n"/>
      <c r="N37" s="414" t="n"/>
      <c r="O37" s="412" t="n"/>
      <c r="P37" s="415" t="inlineStr">
        <is>
          <t>어  음</t>
        </is>
      </c>
      <c r="Q37" s="414" t="n"/>
      <c r="R37" s="414" t="n"/>
      <c r="S37" s="414" t="n"/>
      <c r="T37" s="412" t="n"/>
      <c r="U37" s="415" t="inlineStr">
        <is>
          <t>외상미수금</t>
        </is>
      </c>
      <c r="V37" s="414" t="n"/>
      <c r="W37" s="414" t="n"/>
      <c r="X37" s="414" t="n"/>
      <c r="Y37" s="412" t="n"/>
      <c r="Z37" s="415" t="inlineStr">
        <is>
          <t xml:space="preserve">이 금액을 </t>
        </is>
      </c>
      <c r="AA37" s="416" t="n"/>
      <c r="AB37" s="416" t="n"/>
      <c r="AC37" s="417" t="n"/>
      <c r="AD37" s="421" t="inlineStr">
        <is>
          <t>청구</t>
        </is>
      </c>
      <c r="AE37" s="422" t="n"/>
      <c r="AF37" s="405" t="inlineStr">
        <is>
          <t>함</t>
        </is>
      </c>
    </row>
    <row customHeight="1" ht="14.25" r="38" s="391" thickBot="1">
      <c r="A38" s="706">
        <f>SUM(T33:AD35)</f>
        <v/>
      </c>
      <c r="B38" s="408" t="n"/>
      <c r="C38" s="408" t="n"/>
      <c r="D38" s="408" t="n"/>
      <c r="E38" s="409" t="n"/>
      <c r="F38" s="707" t="n"/>
      <c r="G38" s="408" t="n"/>
      <c r="H38" s="408" t="n"/>
      <c r="I38" s="408" t="n"/>
      <c r="J38" s="409" t="n"/>
      <c r="K38" s="707" t="n"/>
      <c r="L38" s="408" t="n"/>
      <c r="M38" s="408" t="n"/>
      <c r="N38" s="408" t="n"/>
      <c r="O38" s="409" t="n"/>
      <c r="P38" s="707" t="n"/>
      <c r="Q38" s="408" t="n"/>
      <c r="R38" s="408" t="n"/>
      <c r="S38" s="408" t="n"/>
      <c r="T38" s="409" t="n"/>
      <c r="U38" s="707" t="n"/>
      <c r="V38" s="408" t="n"/>
      <c r="W38" s="408" t="n"/>
      <c r="X38" s="408" t="n"/>
      <c r="Y38" s="409" t="n"/>
      <c r="Z38" s="418" t="n"/>
      <c r="AA38" s="419" t="n"/>
      <c r="AB38" s="419" t="n"/>
      <c r="AC38" s="420" t="n"/>
      <c r="AD38" s="423" t="n"/>
      <c r="AE38" s="423" t="n"/>
      <c r="AF38" s="406" t="n"/>
    </row>
    <row r="39">
      <c r="A39" s="31" t="inlineStr">
        <is>
          <t>22226-28131일 '96.3.27승인</t>
        </is>
      </c>
      <c r="B39" s="31" t="n"/>
      <c r="C39" s="32" t="n"/>
      <c r="D39" s="32" t="n"/>
      <c r="E39" s="32" t="n"/>
      <c r="F39" s="32" t="n"/>
      <c r="G39" s="32" t="n"/>
      <c r="H39" s="32" t="n"/>
      <c r="I39" s="32" t="n"/>
      <c r="J39" s="32" t="n"/>
      <c r="K39" s="32" t="n"/>
      <c r="L39" s="32" t="n"/>
      <c r="M39" s="32" t="n"/>
      <c r="N39" s="32" t="n"/>
      <c r="O39" s="32" t="n"/>
      <c r="P39" s="32" t="n"/>
      <c r="Q39" s="32" t="n"/>
      <c r="R39" s="32" t="n"/>
      <c r="S39" s="32" t="n"/>
      <c r="T39" s="32" t="n"/>
      <c r="U39" s="32" t="n"/>
      <c r="V39" s="32" t="n"/>
      <c r="W39" s="403" t="inlineStr">
        <is>
          <t>인쇄용지(특급)34g/m2 182mmx128mm</t>
        </is>
      </c>
      <c r="X39" s="404" t="n"/>
      <c r="Y39" s="404" t="n"/>
      <c r="Z39" s="404" t="n"/>
      <c r="AA39" s="404" t="n"/>
      <c r="AB39" s="404" t="n"/>
      <c r="AC39" s="404" t="n"/>
      <c r="AD39" s="404" t="n"/>
      <c r="AE39" s="404" t="n"/>
      <c r="AF39" s="404" t="n"/>
    </row>
    <row customHeight="1" ht="14.25" r="44" s="391" thickBot="1">
      <c r="A44" s="57" t="inlineStr">
        <is>
          <t>[별지 제11호 서식]</t>
        </is>
      </c>
      <c r="B44" s="57" t="n"/>
      <c r="C44" s="58" t="n"/>
      <c r="D44" s="58" t="n"/>
      <c r="E44" s="58" t="n"/>
      <c r="F44" s="58" t="n"/>
      <c r="G44" s="58" t="n"/>
      <c r="H44" s="58" t="n"/>
      <c r="I44" s="58" t="n"/>
      <c r="J44" s="58" t="n"/>
      <c r="K44" s="58" t="n"/>
      <c r="L44" s="58" t="n"/>
      <c r="M44" s="58" t="n"/>
      <c r="N44" s="58" t="n"/>
      <c r="O44" s="58" t="n"/>
      <c r="P44" s="58" t="n"/>
      <c r="Q44" s="58" t="n"/>
      <c r="R44" s="58" t="n"/>
      <c r="S44" s="58" t="n"/>
      <c r="T44" s="58" t="n"/>
      <c r="U44" s="58" t="n"/>
      <c r="V44" s="58" t="n"/>
      <c r="W44" s="58" t="n"/>
      <c r="X44" s="58" t="n"/>
      <c r="Y44" s="58" t="n"/>
      <c r="Z44" s="58" t="n"/>
      <c r="AA44" s="58" t="n"/>
      <c r="AB44" s="58" t="n"/>
      <c r="AC44" s="58" t="n"/>
      <c r="AD44" s="58" t="n"/>
      <c r="AE44" s="58" t="n"/>
      <c r="AF44" s="58" t="n"/>
    </row>
    <row r="45">
      <c r="A45" s="539" t="inlineStr">
        <is>
          <t>세 금 계 산 서</t>
        </is>
      </c>
      <c r="B45" s="475" t="n"/>
      <c r="C45" s="475" t="n"/>
      <c r="D45" s="475" t="n"/>
      <c r="E45" s="475" t="n"/>
      <c r="F45" s="475" t="n"/>
      <c r="G45" s="475" t="n"/>
      <c r="H45" s="475" t="n"/>
      <c r="I45" s="475" t="n"/>
      <c r="J45" s="475" t="n"/>
      <c r="K45" s="475" t="n"/>
      <c r="L45" s="475" t="n"/>
      <c r="M45" s="475" t="n"/>
      <c r="N45" s="475" t="n"/>
      <c r="O45" s="475" t="n"/>
      <c r="P45" s="541" t="inlineStr">
        <is>
          <t>(</t>
        </is>
      </c>
      <c r="Q45" s="474" t="inlineStr">
        <is>
          <t>공  급  자</t>
        </is>
      </c>
      <c r="R45" s="475" t="n"/>
      <c r="S45" s="475" t="n"/>
      <c r="T45" s="475" t="n"/>
      <c r="U45" s="475" t="n"/>
      <c r="V45" s="474" t="inlineStr">
        <is>
          <t>)</t>
        </is>
      </c>
      <c r="W45" s="471" t="inlineStr">
        <is>
          <t>책   번   호</t>
        </is>
      </c>
      <c r="X45" s="472" t="n"/>
      <c r="Y45" s="472" t="n"/>
      <c r="Z45" s="473" t="n"/>
      <c r="AA45" s="535">
        <f>AA19</f>
        <v/>
      </c>
      <c r="AB45" s="472" t="n"/>
      <c r="AC45" s="59" t="inlineStr">
        <is>
          <t>권</t>
        </is>
      </c>
      <c r="AD45" s="535">
        <f>AD19</f>
        <v/>
      </c>
      <c r="AE45" s="472" t="n"/>
      <c r="AF45" s="60" t="inlineStr">
        <is>
          <t>호</t>
        </is>
      </c>
    </row>
    <row customHeight="1" ht="14.25" r="46" s="391" thickBot="1">
      <c r="A46" s="540" t="n"/>
      <c r="Q46" s="536" t="inlineStr">
        <is>
          <t>보  관  용</t>
        </is>
      </c>
      <c r="R46" s="490" t="n"/>
      <c r="S46" s="490" t="n"/>
      <c r="T46" s="490" t="n"/>
      <c r="U46" s="490" t="n"/>
      <c r="W46" s="484" t="inlineStr">
        <is>
          <t>일 련 번 호</t>
        </is>
      </c>
      <c r="X46" s="537" t="n"/>
      <c r="Y46" s="537" t="n"/>
      <c r="Z46" s="538" t="n"/>
      <c r="AA46" s="313">
        <f>AA20</f>
        <v/>
      </c>
      <c r="AB46" s="314">
        <f>AB20</f>
        <v/>
      </c>
      <c r="AC46" s="313">
        <f>AC20</f>
        <v/>
      </c>
      <c r="AD46" s="313">
        <f>AD20</f>
        <v/>
      </c>
      <c r="AE46" s="313">
        <f>AE20</f>
        <v/>
      </c>
      <c r="AF46" s="315">
        <f>AF20</f>
        <v/>
      </c>
    </row>
    <row r="47">
      <c r="A47" s="517" t="inlineStr">
        <is>
          <t>공 급 자</t>
        </is>
      </c>
      <c r="B47" s="487" t="inlineStr">
        <is>
          <t>등록번호</t>
        </is>
      </c>
      <c r="C47" s="479" t="n"/>
      <c r="D47" s="488" t="n"/>
      <c r="E47" s="494">
        <f>E21</f>
        <v/>
      </c>
      <c r="F47" s="498">
        <f>F21</f>
        <v/>
      </c>
      <c r="G47" s="498">
        <f>G21</f>
        <v/>
      </c>
      <c r="H47" s="498">
        <f>H21</f>
        <v/>
      </c>
      <c r="I47" s="498">
        <f>I21</f>
        <v/>
      </c>
      <c r="J47" s="498">
        <f>J21</f>
        <v/>
      </c>
      <c r="K47" s="498">
        <f>K21</f>
        <v/>
      </c>
      <c r="L47" s="498">
        <f>L21</f>
        <v/>
      </c>
      <c r="M47" s="498">
        <f>M21</f>
        <v/>
      </c>
      <c r="N47" s="498">
        <f>N21</f>
        <v/>
      </c>
      <c r="O47" s="498">
        <f>O21</f>
        <v/>
      </c>
      <c r="P47" s="529">
        <f>P21</f>
        <v/>
      </c>
      <c r="Q47" s="485" t="inlineStr">
        <is>
          <t>공급받는자</t>
        </is>
      </c>
      <c r="R47" s="487" t="inlineStr">
        <is>
          <t>등록번호</t>
        </is>
      </c>
      <c r="S47" s="479" t="n"/>
      <c r="T47" s="488" t="n"/>
      <c r="U47" s="542">
        <f>U21</f>
        <v/>
      </c>
      <c r="V47" s="507">
        <f>V21</f>
        <v/>
      </c>
      <c r="W47" s="507">
        <f>W21</f>
        <v/>
      </c>
      <c r="X47" s="507" t="inlineStr">
        <is>
          <t>-</t>
        </is>
      </c>
      <c r="Y47" s="507">
        <f>Y21</f>
        <v/>
      </c>
      <c r="Z47" s="507">
        <f>Z21</f>
        <v/>
      </c>
      <c r="AA47" s="507" t="inlineStr">
        <is>
          <t>-</t>
        </is>
      </c>
      <c r="AB47" s="507">
        <f>AB21</f>
        <v/>
      </c>
      <c r="AC47" s="507">
        <f>AC21</f>
        <v/>
      </c>
      <c r="AD47" s="507">
        <f>AD21</f>
        <v/>
      </c>
      <c r="AE47" s="507">
        <f>AE21</f>
        <v/>
      </c>
      <c r="AF47" s="554">
        <f>AF21</f>
        <v/>
      </c>
    </row>
    <row customHeight="1" ht="14.25" r="48" s="391" thickBot="1">
      <c r="A48" s="518" t="n"/>
      <c r="B48" s="489" t="n"/>
      <c r="C48" s="490" t="n"/>
      <c r="D48" s="491" t="n"/>
      <c r="E48" s="495" t="n"/>
      <c r="F48" s="499" t="n"/>
      <c r="G48" s="499" t="n"/>
      <c r="H48" s="499" t="n"/>
      <c r="I48" s="499" t="n"/>
      <c r="J48" s="499" t="n"/>
      <c r="K48" s="499" t="n"/>
      <c r="L48" s="499" t="n"/>
      <c r="M48" s="499" t="n"/>
      <c r="N48" s="499" t="n"/>
      <c r="O48" s="499" t="n"/>
      <c r="P48" s="530" t="n"/>
      <c r="Q48" s="486" t="n"/>
      <c r="R48" s="489" t="n"/>
      <c r="S48" s="490" t="n"/>
      <c r="T48" s="491" t="n"/>
      <c r="U48" s="519" t="n"/>
      <c r="V48" s="493" t="n"/>
      <c r="W48" s="493" t="n"/>
      <c r="X48" s="493" t="n"/>
      <c r="Y48" s="493" t="n"/>
      <c r="Z48" s="493" t="n"/>
      <c r="AA48" s="493" t="n"/>
      <c r="AB48" s="493" t="n"/>
      <c r="AC48" s="493" t="n"/>
      <c r="AD48" s="493" t="n"/>
      <c r="AE48" s="493" t="n"/>
      <c r="AF48" s="555" t="n"/>
    </row>
    <row r="49">
      <c r="A49" s="518" t="n"/>
      <c r="B49" s="556" t="inlineStr">
        <is>
          <t>상     호</t>
        </is>
      </c>
      <c r="C49" s="479" t="n"/>
      <c r="D49" s="488" t="n"/>
      <c r="E49" s="557">
        <f>E23</f>
        <v/>
      </c>
      <c r="F49" s="479" t="n"/>
      <c r="G49" s="479" t="n"/>
      <c r="H49" s="479" t="n"/>
      <c r="I49" s="479" t="n"/>
      <c r="J49" s="480" t="n"/>
      <c r="K49" s="492" t="inlineStr">
        <is>
          <t>성명</t>
        </is>
      </c>
      <c r="L49" s="523">
        <f>L23</f>
        <v/>
      </c>
      <c r="M49" s="479" t="n"/>
      <c r="N49" s="479" t="n"/>
      <c r="O49" s="479" t="n"/>
      <c r="P49" s="524" t="inlineStr">
        <is>
          <t>인</t>
        </is>
      </c>
      <c r="Q49" s="486" t="n"/>
      <c r="R49" s="526" t="inlineStr">
        <is>
          <t>상     호</t>
        </is>
      </c>
      <c r="S49" s="479" t="n"/>
      <c r="T49" s="480" t="n"/>
      <c r="U49" s="586">
        <f>U23</f>
        <v/>
      </c>
      <c r="V49" s="475" t="n"/>
      <c r="W49" s="475" t="n"/>
      <c r="X49" s="475" t="n"/>
      <c r="Y49" s="475" t="n"/>
      <c r="Z49" s="528" t="n"/>
      <c r="AA49" s="543" t="inlineStr">
        <is>
          <t>성명</t>
        </is>
      </c>
      <c r="AB49" s="544">
        <f>AB23</f>
        <v/>
      </c>
      <c r="AC49" s="475" t="n"/>
      <c r="AD49" s="475" t="n"/>
      <c r="AE49" s="475" t="n"/>
      <c r="AF49" s="545" t="inlineStr">
        <is>
          <t>인</t>
        </is>
      </c>
    </row>
    <row customHeight="1" ht="14.25" r="50" s="391" thickBot="1">
      <c r="A50" s="518" t="n"/>
      <c r="B50" s="546" t="inlineStr">
        <is>
          <t>(법인명)</t>
        </is>
      </c>
      <c r="C50" s="490" t="n"/>
      <c r="D50" s="491" t="n"/>
      <c r="E50" s="558" t="n"/>
      <c r="F50" s="482" t="n"/>
      <c r="G50" s="482" t="n"/>
      <c r="H50" s="482" t="n"/>
      <c r="I50" s="482" t="n"/>
      <c r="J50" s="483" t="n"/>
      <c r="K50" s="493" t="n"/>
      <c r="L50" s="481" t="n"/>
      <c r="M50" s="482" t="n"/>
      <c r="N50" s="482" t="n"/>
      <c r="O50" s="482" t="n"/>
      <c r="P50" s="525" t="n"/>
      <c r="Q50" s="486" t="n"/>
      <c r="R50" s="496" t="inlineStr">
        <is>
          <t>(법인명)</t>
        </is>
      </c>
      <c r="S50" s="490" t="n"/>
      <c r="T50" s="497" t="n"/>
      <c r="U50" s="489" t="n"/>
      <c r="V50" s="490" t="n"/>
      <c r="W50" s="490" t="n"/>
      <c r="X50" s="490" t="n"/>
      <c r="Y50" s="490" t="n"/>
      <c r="Z50" s="497" t="n"/>
      <c r="AA50" s="499" t="n"/>
      <c r="AB50" s="489" t="n"/>
      <c r="AC50" s="490" t="n"/>
      <c r="AD50" s="490" t="n"/>
      <c r="AE50" s="490" t="n"/>
      <c r="AF50" s="491" t="n"/>
    </row>
    <row r="51">
      <c r="A51" s="518" t="n"/>
      <c r="B51" s="526" t="inlineStr">
        <is>
          <t>사 업 장</t>
        </is>
      </c>
      <c r="C51" s="479" t="n"/>
      <c r="D51" s="480" t="n"/>
      <c r="E51" s="559">
        <f>E25</f>
        <v/>
      </c>
      <c r="F51" s="475" t="n"/>
      <c r="G51" s="475" t="n"/>
      <c r="H51" s="475" t="n"/>
      <c r="I51" s="475" t="n"/>
      <c r="J51" s="475" t="n"/>
      <c r="K51" s="475" t="n"/>
      <c r="L51" s="475" t="n"/>
      <c r="M51" s="475" t="n"/>
      <c r="N51" s="475" t="n"/>
      <c r="O51" s="475" t="n"/>
      <c r="P51" s="528" t="n"/>
      <c r="Q51" s="486" t="n"/>
      <c r="R51" s="526" t="inlineStr">
        <is>
          <t>사 업 장</t>
        </is>
      </c>
      <c r="S51" s="479" t="n"/>
      <c r="T51" s="480" t="n"/>
      <c r="U51" s="531">
        <f>U25</f>
        <v/>
      </c>
      <c r="V51" s="479" t="n"/>
      <c r="W51" s="479" t="n"/>
      <c r="X51" s="479" t="n"/>
      <c r="Y51" s="479" t="n"/>
      <c r="Z51" s="479" t="n"/>
      <c r="AA51" s="479" t="n"/>
      <c r="AB51" s="479" t="n"/>
      <c r="AC51" s="479" t="n"/>
      <c r="AD51" s="479" t="n"/>
      <c r="AE51" s="479" t="n"/>
      <c r="AF51" s="488" t="n"/>
    </row>
    <row r="52">
      <c r="A52" s="518" t="n"/>
      <c r="B52" s="496" t="inlineStr">
        <is>
          <t>주     소</t>
        </is>
      </c>
      <c r="C52" s="490" t="n"/>
      <c r="D52" s="497" t="n"/>
      <c r="E52" s="489" t="n"/>
      <c r="F52" s="490" t="n"/>
      <c r="G52" s="490" t="n"/>
      <c r="H52" s="490" t="n"/>
      <c r="I52" s="490" t="n"/>
      <c r="J52" s="490" t="n"/>
      <c r="K52" s="490" t="n"/>
      <c r="L52" s="490" t="n"/>
      <c r="M52" s="490" t="n"/>
      <c r="N52" s="490" t="n"/>
      <c r="O52" s="490" t="n"/>
      <c r="P52" s="497" t="n"/>
      <c r="Q52" s="486" t="n"/>
      <c r="R52" s="496" t="inlineStr">
        <is>
          <t>주     소</t>
        </is>
      </c>
      <c r="S52" s="490" t="n"/>
      <c r="T52" s="497" t="n"/>
      <c r="U52" s="489" t="n"/>
      <c r="V52" s="490" t="n"/>
      <c r="W52" s="490" t="n"/>
      <c r="X52" s="490" t="n"/>
      <c r="Y52" s="490" t="n"/>
      <c r="Z52" s="490" t="n"/>
      <c r="AA52" s="490" t="n"/>
      <c r="AB52" s="490" t="n"/>
      <c r="AC52" s="490" t="n"/>
      <c r="AD52" s="490" t="n"/>
      <c r="AE52" s="490" t="n"/>
      <c r="AF52" s="491" t="n"/>
    </row>
    <row r="53">
      <c r="A53" s="518" t="n"/>
      <c r="B53" s="484" t="inlineStr">
        <is>
          <t>업     태</t>
        </is>
      </c>
      <c r="C53" s="479" t="n"/>
      <c r="D53" s="480" t="n"/>
      <c r="E53" s="478">
        <f>E27</f>
        <v/>
      </c>
      <c r="F53" s="479" t="n"/>
      <c r="G53" s="479" t="n"/>
      <c r="H53" s="479" t="n"/>
      <c r="I53" s="479" t="n"/>
      <c r="J53" s="480" t="n"/>
      <c r="K53" s="492" t="inlineStr">
        <is>
          <t>종목</t>
        </is>
      </c>
      <c r="L53" s="478">
        <f>L27</f>
        <v/>
      </c>
      <c r="M53" s="479" t="n"/>
      <c r="N53" s="479" t="n"/>
      <c r="O53" s="479" t="n"/>
      <c r="P53" s="480" t="n"/>
      <c r="Q53" s="486" t="n"/>
      <c r="R53" s="484" t="inlineStr">
        <is>
          <t>업     태</t>
        </is>
      </c>
      <c r="S53" s="479" t="n"/>
      <c r="T53" s="480" t="n"/>
      <c r="U53" s="478">
        <f>U27</f>
        <v/>
      </c>
      <c r="V53" s="479" t="n"/>
      <c r="W53" s="479" t="n"/>
      <c r="X53" s="479" t="n"/>
      <c r="Y53" s="479" t="n"/>
      <c r="Z53" s="480" t="n"/>
      <c r="AA53" s="492" t="inlineStr">
        <is>
          <t>종목</t>
        </is>
      </c>
      <c r="AB53" s="534">
        <f>AB27</f>
        <v/>
      </c>
      <c r="AC53" s="479" t="n"/>
      <c r="AD53" s="479" t="n"/>
      <c r="AE53" s="479" t="n"/>
      <c r="AF53" s="488" t="n"/>
    </row>
    <row customHeight="1" ht="14.25" r="54" s="391" thickBot="1">
      <c r="A54" s="519" t="n"/>
      <c r="B54" s="481" t="n"/>
      <c r="C54" s="482" t="n"/>
      <c r="D54" s="483" t="n"/>
      <c r="E54" s="481" t="n"/>
      <c r="F54" s="482" t="n"/>
      <c r="G54" s="482" t="n"/>
      <c r="H54" s="482" t="n"/>
      <c r="I54" s="482" t="n"/>
      <c r="J54" s="483" t="n"/>
      <c r="K54" s="493" t="n"/>
      <c r="L54" s="481" t="n"/>
      <c r="M54" s="482" t="n"/>
      <c r="N54" s="482" t="n"/>
      <c r="O54" s="482" t="n"/>
      <c r="P54" s="483" t="n"/>
      <c r="Q54" s="483" t="n"/>
      <c r="R54" s="481" t="n"/>
      <c r="S54" s="482" t="n"/>
      <c r="T54" s="483" t="n"/>
      <c r="U54" s="481" t="n"/>
      <c r="V54" s="482" t="n"/>
      <c r="W54" s="482" t="n"/>
      <c r="X54" s="482" t="n"/>
      <c r="Y54" s="482" t="n"/>
      <c r="Z54" s="483" t="n"/>
      <c r="AA54" s="493" t="n"/>
      <c r="AB54" s="481" t="n"/>
      <c r="AC54" s="482" t="n"/>
      <c r="AD54" s="482" t="n"/>
      <c r="AE54" s="482" t="n"/>
      <c r="AF54" s="525" t="n"/>
    </row>
    <row r="55">
      <c r="A55" s="565" t="inlineStr">
        <is>
          <t>작     성</t>
        </is>
      </c>
      <c r="B55" s="472" t="n"/>
      <c r="C55" s="472" t="n"/>
      <c r="D55" s="473" t="n"/>
      <c r="E55" s="561" t="inlineStr">
        <is>
          <t>공      급       가      액</t>
        </is>
      </c>
      <c r="F55" s="472" t="n"/>
      <c r="G55" s="472" t="n"/>
      <c r="H55" s="472" t="n"/>
      <c r="I55" s="472" t="n"/>
      <c r="J55" s="472" t="n"/>
      <c r="K55" s="472" t="n"/>
      <c r="L55" s="472" t="n"/>
      <c r="M55" s="472" t="n"/>
      <c r="N55" s="472" t="n"/>
      <c r="O55" s="472" t="n"/>
      <c r="P55" s="472" t="n"/>
      <c r="Q55" s="473" t="n"/>
      <c r="R55" s="561" t="inlineStr">
        <is>
          <t>세                액</t>
        </is>
      </c>
      <c r="S55" s="472" t="n"/>
      <c r="T55" s="472" t="n"/>
      <c r="U55" s="472" t="n"/>
      <c r="V55" s="472" t="n"/>
      <c r="W55" s="472" t="n"/>
      <c r="X55" s="472" t="n"/>
      <c r="Y55" s="472" t="n"/>
      <c r="Z55" s="472" t="n"/>
      <c r="AA55" s="473" t="n"/>
      <c r="AB55" s="532" t="inlineStr">
        <is>
          <t>비     고</t>
        </is>
      </c>
      <c r="AC55" s="472" t="n"/>
      <c r="AD55" s="472" t="n"/>
      <c r="AE55" s="472" t="n"/>
      <c r="AF55" s="533" t="n"/>
    </row>
    <row r="56">
      <c r="A56" s="560" t="inlineStr">
        <is>
          <t>년</t>
        </is>
      </c>
      <c r="B56" s="549" t="n"/>
      <c r="C56" s="316" t="inlineStr">
        <is>
          <t>월</t>
        </is>
      </c>
      <c r="D56" s="316" t="inlineStr">
        <is>
          <t>일</t>
        </is>
      </c>
      <c r="E56" s="562" t="inlineStr">
        <is>
          <t>공란수</t>
        </is>
      </c>
      <c r="F56" s="549" t="n"/>
      <c r="G56" s="562" t="inlineStr">
        <is>
          <t>백</t>
        </is>
      </c>
      <c r="H56" s="316" t="inlineStr">
        <is>
          <t>십</t>
        </is>
      </c>
      <c r="I56" s="316" t="inlineStr">
        <is>
          <t>억</t>
        </is>
      </c>
      <c r="J56" s="316" t="inlineStr">
        <is>
          <t>천</t>
        </is>
      </c>
      <c r="K56" s="316" t="inlineStr">
        <is>
          <t>백</t>
        </is>
      </c>
      <c r="L56" s="316" t="inlineStr">
        <is>
          <t>십</t>
        </is>
      </c>
      <c r="M56" s="316" t="inlineStr">
        <is>
          <t>만</t>
        </is>
      </c>
      <c r="N56" s="316" t="inlineStr">
        <is>
          <t>천</t>
        </is>
      </c>
      <c r="O56" s="316" t="inlineStr">
        <is>
          <t>백</t>
        </is>
      </c>
      <c r="P56" s="316" t="inlineStr">
        <is>
          <t>십</t>
        </is>
      </c>
      <c r="Q56" s="316" t="inlineStr">
        <is>
          <t>일</t>
        </is>
      </c>
      <c r="R56" s="316" t="inlineStr">
        <is>
          <t>십</t>
        </is>
      </c>
      <c r="S56" s="316" t="inlineStr">
        <is>
          <t>억</t>
        </is>
      </c>
      <c r="T56" s="316" t="inlineStr">
        <is>
          <t>천</t>
        </is>
      </c>
      <c r="U56" s="316" t="inlineStr">
        <is>
          <t>백</t>
        </is>
      </c>
      <c r="V56" s="316" t="inlineStr">
        <is>
          <t>십</t>
        </is>
      </c>
      <c r="W56" s="316" t="inlineStr">
        <is>
          <t>만</t>
        </is>
      </c>
      <c r="X56" s="316" t="inlineStr">
        <is>
          <t>천</t>
        </is>
      </c>
      <c r="Y56" s="316" t="inlineStr">
        <is>
          <t>백</t>
        </is>
      </c>
      <c r="Z56" s="316" t="inlineStr">
        <is>
          <t>십</t>
        </is>
      </c>
      <c r="AA56" s="316" t="inlineStr">
        <is>
          <t>일</t>
        </is>
      </c>
      <c r="AB56" s="566" t="n"/>
      <c r="AC56" s="479" t="n"/>
      <c r="AD56" s="479" t="n"/>
      <c r="AE56" s="479" t="n"/>
      <c r="AF56" s="488" t="n"/>
    </row>
    <row customHeight="1" ht="14.25" r="57" s="391" thickBot="1">
      <c r="A57" s="563">
        <f>A31</f>
        <v/>
      </c>
      <c r="B57" s="538" t="n"/>
      <c r="C57" s="318">
        <f>C31</f>
        <v/>
      </c>
      <c r="D57" s="318">
        <f>D31</f>
        <v/>
      </c>
      <c r="E57" s="708" t="n"/>
      <c r="F57" s="538" t="n"/>
      <c r="G57" s="709" t="n"/>
      <c r="H57" s="709" t="n"/>
      <c r="I57" s="709" t="n"/>
      <c r="J57" s="709" t="n"/>
      <c r="K57" s="709">
        <f>K31</f>
        <v/>
      </c>
      <c r="L57" s="709">
        <f>L31</f>
        <v/>
      </c>
      <c r="M57" s="709">
        <f>M31</f>
        <v/>
      </c>
      <c r="N57" s="709">
        <f>N31</f>
        <v/>
      </c>
      <c r="O57" s="709">
        <f>O31</f>
        <v/>
      </c>
      <c r="P57" s="709">
        <f>P31</f>
        <v/>
      </c>
      <c r="Q57" s="709">
        <f>Q31</f>
        <v/>
      </c>
      <c r="R57" s="709" t="n"/>
      <c r="S57" s="709" t="n"/>
      <c r="T57" s="709" t="n"/>
      <c r="U57" s="709" t="n"/>
      <c r="V57" s="709">
        <f>V31</f>
        <v/>
      </c>
      <c r="W57" s="709">
        <f>W31</f>
        <v/>
      </c>
      <c r="X57" s="709">
        <f>X31</f>
        <v/>
      </c>
      <c r="Y57" s="709">
        <f>Y31</f>
        <v/>
      </c>
      <c r="Z57" s="709">
        <f>Z31</f>
        <v/>
      </c>
      <c r="AA57" s="709">
        <f>AA31</f>
        <v/>
      </c>
      <c r="AB57" s="481" t="n"/>
      <c r="AC57" s="482" t="n"/>
      <c r="AD57" s="482" t="n"/>
      <c r="AE57" s="482" t="n"/>
      <c r="AF57" s="525" t="n"/>
    </row>
    <row r="58">
      <c r="A58" s="61" t="inlineStr">
        <is>
          <t>월</t>
        </is>
      </c>
      <c r="B58" s="62" t="inlineStr">
        <is>
          <t>일</t>
        </is>
      </c>
      <c r="C58" s="561" t="inlineStr">
        <is>
          <t>품          목</t>
        </is>
      </c>
      <c r="D58" s="472" t="n"/>
      <c r="E58" s="472" t="n"/>
      <c r="F58" s="472" t="n"/>
      <c r="G58" s="472" t="n"/>
      <c r="H58" s="473" t="n"/>
      <c r="I58" s="561" t="inlineStr">
        <is>
          <t>규격</t>
        </is>
      </c>
      <c r="J58" s="472" t="n"/>
      <c r="K58" s="473" t="n"/>
      <c r="L58" s="561" t="inlineStr">
        <is>
          <t>수량</t>
        </is>
      </c>
      <c r="M58" s="472" t="n"/>
      <c r="N58" s="473" t="n"/>
      <c r="O58" s="561" t="inlineStr">
        <is>
          <t>단      가</t>
        </is>
      </c>
      <c r="P58" s="472" t="n"/>
      <c r="Q58" s="472" t="n"/>
      <c r="R58" s="472" t="n"/>
      <c r="S58" s="473" t="n"/>
      <c r="T58" s="561" t="inlineStr">
        <is>
          <t>공  급  가  액</t>
        </is>
      </c>
      <c r="U58" s="472" t="n"/>
      <c r="V58" s="472" t="n"/>
      <c r="W58" s="472" t="n"/>
      <c r="X58" s="472" t="n"/>
      <c r="Y58" s="473" t="n"/>
      <c r="Z58" s="561" t="inlineStr">
        <is>
          <t>세        액</t>
        </is>
      </c>
      <c r="AA58" s="472" t="n"/>
      <c r="AB58" s="472" t="n"/>
      <c r="AC58" s="472" t="n"/>
      <c r="AD58" s="473" t="n"/>
      <c r="AE58" s="532" t="inlineStr">
        <is>
          <t>비고</t>
        </is>
      </c>
      <c r="AF58" s="533" t="n"/>
    </row>
    <row r="59">
      <c r="A59" s="320">
        <f>A33</f>
        <v/>
      </c>
      <c r="B59" s="320">
        <f>B33</f>
        <v/>
      </c>
      <c r="C59" s="567">
        <f>C33</f>
        <v/>
      </c>
      <c r="D59" s="548" t="n"/>
      <c r="E59" s="548" t="n"/>
      <c r="F59" s="548" t="n"/>
      <c r="G59" s="548" t="n"/>
      <c r="H59" s="549" t="n"/>
      <c r="I59" s="547" t="n"/>
      <c r="J59" s="548" t="n"/>
      <c r="K59" s="549" t="n"/>
      <c r="L59" s="710">
        <f>L33</f>
        <v/>
      </c>
      <c r="M59" s="548" t="n"/>
      <c r="N59" s="549" t="n"/>
      <c r="O59" s="711">
        <f>O33</f>
        <v/>
      </c>
      <c r="P59" s="548" t="n"/>
      <c r="Q59" s="548" t="n"/>
      <c r="R59" s="548" t="n"/>
      <c r="S59" s="549" t="n"/>
      <c r="T59" s="711">
        <f>T33</f>
        <v/>
      </c>
      <c r="U59" s="548" t="n"/>
      <c r="V59" s="548" t="n"/>
      <c r="W59" s="548" t="n"/>
      <c r="X59" s="548" t="n"/>
      <c r="Y59" s="549" t="n"/>
      <c r="Z59" s="711">
        <f>Z33</f>
        <v/>
      </c>
      <c r="AA59" s="548" t="n"/>
      <c r="AB59" s="548" t="n"/>
      <c r="AC59" s="548" t="n"/>
      <c r="AD59" s="549" t="n"/>
      <c r="AE59" s="552" t="n"/>
      <c r="AF59" s="553" t="n"/>
    </row>
    <row r="60">
      <c r="A60" s="320">
        <f>A34</f>
        <v/>
      </c>
      <c r="B60" s="320">
        <f>B34</f>
        <v/>
      </c>
      <c r="C60" s="567">
        <f>C34</f>
        <v/>
      </c>
      <c r="D60" s="548" t="n"/>
      <c r="E60" s="548" t="n"/>
      <c r="F60" s="548" t="n"/>
      <c r="G60" s="548" t="n"/>
      <c r="H60" s="549" t="n"/>
      <c r="I60" s="547" t="n"/>
      <c r="J60" s="548" t="n"/>
      <c r="K60" s="549" t="n"/>
      <c r="L60" s="710">
        <f>L34</f>
        <v/>
      </c>
      <c r="M60" s="548" t="n"/>
      <c r="N60" s="549" t="n"/>
      <c r="O60" s="711">
        <f>O34</f>
        <v/>
      </c>
      <c r="P60" s="548" t="n"/>
      <c r="Q60" s="548" t="n"/>
      <c r="R60" s="548" t="n"/>
      <c r="S60" s="549" t="n"/>
      <c r="T60" s="711">
        <f>T34</f>
        <v/>
      </c>
      <c r="U60" s="548" t="n"/>
      <c r="V60" s="548" t="n"/>
      <c r="W60" s="548" t="n"/>
      <c r="X60" s="548" t="n"/>
      <c r="Y60" s="549" t="n"/>
      <c r="Z60" s="711">
        <f>Z34</f>
        <v/>
      </c>
      <c r="AA60" s="548" t="n"/>
      <c r="AB60" s="548" t="n"/>
      <c r="AC60" s="548" t="n"/>
      <c r="AD60" s="549" t="n"/>
      <c r="AE60" s="552" t="n"/>
      <c r="AF60" s="553" t="n"/>
    </row>
    <row r="61">
      <c r="A61" s="320">
        <f>A35</f>
        <v/>
      </c>
      <c r="B61" s="320">
        <f>B35</f>
        <v/>
      </c>
      <c r="C61" s="567">
        <f>C35</f>
        <v/>
      </c>
      <c r="D61" s="548" t="n"/>
      <c r="E61" s="548" t="n"/>
      <c r="F61" s="548" t="n"/>
      <c r="G61" s="548" t="n"/>
      <c r="H61" s="549" t="n"/>
      <c r="I61" s="547" t="n"/>
      <c r="J61" s="548" t="n"/>
      <c r="K61" s="549" t="n"/>
      <c r="L61" s="710">
        <f>L35</f>
        <v/>
      </c>
      <c r="M61" s="548" t="n"/>
      <c r="N61" s="549" t="n"/>
      <c r="O61" s="711">
        <f>O35</f>
        <v/>
      </c>
      <c r="P61" s="548" t="n"/>
      <c r="Q61" s="548" t="n"/>
      <c r="R61" s="548" t="n"/>
      <c r="S61" s="549" t="n"/>
      <c r="T61" s="711">
        <f>T35</f>
        <v/>
      </c>
      <c r="U61" s="548" t="n"/>
      <c r="V61" s="548" t="n"/>
      <c r="W61" s="548" t="n"/>
      <c r="X61" s="548" t="n"/>
      <c r="Y61" s="549" t="n"/>
      <c r="Z61" s="711">
        <f>Z35</f>
        <v/>
      </c>
      <c r="AA61" s="548" t="n"/>
      <c r="AB61" s="548" t="n"/>
      <c r="AC61" s="548" t="n"/>
      <c r="AD61" s="549" t="n"/>
      <c r="AE61" s="552" t="n"/>
      <c r="AF61" s="553" t="n"/>
    </row>
    <row r="62">
      <c r="A62" s="320" t="n"/>
      <c r="B62" s="320" t="n"/>
      <c r="C62" s="567" t="n"/>
      <c r="D62" s="548" t="n"/>
      <c r="E62" s="548" t="n"/>
      <c r="F62" s="548" t="n"/>
      <c r="G62" s="548" t="n"/>
      <c r="H62" s="549" t="n"/>
      <c r="I62" s="547" t="n"/>
      <c r="J62" s="548" t="n"/>
      <c r="K62" s="549" t="n"/>
      <c r="L62" s="710">
        <f>L36</f>
        <v/>
      </c>
      <c r="M62" s="548" t="n"/>
      <c r="N62" s="549" t="n"/>
      <c r="O62" s="711">
        <f>O36</f>
        <v/>
      </c>
      <c r="P62" s="548" t="n"/>
      <c r="Q62" s="548" t="n"/>
      <c r="R62" s="548" t="n"/>
      <c r="S62" s="549" t="n"/>
      <c r="T62" s="711">
        <f>T36</f>
        <v/>
      </c>
      <c r="U62" s="548" t="n"/>
      <c r="V62" s="548" t="n"/>
      <c r="W62" s="548" t="n"/>
      <c r="X62" s="548" t="n"/>
      <c r="Y62" s="549" t="n"/>
      <c r="Z62" s="711">
        <f>Z36</f>
        <v/>
      </c>
      <c r="AA62" s="548" t="n"/>
      <c r="AB62" s="548" t="n"/>
      <c r="AC62" s="548" t="n"/>
      <c r="AD62" s="549" t="n"/>
      <c r="AE62" s="552" t="n"/>
      <c r="AF62" s="553" t="n"/>
    </row>
    <row r="63">
      <c r="A63" s="560" t="inlineStr">
        <is>
          <t>합계금액</t>
        </is>
      </c>
      <c r="B63" s="548" t="n"/>
      <c r="C63" s="548" t="n"/>
      <c r="D63" s="548" t="n"/>
      <c r="E63" s="549" t="n"/>
      <c r="F63" s="562" t="inlineStr">
        <is>
          <t>현  금</t>
        </is>
      </c>
      <c r="G63" s="548" t="n"/>
      <c r="H63" s="548" t="n"/>
      <c r="I63" s="548" t="n"/>
      <c r="J63" s="549" t="n"/>
      <c r="K63" s="562" t="inlineStr">
        <is>
          <t>수  표</t>
        </is>
      </c>
      <c r="L63" s="548" t="n"/>
      <c r="M63" s="548" t="n"/>
      <c r="N63" s="548" t="n"/>
      <c r="O63" s="549" t="n"/>
      <c r="P63" s="562" t="inlineStr">
        <is>
          <t>어  음</t>
        </is>
      </c>
      <c r="Q63" s="548" t="n"/>
      <c r="R63" s="548" t="n"/>
      <c r="S63" s="548" t="n"/>
      <c r="T63" s="549" t="n"/>
      <c r="U63" s="562" t="inlineStr">
        <is>
          <t>외상미수금</t>
        </is>
      </c>
      <c r="V63" s="548" t="n"/>
      <c r="W63" s="548" t="n"/>
      <c r="X63" s="548" t="n"/>
      <c r="Y63" s="549" t="n"/>
      <c r="Z63" s="571" t="inlineStr">
        <is>
          <t xml:space="preserve">이 금액을 </t>
        </is>
      </c>
      <c r="AA63" s="479" t="n"/>
      <c r="AB63" s="479" t="n"/>
      <c r="AC63" s="479" t="n"/>
      <c r="AD63" s="572">
        <f>AD37</f>
        <v/>
      </c>
      <c r="AE63" s="479" t="n"/>
      <c r="AF63" s="573" t="inlineStr">
        <is>
          <t>함</t>
        </is>
      </c>
    </row>
    <row customHeight="1" ht="14.25" r="64" s="391" thickBot="1">
      <c r="A64" s="712">
        <f>A38</f>
        <v/>
      </c>
      <c r="B64" s="537" t="n"/>
      <c r="C64" s="537" t="n"/>
      <c r="D64" s="537" t="n"/>
      <c r="E64" s="538" t="n"/>
      <c r="F64" s="713" t="n"/>
      <c r="G64" s="537" t="n"/>
      <c r="H64" s="537" t="n"/>
      <c r="I64" s="537" t="n"/>
      <c r="J64" s="538" t="n"/>
      <c r="K64" s="713" t="n"/>
      <c r="L64" s="537" t="n"/>
      <c r="M64" s="537" t="n"/>
      <c r="N64" s="537" t="n"/>
      <c r="O64" s="538" t="n"/>
      <c r="P64" s="713" t="n"/>
      <c r="Q64" s="537" t="n"/>
      <c r="R64" s="537" t="n"/>
      <c r="S64" s="537" t="n"/>
      <c r="T64" s="538" t="n"/>
      <c r="U64" s="713" t="n"/>
      <c r="V64" s="537" t="n"/>
      <c r="W64" s="537" t="n"/>
      <c r="X64" s="537" t="n"/>
      <c r="Y64" s="538" t="n"/>
      <c r="Z64" s="481" t="n"/>
      <c r="AA64" s="482" t="n"/>
      <c r="AB64" s="482" t="n"/>
      <c r="AC64" s="482" t="n"/>
      <c r="AD64" s="482" t="n"/>
      <c r="AE64" s="482" t="n"/>
      <c r="AF64" s="525" t="n"/>
    </row>
    <row r="65">
      <c r="A65" s="57" t="inlineStr">
        <is>
          <t>22226-28131일 '96.3.27승인</t>
        </is>
      </c>
      <c r="B65" s="57" t="n"/>
      <c r="C65" s="58" t="n"/>
      <c r="D65" s="58" t="n"/>
      <c r="E65" s="58" t="n"/>
      <c r="F65" s="58" t="n"/>
      <c r="G65" s="58" t="n"/>
      <c r="H65" s="58" t="n"/>
      <c r="I65" s="58" t="n"/>
      <c r="J65" s="58" t="n"/>
      <c r="K65" s="58" t="n"/>
      <c r="L65" s="58" t="n"/>
      <c r="M65" s="58" t="n"/>
      <c r="N65" s="58" t="n"/>
      <c r="O65" s="58" t="n"/>
      <c r="P65" s="58" t="n"/>
      <c r="Q65" s="58" t="n"/>
      <c r="R65" s="58" t="n"/>
      <c r="S65" s="58" t="n"/>
      <c r="T65" s="58" t="n"/>
      <c r="U65" s="570" t="inlineStr">
        <is>
          <t>인쇄용지(특급)34g/m2 182mmx128mm</t>
        </is>
      </c>
      <c r="V65" s="475" t="n"/>
      <c r="W65" s="475" t="n"/>
      <c r="X65" s="475" t="n"/>
      <c r="Y65" s="475" t="n"/>
      <c r="Z65" s="475" t="n"/>
      <c r="AA65" s="475" t="n"/>
      <c r="AB65" s="475" t="n"/>
      <c r="AC65" s="475" t="n"/>
      <c r="AD65" s="475" t="n"/>
      <c r="AE65" s="475" t="n"/>
      <c r="AF65" s="475" t="n"/>
    </row>
  </sheetData>
  <mergeCells count="290">
    <mergeCell ref="F64:J64"/>
    <mergeCell ref="K64:O64"/>
    <mergeCell ref="P64:T64"/>
    <mergeCell ref="U64:Y64"/>
    <mergeCell ref="U65:AF65"/>
    <mergeCell ref="AE62:AF62"/>
    <mergeCell ref="A63:E63"/>
    <mergeCell ref="F63:J63"/>
    <mergeCell ref="K63:O63"/>
    <mergeCell ref="P63:T63"/>
    <mergeCell ref="U63:Y63"/>
    <mergeCell ref="Z63:AC64"/>
    <mergeCell ref="AD63:AE64"/>
    <mergeCell ref="AF63:AF64"/>
    <mergeCell ref="A64:E64"/>
    <mergeCell ref="C62:H62"/>
    <mergeCell ref="I62:K62"/>
    <mergeCell ref="L62:N62"/>
    <mergeCell ref="O62:S62"/>
    <mergeCell ref="T62:Y62"/>
    <mergeCell ref="Z62:AD62"/>
    <mergeCell ref="C59:H59"/>
    <mergeCell ref="I59:K59"/>
    <mergeCell ref="L59:N59"/>
    <mergeCell ref="O59:S59"/>
    <mergeCell ref="T59:Y59"/>
    <mergeCell ref="Z59:AD59"/>
    <mergeCell ref="AE59:AF59"/>
    <mergeCell ref="AE60:AF60"/>
    <mergeCell ref="C61:H61"/>
    <mergeCell ref="I61:K61"/>
    <mergeCell ref="L61:N61"/>
    <mergeCell ref="O61:S61"/>
    <mergeCell ref="T61:Y61"/>
    <mergeCell ref="Z61:AD61"/>
    <mergeCell ref="AE61:AF61"/>
    <mergeCell ref="C60:H60"/>
    <mergeCell ref="I60:K60"/>
    <mergeCell ref="L60:N60"/>
    <mergeCell ref="O60:S60"/>
    <mergeCell ref="T60:Y60"/>
    <mergeCell ref="Z60:AD60"/>
    <mergeCell ref="A56:B56"/>
    <mergeCell ref="E56:F56"/>
    <mergeCell ref="AB56:AF57"/>
    <mergeCell ref="A57:B57"/>
    <mergeCell ref="E57:F57"/>
    <mergeCell ref="C58:H58"/>
    <mergeCell ref="I58:K58"/>
    <mergeCell ref="L58:N58"/>
    <mergeCell ref="O58:S58"/>
    <mergeCell ref="T58:Y58"/>
    <mergeCell ref="Z58:AD58"/>
    <mergeCell ref="AE58:AF58"/>
    <mergeCell ref="A55:D55"/>
    <mergeCell ref="E55:Q55"/>
    <mergeCell ref="R55:AA55"/>
    <mergeCell ref="AB55:AF55"/>
    <mergeCell ref="B53:D54"/>
    <mergeCell ref="E53:J54"/>
    <mergeCell ref="K53:K54"/>
    <mergeCell ref="L53:P54"/>
    <mergeCell ref="R53:T54"/>
    <mergeCell ref="U53:Z54"/>
    <mergeCell ref="A47:A54"/>
    <mergeCell ref="B47:D48"/>
    <mergeCell ref="E47:E48"/>
    <mergeCell ref="F47:F48"/>
    <mergeCell ref="G47:G48"/>
    <mergeCell ref="H47:H48"/>
    <mergeCell ref="AA49:AA50"/>
    <mergeCell ref="AB49:AE50"/>
    <mergeCell ref="AF49:AF50"/>
    <mergeCell ref="B50:D50"/>
    <mergeCell ref="R50:T50"/>
    <mergeCell ref="B51:D51"/>
    <mergeCell ref="B52:D52"/>
    <mergeCell ref="B49:D49"/>
    <mergeCell ref="E49:J50"/>
    <mergeCell ref="K49:K50"/>
    <mergeCell ref="L49:O50"/>
    <mergeCell ref="P49:P50"/>
    <mergeCell ref="R49:T49"/>
    <mergeCell ref="AA53:AA54"/>
    <mergeCell ref="AB53:AF54"/>
    <mergeCell ref="X47:X48"/>
    <mergeCell ref="Y47:Y48"/>
    <mergeCell ref="O47:O48"/>
    <mergeCell ref="P47:P48"/>
    <mergeCell ref="Q47:Q54"/>
    <mergeCell ref="R47:T48"/>
    <mergeCell ref="U47:U48"/>
    <mergeCell ref="V47:V48"/>
    <mergeCell ref="U49:Z50"/>
    <mergeCell ref="R52:T52"/>
    <mergeCell ref="E51:P52"/>
    <mergeCell ref="R51:T51"/>
    <mergeCell ref="U51:AF52"/>
    <mergeCell ref="W39:AF39"/>
    <mergeCell ref="A45:O46"/>
    <mergeCell ref="P45:P46"/>
    <mergeCell ref="Q45:U45"/>
    <mergeCell ref="V45:V46"/>
    <mergeCell ref="W45:Z45"/>
    <mergeCell ref="I47:I48"/>
    <mergeCell ref="J47:J48"/>
    <mergeCell ref="K47:K48"/>
    <mergeCell ref="L47:L48"/>
    <mergeCell ref="M47:M48"/>
    <mergeCell ref="N47:N48"/>
    <mergeCell ref="AA45:AB45"/>
    <mergeCell ref="AD45:AE45"/>
    <mergeCell ref="Q46:U46"/>
    <mergeCell ref="W46:Z46"/>
    <mergeCell ref="AC47:AC48"/>
    <mergeCell ref="AD47:AD48"/>
    <mergeCell ref="AE47:AE48"/>
    <mergeCell ref="AF47:AF48"/>
    <mergeCell ref="Z47:Z48"/>
    <mergeCell ref="AA47:AA48"/>
    <mergeCell ref="AB47:AB48"/>
    <mergeCell ref="W47:W48"/>
    <mergeCell ref="AE36:AF36"/>
    <mergeCell ref="A37:E37"/>
    <mergeCell ref="F37:J37"/>
    <mergeCell ref="K37:O37"/>
    <mergeCell ref="P37:T37"/>
    <mergeCell ref="U37:Y37"/>
    <mergeCell ref="Z37:AC38"/>
    <mergeCell ref="AD37:AE38"/>
    <mergeCell ref="AF37:AF38"/>
    <mergeCell ref="A38:E38"/>
    <mergeCell ref="C36:H36"/>
    <mergeCell ref="I36:K36"/>
    <mergeCell ref="L36:N36"/>
    <mergeCell ref="O36:S36"/>
    <mergeCell ref="T36:Y36"/>
    <mergeCell ref="Z36:AD36"/>
    <mergeCell ref="F38:J38"/>
    <mergeCell ref="K38:O38"/>
    <mergeCell ref="P38:T38"/>
    <mergeCell ref="U38:Y38"/>
    <mergeCell ref="C33:H33"/>
    <mergeCell ref="I33:K33"/>
    <mergeCell ref="L33:N33"/>
    <mergeCell ref="O33:S33"/>
    <mergeCell ref="T33:Y33"/>
    <mergeCell ref="Z33:AD33"/>
    <mergeCell ref="AE33:AF33"/>
    <mergeCell ref="AE34:AF34"/>
    <mergeCell ref="C35:H35"/>
    <mergeCell ref="I35:K35"/>
    <mergeCell ref="L35:N35"/>
    <mergeCell ref="O35:S35"/>
    <mergeCell ref="T35:Y35"/>
    <mergeCell ref="Z35:AD35"/>
    <mergeCell ref="AE35:AF35"/>
    <mergeCell ref="C34:H34"/>
    <mergeCell ref="I34:K34"/>
    <mergeCell ref="L34:N34"/>
    <mergeCell ref="O34:S34"/>
    <mergeCell ref="T34:Y34"/>
    <mergeCell ref="Z34:AD34"/>
    <mergeCell ref="A30:B30"/>
    <mergeCell ref="E30:F30"/>
    <mergeCell ref="AB30:AF31"/>
    <mergeCell ref="A31:B31"/>
    <mergeCell ref="E31:F31"/>
    <mergeCell ref="C32:H32"/>
    <mergeCell ref="I32:K32"/>
    <mergeCell ref="L32:N32"/>
    <mergeCell ref="O32:S32"/>
    <mergeCell ref="T32:Y32"/>
    <mergeCell ref="Z32:AD32"/>
    <mergeCell ref="AE32:AF32"/>
    <mergeCell ref="AA27:AA28"/>
    <mergeCell ref="AB27:AF28"/>
    <mergeCell ref="A29:D29"/>
    <mergeCell ref="E29:Q29"/>
    <mergeCell ref="R29:AA29"/>
    <mergeCell ref="AB29:AF29"/>
    <mergeCell ref="B27:D28"/>
    <mergeCell ref="E27:J28"/>
    <mergeCell ref="K27:K28"/>
    <mergeCell ref="L27:P28"/>
    <mergeCell ref="R27:T28"/>
    <mergeCell ref="U27:Z28"/>
    <mergeCell ref="AF23:AF24"/>
    <mergeCell ref="B24:D24"/>
    <mergeCell ref="R24:T24"/>
    <mergeCell ref="B25:D25"/>
    <mergeCell ref="E25:P26"/>
    <mergeCell ref="R25:T25"/>
    <mergeCell ref="U25:AF26"/>
    <mergeCell ref="B26:D26"/>
    <mergeCell ref="R26:T26"/>
    <mergeCell ref="AF21:AF22"/>
    <mergeCell ref="B23:D23"/>
    <mergeCell ref="E23:J24"/>
    <mergeCell ref="K23:K24"/>
    <mergeCell ref="L23:O24"/>
    <mergeCell ref="P23:P24"/>
    <mergeCell ref="R23:T23"/>
    <mergeCell ref="U23:Z24"/>
    <mergeCell ref="AA23:AA24"/>
    <mergeCell ref="AB23:AE24"/>
    <mergeCell ref="Z21:Z22"/>
    <mergeCell ref="AA21:AA22"/>
    <mergeCell ref="AB21:AB22"/>
    <mergeCell ref="AC21:AC22"/>
    <mergeCell ref="AD21:AD22"/>
    <mergeCell ref="AE21:AE22"/>
    <mergeCell ref="R21:T22"/>
    <mergeCell ref="U21:U22"/>
    <mergeCell ref="V21:V22"/>
    <mergeCell ref="W21:W22"/>
    <mergeCell ref="X21:X22"/>
    <mergeCell ref="Y21:Y22"/>
    <mergeCell ref="L21:L22"/>
    <mergeCell ref="M21:M22"/>
    <mergeCell ref="N21:N22"/>
    <mergeCell ref="O21:O22"/>
    <mergeCell ref="P21:P22"/>
    <mergeCell ref="Q21:Q28"/>
    <mergeCell ref="W20:Z20"/>
    <mergeCell ref="A21:A28"/>
    <mergeCell ref="B21:D22"/>
    <mergeCell ref="E21:E22"/>
    <mergeCell ref="F21:F22"/>
    <mergeCell ref="G21:G22"/>
    <mergeCell ref="H21:H22"/>
    <mergeCell ref="I21:I22"/>
    <mergeCell ref="J21:J22"/>
    <mergeCell ref="K21:K22"/>
    <mergeCell ref="V18:AA18"/>
    <mergeCell ref="AB18:AF18"/>
    <mergeCell ref="A19:O20"/>
    <mergeCell ref="P19:P20"/>
    <mergeCell ref="Q19:U19"/>
    <mergeCell ref="V19:V20"/>
    <mergeCell ref="W19:Z19"/>
    <mergeCell ref="AA19:AB19"/>
    <mergeCell ref="AD19:AE19"/>
    <mergeCell ref="Q20:U20"/>
    <mergeCell ref="X11:AA11"/>
    <mergeCell ref="AB11:AE11"/>
    <mergeCell ref="X12:AA12"/>
    <mergeCell ref="AB12:AE12"/>
    <mergeCell ref="X13:AA13"/>
    <mergeCell ref="AB13:AE13"/>
    <mergeCell ref="A9:F9"/>
    <mergeCell ref="G9:K9"/>
    <mergeCell ref="L9:V9"/>
    <mergeCell ref="X9:AA9"/>
    <mergeCell ref="AB9:AE9"/>
    <mergeCell ref="A10:F10"/>
    <mergeCell ref="G10:K10"/>
    <mergeCell ref="L10:V10"/>
    <mergeCell ref="X10:AA10"/>
    <mergeCell ref="AB10:AE10"/>
    <mergeCell ref="A7:F7"/>
    <mergeCell ref="G7:K7"/>
    <mergeCell ref="L7:V7"/>
    <mergeCell ref="X7:AA7"/>
    <mergeCell ref="AB7:AE7"/>
    <mergeCell ref="A8:F8"/>
    <mergeCell ref="G8:K8"/>
    <mergeCell ref="L8:V8"/>
    <mergeCell ref="X8:AA8"/>
    <mergeCell ref="AB8:AE8"/>
    <mergeCell ref="A5:F5"/>
    <mergeCell ref="G5:K5"/>
    <mergeCell ref="L5:V5"/>
    <mergeCell ref="X5:AA5"/>
    <mergeCell ref="AB5:AE5"/>
    <mergeCell ref="A6:F6"/>
    <mergeCell ref="G6:K6"/>
    <mergeCell ref="L6:V6"/>
    <mergeCell ref="X6:AA6"/>
    <mergeCell ref="AB6:AE6"/>
    <mergeCell ref="Q1:S1"/>
    <mergeCell ref="A3:F3"/>
    <mergeCell ref="G3:K3"/>
    <mergeCell ref="L3:V3"/>
    <mergeCell ref="X3:AF3"/>
    <mergeCell ref="A4:F4"/>
    <mergeCell ref="G4:K4"/>
    <mergeCell ref="L4:V4"/>
    <mergeCell ref="X4:AA4"/>
    <mergeCell ref="AB4:AE4"/>
  </mergeCells>
  <pageMargins bottom="0.984251968503937" footer="0.5118110236220472" header="0.5118110236220472" left="0.7480314960629921" right="0.7480314960629921" top="0.984251968503937"/>
  <pageSetup orientation="portrait" paperSize="9"/>
  <rowBreaks count="1" manualBreakCount="1">
    <brk id="41" man="1" max="16383" min="0"/>
  </rowBreaks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65"/>
  <sheetViews>
    <sheetView topLeftCell="A4" workbookViewId="0">
      <selection activeCell="AK50" sqref="AK50"/>
    </sheetView>
  </sheetViews>
  <sheetFormatPr baseColWidth="8" defaultColWidth="8.77734375" defaultRowHeight="13.5"/>
  <cols>
    <col customWidth="1" max="32" min="1" style="391" width="2.33203125"/>
    <col bestFit="1" customWidth="1" max="34" min="34" style="391" width="11.44140625"/>
    <col bestFit="1" customWidth="1" max="36" min="36" style="391" width="9.88671875"/>
  </cols>
  <sheetData>
    <row customFormat="1" customHeight="1" ht="23.25" r="1" s="4" thickBot="1">
      <c r="A1" s="53" t="inlineStr">
        <is>
          <t>법무법인 주한 임대료내역 (3층)</t>
        </is>
      </c>
      <c r="B1" s="39" t="n"/>
      <c r="C1" s="40" t="n"/>
      <c r="D1" s="41" t="n"/>
      <c r="E1" s="41" t="n"/>
      <c r="F1" s="41" t="n"/>
      <c r="G1" s="41" t="n"/>
      <c r="H1" s="41" t="n"/>
      <c r="I1" s="41" t="n"/>
      <c r="J1" s="41" t="n"/>
      <c r="K1" s="41" t="n"/>
      <c r="L1" s="41" t="n"/>
      <c r="M1" s="41" t="n"/>
      <c r="N1" s="41" t="n"/>
      <c r="O1" s="53" t="n"/>
      <c r="P1" s="53" t="inlineStr">
        <is>
          <t>(</t>
        </is>
      </c>
      <c r="Q1" s="516">
        <f>정육점!Q1</f>
        <v/>
      </c>
      <c r="R1" s="346" t="n"/>
      <c r="S1" s="346" t="n"/>
      <c r="T1" s="53" t="inlineStr">
        <is>
          <t>년</t>
        </is>
      </c>
      <c r="U1" s="53" t="n"/>
      <c r="V1" s="83">
        <f>정육점!V1</f>
        <v/>
      </c>
      <c r="W1" s="53" t="inlineStr">
        <is>
          <t>월</t>
        </is>
      </c>
      <c r="X1" s="53" t="inlineStr">
        <is>
          <t>)</t>
        </is>
      </c>
      <c r="Y1" s="53" t="n"/>
      <c r="Z1" s="53" t="n"/>
      <c r="AA1" s="53" t="n"/>
      <c r="AB1" s="53" t="n"/>
      <c r="AC1" s="41" t="n"/>
      <c r="AD1" s="41" t="n"/>
      <c r="AE1" s="41" t="n"/>
      <c r="AF1" s="41" t="n"/>
    </row>
    <row customFormat="1" customHeight="1" ht="15" r="2" s="4" thickTop="1">
      <c r="A2" s="42" t="n"/>
      <c r="B2" s="42" t="n"/>
      <c r="C2" s="42" t="n"/>
    </row>
    <row customFormat="1" customHeight="1" ht="15" r="3" s="4">
      <c r="A3" s="579" t="inlineStr">
        <is>
          <t>내역상세</t>
        </is>
      </c>
      <c r="B3" s="382" t="n"/>
      <c r="C3" s="382" t="n"/>
      <c r="D3" s="382" t="n"/>
      <c r="E3" s="382" t="n"/>
      <c r="F3" s="348" t="n"/>
      <c r="G3" s="579" t="inlineStr">
        <is>
          <t>금   액</t>
        </is>
      </c>
      <c r="H3" s="382" t="n"/>
      <c r="I3" s="382" t="n"/>
      <c r="J3" s="382" t="n"/>
      <c r="K3" s="348" t="n"/>
      <c r="L3" s="579" t="inlineStr">
        <is>
          <t>비   고</t>
        </is>
      </c>
      <c r="M3" s="382" t="n"/>
      <c r="N3" s="382" t="n"/>
      <c r="O3" s="382" t="n"/>
      <c r="P3" s="382" t="n"/>
      <c r="Q3" s="382" t="n"/>
      <c r="R3" s="382" t="n"/>
      <c r="S3" s="382" t="n"/>
      <c r="T3" s="382" t="n"/>
      <c r="U3" s="382" t="n"/>
      <c r="V3" s="348" t="n"/>
      <c r="X3" s="514" t="inlineStr">
        <is>
          <t>미납임대료</t>
        </is>
      </c>
      <c r="Y3" s="382" t="n"/>
      <c r="Z3" s="382" t="n"/>
      <c r="AA3" s="382" t="n"/>
      <c r="AB3" s="382" t="n"/>
      <c r="AC3" s="382" t="n"/>
      <c r="AD3" s="382" t="n"/>
      <c r="AE3" s="382" t="n"/>
      <c r="AF3" s="348" t="n"/>
    </row>
    <row customFormat="1" customHeight="1" ht="15" r="4" s="4">
      <c r="A4" s="576" t="inlineStr">
        <is>
          <t>월세</t>
        </is>
      </c>
      <c r="B4" s="382" t="n"/>
      <c r="C4" s="382" t="n"/>
      <c r="D4" s="382" t="n"/>
      <c r="E4" s="382" t="n"/>
      <c r="F4" s="348" t="n"/>
      <c r="G4" s="714" t="n">
        <v>2400000</v>
      </c>
      <c r="H4" s="382" t="n"/>
      <c r="I4" s="382" t="n"/>
      <c r="J4" s="382" t="n"/>
      <c r="K4" s="348" t="n"/>
      <c r="L4" s="584" t="n"/>
      <c r="M4" s="382" t="n"/>
      <c r="N4" s="382" t="n"/>
      <c r="O4" s="382" t="n"/>
      <c r="P4" s="382" t="n"/>
      <c r="Q4" s="382" t="n"/>
      <c r="R4" s="382" t="n"/>
      <c r="S4" s="382" t="n"/>
      <c r="T4" s="382" t="n"/>
      <c r="U4" s="382" t="n"/>
      <c r="V4" s="348" t="n"/>
      <c r="X4" s="511" t="n"/>
      <c r="Y4" s="382" t="n"/>
      <c r="Z4" s="382" t="n"/>
      <c r="AA4" s="348" t="n"/>
      <c r="AB4" s="689" t="n"/>
      <c r="AC4" s="382" t="n"/>
      <c r="AD4" s="382" t="n"/>
      <c r="AE4" s="382" t="n"/>
      <c r="AF4" s="715" t="n"/>
    </row>
    <row customFormat="1" customHeight="1" ht="15" r="5" s="4">
      <c r="A5" s="576" t="inlineStr">
        <is>
          <t>부가세(10%)</t>
        </is>
      </c>
      <c r="B5" s="382" t="n"/>
      <c r="C5" s="382" t="n"/>
      <c r="D5" s="382" t="n"/>
      <c r="E5" s="382" t="n"/>
      <c r="F5" s="348" t="n"/>
      <c r="G5" s="714">
        <f>G4*0.1</f>
        <v/>
      </c>
      <c r="H5" s="382" t="n"/>
      <c r="I5" s="382" t="n"/>
      <c r="J5" s="382" t="n"/>
      <c r="K5" s="348" t="n"/>
      <c r="L5" s="576" t="n"/>
      <c r="M5" s="382" t="n"/>
      <c r="N5" s="382" t="n"/>
      <c r="O5" s="382" t="n"/>
      <c r="P5" s="382" t="n"/>
      <c r="Q5" s="382" t="n"/>
      <c r="R5" s="382" t="n"/>
      <c r="S5" s="382" t="n"/>
      <c r="T5" s="382" t="n"/>
      <c r="U5" s="382" t="n"/>
      <c r="V5" s="348" t="n"/>
      <c r="X5" s="511" t="n"/>
      <c r="Y5" s="382" t="n"/>
      <c r="Z5" s="382" t="n"/>
      <c r="AA5" s="348" t="n"/>
      <c r="AB5" s="689" t="n"/>
      <c r="AC5" s="382" t="n"/>
      <c r="AD5" s="382" t="n"/>
      <c r="AE5" s="382" t="n"/>
      <c r="AF5" s="715" t="n"/>
    </row>
    <row customFormat="1" customHeight="1" ht="15" r="6" s="4">
      <c r="A6" s="576" t="inlineStr">
        <is>
          <t>공동 관리비</t>
        </is>
      </c>
      <c r="B6" s="382" t="n"/>
      <c r="C6" s="382" t="n"/>
      <c r="D6" s="382" t="n"/>
      <c r="E6" s="382" t="n"/>
      <c r="F6" s="348" t="n"/>
      <c r="G6" s="714">
        <f>6000*(116)</f>
        <v/>
      </c>
      <c r="H6" s="382" t="n"/>
      <c r="I6" s="382" t="n"/>
      <c r="J6" s="382" t="n"/>
      <c r="K6" s="348" t="n"/>
      <c r="L6" s="576" t="inlineStr">
        <is>
          <t>3층:116평, 월 6,000원/평</t>
        </is>
      </c>
      <c r="M6" s="382" t="n"/>
      <c r="N6" s="382" t="n"/>
      <c r="O6" s="382" t="n"/>
      <c r="P6" s="382" t="n"/>
      <c r="Q6" s="382" t="n"/>
      <c r="R6" s="382" t="n"/>
      <c r="S6" s="382" t="n"/>
      <c r="T6" s="382" t="n"/>
      <c r="U6" s="382" t="n"/>
      <c r="V6" s="348" t="n"/>
      <c r="X6" s="511" t="n"/>
      <c r="Y6" s="382" t="n"/>
      <c r="Z6" s="382" t="n"/>
      <c r="AA6" s="348" t="n"/>
      <c r="AB6" s="689" t="n"/>
      <c r="AC6" s="382" t="n"/>
      <c r="AD6" s="382" t="n"/>
      <c r="AE6" s="382" t="n"/>
      <c r="AF6" s="715" t="n"/>
      <c r="AH6" s="691" t="n"/>
    </row>
    <row customFormat="1" customHeight="1" ht="15" r="7" s="4">
      <c r="A7" s="576" t="inlineStr">
        <is>
          <t>전기요금</t>
        </is>
      </c>
      <c r="B7" s="382" t="n"/>
      <c r="C7" s="382" t="n"/>
      <c r="D7" s="382" t="n"/>
      <c r="E7" s="382" t="n"/>
      <c r="F7" s="348" t="n"/>
      <c r="G7" s="714">
        <f>전기수도요금!H14</f>
        <v/>
      </c>
      <c r="H7" s="382" t="n"/>
      <c r="I7" s="382" t="n"/>
      <c r="J7" s="382" t="n"/>
      <c r="K7" s="348" t="n"/>
      <c r="L7" s="576" t="n"/>
      <c r="M7" s="382" t="n"/>
      <c r="N7" s="382" t="n"/>
      <c r="O7" s="382" t="n"/>
      <c r="P7" s="382" t="n"/>
      <c r="Q7" s="382" t="n"/>
      <c r="R7" s="382" t="n"/>
      <c r="S7" s="382" t="n"/>
      <c r="T7" s="382" t="n"/>
      <c r="U7" s="382" t="n"/>
      <c r="V7" s="348" t="n"/>
      <c r="X7" s="511" t="n"/>
      <c r="Y7" s="382" t="n"/>
      <c r="Z7" s="382" t="n"/>
      <c r="AA7" s="348" t="n"/>
      <c r="AB7" s="689" t="n"/>
      <c r="AC7" s="382" t="n"/>
      <c r="AD7" s="382" t="n"/>
      <c r="AE7" s="382" t="n"/>
      <c r="AF7" s="715" t="n"/>
    </row>
    <row customFormat="1" customHeight="1" ht="15" r="8" s="4">
      <c r="A8" s="576" t="inlineStr">
        <is>
          <t>상/하수도 요금</t>
        </is>
      </c>
      <c r="B8" s="382" t="n"/>
      <c r="C8" s="382" t="n"/>
      <c r="D8" s="382" t="n"/>
      <c r="E8" s="382" t="n"/>
      <c r="F8" s="348" t="n"/>
      <c r="G8" s="714">
        <f>전기수도요금!G35</f>
        <v/>
      </c>
      <c r="H8" s="382" t="n"/>
      <c r="I8" s="382" t="n"/>
      <c r="J8" s="382" t="n"/>
      <c r="K8" s="348" t="n"/>
      <c r="L8" s="576" t="n"/>
      <c r="M8" s="382" t="n"/>
      <c r="N8" s="382" t="n"/>
      <c r="O8" s="382" t="n"/>
      <c r="P8" s="382" t="n"/>
      <c r="Q8" s="382" t="n"/>
      <c r="R8" s="382" t="n"/>
      <c r="S8" s="382" t="n"/>
      <c r="T8" s="382" t="n"/>
      <c r="U8" s="382" t="n"/>
      <c r="V8" s="348" t="n"/>
      <c r="X8" s="511" t="n"/>
      <c r="Y8" s="382" t="n"/>
      <c r="Z8" s="382" t="n"/>
      <c r="AA8" s="348" t="n"/>
      <c r="AB8" s="689" t="n"/>
      <c r="AC8" s="382" t="n"/>
      <c r="AD8" s="382" t="n"/>
      <c r="AE8" s="382" t="n"/>
      <c r="AF8" s="715" t="n"/>
    </row>
    <row customFormat="1" customHeight="1" ht="15" r="9" s="4">
      <c r="A9" s="579" t="n"/>
      <c r="B9" s="382" t="n"/>
      <c r="C9" s="382" t="n"/>
      <c r="D9" s="382" t="n"/>
      <c r="E9" s="382" t="n"/>
      <c r="F9" s="348" t="n"/>
      <c r="G9" s="714" t="n"/>
      <c r="H9" s="382" t="n"/>
      <c r="I9" s="382" t="n"/>
      <c r="J9" s="382" t="n"/>
      <c r="K9" s="348" t="n"/>
      <c r="L9" s="576" t="n"/>
      <c r="M9" s="382" t="n"/>
      <c r="N9" s="382" t="n"/>
      <c r="O9" s="382" t="n"/>
      <c r="P9" s="382" t="n"/>
      <c r="Q9" s="382" t="n"/>
      <c r="R9" s="382" t="n"/>
      <c r="S9" s="382" t="n"/>
      <c r="T9" s="382" t="n"/>
      <c r="U9" s="382" t="n"/>
      <c r="V9" s="348" t="n"/>
      <c r="X9" s="511" t="n"/>
      <c r="Y9" s="382" t="n"/>
      <c r="Z9" s="382" t="n"/>
      <c r="AA9" s="348" t="n"/>
      <c r="AB9" s="689" t="n"/>
      <c r="AC9" s="382" t="n"/>
      <c r="AD9" s="382" t="n"/>
      <c r="AE9" s="382" t="n"/>
      <c r="AF9" s="715" t="n"/>
    </row>
    <row customFormat="1" customHeight="1" ht="15" r="10" s="4">
      <c r="A10" s="582" t="inlineStr">
        <is>
          <t>임대료 합계</t>
        </is>
      </c>
      <c r="B10" s="382" t="n"/>
      <c r="C10" s="382" t="n"/>
      <c r="D10" s="382" t="n"/>
      <c r="E10" s="382" t="n"/>
      <c r="F10" s="348" t="n"/>
      <c r="G10" s="716">
        <f>SUM(G4:J9)</f>
        <v/>
      </c>
      <c r="H10" s="382" t="n"/>
      <c r="I10" s="382" t="n"/>
      <c r="J10" s="382" t="n"/>
      <c r="K10" s="348" t="n"/>
      <c r="L10" s="583" t="n"/>
      <c r="M10" s="382" t="n"/>
      <c r="N10" s="382" t="n"/>
      <c r="O10" s="382" t="n"/>
      <c r="P10" s="382" t="n"/>
      <c r="Q10" s="382" t="n"/>
      <c r="R10" s="382" t="n"/>
      <c r="S10" s="382" t="n"/>
      <c r="T10" s="382" t="n"/>
      <c r="U10" s="382" t="n"/>
      <c r="V10" s="348" t="n"/>
      <c r="X10" s="511" t="n"/>
      <c r="Y10" s="382" t="n"/>
      <c r="Z10" s="382" t="n"/>
      <c r="AA10" s="348" t="n"/>
      <c r="AB10" s="689" t="n"/>
      <c r="AC10" s="382" t="n"/>
      <c r="AD10" s="382" t="n"/>
      <c r="AE10" s="382" t="n"/>
      <c r="AF10" s="715" t="n"/>
    </row>
    <row customFormat="1" customHeight="1" ht="15" r="11" s="4">
      <c r="A11" s="42" t="n"/>
      <c r="B11" s="42" t="n"/>
      <c r="C11" s="42" t="n"/>
      <c r="X11" s="511" t="n"/>
      <c r="Y11" s="382" t="n"/>
      <c r="Z11" s="382" t="n"/>
      <c r="AA11" s="348" t="n"/>
      <c r="AB11" s="689" t="n"/>
      <c r="AC11" s="382" t="n"/>
      <c r="AD11" s="382" t="n"/>
      <c r="AE11" s="382" t="n"/>
      <c r="AF11" s="715" t="n"/>
    </row>
    <row customFormat="1" customHeight="1" ht="15" r="12" s="4">
      <c r="A12" s="43">
        <f>정육점!A12</f>
        <v/>
      </c>
      <c r="B12" s="44" t="n"/>
      <c r="C12" s="45" t="n"/>
      <c r="D12" s="46" t="n"/>
      <c r="E12" s="46" t="n"/>
      <c r="F12" s="46" t="n"/>
      <c r="G12" s="46" t="n"/>
      <c r="H12" s="46" t="n"/>
      <c r="I12" s="46" t="n"/>
      <c r="J12" s="46" t="n"/>
      <c r="K12" s="46" t="n"/>
      <c r="L12" s="46" t="n"/>
      <c r="M12" s="46" t="n"/>
      <c r="N12" s="46" t="n"/>
      <c r="O12" s="46" t="n"/>
      <c r="P12" s="46" t="n"/>
      <c r="Q12" s="46" t="n"/>
      <c r="R12" s="46" t="n"/>
      <c r="S12" s="46" t="n"/>
      <c r="T12" s="46" t="n"/>
      <c r="U12" s="46" t="n"/>
      <c r="V12" s="46" t="n"/>
      <c r="X12" s="511" t="n"/>
      <c r="Y12" s="382" t="n"/>
      <c r="Z12" s="382" t="n"/>
      <c r="AA12" s="348" t="n"/>
      <c r="AB12" s="718" t="n"/>
      <c r="AC12" s="378" t="n"/>
      <c r="AD12" s="378" t="n"/>
      <c r="AE12" s="378" t="n"/>
      <c r="AF12" s="719" t="n"/>
    </row>
    <row customFormat="1" customHeight="1" ht="15" r="13" s="4">
      <c r="A13" s="47" t="inlineStr">
        <is>
          <t>신한은행 379-02-099892 (예금주:곽순욱/세림빌딩)</t>
        </is>
      </c>
      <c r="B13" s="44" t="n"/>
      <c r="C13" s="45" t="n"/>
      <c r="D13" s="46" t="n"/>
      <c r="E13" s="46" t="n"/>
      <c r="F13" s="46" t="n"/>
      <c r="G13" s="46" t="n"/>
      <c r="H13" s="46" t="n"/>
      <c r="I13" s="46" t="n"/>
      <c r="J13" s="46" t="n"/>
      <c r="K13" s="46" t="n"/>
      <c r="L13" s="46" t="n"/>
      <c r="M13" s="46" t="n"/>
      <c r="N13" s="46" t="n"/>
      <c r="O13" s="46" t="n"/>
      <c r="P13" s="46" t="n"/>
      <c r="Q13" s="46" t="n"/>
      <c r="R13" s="46" t="n"/>
      <c r="S13" s="46" t="n"/>
      <c r="T13" s="46" t="n"/>
      <c r="U13" s="46" t="n"/>
      <c r="V13" s="46" t="n"/>
      <c r="X13" s="574" t="inlineStr">
        <is>
          <t>합계</t>
        </is>
      </c>
      <c r="Y13" s="382" t="n"/>
      <c r="Z13" s="382" t="n"/>
      <c r="AA13" s="382" t="n"/>
      <c r="AB13" s="694">
        <f>SUM(AB4:AE12)</f>
        <v/>
      </c>
      <c r="AC13" s="382" t="n"/>
      <c r="AD13" s="382" t="n"/>
      <c r="AE13" s="382" t="n"/>
      <c r="AF13" s="720" t="inlineStr">
        <is>
          <t>원</t>
        </is>
      </c>
    </row>
    <row customFormat="1" customHeight="1" ht="15" r="14" s="4">
      <c r="A14" s="54" t="n"/>
      <c r="B14" s="55" t="n"/>
      <c r="C14" s="56" t="n"/>
      <c r="X14" s="49" t="n"/>
      <c r="Y14" s="49" t="n"/>
      <c r="Z14" s="49" t="n"/>
      <c r="AA14" s="49" t="n"/>
      <c r="AB14" s="696" t="n"/>
      <c r="AC14" s="696" t="n"/>
      <c r="AD14" s="696" t="n"/>
      <c r="AE14" s="696" t="n"/>
      <c r="AF14" s="697" t="n"/>
    </row>
    <row customFormat="1" r="15" s="4"/>
    <row customFormat="1" r="16" s="4"/>
    <row customFormat="1" r="17" s="4">
      <c r="A17" s="48" t="n"/>
      <c r="B17" s="48" t="n"/>
      <c r="C17" s="48" t="n"/>
      <c r="D17" s="48" t="n"/>
      <c r="E17" s="48" t="n"/>
      <c r="F17" s="48" t="n"/>
      <c r="G17" s="48" t="n"/>
      <c r="H17" s="48" t="n"/>
      <c r="I17" s="48" t="n"/>
      <c r="J17" s="48" t="n"/>
      <c r="K17" s="48" t="n"/>
      <c r="L17" s="48" t="n"/>
      <c r="M17" s="48" t="n"/>
      <c r="N17" s="48" t="n"/>
      <c r="O17" s="48" t="n"/>
      <c r="P17" s="48" t="n"/>
      <c r="Q17" s="48" t="n"/>
      <c r="R17" s="48" t="n"/>
      <c r="S17" s="48" t="n"/>
      <c r="T17" s="48" t="n"/>
      <c r="U17" s="48" t="n"/>
      <c r="V17" s="48" t="n"/>
      <c r="W17" s="48" t="n"/>
      <c r="X17" s="48" t="n"/>
      <c r="Y17" s="48" t="n"/>
      <c r="Z17" s="48" t="n"/>
      <c r="AA17" s="48" t="n"/>
      <c r="AB17" s="48" t="n"/>
      <c r="AC17" s="48" t="n"/>
      <c r="AD17" s="48" t="n"/>
      <c r="AE17" s="48" t="n"/>
      <c r="AF17" s="48" t="n"/>
    </row>
    <row customHeight="1" ht="14.25" r="18" s="391" thickBot="1">
      <c r="A18" s="31" t="inlineStr">
        <is>
          <t>[별지 제11호 서식]</t>
        </is>
      </c>
      <c r="B18" s="31" t="n"/>
      <c r="C18" s="32" t="n"/>
      <c r="D18" s="32" t="n"/>
      <c r="E18" s="32" t="n"/>
      <c r="F18" s="32" t="n"/>
      <c r="G18" s="33" t="n"/>
      <c r="H18" s="33" t="n"/>
      <c r="I18" s="32" t="n"/>
      <c r="J18" s="32" t="n"/>
      <c r="K18" s="32" t="n"/>
      <c r="L18" s="32" t="n"/>
      <c r="M18" s="32" t="n"/>
      <c r="N18" s="32" t="n"/>
      <c r="O18" s="32" t="n"/>
      <c r="P18" s="32" t="n"/>
      <c r="Q18" s="32" t="n"/>
      <c r="R18" s="32" t="n"/>
      <c r="S18" s="32" t="n"/>
      <c r="T18" s="32" t="n"/>
      <c r="U18" s="32" t="n"/>
      <c r="V18" s="470" t="n"/>
      <c r="AB18" s="470" t="n"/>
    </row>
    <row r="19">
      <c r="A19" s="500" t="inlineStr">
        <is>
          <t>세 금 계 산 서</t>
        </is>
      </c>
      <c r="B19" s="404" t="n"/>
      <c r="C19" s="404" t="n"/>
      <c r="D19" s="404" t="n"/>
      <c r="E19" s="404" t="n"/>
      <c r="F19" s="404" t="n"/>
      <c r="G19" s="404" t="n"/>
      <c r="H19" s="404" t="n"/>
      <c r="I19" s="404" t="n"/>
      <c r="J19" s="404" t="n"/>
      <c r="K19" s="404" t="n"/>
      <c r="L19" s="404" t="n"/>
      <c r="M19" s="404" t="n"/>
      <c r="N19" s="404" t="n"/>
      <c r="O19" s="404" t="n"/>
      <c r="P19" s="502" t="inlineStr">
        <is>
          <t>(</t>
        </is>
      </c>
      <c r="Q19" s="503" t="inlineStr">
        <is>
          <t>공급받는자</t>
        </is>
      </c>
      <c r="R19" s="404" t="n"/>
      <c r="S19" s="404" t="n"/>
      <c r="T19" s="404" t="n"/>
      <c r="U19" s="404" t="n"/>
      <c r="V19" s="503" t="inlineStr">
        <is>
          <t>)</t>
        </is>
      </c>
      <c r="W19" s="504" t="inlineStr">
        <is>
          <t>책   번   호</t>
        </is>
      </c>
      <c r="X19" s="430" t="n"/>
      <c r="Y19" s="430" t="n"/>
      <c r="Z19" s="431" t="n"/>
      <c r="AA19" s="505" t="n"/>
      <c r="AB19" s="430" t="n"/>
      <c r="AC19" s="34" t="inlineStr">
        <is>
          <t>권</t>
        </is>
      </c>
      <c r="AD19" s="505" t="n"/>
      <c r="AE19" s="430" t="n"/>
      <c r="AF19" s="35" t="inlineStr">
        <is>
          <t>호</t>
        </is>
      </c>
    </row>
    <row customHeight="1" ht="14.25" r="20" s="391" thickBot="1">
      <c r="A20" s="501" t="n"/>
      <c r="Q20" s="506" t="inlineStr">
        <is>
          <t>보  관  용</t>
        </is>
      </c>
      <c r="R20" s="419" t="n"/>
      <c r="S20" s="419" t="n"/>
      <c r="T20" s="419" t="n"/>
      <c r="U20" s="419" t="n"/>
      <c r="W20" s="462" t="inlineStr">
        <is>
          <t>일 련 번 호</t>
        </is>
      </c>
      <c r="X20" s="408" t="n"/>
      <c r="Y20" s="408" t="n"/>
      <c r="Z20" s="409" t="n"/>
      <c r="AA20" s="303" t="n"/>
      <c r="AB20" s="304" t="n"/>
      <c r="AC20" s="303" t="n"/>
      <c r="AD20" s="303" t="n"/>
      <c r="AE20" s="303" t="n"/>
      <c r="AF20" s="305" t="n"/>
    </row>
    <row customHeight="1" ht="13.5" r="21" s="391">
      <c r="A21" s="463" t="inlineStr">
        <is>
          <t>공 급 자</t>
        </is>
      </c>
      <c r="B21" s="433" t="inlineStr">
        <is>
          <t>등록번호</t>
        </is>
      </c>
      <c r="C21" s="416" t="n"/>
      <c r="D21" s="417" t="n"/>
      <c r="E21" s="458" t="n">
        <v>1</v>
      </c>
      <c r="F21" s="452" t="n">
        <v>2</v>
      </c>
      <c r="G21" s="452" t="n">
        <v>4</v>
      </c>
      <c r="H21" s="452" t="inlineStr">
        <is>
          <t>-</t>
        </is>
      </c>
      <c r="I21" s="452" t="n">
        <v>2</v>
      </c>
      <c r="J21" s="452" t="n">
        <v>0</v>
      </c>
      <c r="K21" s="452" t="inlineStr">
        <is>
          <t>-</t>
        </is>
      </c>
      <c r="L21" s="452" t="n">
        <v>2</v>
      </c>
      <c r="M21" s="452" t="n">
        <v>6</v>
      </c>
      <c r="N21" s="452" t="n">
        <v>4</v>
      </c>
      <c r="O21" s="452" t="n">
        <v>4</v>
      </c>
      <c r="P21" s="465" t="n">
        <v>9</v>
      </c>
      <c r="Q21" s="467" t="inlineStr">
        <is>
          <t>공급받는자</t>
        </is>
      </c>
      <c r="R21" s="433" t="inlineStr">
        <is>
          <t>등록번호</t>
        </is>
      </c>
      <c r="S21" s="416" t="n"/>
      <c r="T21" s="417" t="n"/>
      <c r="U21" s="458" t="n">
        <v>3</v>
      </c>
      <c r="V21" s="452" t="n">
        <v>5</v>
      </c>
      <c r="W21" s="452" t="n">
        <v>3</v>
      </c>
      <c r="X21" s="452" t="inlineStr">
        <is>
          <t>-</t>
        </is>
      </c>
      <c r="Y21" s="452" t="n">
        <v>8</v>
      </c>
      <c r="Z21" s="452" t="n">
        <v>8</v>
      </c>
      <c r="AA21" s="452" t="inlineStr">
        <is>
          <t>-</t>
        </is>
      </c>
      <c r="AB21" s="452" t="n">
        <v>0</v>
      </c>
      <c r="AC21" s="452" t="n">
        <v>0</v>
      </c>
      <c r="AD21" s="452" t="n">
        <v>5</v>
      </c>
      <c r="AE21" s="452" t="n">
        <v>2</v>
      </c>
      <c r="AF21" s="453" t="n">
        <v>3</v>
      </c>
    </row>
    <row customHeight="1" ht="14.25" r="22" s="391" thickBot="1">
      <c r="A22" s="464" t="n"/>
      <c r="B22" s="418" t="n"/>
      <c r="C22" s="419" t="n"/>
      <c r="D22" s="420" t="n"/>
      <c r="E22" s="459" t="n"/>
      <c r="F22" s="439" t="n"/>
      <c r="G22" s="439" t="n"/>
      <c r="H22" s="439" t="n"/>
      <c r="I22" s="439" t="n"/>
      <c r="J22" s="439" t="n"/>
      <c r="K22" s="439" t="n"/>
      <c r="L22" s="439" t="n"/>
      <c r="M22" s="439" t="n"/>
      <c r="N22" s="439" t="n"/>
      <c r="O22" s="439" t="n"/>
      <c r="P22" s="466" t="n"/>
      <c r="Q22" s="468" t="n"/>
      <c r="R22" s="418" t="n"/>
      <c r="S22" s="419" t="n"/>
      <c r="T22" s="420" t="n"/>
      <c r="U22" s="459" t="n"/>
      <c r="V22" s="439" t="n"/>
      <c r="W22" s="439" t="n"/>
      <c r="X22" s="439" t="n"/>
      <c r="Y22" s="439" t="n"/>
      <c r="Z22" s="439" t="n"/>
      <c r="AA22" s="439" t="n"/>
      <c r="AB22" s="439" t="n"/>
      <c r="AC22" s="439" t="n"/>
      <c r="AD22" s="439" t="n"/>
      <c r="AE22" s="439" t="n"/>
      <c r="AF22" s="454" t="n"/>
    </row>
    <row customHeight="1" ht="13.5" r="23" s="391">
      <c r="A23" s="464" t="n"/>
      <c r="B23" s="444" t="inlineStr">
        <is>
          <t>상     호</t>
        </is>
      </c>
      <c r="C23" s="416" t="n"/>
      <c r="D23" s="417" t="n"/>
      <c r="E23" s="445" t="inlineStr">
        <is>
          <t>세림빌딩</t>
        </is>
      </c>
      <c r="F23" s="416" t="n"/>
      <c r="G23" s="416" t="n"/>
      <c r="H23" s="416" t="n"/>
      <c r="I23" s="416" t="n"/>
      <c r="J23" s="417" t="n"/>
      <c r="K23" s="438" t="inlineStr">
        <is>
          <t>성명</t>
        </is>
      </c>
      <c r="L23" s="447" t="inlineStr">
        <is>
          <t>곽순욱 외1인</t>
        </is>
      </c>
      <c r="M23" s="416" t="n"/>
      <c r="N23" s="416" t="n"/>
      <c r="O23" s="417" t="n"/>
      <c r="P23" s="448" t="inlineStr">
        <is>
          <t>인</t>
        </is>
      </c>
      <c r="Q23" s="468" t="n"/>
      <c r="R23" s="444" t="inlineStr">
        <is>
          <t>상     호</t>
        </is>
      </c>
      <c r="S23" s="416" t="n"/>
      <c r="T23" s="417" t="n"/>
      <c r="U23" s="585" t="inlineStr">
        <is>
          <t>법무법인 주한</t>
        </is>
      </c>
      <c r="V23" s="404" t="n"/>
      <c r="W23" s="404" t="n"/>
      <c r="X23" s="404" t="n"/>
      <c r="Y23" s="404" t="n"/>
      <c r="Z23" s="456" t="n"/>
      <c r="AA23" s="457" t="inlineStr">
        <is>
          <t>성명</t>
        </is>
      </c>
      <c r="AB23" s="460" t="inlineStr">
        <is>
          <t>유용관 외1인</t>
        </is>
      </c>
      <c r="AC23" s="404" t="n"/>
      <c r="AD23" s="404" t="n"/>
      <c r="AE23" s="404" t="n"/>
      <c r="AF23" s="461" t="inlineStr">
        <is>
          <t>인</t>
        </is>
      </c>
    </row>
    <row customHeight="1" ht="14.25" r="24" s="391" thickBot="1">
      <c r="A24" s="464" t="n"/>
      <c r="B24" s="443" t="inlineStr">
        <is>
          <t>(법인명)</t>
        </is>
      </c>
      <c r="C24" s="419" t="n"/>
      <c r="D24" s="420" t="n"/>
      <c r="E24" s="446" t="n"/>
      <c r="F24" s="436" t="n"/>
      <c r="G24" s="436" t="n"/>
      <c r="H24" s="436" t="n"/>
      <c r="I24" s="436" t="n"/>
      <c r="J24" s="437" t="n"/>
      <c r="K24" s="439" t="n"/>
      <c r="L24" s="418" t="n"/>
      <c r="M24" s="419" t="n"/>
      <c r="N24" s="419" t="n"/>
      <c r="O24" s="420" t="n"/>
      <c r="P24" s="406" t="n"/>
      <c r="Q24" s="468" t="n"/>
      <c r="R24" s="443" t="inlineStr">
        <is>
          <t>(법인명)</t>
        </is>
      </c>
      <c r="S24" s="419" t="n"/>
      <c r="T24" s="420" t="n"/>
      <c r="U24" s="435" t="n"/>
      <c r="V24" s="436" t="n"/>
      <c r="W24" s="436" t="n"/>
      <c r="X24" s="436" t="n"/>
      <c r="Y24" s="436" t="n"/>
      <c r="Z24" s="437" t="n"/>
      <c r="AA24" s="439" t="n"/>
      <c r="AB24" s="418" t="n"/>
      <c r="AC24" s="419" t="n"/>
      <c r="AD24" s="419" t="n"/>
      <c r="AE24" s="419" t="n"/>
      <c r="AF24" s="406" t="n"/>
    </row>
    <row customHeight="1" ht="13.5" r="25" s="391">
      <c r="A25" s="464" t="n"/>
      <c r="B25" s="444" t="inlineStr">
        <is>
          <t>사 업 장</t>
        </is>
      </c>
      <c r="C25" s="416" t="n"/>
      <c r="D25" s="417" t="n"/>
      <c r="E25" s="469" t="inlineStr">
        <is>
          <t>경기도 수원시 영통구 동수원로 514</t>
        </is>
      </c>
      <c r="F25" s="404" t="n"/>
      <c r="G25" s="404" t="n"/>
      <c r="H25" s="404" t="n"/>
      <c r="I25" s="404" t="n"/>
      <c r="J25" s="404" t="n"/>
      <c r="K25" s="404" t="n"/>
      <c r="L25" s="404" t="n"/>
      <c r="M25" s="404" t="n"/>
      <c r="N25" s="404" t="n"/>
      <c r="O25" s="404" t="n"/>
      <c r="P25" s="456" t="n"/>
      <c r="Q25" s="468" t="n"/>
      <c r="R25" s="444" t="inlineStr">
        <is>
          <t>사 업 장</t>
        </is>
      </c>
      <c r="S25" s="416" t="n"/>
      <c r="T25" s="417" t="n"/>
      <c r="U25" s="587" t="inlineStr">
        <is>
          <t>경기도 수원시 영통구 동수원로 514 세림빌딩 3층</t>
        </is>
      </c>
      <c r="V25" s="404" t="n"/>
      <c r="W25" s="404" t="n"/>
      <c r="X25" s="404" t="n"/>
      <c r="Y25" s="404" t="n"/>
      <c r="Z25" s="404" t="n"/>
      <c r="AA25" s="404" t="n"/>
      <c r="AB25" s="404" t="n"/>
      <c r="AC25" s="404" t="n"/>
      <c r="AD25" s="404" t="n"/>
      <c r="AE25" s="404" t="n"/>
      <c r="AF25" s="456" t="n"/>
      <c r="AH25" s="95" t="inlineStr">
        <is>
          <t>공급가액</t>
        </is>
      </c>
      <c r="AI25" s="95" t="inlineStr">
        <is>
          <t>세액</t>
        </is>
      </c>
      <c r="AJ25" s="95" t="inlineStr">
        <is>
          <t>합계금액</t>
        </is>
      </c>
    </row>
    <row r="26">
      <c r="A26" s="464" t="n"/>
      <c r="B26" s="443" t="inlineStr">
        <is>
          <t>주     소</t>
        </is>
      </c>
      <c r="C26" s="419" t="n"/>
      <c r="D26" s="420" t="n"/>
      <c r="E26" s="418" t="n"/>
      <c r="F26" s="419" t="n"/>
      <c r="G26" s="419" t="n"/>
      <c r="H26" s="419" t="n"/>
      <c r="I26" s="419" t="n"/>
      <c r="J26" s="419" t="n"/>
      <c r="K26" s="419" t="n"/>
      <c r="L26" s="419" t="n"/>
      <c r="M26" s="419" t="n"/>
      <c r="N26" s="419" t="n"/>
      <c r="O26" s="419" t="n"/>
      <c r="P26" s="420" t="n"/>
      <c r="Q26" s="468" t="n"/>
      <c r="R26" s="443" t="inlineStr">
        <is>
          <t>주     소</t>
        </is>
      </c>
      <c r="S26" s="419" t="n"/>
      <c r="T26" s="420" t="n"/>
      <c r="U26" s="418" t="n"/>
      <c r="V26" s="419" t="n"/>
      <c r="W26" s="419" t="n"/>
      <c r="X26" s="419" t="n"/>
      <c r="Y26" s="419" t="n"/>
      <c r="Z26" s="419" t="n"/>
      <c r="AA26" s="419" t="n"/>
      <c r="AB26" s="419" t="n"/>
      <c r="AC26" s="419" t="n"/>
      <c r="AD26" s="419" t="n"/>
      <c r="AE26" s="419" t="n"/>
      <c r="AF26" s="420" t="n"/>
      <c r="AH26" s="698">
        <f>T33</f>
        <v/>
      </c>
      <c r="AI26" s="698">
        <f>Z33</f>
        <v/>
      </c>
    </row>
    <row customHeight="1" ht="13.5" r="27" s="391">
      <c r="A27" s="464" t="n"/>
      <c r="B27" s="433" t="inlineStr">
        <is>
          <t>업     태</t>
        </is>
      </c>
      <c r="C27" s="416" t="n"/>
      <c r="D27" s="417" t="n"/>
      <c r="E27" s="434" t="inlineStr">
        <is>
          <t>부동산업</t>
        </is>
      </c>
      <c r="F27" s="416" t="n"/>
      <c r="G27" s="416" t="n"/>
      <c r="H27" s="416" t="n"/>
      <c r="I27" s="416" t="n"/>
      <c r="J27" s="417" t="n"/>
      <c r="K27" s="438" t="inlineStr">
        <is>
          <t>종목</t>
        </is>
      </c>
      <c r="L27" s="434" t="inlineStr">
        <is>
          <t>비주거용            건물임대업</t>
        </is>
      </c>
      <c r="M27" s="416" t="n"/>
      <c r="N27" s="416" t="n"/>
      <c r="O27" s="416" t="n"/>
      <c r="P27" s="417" t="n"/>
      <c r="Q27" s="468" t="n"/>
      <c r="R27" s="433" t="inlineStr">
        <is>
          <t>업     태</t>
        </is>
      </c>
      <c r="S27" s="416" t="n"/>
      <c r="T27" s="417" t="n"/>
      <c r="U27" s="434" t="inlineStr">
        <is>
          <t>서비스업</t>
        </is>
      </c>
      <c r="V27" s="416" t="n"/>
      <c r="W27" s="416" t="n"/>
      <c r="X27" s="416" t="n"/>
      <c r="Y27" s="416" t="n"/>
      <c r="Z27" s="417" t="n"/>
      <c r="AA27" s="438" t="inlineStr">
        <is>
          <t>종목</t>
        </is>
      </c>
      <c r="AB27" s="449" t="inlineStr">
        <is>
          <t>변호사업</t>
        </is>
      </c>
      <c r="AC27" s="416" t="n"/>
      <c r="AD27" s="416" t="n"/>
      <c r="AE27" s="416" t="n"/>
      <c r="AF27" s="450" t="n"/>
      <c r="AH27" s="698">
        <f>T34</f>
        <v/>
      </c>
      <c r="AI27" s="698">
        <f>Z34</f>
        <v/>
      </c>
    </row>
    <row customHeight="1" ht="14.25" r="28" s="391" thickBot="1">
      <c r="A28" s="459" t="n"/>
      <c r="B28" s="418" t="n"/>
      <c r="C28" s="419" t="n"/>
      <c r="D28" s="420" t="n"/>
      <c r="E28" s="435" t="n"/>
      <c r="F28" s="436" t="n"/>
      <c r="G28" s="436" t="n"/>
      <c r="H28" s="436" t="n"/>
      <c r="I28" s="436" t="n"/>
      <c r="J28" s="437" t="n"/>
      <c r="K28" s="439" t="n"/>
      <c r="L28" s="435" t="n"/>
      <c r="M28" s="436" t="n"/>
      <c r="N28" s="436" t="n"/>
      <c r="O28" s="436" t="n"/>
      <c r="P28" s="437" t="n"/>
      <c r="Q28" s="420" t="n"/>
      <c r="R28" s="418" t="n"/>
      <c r="S28" s="419" t="n"/>
      <c r="T28" s="420" t="n"/>
      <c r="U28" s="435" t="n"/>
      <c r="V28" s="436" t="n"/>
      <c r="W28" s="436" t="n"/>
      <c r="X28" s="436" t="n"/>
      <c r="Y28" s="436" t="n"/>
      <c r="Z28" s="437" t="n"/>
      <c r="AA28" s="439" t="n"/>
      <c r="AB28" s="435" t="n"/>
      <c r="AC28" s="436" t="n"/>
      <c r="AD28" s="436" t="n"/>
      <c r="AE28" s="436" t="n"/>
      <c r="AF28" s="451" t="n"/>
      <c r="AH28" s="698">
        <f>T35</f>
        <v/>
      </c>
      <c r="AI28" s="698">
        <f>Z35</f>
        <v/>
      </c>
    </row>
    <row r="29">
      <c r="A29" s="432" t="inlineStr">
        <is>
          <t>작     성</t>
        </is>
      </c>
      <c r="B29" s="430" t="n"/>
      <c r="C29" s="430" t="n"/>
      <c r="D29" s="431" t="n"/>
      <c r="E29" s="429" t="inlineStr">
        <is>
          <t>공      급      가      액</t>
        </is>
      </c>
      <c r="F29" s="430" t="n"/>
      <c r="G29" s="430" t="n"/>
      <c r="H29" s="430" t="n"/>
      <c r="I29" s="430" t="n"/>
      <c r="J29" s="430" t="n"/>
      <c r="K29" s="430" t="n"/>
      <c r="L29" s="430" t="n"/>
      <c r="M29" s="430" t="n"/>
      <c r="N29" s="430" t="n"/>
      <c r="O29" s="430" t="n"/>
      <c r="P29" s="430" t="n"/>
      <c r="Q29" s="431" t="n"/>
      <c r="R29" s="429" t="inlineStr">
        <is>
          <t>세               액</t>
        </is>
      </c>
      <c r="S29" s="430" t="n"/>
      <c r="T29" s="430" t="n"/>
      <c r="U29" s="430" t="n"/>
      <c r="V29" s="430" t="n"/>
      <c r="W29" s="430" t="n"/>
      <c r="X29" s="430" t="n"/>
      <c r="Y29" s="430" t="n"/>
      <c r="Z29" s="430" t="n"/>
      <c r="AA29" s="431" t="n"/>
      <c r="AB29" s="429" t="inlineStr">
        <is>
          <t>비      고</t>
        </is>
      </c>
      <c r="AC29" s="430" t="n"/>
      <c r="AD29" s="430" t="n"/>
      <c r="AE29" s="430" t="n"/>
      <c r="AF29" s="431" t="n"/>
      <c r="AH29" s="699">
        <f>ROUND(SUM(AH26:AH28),0)</f>
        <v/>
      </c>
      <c r="AI29" s="699">
        <f>ROUND(SUM(AI26:AI28),0)</f>
        <v/>
      </c>
      <c r="AJ29" s="700">
        <f>SUM(AH29:AI29)</f>
        <v/>
      </c>
    </row>
    <row r="30">
      <c r="A30" s="413" t="inlineStr">
        <is>
          <t>년</t>
        </is>
      </c>
      <c r="B30" s="412" t="n"/>
      <c r="C30" s="306" t="inlineStr">
        <is>
          <t>월</t>
        </is>
      </c>
      <c r="D30" s="306" t="inlineStr">
        <is>
          <t>일</t>
        </is>
      </c>
      <c r="E30" s="415" t="inlineStr">
        <is>
          <t>공란수</t>
        </is>
      </c>
      <c r="F30" s="412" t="n"/>
      <c r="G30" s="415" t="inlineStr">
        <is>
          <t>백</t>
        </is>
      </c>
      <c r="H30" s="306" t="inlineStr">
        <is>
          <t>십</t>
        </is>
      </c>
      <c r="I30" s="306" t="inlineStr">
        <is>
          <t>억</t>
        </is>
      </c>
      <c r="J30" s="306" t="inlineStr">
        <is>
          <t>천</t>
        </is>
      </c>
      <c r="K30" s="306" t="inlineStr">
        <is>
          <t>백</t>
        </is>
      </c>
      <c r="L30" s="306" t="inlineStr">
        <is>
          <t>십</t>
        </is>
      </c>
      <c r="M30" s="306" t="inlineStr">
        <is>
          <t>만</t>
        </is>
      </c>
      <c r="N30" s="306" t="inlineStr">
        <is>
          <t>천</t>
        </is>
      </c>
      <c r="O30" s="306" t="inlineStr">
        <is>
          <t>백</t>
        </is>
      </c>
      <c r="P30" s="306" t="inlineStr">
        <is>
          <t>십</t>
        </is>
      </c>
      <c r="Q30" s="306" t="inlineStr">
        <is>
          <t>일</t>
        </is>
      </c>
      <c r="R30" s="306" t="inlineStr">
        <is>
          <t>십</t>
        </is>
      </c>
      <c r="S30" s="306" t="inlineStr">
        <is>
          <t>억</t>
        </is>
      </c>
      <c r="T30" s="306" t="inlineStr">
        <is>
          <t>천</t>
        </is>
      </c>
      <c r="U30" s="306" t="inlineStr">
        <is>
          <t>백</t>
        </is>
      </c>
      <c r="V30" s="306" t="inlineStr">
        <is>
          <t>십</t>
        </is>
      </c>
      <c r="W30" s="306" t="inlineStr">
        <is>
          <t>만</t>
        </is>
      </c>
      <c r="X30" s="306" t="inlineStr">
        <is>
          <t>천</t>
        </is>
      </c>
      <c r="Y30" s="306" t="inlineStr">
        <is>
          <t>백</t>
        </is>
      </c>
      <c r="Z30" s="306" t="inlineStr">
        <is>
          <t>십</t>
        </is>
      </c>
      <c r="AA30" s="306" t="inlineStr">
        <is>
          <t>일</t>
        </is>
      </c>
      <c r="AB30" s="440" t="n"/>
      <c r="AC30" s="416" t="n"/>
      <c r="AD30" s="416" t="n"/>
      <c r="AE30" s="416" t="n"/>
      <c r="AF30" s="417" t="n"/>
    </row>
    <row customHeight="1" ht="14.25" r="31" s="391" thickBot="1">
      <c r="A31" s="441">
        <f>Q1</f>
        <v/>
      </c>
      <c r="B31" s="408" t="n"/>
      <c r="C31" s="308">
        <f>V1</f>
        <v/>
      </c>
      <c r="D31" s="309" t="n">
        <v>25</v>
      </c>
      <c r="E31" s="701" t="n"/>
      <c r="F31" s="409" t="n"/>
      <c r="G31" s="702" t="n"/>
      <c r="H31" s="702" t="n"/>
      <c r="I31" s="702" t="n"/>
      <c r="J31" s="702" t="n"/>
      <c r="K31" s="702">
        <f>MID(AH29,1,1)</f>
        <v/>
      </c>
      <c r="L31" s="702">
        <f>MID(AH29,2,1)</f>
        <v/>
      </c>
      <c r="M31" s="702">
        <f>MID(AH29,3,1)</f>
        <v/>
      </c>
      <c r="N31" s="702">
        <f>MID(AH29,4,1)</f>
        <v/>
      </c>
      <c r="O31" s="702">
        <f>MID(AH29,5,1)</f>
        <v/>
      </c>
      <c r="P31" s="702">
        <f>MID(AH29,6,1)</f>
        <v/>
      </c>
      <c r="Q31" s="702">
        <f>MID(AH29,7,1)</f>
        <v/>
      </c>
      <c r="R31" s="702" t="n"/>
      <c r="S31" s="702" t="n"/>
      <c r="T31" s="702" t="n"/>
      <c r="U31" s="702" t="n"/>
      <c r="V31" s="702">
        <f>MID(AI29,1,1)</f>
        <v/>
      </c>
      <c r="W31" s="702">
        <f>MID(AI29,2,1)</f>
        <v/>
      </c>
      <c r="X31" s="702">
        <f>MID(AI29,3,1)</f>
        <v/>
      </c>
      <c r="Y31" s="702">
        <f>MID(AI29,4,1)</f>
        <v/>
      </c>
      <c r="Z31" s="702">
        <f>MID(AI29,5,1)</f>
        <v/>
      </c>
      <c r="AA31" s="702">
        <f>MID(AI29,6,1)</f>
        <v/>
      </c>
      <c r="AB31" s="418" t="n"/>
      <c r="AC31" s="419" t="n"/>
      <c r="AD31" s="419" t="n"/>
      <c r="AE31" s="419" t="n"/>
      <c r="AF31" s="420" t="n"/>
    </row>
    <row r="32">
      <c r="A32" s="36" t="inlineStr">
        <is>
          <t>월</t>
        </is>
      </c>
      <c r="B32" s="37" t="inlineStr">
        <is>
          <t>일</t>
        </is>
      </c>
      <c r="C32" s="428" t="inlineStr">
        <is>
          <t>품          목</t>
        </is>
      </c>
      <c r="D32" s="419" t="n"/>
      <c r="E32" s="419" t="n"/>
      <c r="F32" s="419" t="n"/>
      <c r="G32" s="419" t="n"/>
      <c r="H32" s="420" t="n"/>
      <c r="I32" s="429" t="inlineStr">
        <is>
          <t>규격</t>
        </is>
      </c>
      <c r="J32" s="430" t="n"/>
      <c r="K32" s="431" t="n"/>
      <c r="L32" s="429" t="inlineStr">
        <is>
          <t>수량</t>
        </is>
      </c>
      <c r="M32" s="430" t="n"/>
      <c r="N32" s="431" t="n"/>
      <c r="O32" s="428" t="inlineStr">
        <is>
          <t>단      가</t>
        </is>
      </c>
      <c r="P32" s="419" t="n"/>
      <c r="Q32" s="419" t="n"/>
      <c r="R32" s="419" t="n"/>
      <c r="S32" s="420" t="n"/>
      <c r="T32" s="428" t="inlineStr">
        <is>
          <t>공  급  가  액</t>
        </is>
      </c>
      <c r="U32" s="419" t="n"/>
      <c r="V32" s="419" t="n"/>
      <c r="W32" s="419" t="n"/>
      <c r="X32" s="419" t="n"/>
      <c r="Y32" s="420" t="n"/>
      <c r="Z32" s="428" t="inlineStr">
        <is>
          <t>세        액</t>
        </is>
      </c>
      <c r="AA32" s="419" t="n"/>
      <c r="AB32" s="419" t="n"/>
      <c r="AC32" s="419" t="n"/>
      <c r="AD32" s="420" t="n"/>
      <c r="AE32" s="428" t="inlineStr">
        <is>
          <t>비고</t>
        </is>
      </c>
      <c r="AF32" s="420" t="n"/>
    </row>
    <row r="33">
      <c r="A33" s="311">
        <f>C31</f>
        <v/>
      </c>
      <c r="B33" s="312">
        <f>D31</f>
        <v/>
      </c>
      <c r="C33" s="424" t="inlineStr">
        <is>
          <t>3층 월세</t>
        </is>
      </c>
      <c r="D33" s="414" t="n"/>
      <c r="E33" s="414" t="n"/>
      <c r="F33" s="414" t="n"/>
      <c r="G33" s="414" t="n"/>
      <c r="H33" s="412" t="n"/>
      <c r="I33" s="425" t="n"/>
      <c r="J33" s="414" t="n"/>
      <c r="K33" s="412" t="n"/>
      <c r="L33" s="703" t="n"/>
      <c r="M33" s="414" t="n"/>
      <c r="N33" s="412" t="n"/>
      <c r="O33" s="704" t="n"/>
      <c r="P33" s="414" t="n"/>
      <c r="Q33" s="414" t="n"/>
      <c r="R33" s="414" t="n"/>
      <c r="S33" s="412" t="n"/>
      <c r="T33" s="704">
        <f>G4</f>
        <v/>
      </c>
      <c r="U33" s="414" t="n"/>
      <c r="V33" s="414" t="n"/>
      <c r="W33" s="414" t="n"/>
      <c r="X33" s="414" t="n"/>
      <c r="Y33" s="412" t="n"/>
      <c r="Z33" s="704">
        <f>T33*0.1</f>
        <v/>
      </c>
      <c r="AA33" s="414" t="n"/>
      <c r="AB33" s="414" t="n"/>
      <c r="AC33" s="414" t="n"/>
      <c r="AD33" s="412" t="n"/>
      <c r="AE33" s="411" t="n"/>
      <c r="AF33" s="412" t="n"/>
    </row>
    <row r="34">
      <c r="A34" s="311">
        <f>A33</f>
        <v/>
      </c>
      <c r="B34" s="312">
        <f>B33</f>
        <v/>
      </c>
      <c r="C34" s="424" t="inlineStr">
        <is>
          <t xml:space="preserve"> 3층 관리비</t>
        </is>
      </c>
      <c r="D34" s="414" t="n"/>
      <c r="E34" s="414" t="n"/>
      <c r="F34" s="414" t="n"/>
      <c r="G34" s="414" t="n"/>
      <c r="H34" s="412" t="n"/>
      <c r="I34" s="425" t="n"/>
      <c r="J34" s="414" t="n"/>
      <c r="K34" s="412" t="n"/>
      <c r="L34" s="703" t="n"/>
      <c r="M34" s="414" t="n"/>
      <c r="N34" s="412" t="n"/>
      <c r="O34" s="704" t="n"/>
      <c r="P34" s="414" t="n"/>
      <c r="Q34" s="414" t="n"/>
      <c r="R34" s="414" t="n"/>
      <c r="S34" s="412" t="n"/>
      <c r="T34" s="704">
        <f>G6/1.1</f>
        <v/>
      </c>
      <c r="U34" s="414" t="n"/>
      <c r="V34" s="414" t="n"/>
      <c r="W34" s="414" t="n"/>
      <c r="X34" s="414" t="n"/>
      <c r="Y34" s="412" t="n"/>
      <c r="Z34" s="704">
        <f>G6-T34</f>
        <v/>
      </c>
      <c r="AA34" s="414" t="n"/>
      <c r="AB34" s="414" t="n"/>
      <c r="AC34" s="414" t="n"/>
      <c r="AD34" s="412" t="n"/>
      <c r="AE34" s="411" t="n"/>
      <c r="AF34" s="412" t="n"/>
    </row>
    <row r="35">
      <c r="A35" s="311">
        <f>A34</f>
        <v/>
      </c>
      <c r="B35" s="312">
        <f>B34</f>
        <v/>
      </c>
      <c r="C35" s="424" t="inlineStr">
        <is>
          <t>3층 전기요금</t>
        </is>
      </c>
      <c r="D35" s="414" t="n"/>
      <c r="E35" s="414" t="n"/>
      <c r="F35" s="414" t="n"/>
      <c r="G35" s="414" t="n"/>
      <c r="H35" s="412" t="n"/>
      <c r="I35" s="425" t="n"/>
      <c r="J35" s="414" t="n"/>
      <c r="K35" s="412" t="n"/>
      <c r="L35" s="703" t="n"/>
      <c r="M35" s="414" t="n"/>
      <c r="N35" s="412" t="n"/>
      <c r="O35" s="704" t="n"/>
      <c r="P35" s="414" t="n"/>
      <c r="Q35" s="414" t="n"/>
      <c r="R35" s="414" t="n"/>
      <c r="S35" s="412" t="n"/>
      <c r="T35" s="704">
        <f>G7/1.1</f>
        <v/>
      </c>
      <c r="U35" s="414" t="n"/>
      <c r="V35" s="414" t="n"/>
      <c r="W35" s="414" t="n"/>
      <c r="X35" s="414" t="n"/>
      <c r="Y35" s="412" t="n"/>
      <c r="Z35" s="704">
        <f>G7-T35</f>
        <v/>
      </c>
      <c r="AA35" s="414" t="n"/>
      <c r="AB35" s="414" t="n"/>
      <c r="AC35" s="414" t="n"/>
      <c r="AD35" s="412" t="n"/>
      <c r="AE35" s="411" t="n"/>
      <c r="AF35" s="412" t="n"/>
    </row>
    <row r="36">
      <c r="A36" s="311" t="n"/>
      <c r="B36" s="312" t="n"/>
      <c r="C36" s="424" t="n"/>
      <c r="D36" s="414" t="n"/>
      <c r="E36" s="414" t="n"/>
      <c r="F36" s="414" t="n"/>
      <c r="G36" s="414" t="n"/>
      <c r="H36" s="412" t="n"/>
      <c r="I36" s="425" t="n"/>
      <c r="J36" s="414" t="n"/>
      <c r="K36" s="412" t="n"/>
      <c r="L36" s="703" t="n"/>
      <c r="M36" s="414" t="n"/>
      <c r="N36" s="412" t="n"/>
      <c r="O36" s="704" t="n"/>
      <c r="P36" s="414" t="n"/>
      <c r="Q36" s="414" t="n"/>
      <c r="R36" s="414" t="n"/>
      <c r="S36" s="412" t="n"/>
      <c r="T36" s="704" t="n"/>
      <c r="U36" s="414" t="n"/>
      <c r="V36" s="414" t="n"/>
      <c r="W36" s="414" t="n"/>
      <c r="X36" s="414" t="n"/>
      <c r="Y36" s="412" t="n"/>
      <c r="Z36" s="704" t="n"/>
      <c r="AA36" s="414" t="n"/>
      <c r="AB36" s="414" t="n"/>
      <c r="AC36" s="414" t="n"/>
      <c r="AD36" s="412" t="n"/>
      <c r="AE36" s="411" t="n"/>
      <c r="AF36" s="412" t="n"/>
    </row>
    <row r="37">
      <c r="A37" s="413" t="inlineStr">
        <is>
          <t>합계금액</t>
        </is>
      </c>
      <c r="B37" s="414" t="n"/>
      <c r="C37" s="414" t="n"/>
      <c r="D37" s="414" t="n"/>
      <c r="E37" s="412" t="n"/>
      <c r="F37" s="415" t="inlineStr">
        <is>
          <t>현  금</t>
        </is>
      </c>
      <c r="G37" s="414" t="n"/>
      <c r="H37" s="414" t="n"/>
      <c r="I37" s="414" t="n"/>
      <c r="J37" s="412" t="n"/>
      <c r="K37" s="415" t="inlineStr">
        <is>
          <t>수  표</t>
        </is>
      </c>
      <c r="L37" s="414" t="n"/>
      <c r="M37" s="414" t="n"/>
      <c r="N37" s="414" t="n"/>
      <c r="O37" s="412" t="n"/>
      <c r="P37" s="415" t="inlineStr">
        <is>
          <t>어  음</t>
        </is>
      </c>
      <c r="Q37" s="414" t="n"/>
      <c r="R37" s="414" t="n"/>
      <c r="S37" s="414" t="n"/>
      <c r="T37" s="412" t="n"/>
      <c r="U37" s="415" t="inlineStr">
        <is>
          <t>외상미수금</t>
        </is>
      </c>
      <c r="V37" s="414" t="n"/>
      <c r="W37" s="414" t="n"/>
      <c r="X37" s="414" t="n"/>
      <c r="Y37" s="412" t="n"/>
      <c r="Z37" s="415" t="inlineStr">
        <is>
          <t xml:space="preserve">이 금액을 </t>
        </is>
      </c>
      <c r="AA37" s="416" t="n"/>
      <c r="AB37" s="416" t="n"/>
      <c r="AC37" s="417" t="n"/>
      <c r="AD37" s="421" t="inlineStr">
        <is>
          <t>청구</t>
        </is>
      </c>
      <c r="AE37" s="422" t="n"/>
      <c r="AF37" s="405" t="inlineStr">
        <is>
          <t>함</t>
        </is>
      </c>
    </row>
    <row customHeight="1" ht="14.25" r="38" s="391" thickBot="1">
      <c r="A38" s="706">
        <f>SUM(T33:AD35)</f>
        <v/>
      </c>
      <c r="B38" s="408" t="n"/>
      <c r="C38" s="408" t="n"/>
      <c r="D38" s="408" t="n"/>
      <c r="E38" s="409" t="n"/>
      <c r="F38" s="707" t="n"/>
      <c r="G38" s="408" t="n"/>
      <c r="H38" s="408" t="n"/>
      <c r="I38" s="408" t="n"/>
      <c r="J38" s="409" t="n"/>
      <c r="K38" s="707" t="n"/>
      <c r="L38" s="408" t="n"/>
      <c r="M38" s="408" t="n"/>
      <c r="N38" s="408" t="n"/>
      <c r="O38" s="409" t="n"/>
      <c r="P38" s="707" t="n"/>
      <c r="Q38" s="408" t="n"/>
      <c r="R38" s="408" t="n"/>
      <c r="S38" s="408" t="n"/>
      <c r="T38" s="409" t="n"/>
      <c r="U38" s="707" t="n"/>
      <c r="V38" s="408" t="n"/>
      <c r="W38" s="408" t="n"/>
      <c r="X38" s="408" t="n"/>
      <c r="Y38" s="409" t="n"/>
      <c r="Z38" s="418" t="n"/>
      <c r="AA38" s="419" t="n"/>
      <c r="AB38" s="419" t="n"/>
      <c r="AC38" s="420" t="n"/>
      <c r="AD38" s="423" t="n"/>
      <c r="AE38" s="423" t="n"/>
      <c r="AF38" s="406" t="n"/>
    </row>
    <row r="39">
      <c r="A39" s="31" t="inlineStr">
        <is>
          <t>22226-28131일 '96.3.27승인</t>
        </is>
      </c>
      <c r="B39" s="31" t="n"/>
      <c r="C39" s="32" t="n"/>
      <c r="D39" s="32" t="n"/>
      <c r="E39" s="32" t="n"/>
      <c r="F39" s="32" t="n"/>
      <c r="G39" s="32" t="n"/>
      <c r="H39" s="32" t="n"/>
      <c r="I39" s="32" t="n"/>
      <c r="J39" s="32" t="n"/>
      <c r="K39" s="32" t="n"/>
      <c r="L39" s="32" t="n"/>
      <c r="M39" s="32" t="n"/>
      <c r="N39" s="32" t="n"/>
      <c r="O39" s="32" t="n"/>
      <c r="P39" s="32" t="n"/>
      <c r="Q39" s="32" t="n"/>
      <c r="R39" s="32" t="n"/>
      <c r="S39" s="32" t="n"/>
      <c r="T39" s="32" t="n"/>
      <c r="U39" s="32" t="n"/>
      <c r="V39" s="32" t="n"/>
      <c r="W39" s="403" t="inlineStr">
        <is>
          <t>인쇄용지(특급)34g/m2 182mmx128mm</t>
        </is>
      </c>
      <c r="X39" s="404" t="n"/>
      <c r="Y39" s="404" t="n"/>
      <c r="Z39" s="404" t="n"/>
      <c r="AA39" s="404" t="n"/>
      <c r="AB39" s="404" t="n"/>
      <c r="AC39" s="404" t="n"/>
      <c r="AD39" s="404" t="n"/>
      <c r="AE39" s="404" t="n"/>
      <c r="AF39" s="404" t="n"/>
    </row>
    <row customHeight="1" ht="14.25" r="44" s="391" thickBot="1">
      <c r="A44" s="57" t="inlineStr">
        <is>
          <t>[별지 제11호 서식]</t>
        </is>
      </c>
      <c r="B44" s="57" t="n"/>
      <c r="C44" s="58" t="n"/>
      <c r="D44" s="58" t="n"/>
      <c r="E44" s="58" t="n"/>
      <c r="F44" s="58" t="n"/>
      <c r="G44" s="58" t="n"/>
      <c r="H44" s="58" t="n"/>
      <c r="I44" s="58" t="n"/>
      <c r="J44" s="58" t="n"/>
      <c r="K44" s="58" t="n"/>
      <c r="L44" s="58" t="n"/>
      <c r="M44" s="58" t="n"/>
      <c r="N44" s="58" t="n"/>
      <c r="O44" s="58" t="n"/>
      <c r="P44" s="58" t="n"/>
      <c r="Q44" s="58" t="n"/>
      <c r="R44" s="58" t="n"/>
      <c r="S44" s="58" t="n"/>
      <c r="T44" s="58" t="n"/>
      <c r="U44" s="58" t="n"/>
      <c r="V44" s="58" t="n"/>
      <c r="W44" s="58" t="n"/>
      <c r="X44" s="58" t="n"/>
      <c r="Y44" s="58" t="n"/>
      <c r="Z44" s="58" t="n"/>
      <c r="AA44" s="58" t="n"/>
      <c r="AB44" s="58" t="n"/>
      <c r="AC44" s="58" t="n"/>
      <c r="AD44" s="58" t="n"/>
      <c r="AE44" s="58" t="n"/>
      <c r="AF44" s="58" t="n"/>
    </row>
    <row r="45">
      <c r="A45" s="539" t="inlineStr">
        <is>
          <t>세 금 계 산 서</t>
        </is>
      </c>
      <c r="B45" s="475" t="n"/>
      <c r="C45" s="475" t="n"/>
      <c r="D45" s="475" t="n"/>
      <c r="E45" s="475" t="n"/>
      <c r="F45" s="475" t="n"/>
      <c r="G45" s="475" t="n"/>
      <c r="H45" s="475" t="n"/>
      <c r="I45" s="475" t="n"/>
      <c r="J45" s="475" t="n"/>
      <c r="K45" s="475" t="n"/>
      <c r="L45" s="475" t="n"/>
      <c r="M45" s="475" t="n"/>
      <c r="N45" s="475" t="n"/>
      <c r="O45" s="475" t="n"/>
      <c r="P45" s="541" t="inlineStr">
        <is>
          <t>(</t>
        </is>
      </c>
      <c r="Q45" s="474" t="inlineStr">
        <is>
          <t>공  급  자</t>
        </is>
      </c>
      <c r="R45" s="475" t="n"/>
      <c r="S45" s="475" t="n"/>
      <c r="T45" s="475" t="n"/>
      <c r="U45" s="475" t="n"/>
      <c r="V45" s="474" t="inlineStr">
        <is>
          <t>)</t>
        </is>
      </c>
      <c r="W45" s="471" t="inlineStr">
        <is>
          <t>책   번   호</t>
        </is>
      </c>
      <c r="X45" s="472" t="n"/>
      <c r="Y45" s="472" t="n"/>
      <c r="Z45" s="473" t="n"/>
      <c r="AA45" s="535">
        <f>AA19</f>
        <v/>
      </c>
      <c r="AB45" s="472" t="n"/>
      <c r="AC45" s="59" t="inlineStr">
        <is>
          <t>권</t>
        </is>
      </c>
      <c r="AD45" s="535">
        <f>AD19</f>
        <v/>
      </c>
      <c r="AE45" s="472" t="n"/>
      <c r="AF45" s="60" t="inlineStr">
        <is>
          <t>호</t>
        </is>
      </c>
    </row>
    <row customHeight="1" ht="14.25" r="46" s="391" thickBot="1">
      <c r="A46" s="540" t="n"/>
      <c r="Q46" s="536" t="inlineStr">
        <is>
          <t>보  관  용</t>
        </is>
      </c>
      <c r="R46" s="490" t="n"/>
      <c r="S46" s="490" t="n"/>
      <c r="T46" s="490" t="n"/>
      <c r="U46" s="490" t="n"/>
      <c r="W46" s="484" t="inlineStr">
        <is>
          <t>일 련 번 호</t>
        </is>
      </c>
      <c r="X46" s="537" t="n"/>
      <c r="Y46" s="537" t="n"/>
      <c r="Z46" s="538" t="n"/>
      <c r="AA46" s="313">
        <f>AA20</f>
        <v/>
      </c>
      <c r="AB46" s="314">
        <f>AB20</f>
        <v/>
      </c>
      <c r="AC46" s="313">
        <f>AC20</f>
        <v/>
      </c>
      <c r="AD46" s="313">
        <f>AD20</f>
        <v/>
      </c>
      <c r="AE46" s="313">
        <f>AE20</f>
        <v/>
      </c>
      <c r="AF46" s="315">
        <f>AF20</f>
        <v/>
      </c>
    </row>
    <row r="47">
      <c r="A47" s="517" t="inlineStr">
        <is>
          <t>공 급 자</t>
        </is>
      </c>
      <c r="B47" s="487" t="inlineStr">
        <is>
          <t>등록번호</t>
        </is>
      </c>
      <c r="C47" s="479" t="n"/>
      <c r="D47" s="488" t="n"/>
      <c r="E47" s="494">
        <f>E21</f>
        <v/>
      </c>
      <c r="F47" s="498">
        <f>F21</f>
        <v/>
      </c>
      <c r="G47" s="498">
        <f>G21</f>
        <v/>
      </c>
      <c r="H47" s="498">
        <f>H21</f>
        <v/>
      </c>
      <c r="I47" s="498">
        <f>I21</f>
        <v/>
      </c>
      <c r="J47" s="498">
        <f>J21</f>
        <v/>
      </c>
      <c r="K47" s="498">
        <f>K21</f>
        <v/>
      </c>
      <c r="L47" s="498">
        <f>L21</f>
        <v/>
      </c>
      <c r="M47" s="498">
        <f>M21</f>
        <v/>
      </c>
      <c r="N47" s="498">
        <f>N21</f>
        <v/>
      </c>
      <c r="O47" s="498">
        <f>O21</f>
        <v/>
      </c>
      <c r="P47" s="529">
        <f>P21</f>
        <v/>
      </c>
      <c r="Q47" s="485" t="inlineStr">
        <is>
          <t>공급받는자</t>
        </is>
      </c>
      <c r="R47" s="487" t="inlineStr">
        <is>
          <t>등록번호</t>
        </is>
      </c>
      <c r="S47" s="479" t="n"/>
      <c r="T47" s="488" t="n"/>
      <c r="U47" s="542">
        <f>U21</f>
        <v/>
      </c>
      <c r="V47" s="507">
        <f>V21</f>
        <v/>
      </c>
      <c r="W47" s="507">
        <f>W21</f>
        <v/>
      </c>
      <c r="X47" s="507" t="inlineStr">
        <is>
          <t>-</t>
        </is>
      </c>
      <c r="Y47" s="507">
        <f>Y21</f>
        <v/>
      </c>
      <c r="Z47" s="507">
        <f>Z21</f>
        <v/>
      </c>
      <c r="AA47" s="507" t="inlineStr">
        <is>
          <t>-</t>
        </is>
      </c>
      <c r="AB47" s="507">
        <f>AB21</f>
        <v/>
      </c>
      <c r="AC47" s="507">
        <f>AC21</f>
        <v/>
      </c>
      <c r="AD47" s="507">
        <f>AD21</f>
        <v/>
      </c>
      <c r="AE47" s="507">
        <f>AE21</f>
        <v/>
      </c>
      <c r="AF47" s="554">
        <f>AF21</f>
        <v/>
      </c>
    </row>
    <row customHeight="1" ht="14.25" r="48" s="391" thickBot="1">
      <c r="A48" s="518" t="n"/>
      <c r="B48" s="489" t="n"/>
      <c r="C48" s="490" t="n"/>
      <c r="D48" s="491" t="n"/>
      <c r="E48" s="495" t="n"/>
      <c r="F48" s="499" t="n"/>
      <c r="G48" s="499" t="n"/>
      <c r="H48" s="499" t="n"/>
      <c r="I48" s="499" t="n"/>
      <c r="J48" s="499" t="n"/>
      <c r="K48" s="499" t="n"/>
      <c r="L48" s="499" t="n"/>
      <c r="M48" s="499" t="n"/>
      <c r="N48" s="499" t="n"/>
      <c r="O48" s="499" t="n"/>
      <c r="P48" s="530" t="n"/>
      <c r="Q48" s="486" t="n"/>
      <c r="R48" s="489" t="n"/>
      <c r="S48" s="490" t="n"/>
      <c r="T48" s="491" t="n"/>
      <c r="U48" s="519" t="n"/>
      <c r="V48" s="493" t="n"/>
      <c r="W48" s="493" t="n"/>
      <c r="X48" s="493" t="n"/>
      <c r="Y48" s="493" t="n"/>
      <c r="Z48" s="493" t="n"/>
      <c r="AA48" s="493" t="n"/>
      <c r="AB48" s="493" t="n"/>
      <c r="AC48" s="493" t="n"/>
      <c r="AD48" s="493" t="n"/>
      <c r="AE48" s="493" t="n"/>
      <c r="AF48" s="555" t="n"/>
    </row>
    <row r="49">
      <c r="A49" s="518" t="n"/>
      <c r="B49" s="556" t="inlineStr">
        <is>
          <t>상     호</t>
        </is>
      </c>
      <c r="C49" s="479" t="n"/>
      <c r="D49" s="488" t="n"/>
      <c r="E49" s="557">
        <f>E23</f>
        <v/>
      </c>
      <c r="F49" s="479" t="n"/>
      <c r="G49" s="479" t="n"/>
      <c r="H49" s="479" t="n"/>
      <c r="I49" s="479" t="n"/>
      <c r="J49" s="480" t="n"/>
      <c r="K49" s="492" t="inlineStr">
        <is>
          <t>성명</t>
        </is>
      </c>
      <c r="L49" s="523">
        <f>L23</f>
        <v/>
      </c>
      <c r="M49" s="479" t="n"/>
      <c r="N49" s="479" t="n"/>
      <c r="O49" s="479" t="n"/>
      <c r="P49" s="524" t="inlineStr">
        <is>
          <t>인</t>
        </is>
      </c>
      <c r="Q49" s="486" t="n"/>
      <c r="R49" s="526" t="inlineStr">
        <is>
          <t>상     호</t>
        </is>
      </c>
      <c r="S49" s="479" t="n"/>
      <c r="T49" s="480" t="n"/>
      <c r="U49" s="588">
        <f>U23</f>
        <v/>
      </c>
      <c r="V49" s="475" t="n"/>
      <c r="W49" s="475" t="n"/>
      <c r="X49" s="475" t="n"/>
      <c r="Y49" s="475" t="n"/>
      <c r="Z49" s="528" t="n"/>
      <c r="AA49" s="543" t="inlineStr">
        <is>
          <t>성명</t>
        </is>
      </c>
      <c r="AB49" s="544">
        <f>AB23</f>
        <v/>
      </c>
      <c r="AC49" s="475" t="n"/>
      <c r="AD49" s="475" t="n"/>
      <c r="AE49" s="475" t="n"/>
      <c r="AF49" s="545" t="inlineStr">
        <is>
          <t>인</t>
        </is>
      </c>
    </row>
    <row customHeight="1" ht="14.25" r="50" s="391" thickBot="1">
      <c r="A50" s="518" t="n"/>
      <c r="B50" s="546" t="inlineStr">
        <is>
          <t>(법인명)</t>
        </is>
      </c>
      <c r="C50" s="490" t="n"/>
      <c r="D50" s="491" t="n"/>
      <c r="E50" s="558" t="n"/>
      <c r="F50" s="482" t="n"/>
      <c r="G50" s="482" t="n"/>
      <c r="H50" s="482" t="n"/>
      <c r="I50" s="482" t="n"/>
      <c r="J50" s="483" t="n"/>
      <c r="K50" s="493" t="n"/>
      <c r="L50" s="481" t="n"/>
      <c r="M50" s="482" t="n"/>
      <c r="N50" s="482" t="n"/>
      <c r="O50" s="482" t="n"/>
      <c r="P50" s="525" t="n"/>
      <c r="Q50" s="486" t="n"/>
      <c r="R50" s="496" t="inlineStr">
        <is>
          <t>(법인명)</t>
        </is>
      </c>
      <c r="S50" s="490" t="n"/>
      <c r="T50" s="497" t="n"/>
      <c r="U50" s="489" t="n"/>
      <c r="V50" s="490" t="n"/>
      <c r="W50" s="490" t="n"/>
      <c r="X50" s="490" t="n"/>
      <c r="Y50" s="490" t="n"/>
      <c r="Z50" s="497" t="n"/>
      <c r="AA50" s="499" t="n"/>
      <c r="AB50" s="489" t="n"/>
      <c r="AC50" s="490" t="n"/>
      <c r="AD50" s="490" t="n"/>
      <c r="AE50" s="490" t="n"/>
      <c r="AF50" s="491" t="n"/>
    </row>
    <row r="51">
      <c r="A51" s="518" t="n"/>
      <c r="B51" s="526" t="inlineStr">
        <is>
          <t>사 업 장</t>
        </is>
      </c>
      <c r="C51" s="479" t="n"/>
      <c r="D51" s="480" t="n"/>
      <c r="E51" s="559">
        <f>E25</f>
        <v/>
      </c>
      <c r="F51" s="475" t="n"/>
      <c r="G51" s="475" t="n"/>
      <c r="H51" s="475" t="n"/>
      <c r="I51" s="475" t="n"/>
      <c r="J51" s="475" t="n"/>
      <c r="K51" s="475" t="n"/>
      <c r="L51" s="475" t="n"/>
      <c r="M51" s="475" t="n"/>
      <c r="N51" s="475" t="n"/>
      <c r="O51" s="475" t="n"/>
      <c r="P51" s="528" t="n"/>
      <c r="Q51" s="486" t="n"/>
      <c r="R51" s="526" t="inlineStr">
        <is>
          <t>사 업 장</t>
        </is>
      </c>
      <c r="S51" s="479" t="n"/>
      <c r="T51" s="480" t="n"/>
      <c r="U51" s="589">
        <f>U25</f>
        <v/>
      </c>
      <c r="V51" s="479" t="n"/>
      <c r="W51" s="479" t="n"/>
      <c r="X51" s="479" t="n"/>
      <c r="Y51" s="479" t="n"/>
      <c r="Z51" s="479" t="n"/>
      <c r="AA51" s="479" t="n"/>
      <c r="AB51" s="479" t="n"/>
      <c r="AC51" s="479" t="n"/>
      <c r="AD51" s="479" t="n"/>
      <c r="AE51" s="479" t="n"/>
      <c r="AF51" s="488" t="n"/>
    </row>
    <row r="52">
      <c r="A52" s="518" t="n"/>
      <c r="B52" s="496" t="inlineStr">
        <is>
          <t>주     소</t>
        </is>
      </c>
      <c r="C52" s="490" t="n"/>
      <c r="D52" s="497" t="n"/>
      <c r="E52" s="489" t="n"/>
      <c r="F52" s="490" t="n"/>
      <c r="G52" s="490" t="n"/>
      <c r="H52" s="490" t="n"/>
      <c r="I52" s="490" t="n"/>
      <c r="J52" s="490" t="n"/>
      <c r="K52" s="490" t="n"/>
      <c r="L52" s="490" t="n"/>
      <c r="M52" s="490" t="n"/>
      <c r="N52" s="490" t="n"/>
      <c r="O52" s="490" t="n"/>
      <c r="P52" s="497" t="n"/>
      <c r="Q52" s="486" t="n"/>
      <c r="R52" s="496" t="inlineStr">
        <is>
          <t>주     소</t>
        </is>
      </c>
      <c r="S52" s="490" t="n"/>
      <c r="T52" s="497" t="n"/>
      <c r="U52" s="489" t="n"/>
      <c r="V52" s="490" t="n"/>
      <c r="W52" s="490" t="n"/>
      <c r="X52" s="490" t="n"/>
      <c r="Y52" s="490" t="n"/>
      <c r="Z52" s="490" t="n"/>
      <c r="AA52" s="490" t="n"/>
      <c r="AB52" s="490" t="n"/>
      <c r="AC52" s="490" t="n"/>
      <c r="AD52" s="490" t="n"/>
      <c r="AE52" s="490" t="n"/>
      <c r="AF52" s="491" t="n"/>
    </row>
    <row r="53">
      <c r="A53" s="518" t="n"/>
      <c r="B53" s="484" t="inlineStr">
        <is>
          <t>업     태</t>
        </is>
      </c>
      <c r="C53" s="479" t="n"/>
      <c r="D53" s="480" t="n"/>
      <c r="E53" s="478">
        <f>E27</f>
        <v/>
      </c>
      <c r="F53" s="479" t="n"/>
      <c r="G53" s="479" t="n"/>
      <c r="H53" s="479" t="n"/>
      <c r="I53" s="479" t="n"/>
      <c r="J53" s="480" t="n"/>
      <c r="K53" s="492" t="inlineStr">
        <is>
          <t>종목</t>
        </is>
      </c>
      <c r="L53" s="478">
        <f>L27</f>
        <v/>
      </c>
      <c r="M53" s="479" t="n"/>
      <c r="N53" s="479" t="n"/>
      <c r="O53" s="479" t="n"/>
      <c r="P53" s="480" t="n"/>
      <c r="Q53" s="486" t="n"/>
      <c r="R53" s="484" t="inlineStr">
        <is>
          <t>업     태</t>
        </is>
      </c>
      <c r="S53" s="479" t="n"/>
      <c r="T53" s="480" t="n"/>
      <c r="U53" s="478">
        <f>U27</f>
        <v/>
      </c>
      <c r="V53" s="479" t="n"/>
      <c r="W53" s="479" t="n"/>
      <c r="X53" s="479" t="n"/>
      <c r="Y53" s="479" t="n"/>
      <c r="Z53" s="480" t="n"/>
      <c r="AA53" s="492" t="inlineStr">
        <is>
          <t>종목</t>
        </is>
      </c>
      <c r="AB53" s="534">
        <f>AB27</f>
        <v/>
      </c>
      <c r="AC53" s="479" t="n"/>
      <c r="AD53" s="479" t="n"/>
      <c r="AE53" s="479" t="n"/>
      <c r="AF53" s="488" t="n"/>
    </row>
    <row customHeight="1" ht="14.25" r="54" s="391" thickBot="1">
      <c r="A54" s="519" t="n"/>
      <c r="B54" s="481" t="n"/>
      <c r="C54" s="482" t="n"/>
      <c r="D54" s="483" t="n"/>
      <c r="E54" s="481" t="n"/>
      <c r="F54" s="482" t="n"/>
      <c r="G54" s="482" t="n"/>
      <c r="H54" s="482" t="n"/>
      <c r="I54" s="482" t="n"/>
      <c r="J54" s="483" t="n"/>
      <c r="K54" s="493" t="n"/>
      <c r="L54" s="481" t="n"/>
      <c r="M54" s="482" t="n"/>
      <c r="N54" s="482" t="n"/>
      <c r="O54" s="482" t="n"/>
      <c r="P54" s="483" t="n"/>
      <c r="Q54" s="483" t="n"/>
      <c r="R54" s="481" t="n"/>
      <c r="S54" s="482" t="n"/>
      <c r="T54" s="483" t="n"/>
      <c r="U54" s="481" t="n"/>
      <c r="V54" s="482" t="n"/>
      <c r="W54" s="482" t="n"/>
      <c r="X54" s="482" t="n"/>
      <c r="Y54" s="482" t="n"/>
      <c r="Z54" s="483" t="n"/>
      <c r="AA54" s="493" t="n"/>
      <c r="AB54" s="481" t="n"/>
      <c r="AC54" s="482" t="n"/>
      <c r="AD54" s="482" t="n"/>
      <c r="AE54" s="482" t="n"/>
      <c r="AF54" s="525" t="n"/>
    </row>
    <row r="55">
      <c r="A55" s="565" t="inlineStr">
        <is>
          <t>작     성</t>
        </is>
      </c>
      <c r="B55" s="472" t="n"/>
      <c r="C55" s="472" t="n"/>
      <c r="D55" s="473" t="n"/>
      <c r="E55" s="561" t="inlineStr">
        <is>
          <t>공      급       가      액</t>
        </is>
      </c>
      <c r="F55" s="472" t="n"/>
      <c r="G55" s="472" t="n"/>
      <c r="H55" s="472" t="n"/>
      <c r="I55" s="472" t="n"/>
      <c r="J55" s="472" t="n"/>
      <c r="K55" s="472" t="n"/>
      <c r="L55" s="472" t="n"/>
      <c r="M55" s="472" t="n"/>
      <c r="N55" s="472" t="n"/>
      <c r="O55" s="472" t="n"/>
      <c r="P55" s="472" t="n"/>
      <c r="Q55" s="473" t="n"/>
      <c r="R55" s="561" t="inlineStr">
        <is>
          <t>세                액</t>
        </is>
      </c>
      <c r="S55" s="472" t="n"/>
      <c r="T55" s="472" t="n"/>
      <c r="U55" s="472" t="n"/>
      <c r="V55" s="472" t="n"/>
      <c r="W55" s="472" t="n"/>
      <c r="X55" s="472" t="n"/>
      <c r="Y55" s="472" t="n"/>
      <c r="Z55" s="472" t="n"/>
      <c r="AA55" s="473" t="n"/>
      <c r="AB55" s="532" t="inlineStr">
        <is>
          <t>비     고</t>
        </is>
      </c>
      <c r="AC55" s="472" t="n"/>
      <c r="AD55" s="472" t="n"/>
      <c r="AE55" s="472" t="n"/>
      <c r="AF55" s="533" t="n"/>
    </row>
    <row r="56">
      <c r="A56" s="560" t="inlineStr">
        <is>
          <t>년</t>
        </is>
      </c>
      <c r="B56" s="549" t="n"/>
      <c r="C56" s="316" t="inlineStr">
        <is>
          <t>월</t>
        </is>
      </c>
      <c r="D56" s="316" t="inlineStr">
        <is>
          <t>일</t>
        </is>
      </c>
      <c r="E56" s="562" t="inlineStr">
        <is>
          <t>공란수</t>
        </is>
      </c>
      <c r="F56" s="549" t="n"/>
      <c r="G56" s="562" t="inlineStr">
        <is>
          <t>백</t>
        </is>
      </c>
      <c r="H56" s="316" t="inlineStr">
        <is>
          <t>십</t>
        </is>
      </c>
      <c r="I56" s="316" t="inlineStr">
        <is>
          <t>억</t>
        </is>
      </c>
      <c r="J56" s="316" t="inlineStr">
        <is>
          <t>천</t>
        </is>
      </c>
      <c r="K56" s="316" t="inlineStr">
        <is>
          <t>백</t>
        </is>
      </c>
      <c r="L56" s="316" t="inlineStr">
        <is>
          <t>십</t>
        </is>
      </c>
      <c r="M56" s="316" t="inlineStr">
        <is>
          <t>만</t>
        </is>
      </c>
      <c r="N56" s="316" t="inlineStr">
        <is>
          <t>천</t>
        </is>
      </c>
      <c r="O56" s="316" t="inlineStr">
        <is>
          <t>백</t>
        </is>
      </c>
      <c r="P56" s="316" t="inlineStr">
        <is>
          <t>십</t>
        </is>
      </c>
      <c r="Q56" s="316" t="inlineStr">
        <is>
          <t>일</t>
        </is>
      </c>
      <c r="R56" s="316" t="inlineStr">
        <is>
          <t>십</t>
        </is>
      </c>
      <c r="S56" s="316" t="inlineStr">
        <is>
          <t>억</t>
        </is>
      </c>
      <c r="T56" s="316" t="inlineStr">
        <is>
          <t>천</t>
        </is>
      </c>
      <c r="U56" s="316" t="inlineStr">
        <is>
          <t>백</t>
        </is>
      </c>
      <c r="V56" s="316" t="inlineStr">
        <is>
          <t>십</t>
        </is>
      </c>
      <c r="W56" s="316" t="inlineStr">
        <is>
          <t>만</t>
        </is>
      </c>
      <c r="X56" s="316" t="inlineStr">
        <is>
          <t>천</t>
        </is>
      </c>
      <c r="Y56" s="316" t="inlineStr">
        <is>
          <t>백</t>
        </is>
      </c>
      <c r="Z56" s="316" t="inlineStr">
        <is>
          <t>십</t>
        </is>
      </c>
      <c r="AA56" s="316" t="inlineStr">
        <is>
          <t>일</t>
        </is>
      </c>
      <c r="AB56" s="566" t="n"/>
      <c r="AC56" s="479" t="n"/>
      <c r="AD56" s="479" t="n"/>
      <c r="AE56" s="479" t="n"/>
      <c r="AF56" s="488" t="n"/>
    </row>
    <row customHeight="1" ht="14.25" r="57" s="391" thickBot="1">
      <c r="A57" s="563">
        <f>A31</f>
        <v/>
      </c>
      <c r="B57" s="538" t="n"/>
      <c r="C57" s="318">
        <f>C31</f>
        <v/>
      </c>
      <c r="D57" s="318">
        <f>D31</f>
        <v/>
      </c>
      <c r="E57" s="708" t="n"/>
      <c r="F57" s="538" t="n"/>
      <c r="G57" s="709" t="n"/>
      <c r="H57" s="709" t="n"/>
      <c r="I57" s="709" t="n"/>
      <c r="J57" s="709" t="n"/>
      <c r="K57" s="709">
        <f>K31</f>
        <v/>
      </c>
      <c r="L57" s="709">
        <f>L31</f>
        <v/>
      </c>
      <c r="M57" s="709">
        <f>M31</f>
        <v/>
      </c>
      <c r="N57" s="709">
        <f>N31</f>
        <v/>
      </c>
      <c r="O57" s="709">
        <f>O31</f>
        <v/>
      </c>
      <c r="P57" s="709">
        <f>P31</f>
        <v/>
      </c>
      <c r="Q57" s="709">
        <f>Q31</f>
        <v/>
      </c>
      <c r="R57" s="709" t="n"/>
      <c r="S57" s="709" t="n"/>
      <c r="T57" s="709" t="n"/>
      <c r="U57" s="709" t="n"/>
      <c r="V57" s="709">
        <f>V31</f>
        <v/>
      </c>
      <c r="W57" s="709">
        <f>W31</f>
        <v/>
      </c>
      <c r="X57" s="709">
        <f>X31</f>
        <v/>
      </c>
      <c r="Y57" s="709">
        <f>Y31</f>
        <v/>
      </c>
      <c r="Z57" s="709">
        <f>Z31</f>
        <v/>
      </c>
      <c r="AA57" s="709">
        <f>AA31</f>
        <v/>
      </c>
      <c r="AB57" s="481" t="n"/>
      <c r="AC57" s="482" t="n"/>
      <c r="AD57" s="482" t="n"/>
      <c r="AE57" s="482" t="n"/>
      <c r="AF57" s="525" t="n"/>
    </row>
    <row r="58">
      <c r="A58" s="61" t="inlineStr">
        <is>
          <t>월</t>
        </is>
      </c>
      <c r="B58" s="62" t="inlineStr">
        <is>
          <t>일</t>
        </is>
      </c>
      <c r="C58" s="561" t="inlineStr">
        <is>
          <t>품          목</t>
        </is>
      </c>
      <c r="D58" s="472" t="n"/>
      <c r="E58" s="472" t="n"/>
      <c r="F58" s="472" t="n"/>
      <c r="G58" s="472" t="n"/>
      <c r="H58" s="473" t="n"/>
      <c r="I58" s="561" t="inlineStr">
        <is>
          <t>규격</t>
        </is>
      </c>
      <c r="J58" s="472" t="n"/>
      <c r="K58" s="473" t="n"/>
      <c r="L58" s="561" t="inlineStr">
        <is>
          <t>수량</t>
        </is>
      </c>
      <c r="M58" s="472" t="n"/>
      <c r="N58" s="473" t="n"/>
      <c r="O58" s="561" t="inlineStr">
        <is>
          <t>단      가</t>
        </is>
      </c>
      <c r="P58" s="472" t="n"/>
      <c r="Q58" s="472" t="n"/>
      <c r="R58" s="472" t="n"/>
      <c r="S58" s="473" t="n"/>
      <c r="T58" s="561" t="inlineStr">
        <is>
          <t>공  급  가  액</t>
        </is>
      </c>
      <c r="U58" s="472" t="n"/>
      <c r="V58" s="472" t="n"/>
      <c r="W58" s="472" t="n"/>
      <c r="X58" s="472" t="n"/>
      <c r="Y58" s="473" t="n"/>
      <c r="Z58" s="561" t="inlineStr">
        <is>
          <t>세        액</t>
        </is>
      </c>
      <c r="AA58" s="472" t="n"/>
      <c r="AB58" s="472" t="n"/>
      <c r="AC58" s="472" t="n"/>
      <c r="AD58" s="473" t="n"/>
      <c r="AE58" s="532" t="inlineStr">
        <is>
          <t>비고</t>
        </is>
      </c>
      <c r="AF58" s="533" t="n"/>
    </row>
    <row r="59">
      <c r="A59" s="320">
        <f>A33</f>
        <v/>
      </c>
      <c r="B59" s="320">
        <f>B33</f>
        <v/>
      </c>
      <c r="C59" s="567">
        <f>C33</f>
        <v/>
      </c>
      <c r="D59" s="548" t="n"/>
      <c r="E59" s="548" t="n"/>
      <c r="F59" s="548" t="n"/>
      <c r="G59" s="548" t="n"/>
      <c r="H59" s="549" t="n"/>
      <c r="I59" s="547" t="n"/>
      <c r="J59" s="548" t="n"/>
      <c r="K59" s="549" t="n"/>
      <c r="L59" s="710">
        <f>L33</f>
        <v/>
      </c>
      <c r="M59" s="548" t="n"/>
      <c r="N59" s="549" t="n"/>
      <c r="O59" s="711">
        <f>O33</f>
        <v/>
      </c>
      <c r="P59" s="548" t="n"/>
      <c r="Q59" s="548" t="n"/>
      <c r="R59" s="548" t="n"/>
      <c r="S59" s="549" t="n"/>
      <c r="T59" s="711">
        <f>T33</f>
        <v/>
      </c>
      <c r="U59" s="548" t="n"/>
      <c r="V59" s="548" t="n"/>
      <c r="W59" s="548" t="n"/>
      <c r="X59" s="548" t="n"/>
      <c r="Y59" s="549" t="n"/>
      <c r="Z59" s="711">
        <f>Z33</f>
        <v/>
      </c>
      <c r="AA59" s="548" t="n"/>
      <c r="AB59" s="548" t="n"/>
      <c r="AC59" s="548" t="n"/>
      <c r="AD59" s="549" t="n"/>
      <c r="AE59" s="552" t="n"/>
      <c r="AF59" s="553" t="n"/>
    </row>
    <row r="60">
      <c r="A60" s="320">
        <f>A34</f>
        <v/>
      </c>
      <c r="B60" s="320">
        <f>B34</f>
        <v/>
      </c>
      <c r="C60" s="567">
        <f>C34</f>
        <v/>
      </c>
      <c r="D60" s="548" t="n"/>
      <c r="E60" s="548" t="n"/>
      <c r="F60" s="548" t="n"/>
      <c r="G60" s="548" t="n"/>
      <c r="H60" s="549" t="n"/>
      <c r="I60" s="547" t="n"/>
      <c r="J60" s="548" t="n"/>
      <c r="K60" s="549" t="n"/>
      <c r="L60" s="710">
        <f>L34</f>
        <v/>
      </c>
      <c r="M60" s="548" t="n"/>
      <c r="N60" s="549" t="n"/>
      <c r="O60" s="711">
        <f>O34</f>
        <v/>
      </c>
      <c r="P60" s="548" t="n"/>
      <c r="Q60" s="548" t="n"/>
      <c r="R60" s="548" t="n"/>
      <c r="S60" s="549" t="n"/>
      <c r="T60" s="711">
        <f>T34</f>
        <v/>
      </c>
      <c r="U60" s="548" t="n"/>
      <c r="V60" s="548" t="n"/>
      <c r="W60" s="548" t="n"/>
      <c r="X60" s="548" t="n"/>
      <c r="Y60" s="549" t="n"/>
      <c r="Z60" s="711">
        <f>Z34</f>
        <v/>
      </c>
      <c r="AA60" s="548" t="n"/>
      <c r="AB60" s="548" t="n"/>
      <c r="AC60" s="548" t="n"/>
      <c r="AD60" s="549" t="n"/>
      <c r="AE60" s="552" t="n"/>
      <c r="AF60" s="553" t="n"/>
    </row>
    <row r="61">
      <c r="A61" s="320">
        <f>A35</f>
        <v/>
      </c>
      <c r="B61" s="320">
        <f>B35</f>
        <v/>
      </c>
      <c r="C61" s="567">
        <f>C35</f>
        <v/>
      </c>
      <c r="D61" s="548" t="n"/>
      <c r="E61" s="548" t="n"/>
      <c r="F61" s="548" t="n"/>
      <c r="G61" s="548" t="n"/>
      <c r="H61" s="549" t="n"/>
      <c r="I61" s="547" t="n"/>
      <c r="J61" s="548" t="n"/>
      <c r="K61" s="549" t="n"/>
      <c r="L61" s="710">
        <f>L35</f>
        <v/>
      </c>
      <c r="M61" s="548" t="n"/>
      <c r="N61" s="549" t="n"/>
      <c r="O61" s="711">
        <f>O35</f>
        <v/>
      </c>
      <c r="P61" s="548" t="n"/>
      <c r="Q61" s="548" t="n"/>
      <c r="R61" s="548" t="n"/>
      <c r="S61" s="549" t="n"/>
      <c r="T61" s="711">
        <f>T35</f>
        <v/>
      </c>
      <c r="U61" s="548" t="n"/>
      <c r="V61" s="548" t="n"/>
      <c r="W61" s="548" t="n"/>
      <c r="X61" s="548" t="n"/>
      <c r="Y61" s="549" t="n"/>
      <c r="Z61" s="711">
        <f>Z35</f>
        <v/>
      </c>
      <c r="AA61" s="548" t="n"/>
      <c r="AB61" s="548" t="n"/>
      <c r="AC61" s="548" t="n"/>
      <c r="AD61" s="549" t="n"/>
      <c r="AE61" s="552" t="n"/>
      <c r="AF61" s="553" t="n"/>
    </row>
    <row r="62">
      <c r="A62" s="320" t="n"/>
      <c r="B62" s="320" t="n"/>
      <c r="C62" s="567" t="n"/>
      <c r="D62" s="548" t="n"/>
      <c r="E62" s="548" t="n"/>
      <c r="F62" s="548" t="n"/>
      <c r="G62" s="548" t="n"/>
      <c r="H62" s="549" t="n"/>
      <c r="I62" s="547" t="n"/>
      <c r="J62" s="548" t="n"/>
      <c r="K62" s="549" t="n"/>
      <c r="L62" s="710">
        <f>L36</f>
        <v/>
      </c>
      <c r="M62" s="548" t="n"/>
      <c r="N62" s="549" t="n"/>
      <c r="O62" s="711">
        <f>O36</f>
        <v/>
      </c>
      <c r="P62" s="548" t="n"/>
      <c r="Q62" s="548" t="n"/>
      <c r="R62" s="548" t="n"/>
      <c r="S62" s="549" t="n"/>
      <c r="T62" s="711">
        <f>T36</f>
        <v/>
      </c>
      <c r="U62" s="548" t="n"/>
      <c r="V62" s="548" t="n"/>
      <c r="W62" s="548" t="n"/>
      <c r="X62" s="548" t="n"/>
      <c r="Y62" s="549" t="n"/>
      <c r="Z62" s="711">
        <f>Z36</f>
        <v/>
      </c>
      <c r="AA62" s="548" t="n"/>
      <c r="AB62" s="548" t="n"/>
      <c r="AC62" s="548" t="n"/>
      <c r="AD62" s="549" t="n"/>
      <c r="AE62" s="552" t="n"/>
      <c r="AF62" s="553" t="n"/>
    </row>
    <row r="63">
      <c r="A63" s="560" t="inlineStr">
        <is>
          <t>합계금액</t>
        </is>
      </c>
      <c r="B63" s="548" t="n"/>
      <c r="C63" s="548" t="n"/>
      <c r="D63" s="548" t="n"/>
      <c r="E63" s="549" t="n"/>
      <c r="F63" s="562" t="inlineStr">
        <is>
          <t>현  금</t>
        </is>
      </c>
      <c r="G63" s="548" t="n"/>
      <c r="H63" s="548" t="n"/>
      <c r="I63" s="548" t="n"/>
      <c r="J63" s="549" t="n"/>
      <c r="K63" s="562" t="inlineStr">
        <is>
          <t>수  표</t>
        </is>
      </c>
      <c r="L63" s="548" t="n"/>
      <c r="M63" s="548" t="n"/>
      <c r="N63" s="548" t="n"/>
      <c r="O63" s="549" t="n"/>
      <c r="P63" s="562" t="inlineStr">
        <is>
          <t>어  음</t>
        </is>
      </c>
      <c r="Q63" s="548" t="n"/>
      <c r="R63" s="548" t="n"/>
      <c r="S63" s="548" t="n"/>
      <c r="T63" s="549" t="n"/>
      <c r="U63" s="562" t="inlineStr">
        <is>
          <t>외상미수금</t>
        </is>
      </c>
      <c r="V63" s="548" t="n"/>
      <c r="W63" s="548" t="n"/>
      <c r="X63" s="548" t="n"/>
      <c r="Y63" s="549" t="n"/>
      <c r="Z63" s="571" t="inlineStr">
        <is>
          <t xml:space="preserve">이 금액을 </t>
        </is>
      </c>
      <c r="AA63" s="479" t="n"/>
      <c r="AB63" s="479" t="n"/>
      <c r="AC63" s="479" t="n"/>
      <c r="AD63" s="572">
        <f>AD37</f>
        <v/>
      </c>
      <c r="AE63" s="479" t="n"/>
      <c r="AF63" s="573" t="inlineStr">
        <is>
          <t>함</t>
        </is>
      </c>
    </row>
    <row customHeight="1" ht="14.25" r="64" s="391" thickBot="1">
      <c r="A64" s="712">
        <f>A38</f>
        <v/>
      </c>
      <c r="B64" s="537" t="n"/>
      <c r="C64" s="537" t="n"/>
      <c r="D64" s="537" t="n"/>
      <c r="E64" s="538" t="n"/>
      <c r="F64" s="713" t="n"/>
      <c r="G64" s="537" t="n"/>
      <c r="H64" s="537" t="n"/>
      <c r="I64" s="537" t="n"/>
      <c r="J64" s="538" t="n"/>
      <c r="K64" s="713" t="n"/>
      <c r="L64" s="537" t="n"/>
      <c r="M64" s="537" t="n"/>
      <c r="N64" s="537" t="n"/>
      <c r="O64" s="538" t="n"/>
      <c r="P64" s="713" t="n"/>
      <c r="Q64" s="537" t="n"/>
      <c r="R64" s="537" t="n"/>
      <c r="S64" s="537" t="n"/>
      <c r="T64" s="538" t="n"/>
      <c r="U64" s="713" t="n"/>
      <c r="V64" s="537" t="n"/>
      <c r="W64" s="537" t="n"/>
      <c r="X64" s="537" t="n"/>
      <c r="Y64" s="538" t="n"/>
      <c r="Z64" s="481" t="n"/>
      <c r="AA64" s="482" t="n"/>
      <c r="AB64" s="482" t="n"/>
      <c r="AC64" s="482" t="n"/>
      <c r="AD64" s="482" t="n"/>
      <c r="AE64" s="482" t="n"/>
      <c r="AF64" s="525" t="n"/>
    </row>
    <row r="65">
      <c r="A65" s="57" t="inlineStr">
        <is>
          <t>22226-28131일 '96.3.27승인</t>
        </is>
      </c>
      <c r="B65" s="57" t="n"/>
      <c r="C65" s="58" t="n"/>
      <c r="D65" s="58" t="n"/>
      <c r="E65" s="58" t="n"/>
      <c r="F65" s="58" t="n"/>
      <c r="G65" s="58" t="n"/>
      <c r="H65" s="58" t="n"/>
      <c r="I65" s="58" t="n"/>
      <c r="J65" s="58" t="n"/>
      <c r="K65" s="58" t="n"/>
      <c r="L65" s="58" t="n"/>
      <c r="M65" s="58" t="n"/>
      <c r="N65" s="58" t="n"/>
      <c r="O65" s="58" t="n"/>
      <c r="P65" s="58" t="n"/>
      <c r="Q65" s="58" t="n"/>
      <c r="R65" s="58" t="n"/>
      <c r="S65" s="58" t="n"/>
      <c r="T65" s="58" t="n"/>
      <c r="U65" s="570" t="inlineStr">
        <is>
          <t>인쇄용지(특급)34g/m2 182mmx128mm</t>
        </is>
      </c>
      <c r="V65" s="475" t="n"/>
      <c r="W65" s="475" t="n"/>
      <c r="X65" s="475" t="n"/>
      <c r="Y65" s="475" t="n"/>
      <c r="Z65" s="475" t="n"/>
      <c r="AA65" s="475" t="n"/>
      <c r="AB65" s="475" t="n"/>
      <c r="AC65" s="475" t="n"/>
      <c r="AD65" s="475" t="n"/>
      <c r="AE65" s="475" t="n"/>
      <c r="AF65" s="475" t="n"/>
    </row>
  </sheetData>
  <mergeCells count="290">
    <mergeCell ref="U65:AF65"/>
    <mergeCell ref="Z62:AD62"/>
    <mergeCell ref="AE62:AF62"/>
    <mergeCell ref="U63:Y63"/>
    <mergeCell ref="Z63:AC64"/>
    <mergeCell ref="AD63:AE64"/>
    <mergeCell ref="AF63:AF64"/>
    <mergeCell ref="T62:Y62"/>
    <mergeCell ref="U64:Y64"/>
    <mergeCell ref="P63:T63"/>
    <mergeCell ref="O62:S62"/>
    <mergeCell ref="AB56:AF57"/>
    <mergeCell ref="C60:H60"/>
    <mergeCell ref="I60:K60"/>
    <mergeCell ref="L60:N60"/>
    <mergeCell ref="O60:S60"/>
    <mergeCell ref="A64:E64"/>
    <mergeCell ref="F64:J64"/>
    <mergeCell ref="K64:O64"/>
    <mergeCell ref="A63:E63"/>
    <mergeCell ref="F63:J63"/>
    <mergeCell ref="K63:O63"/>
    <mergeCell ref="C62:H62"/>
    <mergeCell ref="P64:T64"/>
    <mergeCell ref="I62:K62"/>
    <mergeCell ref="L62:N62"/>
    <mergeCell ref="Z58:AD58"/>
    <mergeCell ref="AE58:AF58"/>
    <mergeCell ref="L59:N59"/>
    <mergeCell ref="O59:S59"/>
    <mergeCell ref="T59:Y59"/>
    <mergeCell ref="Z59:AD59"/>
    <mergeCell ref="C59:H59"/>
    <mergeCell ref="I59:K59"/>
    <mergeCell ref="C61:H61"/>
    <mergeCell ref="B51:D51"/>
    <mergeCell ref="E51:P52"/>
    <mergeCell ref="A56:B56"/>
    <mergeCell ref="T58:Y58"/>
    <mergeCell ref="E56:F56"/>
    <mergeCell ref="I58:K58"/>
    <mergeCell ref="L58:N58"/>
    <mergeCell ref="O58:S58"/>
    <mergeCell ref="C58:H58"/>
    <mergeCell ref="A57:B57"/>
    <mergeCell ref="E57:F57"/>
    <mergeCell ref="B53:D54"/>
    <mergeCell ref="A55:D55"/>
    <mergeCell ref="E55:Q55"/>
    <mergeCell ref="R55:AA55"/>
    <mergeCell ref="AF47:AF48"/>
    <mergeCell ref="B49:D49"/>
    <mergeCell ref="E49:J50"/>
    <mergeCell ref="K47:K48"/>
    <mergeCell ref="L47:L48"/>
    <mergeCell ref="M47:M48"/>
    <mergeCell ref="G47:G48"/>
    <mergeCell ref="H47:H48"/>
    <mergeCell ref="I47:I48"/>
    <mergeCell ref="J47:J48"/>
    <mergeCell ref="V47:V48"/>
    <mergeCell ref="I61:K61"/>
    <mergeCell ref="L61:N61"/>
    <mergeCell ref="O61:S61"/>
    <mergeCell ref="AE59:AF59"/>
    <mergeCell ref="T60:Y60"/>
    <mergeCell ref="Z60:AD60"/>
    <mergeCell ref="AE60:AF60"/>
    <mergeCell ref="T61:Y61"/>
    <mergeCell ref="Z61:AD61"/>
    <mergeCell ref="AE61:AF61"/>
    <mergeCell ref="AB55:AF55"/>
    <mergeCell ref="AA53:AA54"/>
    <mergeCell ref="U53:Z54"/>
    <mergeCell ref="AB53:AF54"/>
    <mergeCell ref="AD45:AE45"/>
    <mergeCell ref="Q46:U46"/>
    <mergeCell ref="W46:Z46"/>
    <mergeCell ref="A45:O46"/>
    <mergeCell ref="P45:P46"/>
    <mergeCell ref="V45:V46"/>
    <mergeCell ref="AA45:AB45"/>
    <mergeCell ref="AA47:AA48"/>
    <mergeCell ref="AB47:AB48"/>
    <mergeCell ref="AC47:AC48"/>
    <mergeCell ref="W47:W48"/>
    <mergeCell ref="X47:X48"/>
    <mergeCell ref="U47:U48"/>
    <mergeCell ref="AA49:AA50"/>
    <mergeCell ref="AB49:AE50"/>
    <mergeCell ref="AF49:AF50"/>
    <mergeCell ref="B50:D50"/>
    <mergeCell ref="R50:T50"/>
    <mergeCell ref="AD47:AD48"/>
    <mergeCell ref="AE47:AE48"/>
    <mergeCell ref="Q1:S1"/>
    <mergeCell ref="A47:A54"/>
    <mergeCell ref="B47:D48"/>
    <mergeCell ref="L5:V5"/>
    <mergeCell ref="L6:V6"/>
    <mergeCell ref="L7:V7"/>
    <mergeCell ref="L8:V8"/>
    <mergeCell ref="G8:K8"/>
    <mergeCell ref="G9:K9"/>
    <mergeCell ref="G10:K10"/>
    <mergeCell ref="L9:V9"/>
    <mergeCell ref="L10:V10"/>
    <mergeCell ref="K49:K50"/>
    <mergeCell ref="L49:O50"/>
    <mergeCell ref="P49:P50"/>
    <mergeCell ref="R49:T49"/>
    <mergeCell ref="U49:Z50"/>
    <mergeCell ref="Z47:Z48"/>
    <mergeCell ref="N47:N48"/>
    <mergeCell ref="O47:O48"/>
    <mergeCell ref="P47:P48"/>
    <mergeCell ref="R51:T51"/>
    <mergeCell ref="U51:AF52"/>
    <mergeCell ref="B52:D52"/>
    <mergeCell ref="AB5:AE5"/>
    <mergeCell ref="X7:AA7"/>
    <mergeCell ref="AB7:AE7"/>
    <mergeCell ref="X8:AA8"/>
    <mergeCell ref="AB8:AE8"/>
    <mergeCell ref="X3:AF3"/>
    <mergeCell ref="A3:F3"/>
    <mergeCell ref="A4:F4"/>
    <mergeCell ref="A5:F5"/>
    <mergeCell ref="AB4:AE4"/>
    <mergeCell ref="X4:AA4"/>
    <mergeCell ref="X5:AA5"/>
    <mergeCell ref="G3:K3"/>
    <mergeCell ref="G4:K4"/>
    <mergeCell ref="G5:K5"/>
    <mergeCell ref="L3:V3"/>
    <mergeCell ref="L4:V4"/>
    <mergeCell ref="X6:AA6"/>
    <mergeCell ref="AB6:AE6"/>
    <mergeCell ref="A10:F10"/>
    <mergeCell ref="G7:K7"/>
    <mergeCell ref="AB12:AE12"/>
    <mergeCell ref="X9:AA9"/>
    <mergeCell ref="AB9:AE9"/>
    <mergeCell ref="X10:AA10"/>
    <mergeCell ref="A6:F6"/>
    <mergeCell ref="A7:F7"/>
    <mergeCell ref="A8:F8"/>
    <mergeCell ref="A9:F9"/>
    <mergeCell ref="G6:K6"/>
    <mergeCell ref="X11:AA11"/>
    <mergeCell ref="AB11:AE11"/>
    <mergeCell ref="X12:AA12"/>
    <mergeCell ref="AB10:AE10"/>
    <mergeCell ref="V18:AA18"/>
    <mergeCell ref="W45:Z45"/>
    <mergeCell ref="Q45:U45"/>
    <mergeCell ref="X13:AA13"/>
    <mergeCell ref="AB13:AE13"/>
    <mergeCell ref="E53:J54"/>
    <mergeCell ref="L53:P54"/>
    <mergeCell ref="R53:T54"/>
    <mergeCell ref="Q47:Q54"/>
    <mergeCell ref="R47:T48"/>
    <mergeCell ref="K53:K54"/>
    <mergeCell ref="E47:E48"/>
    <mergeCell ref="R52:T52"/>
    <mergeCell ref="F47:F48"/>
    <mergeCell ref="AB18:AF18"/>
    <mergeCell ref="A19:O20"/>
    <mergeCell ref="P19:P20"/>
    <mergeCell ref="Q19:U19"/>
    <mergeCell ref="V19:V20"/>
    <mergeCell ref="W19:Z19"/>
    <mergeCell ref="AA19:AB19"/>
    <mergeCell ref="AD19:AE19"/>
    <mergeCell ref="Q20:U20"/>
    <mergeCell ref="Y47:Y48"/>
    <mergeCell ref="W20:Z20"/>
    <mergeCell ref="A21:A28"/>
    <mergeCell ref="B21:D22"/>
    <mergeCell ref="E21:E22"/>
    <mergeCell ref="F21:F22"/>
    <mergeCell ref="B25:D25"/>
    <mergeCell ref="B26:D26"/>
    <mergeCell ref="K21:K22"/>
    <mergeCell ref="L21:L22"/>
    <mergeCell ref="M21:M22"/>
    <mergeCell ref="N21:N22"/>
    <mergeCell ref="I21:I22"/>
    <mergeCell ref="J21:J22"/>
    <mergeCell ref="Y21:Y22"/>
    <mergeCell ref="O21:O22"/>
    <mergeCell ref="P21:P22"/>
    <mergeCell ref="Q21:Q28"/>
    <mergeCell ref="E25:P26"/>
    <mergeCell ref="R26:T26"/>
    <mergeCell ref="G21:G22"/>
    <mergeCell ref="H21:H22"/>
    <mergeCell ref="R21:T22"/>
    <mergeCell ref="R25:T25"/>
    <mergeCell ref="U25:AF26"/>
    <mergeCell ref="AE21:AE22"/>
    <mergeCell ref="AF21:AF22"/>
    <mergeCell ref="R23:T23"/>
    <mergeCell ref="U23:Z24"/>
    <mergeCell ref="AA23:AA24"/>
    <mergeCell ref="U27:Z28"/>
    <mergeCell ref="AB21:AB22"/>
    <mergeCell ref="AC21:AC22"/>
    <mergeCell ref="AD21:AD22"/>
    <mergeCell ref="U21:U22"/>
    <mergeCell ref="AA21:AA22"/>
    <mergeCell ref="W21:W22"/>
    <mergeCell ref="X21:X22"/>
    <mergeCell ref="Z21:Z22"/>
    <mergeCell ref="V21:V22"/>
    <mergeCell ref="AB23:AE24"/>
    <mergeCell ref="AF23:AF24"/>
    <mergeCell ref="B24:D24"/>
    <mergeCell ref="R24:T24"/>
    <mergeCell ref="B23:D23"/>
    <mergeCell ref="E23:J24"/>
    <mergeCell ref="K23:K24"/>
    <mergeCell ref="L23:O24"/>
    <mergeCell ref="P23:P24"/>
    <mergeCell ref="AA27:AA28"/>
    <mergeCell ref="AB27:AF28"/>
    <mergeCell ref="R27:T28"/>
    <mergeCell ref="A29:D29"/>
    <mergeCell ref="E29:Q29"/>
    <mergeCell ref="R29:AA29"/>
    <mergeCell ref="AB29:AF29"/>
    <mergeCell ref="B27:D28"/>
    <mergeCell ref="E27:J28"/>
    <mergeCell ref="K27:K28"/>
    <mergeCell ref="L27:P28"/>
    <mergeCell ref="A30:B30"/>
    <mergeCell ref="E30:F30"/>
    <mergeCell ref="AB30:AF31"/>
    <mergeCell ref="A31:B31"/>
    <mergeCell ref="E31:F31"/>
    <mergeCell ref="C32:H32"/>
    <mergeCell ref="I32:K32"/>
    <mergeCell ref="L32:N32"/>
    <mergeCell ref="O32:S32"/>
    <mergeCell ref="T32:Y32"/>
    <mergeCell ref="Z32:AD32"/>
    <mergeCell ref="AE32:AF32"/>
    <mergeCell ref="C33:H33"/>
    <mergeCell ref="I33:K33"/>
    <mergeCell ref="L33:N33"/>
    <mergeCell ref="O33:S33"/>
    <mergeCell ref="T33:Y33"/>
    <mergeCell ref="Z33:AD33"/>
    <mergeCell ref="AE33:AF33"/>
    <mergeCell ref="T34:Y34"/>
    <mergeCell ref="Z34:AD34"/>
    <mergeCell ref="L34:N34"/>
    <mergeCell ref="O34:S34"/>
    <mergeCell ref="AE34:AF34"/>
    <mergeCell ref="C35:H35"/>
    <mergeCell ref="I35:K35"/>
    <mergeCell ref="L35:N35"/>
    <mergeCell ref="O35:S35"/>
    <mergeCell ref="T35:Y35"/>
    <mergeCell ref="Z35:AD35"/>
    <mergeCell ref="AE35:AF35"/>
    <mergeCell ref="C34:H34"/>
    <mergeCell ref="I34:K34"/>
    <mergeCell ref="W39:AF39"/>
    <mergeCell ref="AF37:AF38"/>
    <mergeCell ref="A38:E38"/>
    <mergeCell ref="F38:J38"/>
    <mergeCell ref="K38:O38"/>
    <mergeCell ref="P38:T38"/>
    <mergeCell ref="U38:Y38"/>
    <mergeCell ref="AE36:AF36"/>
    <mergeCell ref="A37:E37"/>
    <mergeCell ref="F37:J37"/>
    <mergeCell ref="K37:O37"/>
    <mergeCell ref="P37:T37"/>
    <mergeCell ref="U37:Y37"/>
    <mergeCell ref="Z37:AC38"/>
    <mergeCell ref="AD37:AE38"/>
    <mergeCell ref="C36:H36"/>
    <mergeCell ref="I36:K36"/>
    <mergeCell ref="L36:N36"/>
    <mergeCell ref="O36:S36"/>
    <mergeCell ref="T36:Y36"/>
    <mergeCell ref="Z36:AD36"/>
  </mergeCells>
  <pageMargins bottom="0.984251968503937" footer="0.5118110236220472" header="0.5118110236220472" left="0.7480314960629921" right="0.7480314960629921" top="0.984251968503937"/>
  <pageSetup orientation="portrait" paperSize="9"/>
  <rowBreaks count="1" manualBreakCount="1">
    <brk id="41" man="1" max="16383" min="0"/>
  </rowBreaks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65"/>
  <sheetViews>
    <sheetView workbookViewId="0">
      <selection activeCell="K31" sqref="K31:Q31"/>
    </sheetView>
  </sheetViews>
  <sheetFormatPr baseColWidth="8" defaultColWidth="8.77734375" defaultRowHeight="13.5"/>
  <cols>
    <col customWidth="1" max="32" min="1" style="391" width="2.33203125"/>
    <col bestFit="1" customWidth="1" max="34" min="34" style="391" width="11.44140625"/>
    <col bestFit="1" customWidth="1" max="36" min="36" style="391" width="9.88671875"/>
  </cols>
  <sheetData>
    <row customFormat="1" customHeight="1" ht="23.25" r="1" s="4" thickBot="1">
      <c r="A1" s="53" t="inlineStr">
        <is>
          <t>법무법인 주한 임대료내역 (4층)</t>
        </is>
      </c>
      <c r="B1" s="39" t="n"/>
      <c r="C1" s="40" t="n"/>
      <c r="D1" s="41" t="n"/>
      <c r="E1" s="41" t="n"/>
      <c r="F1" s="41" t="n"/>
      <c r="G1" s="41" t="n"/>
      <c r="H1" s="41" t="n"/>
      <c r="I1" s="41" t="n"/>
      <c r="J1" s="41" t="n"/>
      <c r="K1" s="41" t="n"/>
      <c r="L1" s="41" t="n"/>
      <c r="M1" s="41" t="n"/>
      <c r="N1" s="41" t="n"/>
      <c r="O1" s="53" t="n"/>
      <c r="P1" s="53" t="inlineStr">
        <is>
          <t>(</t>
        </is>
      </c>
      <c r="Q1" s="516">
        <f>정육점!Q1</f>
        <v/>
      </c>
      <c r="R1" s="346" t="n"/>
      <c r="S1" s="346" t="n"/>
      <c r="T1" s="53" t="inlineStr">
        <is>
          <t>년</t>
        </is>
      </c>
      <c r="U1" s="53" t="n"/>
      <c r="V1" s="83">
        <f>정육점!V1</f>
        <v/>
      </c>
      <c r="W1" s="53" t="inlineStr">
        <is>
          <t>월</t>
        </is>
      </c>
      <c r="X1" s="53" t="inlineStr">
        <is>
          <t>)</t>
        </is>
      </c>
      <c r="Y1" s="53" t="n"/>
      <c r="Z1" s="53" t="n"/>
      <c r="AA1" s="53" t="n"/>
      <c r="AB1" s="53" t="n"/>
      <c r="AC1" s="41" t="n"/>
      <c r="AD1" s="41" t="n"/>
      <c r="AE1" s="41" t="n"/>
      <c r="AF1" s="41" t="n"/>
    </row>
    <row customFormat="1" customHeight="1" ht="15" r="2" s="4" thickTop="1">
      <c r="A2" s="42" t="n"/>
      <c r="B2" s="42" t="n"/>
      <c r="C2" s="42" t="n"/>
    </row>
    <row customFormat="1" customHeight="1" ht="15" r="3" s="4">
      <c r="A3" s="579" t="inlineStr">
        <is>
          <t>내역상세</t>
        </is>
      </c>
      <c r="B3" s="382" t="n"/>
      <c r="C3" s="382" t="n"/>
      <c r="D3" s="382" t="n"/>
      <c r="E3" s="382" t="n"/>
      <c r="F3" s="348" t="n"/>
      <c r="G3" s="579" t="inlineStr">
        <is>
          <t>금   액</t>
        </is>
      </c>
      <c r="H3" s="382" t="n"/>
      <c r="I3" s="382" t="n"/>
      <c r="J3" s="382" t="n"/>
      <c r="K3" s="348" t="n"/>
      <c r="L3" s="579" t="inlineStr">
        <is>
          <t>비   고</t>
        </is>
      </c>
      <c r="M3" s="382" t="n"/>
      <c r="N3" s="382" t="n"/>
      <c r="O3" s="382" t="n"/>
      <c r="P3" s="382" t="n"/>
      <c r="Q3" s="382" t="n"/>
      <c r="R3" s="382" t="n"/>
      <c r="S3" s="382" t="n"/>
      <c r="T3" s="382" t="n"/>
      <c r="U3" s="382" t="n"/>
      <c r="V3" s="348" t="n"/>
      <c r="X3" s="514" t="inlineStr">
        <is>
          <t>미납임대료</t>
        </is>
      </c>
      <c r="Y3" s="382" t="n"/>
      <c r="Z3" s="382" t="n"/>
      <c r="AA3" s="382" t="n"/>
      <c r="AB3" s="382" t="n"/>
      <c r="AC3" s="382" t="n"/>
      <c r="AD3" s="382" t="n"/>
      <c r="AE3" s="382" t="n"/>
      <c r="AF3" s="348" t="n"/>
    </row>
    <row customFormat="1" customHeight="1" ht="15" r="4" s="4">
      <c r="A4" s="576" t="inlineStr">
        <is>
          <t>월세</t>
        </is>
      </c>
      <c r="B4" s="382" t="n"/>
      <c r="C4" s="382" t="n"/>
      <c r="D4" s="382" t="n"/>
      <c r="E4" s="382" t="n"/>
      <c r="F4" s="348" t="n"/>
      <c r="G4" s="714" t="n">
        <v>1200000</v>
      </c>
      <c r="H4" s="382" t="n"/>
      <c r="I4" s="382" t="n"/>
      <c r="J4" s="382" t="n"/>
      <c r="K4" s="348" t="n"/>
      <c r="L4" s="584" t="n"/>
      <c r="M4" s="382" t="n"/>
      <c r="N4" s="382" t="n"/>
      <c r="O4" s="382" t="n"/>
      <c r="P4" s="382" t="n"/>
      <c r="Q4" s="382" t="n"/>
      <c r="R4" s="382" t="n"/>
      <c r="S4" s="382" t="n"/>
      <c r="T4" s="382" t="n"/>
      <c r="U4" s="382" t="n"/>
      <c r="V4" s="348" t="n"/>
      <c r="X4" s="511" t="n"/>
      <c r="Y4" s="382" t="n"/>
      <c r="Z4" s="382" t="n"/>
      <c r="AA4" s="348" t="n"/>
      <c r="AB4" s="689" t="n"/>
      <c r="AC4" s="382" t="n"/>
      <c r="AD4" s="382" t="n"/>
      <c r="AE4" s="382" t="n"/>
      <c r="AF4" s="715" t="n"/>
    </row>
    <row customFormat="1" customHeight="1" ht="15" r="5" s="4">
      <c r="A5" s="576" t="inlineStr">
        <is>
          <t>부가세(10%)</t>
        </is>
      </c>
      <c r="B5" s="382" t="n"/>
      <c r="C5" s="382" t="n"/>
      <c r="D5" s="382" t="n"/>
      <c r="E5" s="382" t="n"/>
      <c r="F5" s="348" t="n"/>
      <c r="G5" s="714">
        <f>G4*0.1</f>
        <v/>
      </c>
      <c r="H5" s="382" t="n"/>
      <c r="I5" s="382" t="n"/>
      <c r="J5" s="382" t="n"/>
      <c r="K5" s="348" t="n"/>
      <c r="L5" s="576" t="n"/>
      <c r="M5" s="382" t="n"/>
      <c r="N5" s="382" t="n"/>
      <c r="O5" s="382" t="n"/>
      <c r="P5" s="382" t="n"/>
      <c r="Q5" s="382" t="n"/>
      <c r="R5" s="382" t="n"/>
      <c r="S5" s="382" t="n"/>
      <c r="T5" s="382" t="n"/>
      <c r="U5" s="382" t="n"/>
      <c r="V5" s="348" t="n"/>
      <c r="X5" s="511" t="n"/>
      <c r="Y5" s="382" t="n"/>
      <c r="Z5" s="382" t="n"/>
      <c r="AA5" s="348" t="n"/>
      <c r="AB5" s="689" t="n"/>
      <c r="AC5" s="382" t="n"/>
      <c r="AD5" s="382" t="n"/>
      <c r="AE5" s="382" t="n"/>
      <c r="AF5" s="715" t="n"/>
    </row>
    <row customFormat="1" customHeight="1" ht="15" r="6" s="4">
      <c r="A6" s="576" t="inlineStr">
        <is>
          <t>공동 관리비</t>
        </is>
      </c>
      <c r="B6" s="382" t="n"/>
      <c r="C6" s="382" t="n"/>
      <c r="D6" s="382" t="n"/>
      <c r="E6" s="382" t="n"/>
      <c r="F6" s="348" t="n"/>
      <c r="G6" s="714">
        <f>6000*(57)</f>
        <v/>
      </c>
      <c r="H6" s="382" t="n"/>
      <c r="I6" s="382" t="n"/>
      <c r="J6" s="382" t="n"/>
      <c r="K6" s="348" t="n"/>
      <c r="L6" s="576" t="inlineStr">
        <is>
          <t>4층:57평, 월 6,000원/평</t>
        </is>
      </c>
      <c r="M6" s="382" t="n"/>
      <c r="N6" s="382" t="n"/>
      <c r="O6" s="382" t="n"/>
      <c r="P6" s="382" t="n"/>
      <c r="Q6" s="382" t="n"/>
      <c r="R6" s="382" t="n"/>
      <c r="S6" s="382" t="n"/>
      <c r="T6" s="382" t="n"/>
      <c r="U6" s="382" t="n"/>
      <c r="V6" s="348" t="n"/>
      <c r="X6" s="511" t="n"/>
      <c r="Y6" s="382" t="n"/>
      <c r="Z6" s="382" t="n"/>
      <c r="AA6" s="348" t="n"/>
      <c r="AB6" s="689" t="n"/>
      <c r="AC6" s="382" t="n"/>
      <c r="AD6" s="382" t="n"/>
      <c r="AE6" s="382" t="n"/>
      <c r="AF6" s="715" t="n"/>
      <c r="AH6" s="691" t="n"/>
    </row>
    <row customFormat="1" customHeight="1" ht="15" r="7" s="4">
      <c r="A7" s="576" t="inlineStr">
        <is>
          <t>전기요금</t>
        </is>
      </c>
      <c r="B7" s="382" t="n"/>
      <c r="C7" s="382" t="n"/>
      <c r="D7" s="382" t="n"/>
      <c r="E7" s="382" t="n"/>
      <c r="F7" s="348" t="n"/>
      <c r="G7" s="714">
        <f>전기수도요금!H16</f>
        <v/>
      </c>
      <c r="H7" s="382" t="n"/>
      <c r="I7" s="382" t="n"/>
      <c r="J7" s="382" t="n"/>
      <c r="K7" s="348" t="n"/>
      <c r="L7" s="576" t="n"/>
      <c r="M7" s="382" t="n"/>
      <c r="N7" s="382" t="n"/>
      <c r="O7" s="382" t="n"/>
      <c r="P7" s="382" t="n"/>
      <c r="Q7" s="382" t="n"/>
      <c r="R7" s="382" t="n"/>
      <c r="S7" s="382" t="n"/>
      <c r="T7" s="382" t="n"/>
      <c r="U7" s="382" t="n"/>
      <c r="V7" s="348" t="n"/>
      <c r="X7" s="511" t="n"/>
      <c r="Y7" s="382" t="n"/>
      <c r="Z7" s="382" t="n"/>
      <c r="AA7" s="348" t="n"/>
      <c r="AB7" s="689" t="n"/>
      <c r="AC7" s="382" t="n"/>
      <c r="AD7" s="382" t="n"/>
      <c r="AE7" s="382" t="n"/>
      <c r="AF7" s="715" t="n"/>
    </row>
    <row customFormat="1" customHeight="1" ht="15" r="8" s="4">
      <c r="A8" s="576" t="inlineStr">
        <is>
          <t>상/하수도 요금</t>
        </is>
      </c>
      <c r="B8" s="382" t="n"/>
      <c r="C8" s="382" t="n"/>
      <c r="D8" s="382" t="n"/>
      <c r="E8" s="382" t="n"/>
      <c r="F8" s="348" t="n"/>
      <c r="G8" s="714">
        <f>(전기수도요금!G36)</f>
        <v/>
      </c>
      <c r="H8" s="382" t="n"/>
      <c r="I8" s="382" t="n"/>
      <c r="J8" s="382" t="n"/>
      <c r="K8" s="348" t="n"/>
      <c r="L8" s="576" t="n"/>
      <c r="M8" s="382" t="n"/>
      <c r="N8" s="382" t="n"/>
      <c r="O8" s="382" t="n"/>
      <c r="P8" s="382" t="n"/>
      <c r="Q8" s="382" t="n"/>
      <c r="R8" s="382" t="n"/>
      <c r="S8" s="382" t="n"/>
      <c r="T8" s="382" t="n"/>
      <c r="U8" s="382" t="n"/>
      <c r="V8" s="348" t="n"/>
      <c r="X8" s="511" t="n"/>
      <c r="Y8" s="382" t="n"/>
      <c r="Z8" s="382" t="n"/>
      <c r="AA8" s="348" t="n"/>
      <c r="AB8" s="689" t="n"/>
      <c r="AC8" s="382" t="n"/>
      <c r="AD8" s="382" t="n"/>
      <c r="AE8" s="382" t="n"/>
      <c r="AF8" s="715" t="n"/>
      <c r="AI8" s="691" t="n"/>
    </row>
    <row customFormat="1" customHeight="1" ht="15" r="9" s="4">
      <c r="A9" s="579" t="n"/>
      <c r="B9" s="382" t="n"/>
      <c r="C9" s="382" t="n"/>
      <c r="D9" s="382" t="n"/>
      <c r="E9" s="382" t="n"/>
      <c r="F9" s="348" t="n"/>
      <c r="G9" s="714" t="n"/>
      <c r="H9" s="382" t="n"/>
      <c r="I9" s="382" t="n"/>
      <c r="J9" s="382" t="n"/>
      <c r="K9" s="348" t="n"/>
      <c r="L9" s="576" t="n"/>
      <c r="M9" s="382" t="n"/>
      <c r="N9" s="382" t="n"/>
      <c r="O9" s="382" t="n"/>
      <c r="P9" s="382" t="n"/>
      <c r="Q9" s="382" t="n"/>
      <c r="R9" s="382" t="n"/>
      <c r="S9" s="382" t="n"/>
      <c r="T9" s="382" t="n"/>
      <c r="U9" s="382" t="n"/>
      <c r="V9" s="348" t="n"/>
      <c r="X9" s="511" t="n"/>
      <c r="Y9" s="382" t="n"/>
      <c r="Z9" s="382" t="n"/>
      <c r="AA9" s="348" t="n"/>
      <c r="AB9" s="689" t="n"/>
      <c r="AC9" s="382" t="n"/>
      <c r="AD9" s="382" t="n"/>
      <c r="AE9" s="382" t="n"/>
      <c r="AF9" s="715" t="n"/>
    </row>
    <row customFormat="1" customHeight="1" ht="15" r="10" s="4">
      <c r="A10" s="582" t="inlineStr">
        <is>
          <t>임대료 합계</t>
        </is>
      </c>
      <c r="B10" s="382" t="n"/>
      <c r="C10" s="382" t="n"/>
      <c r="D10" s="382" t="n"/>
      <c r="E10" s="382" t="n"/>
      <c r="F10" s="348" t="n"/>
      <c r="G10" s="716">
        <f>SUM(G4:J9)</f>
        <v/>
      </c>
      <c r="H10" s="382" t="n"/>
      <c r="I10" s="382" t="n"/>
      <c r="J10" s="382" t="n"/>
      <c r="K10" s="348" t="n"/>
      <c r="L10" s="583" t="n"/>
      <c r="M10" s="382" t="n"/>
      <c r="N10" s="382" t="n"/>
      <c r="O10" s="382" t="n"/>
      <c r="P10" s="382" t="n"/>
      <c r="Q10" s="382" t="n"/>
      <c r="R10" s="382" t="n"/>
      <c r="S10" s="382" t="n"/>
      <c r="T10" s="382" t="n"/>
      <c r="U10" s="382" t="n"/>
      <c r="V10" s="348" t="n"/>
      <c r="X10" s="511" t="n"/>
      <c r="Y10" s="382" t="n"/>
      <c r="Z10" s="382" t="n"/>
      <c r="AA10" s="348" t="n"/>
      <c r="AB10" s="689" t="n"/>
      <c r="AC10" s="382" t="n"/>
      <c r="AD10" s="382" t="n"/>
      <c r="AE10" s="382" t="n"/>
      <c r="AF10" s="715" t="n"/>
    </row>
    <row customFormat="1" customHeight="1" ht="15" r="11" s="4">
      <c r="A11" s="42" t="n"/>
      <c r="B11" s="42" t="n"/>
      <c r="C11" s="42" t="n"/>
      <c r="X11" s="511" t="n"/>
      <c r="Y11" s="382" t="n"/>
      <c r="Z11" s="382" t="n"/>
      <c r="AA11" s="348" t="n"/>
      <c r="AB11" s="689" t="n"/>
      <c r="AC11" s="382" t="n"/>
      <c r="AD11" s="382" t="n"/>
      <c r="AE11" s="382" t="n"/>
      <c r="AF11" s="715" t="n"/>
    </row>
    <row customFormat="1" customHeight="1" ht="15" r="12" s="4">
      <c r="A12" s="43">
        <f>정육점!A12</f>
        <v/>
      </c>
      <c r="B12" s="44" t="n"/>
      <c r="C12" s="45" t="n"/>
      <c r="D12" s="46" t="n"/>
      <c r="E12" s="46" t="n"/>
      <c r="F12" s="46" t="n"/>
      <c r="G12" s="46" t="n"/>
      <c r="H12" s="46" t="n"/>
      <c r="I12" s="46" t="n"/>
      <c r="J12" s="46" t="n"/>
      <c r="K12" s="46" t="n"/>
      <c r="L12" s="46" t="n"/>
      <c r="M12" s="46" t="n"/>
      <c r="N12" s="46" t="n"/>
      <c r="O12" s="46" t="n"/>
      <c r="P12" s="46" t="n"/>
      <c r="Q12" s="46" t="n"/>
      <c r="R12" s="46" t="n"/>
      <c r="S12" s="46" t="n"/>
      <c r="T12" s="46" t="n"/>
      <c r="U12" s="46" t="n"/>
      <c r="V12" s="46" t="n"/>
      <c r="X12" s="511" t="n"/>
      <c r="Y12" s="382" t="n"/>
      <c r="Z12" s="382" t="n"/>
      <c r="AA12" s="348" t="n"/>
      <c r="AB12" s="718" t="n"/>
      <c r="AC12" s="378" t="n"/>
      <c r="AD12" s="378" t="n"/>
      <c r="AE12" s="378" t="n"/>
      <c r="AF12" s="719" t="n"/>
    </row>
    <row customFormat="1" customHeight="1" ht="15" r="13" s="4">
      <c r="A13" s="47" t="inlineStr">
        <is>
          <t>신한은행 379-02-099892 (예금주:곽순욱/세림빌딩)</t>
        </is>
      </c>
      <c r="B13" s="44" t="n"/>
      <c r="C13" s="45" t="n"/>
      <c r="D13" s="46" t="n"/>
      <c r="E13" s="46" t="n"/>
      <c r="F13" s="46" t="n"/>
      <c r="G13" s="46" t="n"/>
      <c r="H13" s="46" t="n"/>
      <c r="I13" s="46" t="n"/>
      <c r="J13" s="46" t="n"/>
      <c r="K13" s="46" t="n"/>
      <c r="L13" s="46" t="n"/>
      <c r="M13" s="46" t="n"/>
      <c r="N13" s="46" t="n"/>
      <c r="O13" s="46" t="n"/>
      <c r="P13" s="46" t="n"/>
      <c r="Q13" s="46" t="n"/>
      <c r="R13" s="46" t="n"/>
      <c r="S13" s="46" t="n"/>
      <c r="T13" s="46" t="n"/>
      <c r="U13" s="46" t="n"/>
      <c r="V13" s="46" t="n"/>
      <c r="X13" s="574" t="inlineStr">
        <is>
          <t>합계</t>
        </is>
      </c>
      <c r="Y13" s="382" t="n"/>
      <c r="Z13" s="382" t="n"/>
      <c r="AA13" s="382" t="n"/>
      <c r="AB13" s="694">
        <f>SUM(AB4:AE12)</f>
        <v/>
      </c>
      <c r="AC13" s="382" t="n"/>
      <c r="AD13" s="382" t="n"/>
      <c r="AE13" s="382" t="n"/>
      <c r="AF13" s="720" t="inlineStr">
        <is>
          <t>원</t>
        </is>
      </c>
    </row>
    <row customFormat="1" customHeight="1" ht="15" r="14" s="4">
      <c r="A14" s="54" t="n"/>
      <c r="B14" s="55" t="n"/>
      <c r="C14" s="56" t="n"/>
      <c r="X14" s="49" t="n"/>
      <c r="Y14" s="49" t="n"/>
      <c r="Z14" s="49" t="n"/>
      <c r="AA14" s="49" t="n"/>
      <c r="AB14" s="696" t="n"/>
      <c r="AC14" s="696" t="n"/>
      <c r="AD14" s="696" t="n"/>
      <c r="AE14" s="696" t="n"/>
      <c r="AF14" s="697" t="n"/>
    </row>
    <row customFormat="1" r="15" s="4"/>
    <row customFormat="1" r="16" s="4"/>
    <row customFormat="1" r="17" s="4">
      <c r="A17" s="48" t="n"/>
      <c r="B17" s="48" t="n"/>
      <c r="C17" s="48" t="n"/>
      <c r="D17" s="48" t="n"/>
      <c r="E17" s="48" t="n"/>
      <c r="F17" s="48" t="n"/>
      <c r="G17" s="48" t="n"/>
      <c r="H17" s="48" t="n"/>
      <c r="I17" s="48" t="n"/>
      <c r="J17" s="48" t="n"/>
      <c r="K17" s="48" t="n"/>
      <c r="L17" s="48" t="n"/>
      <c r="M17" s="48" t="n"/>
      <c r="N17" s="48" t="n"/>
      <c r="O17" s="48" t="n"/>
      <c r="P17" s="48" t="n"/>
      <c r="Q17" s="48" t="n"/>
      <c r="R17" s="48" t="n"/>
      <c r="S17" s="48" t="n"/>
      <c r="T17" s="48" t="n"/>
      <c r="U17" s="48" t="n"/>
      <c r="V17" s="48" t="n"/>
      <c r="W17" s="48" t="n"/>
      <c r="X17" s="48" t="n"/>
      <c r="Y17" s="48" t="n"/>
      <c r="Z17" s="48" t="n"/>
      <c r="AA17" s="48" t="n"/>
      <c r="AB17" s="48" t="n"/>
      <c r="AC17" s="48" t="n"/>
      <c r="AD17" s="48" t="n"/>
      <c r="AE17" s="48" t="n"/>
      <c r="AF17" s="48" t="n"/>
    </row>
    <row customHeight="1" ht="14.25" r="18" s="391" thickBot="1">
      <c r="A18" s="31" t="inlineStr">
        <is>
          <t>[별지 제11호 서식]</t>
        </is>
      </c>
      <c r="B18" s="31" t="n"/>
      <c r="C18" s="32" t="n"/>
      <c r="D18" s="32" t="n"/>
      <c r="E18" s="32" t="n"/>
      <c r="F18" s="32" t="n"/>
      <c r="G18" s="33" t="n"/>
      <c r="H18" s="33" t="n"/>
      <c r="I18" s="32" t="n"/>
      <c r="J18" s="32" t="n"/>
      <c r="K18" s="32" t="n"/>
      <c r="L18" s="32" t="n"/>
      <c r="M18" s="32" t="n"/>
      <c r="N18" s="32" t="n"/>
      <c r="O18" s="32" t="n"/>
      <c r="P18" s="32" t="n"/>
      <c r="Q18" s="32" t="n"/>
      <c r="R18" s="32" t="n"/>
      <c r="S18" s="32" t="n"/>
      <c r="T18" s="32" t="n"/>
      <c r="U18" s="32" t="n"/>
      <c r="V18" s="470" t="n"/>
      <c r="AB18" s="470" t="n"/>
    </row>
    <row r="19">
      <c r="A19" s="500" t="inlineStr">
        <is>
          <t>세 금 계 산 서</t>
        </is>
      </c>
      <c r="B19" s="404" t="n"/>
      <c r="C19" s="404" t="n"/>
      <c r="D19" s="404" t="n"/>
      <c r="E19" s="404" t="n"/>
      <c r="F19" s="404" t="n"/>
      <c r="G19" s="404" t="n"/>
      <c r="H19" s="404" t="n"/>
      <c r="I19" s="404" t="n"/>
      <c r="J19" s="404" t="n"/>
      <c r="K19" s="404" t="n"/>
      <c r="L19" s="404" t="n"/>
      <c r="M19" s="404" t="n"/>
      <c r="N19" s="404" t="n"/>
      <c r="O19" s="404" t="n"/>
      <c r="P19" s="502" t="inlineStr">
        <is>
          <t>(</t>
        </is>
      </c>
      <c r="Q19" s="503" t="inlineStr">
        <is>
          <t>공급받는자</t>
        </is>
      </c>
      <c r="R19" s="404" t="n"/>
      <c r="S19" s="404" t="n"/>
      <c r="T19" s="404" t="n"/>
      <c r="U19" s="404" t="n"/>
      <c r="V19" s="503" t="inlineStr">
        <is>
          <t>)</t>
        </is>
      </c>
      <c r="W19" s="504" t="inlineStr">
        <is>
          <t>책   번   호</t>
        </is>
      </c>
      <c r="X19" s="430" t="n"/>
      <c r="Y19" s="430" t="n"/>
      <c r="Z19" s="431" t="n"/>
      <c r="AA19" s="505" t="n"/>
      <c r="AB19" s="430" t="n"/>
      <c r="AC19" s="34" t="inlineStr">
        <is>
          <t>권</t>
        </is>
      </c>
      <c r="AD19" s="505" t="n"/>
      <c r="AE19" s="430" t="n"/>
      <c r="AF19" s="35" t="inlineStr">
        <is>
          <t>호</t>
        </is>
      </c>
    </row>
    <row customHeight="1" ht="14.25" r="20" s="391" thickBot="1">
      <c r="A20" s="501" t="n"/>
      <c r="Q20" s="506" t="inlineStr">
        <is>
          <t>보  관  용</t>
        </is>
      </c>
      <c r="R20" s="419" t="n"/>
      <c r="S20" s="419" t="n"/>
      <c r="T20" s="419" t="n"/>
      <c r="U20" s="419" t="n"/>
      <c r="W20" s="462" t="inlineStr">
        <is>
          <t>일 련 번 호</t>
        </is>
      </c>
      <c r="X20" s="408" t="n"/>
      <c r="Y20" s="408" t="n"/>
      <c r="Z20" s="409" t="n"/>
      <c r="AA20" s="303" t="n"/>
      <c r="AB20" s="304" t="n"/>
      <c r="AC20" s="303" t="n"/>
      <c r="AD20" s="303" t="n"/>
      <c r="AE20" s="303" t="n"/>
      <c r="AF20" s="305" t="n"/>
    </row>
    <row customHeight="1" ht="13.5" r="21" s="391">
      <c r="A21" s="463" t="inlineStr">
        <is>
          <t>공 급 자</t>
        </is>
      </c>
      <c r="B21" s="433" t="inlineStr">
        <is>
          <t>등록번호</t>
        </is>
      </c>
      <c r="C21" s="416" t="n"/>
      <c r="D21" s="417" t="n"/>
      <c r="E21" s="458" t="n">
        <v>1</v>
      </c>
      <c r="F21" s="452" t="n">
        <v>2</v>
      </c>
      <c r="G21" s="452" t="n">
        <v>4</v>
      </c>
      <c r="H21" s="452" t="inlineStr">
        <is>
          <t>-</t>
        </is>
      </c>
      <c r="I21" s="452" t="n">
        <v>2</v>
      </c>
      <c r="J21" s="452" t="n">
        <v>0</v>
      </c>
      <c r="K21" s="452" t="inlineStr">
        <is>
          <t>-</t>
        </is>
      </c>
      <c r="L21" s="452" t="n">
        <v>2</v>
      </c>
      <c r="M21" s="452" t="n">
        <v>6</v>
      </c>
      <c r="N21" s="452" t="n">
        <v>4</v>
      </c>
      <c r="O21" s="452" t="n">
        <v>4</v>
      </c>
      <c r="P21" s="465" t="n">
        <v>9</v>
      </c>
      <c r="Q21" s="467" t="inlineStr">
        <is>
          <t>공급받는자</t>
        </is>
      </c>
      <c r="R21" s="433" t="inlineStr">
        <is>
          <t>등록번호</t>
        </is>
      </c>
      <c r="S21" s="416" t="n"/>
      <c r="T21" s="417" t="n"/>
      <c r="U21" s="458" t="n">
        <v>3</v>
      </c>
      <c r="V21" s="452" t="n">
        <v>5</v>
      </c>
      <c r="W21" s="452" t="n">
        <v>3</v>
      </c>
      <c r="X21" s="452" t="inlineStr">
        <is>
          <t>-</t>
        </is>
      </c>
      <c r="Y21" s="452" t="n">
        <v>8</v>
      </c>
      <c r="Z21" s="452" t="n">
        <v>8</v>
      </c>
      <c r="AA21" s="452" t="inlineStr">
        <is>
          <t>-</t>
        </is>
      </c>
      <c r="AB21" s="452" t="n">
        <v>0</v>
      </c>
      <c r="AC21" s="452" t="n">
        <v>0</v>
      </c>
      <c r="AD21" s="452" t="n">
        <v>5</v>
      </c>
      <c r="AE21" s="452" t="n">
        <v>2</v>
      </c>
      <c r="AF21" s="453" t="n">
        <v>3</v>
      </c>
    </row>
    <row customHeight="1" ht="14.25" r="22" s="391" thickBot="1">
      <c r="A22" s="464" t="n"/>
      <c r="B22" s="418" t="n"/>
      <c r="C22" s="419" t="n"/>
      <c r="D22" s="420" t="n"/>
      <c r="E22" s="459" t="n"/>
      <c r="F22" s="439" t="n"/>
      <c r="G22" s="439" t="n"/>
      <c r="H22" s="439" t="n"/>
      <c r="I22" s="439" t="n"/>
      <c r="J22" s="439" t="n"/>
      <c r="K22" s="439" t="n"/>
      <c r="L22" s="439" t="n"/>
      <c r="M22" s="439" t="n"/>
      <c r="N22" s="439" t="n"/>
      <c r="O22" s="439" t="n"/>
      <c r="P22" s="466" t="n"/>
      <c r="Q22" s="468" t="n"/>
      <c r="R22" s="418" t="n"/>
      <c r="S22" s="419" t="n"/>
      <c r="T22" s="420" t="n"/>
      <c r="U22" s="459" t="n"/>
      <c r="V22" s="439" t="n"/>
      <c r="W22" s="439" t="n"/>
      <c r="X22" s="439" t="n"/>
      <c r="Y22" s="439" t="n"/>
      <c r="Z22" s="439" t="n"/>
      <c r="AA22" s="439" t="n"/>
      <c r="AB22" s="439" t="n"/>
      <c r="AC22" s="439" t="n"/>
      <c r="AD22" s="439" t="n"/>
      <c r="AE22" s="439" t="n"/>
      <c r="AF22" s="454" t="n"/>
    </row>
    <row customHeight="1" ht="13.5" r="23" s="391">
      <c r="A23" s="464" t="n"/>
      <c r="B23" s="444" t="inlineStr">
        <is>
          <t>상     호</t>
        </is>
      </c>
      <c r="C23" s="416" t="n"/>
      <c r="D23" s="417" t="n"/>
      <c r="E23" s="445" t="inlineStr">
        <is>
          <t>세림빌딩</t>
        </is>
      </c>
      <c r="F23" s="416" t="n"/>
      <c r="G23" s="416" t="n"/>
      <c r="H23" s="416" t="n"/>
      <c r="I23" s="416" t="n"/>
      <c r="J23" s="417" t="n"/>
      <c r="K23" s="438" t="inlineStr">
        <is>
          <t>성명</t>
        </is>
      </c>
      <c r="L23" s="447" t="inlineStr">
        <is>
          <t>곽순욱 외1인</t>
        </is>
      </c>
      <c r="M23" s="416" t="n"/>
      <c r="N23" s="416" t="n"/>
      <c r="O23" s="417" t="n"/>
      <c r="P23" s="448" t="inlineStr">
        <is>
          <t>인</t>
        </is>
      </c>
      <c r="Q23" s="468" t="n"/>
      <c r="R23" s="444" t="inlineStr">
        <is>
          <t>상     호</t>
        </is>
      </c>
      <c r="S23" s="416" t="n"/>
      <c r="T23" s="417" t="n"/>
      <c r="U23" s="585" t="inlineStr">
        <is>
          <t>법무법인 주한</t>
        </is>
      </c>
      <c r="V23" s="404" t="n"/>
      <c r="W23" s="404" t="n"/>
      <c r="X23" s="404" t="n"/>
      <c r="Y23" s="404" t="n"/>
      <c r="Z23" s="456" t="n"/>
      <c r="AA23" s="457" t="inlineStr">
        <is>
          <t>성명</t>
        </is>
      </c>
      <c r="AB23" s="460" t="inlineStr">
        <is>
          <t>홍승훈</t>
        </is>
      </c>
      <c r="AC23" s="404" t="n"/>
      <c r="AD23" s="404" t="n"/>
      <c r="AE23" s="404" t="n"/>
      <c r="AF23" s="461" t="inlineStr">
        <is>
          <t>인</t>
        </is>
      </c>
    </row>
    <row customHeight="1" ht="14.25" r="24" s="391" thickBot="1">
      <c r="A24" s="464" t="n"/>
      <c r="B24" s="443" t="inlineStr">
        <is>
          <t>(법인명)</t>
        </is>
      </c>
      <c r="C24" s="419" t="n"/>
      <c r="D24" s="420" t="n"/>
      <c r="E24" s="446" t="n"/>
      <c r="F24" s="436" t="n"/>
      <c r="G24" s="436" t="n"/>
      <c r="H24" s="436" t="n"/>
      <c r="I24" s="436" t="n"/>
      <c r="J24" s="437" t="n"/>
      <c r="K24" s="439" t="n"/>
      <c r="L24" s="418" t="n"/>
      <c r="M24" s="419" t="n"/>
      <c r="N24" s="419" t="n"/>
      <c r="O24" s="420" t="n"/>
      <c r="P24" s="406" t="n"/>
      <c r="Q24" s="468" t="n"/>
      <c r="R24" s="443" t="inlineStr">
        <is>
          <t>(법인명)</t>
        </is>
      </c>
      <c r="S24" s="419" t="n"/>
      <c r="T24" s="420" t="n"/>
      <c r="U24" s="435" t="n"/>
      <c r="V24" s="436" t="n"/>
      <c r="W24" s="436" t="n"/>
      <c r="X24" s="436" t="n"/>
      <c r="Y24" s="436" t="n"/>
      <c r="Z24" s="437" t="n"/>
      <c r="AA24" s="439" t="n"/>
      <c r="AB24" s="418" t="n"/>
      <c r="AC24" s="419" t="n"/>
      <c r="AD24" s="419" t="n"/>
      <c r="AE24" s="419" t="n"/>
      <c r="AF24" s="406" t="n"/>
    </row>
    <row customHeight="1" ht="13.5" r="25" s="391">
      <c r="A25" s="464" t="n"/>
      <c r="B25" s="444" t="inlineStr">
        <is>
          <t>사 업 장</t>
        </is>
      </c>
      <c r="C25" s="416" t="n"/>
      <c r="D25" s="417" t="n"/>
      <c r="E25" s="469" t="inlineStr">
        <is>
          <t>경기도 수원시 영통구 동수원로 514</t>
        </is>
      </c>
      <c r="F25" s="404" t="n"/>
      <c r="G25" s="404" t="n"/>
      <c r="H25" s="404" t="n"/>
      <c r="I25" s="404" t="n"/>
      <c r="J25" s="404" t="n"/>
      <c r="K25" s="404" t="n"/>
      <c r="L25" s="404" t="n"/>
      <c r="M25" s="404" t="n"/>
      <c r="N25" s="404" t="n"/>
      <c r="O25" s="404" t="n"/>
      <c r="P25" s="456" t="n"/>
      <c r="Q25" s="468" t="n"/>
      <c r="R25" s="444" t="inlineStr">
        <is>
          <t>사 업 장</t>
        </is>
      </c>
      <c r="S25" s="416" t="n"/>
      <c r="T25" s="417" t="n"/>
      <c r="U25" s="587" t="inlineStr">
        <is>
          <t>경기도 수원시 영통구 동수원로 514 세림빌딩 3층</t>
        </is>
      </c>
      <c r="V25" s="404" t="n"/>
      <c r="W25" s="404" t="n"/>
      <c r="X25" s="404" t="n"/>
      <c r="Y25" s="404" t="n"/>
      <c r="Z25" s="404" t="n"/>
      <c r="AA25" s="404" t="n"/>
      <c r="AB25" s="404" t="n"/>
      <c r="AC25" s="404" t="n"/>
      <c r="AD25" s="404" t="n"/>
      <c r="AE25" s="404" t="n"/>
      <c r="AF25" s="456" t="n"/>
      <c r="AH25" s="95" t="inlineStr">
        <is>
          <t>공급가액</t>
        </is>
      </c>
      <c r="AI25" s="95" t="inlineStr">
        <is>
          <t>세액</t>
        </is>
      </c>
      <c r="AJ25" s="95" t="inlineStr">
        <is>
          <t>합계금액</t>
        </is>
      </c>
    </row>
    <row r="26">
      <c r="A26" s="464" t="n"/>
      <c r="B26" s="443" t="inlineStr">
        <is>
          <t>주     소</t>
        </is>
      </c>
      <c r="C26" s="419" t="n"/>
      <c r="D26" s="420" t="n"/>
      <c r="E26" s="418" t="n"/>
      <c r="F26" s="419" t="n"/>
      <c r="G26" s="419" t="n"/>
      <c r="H26" s="419" t="n"/>
      <c r="I26" s="419" t="n"/>
      <c r="J26" s="419" t="n"/>
      <c r="K26" s="419" t="n"/>
      <c r="L26" s="419" t="n"/>
      <c r="M26" s="419" t="n"/>
      <c r="N26" s="419" t="n"/>
      <c r="O26" s="419" t="n"/>
      <c r="P26" s="420" t="n"/>
      <c r="Q26" s="468" t="n"/>
      <c r="R26" s="443" t="inlineStr">
        <is>
          <t>주     소</t>
        </is>
      </c>
      <c r="S26" s="419" t="n"/>
      <c r="T26" s="420" t="n"/>
      <c r="U26" s="418" t="n"/>
      <c r="V26" s="419" t="n"/>
      <c r="W26" s="419" t="n"/>
      <c r="X26" s="419" t="n"/>
      <c r="Y26" s="419" t="n"/>
      <c r="Z26" s="419" t="n"/>
      <c r="AA26" s="419" t="n"/>
      <c r="AB26" s="419" t="n"/>
      <c r="AC26" s="419" t="n"/>
      <c r="AD26" s="419" t="n"/>
      <c r="AE26" s="419" t="n"/>
      <c r="AF26" s="420" t="n"/>
      <c r="AH26" s="698">
        <f>T33</f>
        <v/>
      </c>
      <c r="AI26" s="698">
        <f>Z33</f>
        <v/>
      </c>
    </row>
    <row customHeight="1" ht="13.5" r="27" s="391">
      <c r="A27" s="464" t="n"/>
      <c r="B27" s="433" t="inlineStr">
        <is>
          <t>업     태</t>
        </is>
      </c>
      <c r="C27" s="416" t="n"/>
      <c r="D27" s="417" t="n"/>
      <c r="E27" s="434" t="inlineStr">
        <is>
          <t>부동산업</t>
        </is>
      </c>
      <c r="F27" s="416" t="n"/>
      <c r="G27" s="416" t="n"/>
      <c r="H27" s="416" t="n"/>
      <c r="I27" s="416" t="n"/>
      <c r="J27" s="417" t="n"/>
      <c r="K27" s="438" t="inlineStr">
        <is>
          <t>종목</t>
        </is>
      </c>
      <c r="L27" s="434" t="inlineStr">
        <is>
          <t>비주거용            건물임대업</t>
        </is>
      </c>
      <c r="M27" s="416" t="n"/>
      <c r="N27" s="416" t="n"/>
      <c r="O27" s="416" t="n"/>
      <c r="P27" s="417" t="n"/>
      <c r="Q27" s="468" t="n"/>
      <c r="R27" s="433" t="inlineStr">
        <is>
          <t>업     태</t>
        </is>
      </c>
      <c r="S27" s="416" t="n"/>
      <c r="T27" s="417" t="n"/>
      <c r="U27" s="434" t="inlineStr">
        <is>
          <t>서비스업</t>
        </is>
      </c>
      <c r="V27" s="416" t="n"/>
      <c r="W27" s="416" t="n"/>
      <c r="X27" s="416" t="n"/>
      <c r="Y27" s="416" t="n"/>
      <c r="Z27" s="417" t="n"/>
      <c r="AA27" s="438" t="inlineStr">
        <is>
          <t>종목</t>
        </is>
      </c>
      <c r="AB27" s="449" t="inlineStr">
        <is>
          <t>변호사업</t>
        </is>
      </c>
      <c r="AC27" s="416" t="n"/>
      <c r="AD27" s="416" t="n"/>
      <c r="AE27" s="416" t="n"/>
      <c r="AF27" s="450" t="n"/>
      <c r="AH27" s="698">
        <f>T34</f>
        <v/>
      </c>
      <c r="AI27" s="698">
        <f>Z34</f>
        <v/>
      </c>
    </row>
    <row customHeight="1" ht="14.25" r="28" s="391" thickBot="1">
      <c r="A28" s="459" t="n"/>
      <c r="B28" s="418" t="n"/>
      <c r="C28" s="419" t="n"/>
      <c r="D28" s="420" t="n"/>
      <c r="E28" s="435" t="n"/>
      <c r="F28" s="436" t="n"/>
      <c r="G28" s="436" t="n"/>
      <c r="H28" s="436" t="n"/>
      <c r="I28" s="436" t="n"/>
      <c r="J28" s="437" t="n"/>
      <c r="K28" s="439" t="n"/>
      <c r="L28" s="435" t="n"/>
      <c r="M28" s="436" t="n"/>
      <c r="N28" s="436" t="n"/>
      <c r="O28" s="436" t="n"/>
      <c r="P28" s="437" t="n"/>
      <c r="Q28" s="420" t="n"/>
      <c r="R28" s="418" t="n"/>
      <c r="S28" s="419" t="n"/>
      <c r="T28" s="420" t="n"/>
      <c r="U28" s="435" t="n"/>
      <c r="V28" s="436" t="n"/>
      <c r="W28" s="436" t="n"/>
      <c r="X28" s="436" t="n"/>
      <c r="Y28" s="436" t="n"/>
      <c r="Z28" s="437" t="n"/>
      <c r="AA28" s="439" t="n"/>
      <c r="AB28" s="435" t="n"/>
      <c r="AC28" s="436" t="n"/>
      <c r="AD28" s="436" t="n"/>
      <c r="AE28" s="436" t="n"/>
      <c r="AF28" s="451" t="n"/>
      <c r="AH28" s="698">
        <f>T35</f>
        <v/>
      </c>
      <c r="AI28" s="698">
        <f>Z35</f>
        <v/>
      </c>
    </row>
    <row r="29">
      <c r="A29" s="432" t="inlineStr">
        <is>
          <t>작     성</t>
        </is>
      </c>
      <c r="B29" s="430" t="n"/>
      <c r="C29" s="430" t="n"/>
      <c r="D29" s="431" t="n"/>
      <c r="E29" s="429" t="inlineStr">
        <is>
          <t>공      급      가      액</t>
        </is>
      </c>
      <c r="F29" s="430" t="n"/>
      <c r="G29" s="430" t="n"/>
      <c r="H29" s="430" t="n"/>
      <c r="I29" s="430" t="n"/>
      <c r="J29" s="430" t="n"/>
      <c r="K29" s="430" t="n"/>
      <c r="L29" s="430" t="n"/>
      <c r="M29" s="430" t="n"/>
      <c r="N29" s="430" t="n"/>
      <c r="O29" s="430" t="n"/>
      <c r="P29" s="430" t="n"/>
      <c r="Q29" s="431" t="n"/>
      <c r="R29" s="429" t="inlineStr">
        <is>
          <t>세               액</t>
        </is>
      </c>
      <c r="S29" s="430" t="n"/>
      <c r="T29" s="430" t="n"/>
      <c r="U29" s="430" t="n"/>
      <c r="V29" s="430" t="n"/>
      <c r="W29" s="430" t="n"/>
      <c r="X29" s="430" t="n"/>
      <c r="Y29" s="430" t="n"/>
      <c r="Z29" s="430" t="n"/>
      <c r="AA29" s="431" t="n"/>
      <c r="AB29" s="429" t="inlineStr">
        <is>
          <t>비      고</t>
        </is>
      </c>
      <c r="AC29" s="430" t="n"/>
      <c r="AD29" s="430" t="n"/>
      <c r="AE29" s="430" t="n"/>
      <c r="AF29" s="431" t="n"/>
      <c r="AH29" s="699">
        <f>ROUND(SUM(AH26:AH28),0)</f>
        <v/>
      </c>
      <c r="AI29" s="699">
        <f>ROUND(SUM(AI26:AI28),0)</f>
        <v/>
      </c>
      <c r="AJ29" s="700">
        <f>SUM(AH29:AI29)</f>
        <v/>
      </c>
    </row>
    <row r="30">
      <c r="A30" s="413" t="inlineStr">
        <is>
          <t>년</t>
        </is>
      </c>
      <c r="B30" s="412" t="n"/>
      <c r="C30" s="306" t="inlineStr">
        <is>
          <t>월</t>
        </is>
      </c>
      <c r="D30" s="306" t="inlineStr">
        <is>
          <t>일</t>
        </is>
      </c>
      <c r="E30" s="415" t="inlineStr">
        <is>
          <t>공란수</t>
        </is>
      </c>
      <c r="F30" s="412" t="n"/>
      <c r="G30" s="415" t="inlineStr">
        <is>
          <t>백</t>
        </is>
      </c>
      <c r="H30" s="306" t="inlineStr">
        <is>
          <t>십</t>
        </is>
      </c>
      <c r="I30" s="306" t="inlineStr">
        <is>
          <t>억</t>
        </is>
      </c>
      <c r="J30" s="306" t="inlineStr">
        <is>
          <t>천</t>
        </is>
      </c>
      <c r="K30" s="306" t="inlineStr">
        <is>
          <t>백</t>
        </is>
      </c>
      <c r="L30" s="306" t="inlineStr">
        <is>
          <t>십</t>
        </is>
      </c>
      <c r="M30" s="306" t="inlineStr">
        <is>
          <t>만</t>
        </is>
      </c>
      <c r="N30" s="306" t="inlineStr">
        <is>
          <t>천</t>
        </is>
      </c>
      <c r="O30" s="306" t="inlineStr">
        <is>
          <t>백</t>
        </is>
      </c>
      <c r="P30" s="306" t="inlineStr">
        <is>
          <t>십</t>
        </is>
      </c>
      <c r="Q30" s="306" t="inlineStr">
        <is>
          <t>일</t>
        </is>
      </c>
      <c r="R30" s="306" t="inlineStr">
        <is>
          <t>십</t>
        </is>
      </c>
      <c r="S30" s="306" t="inlineStr">
        <is>
          <t>억</t>
        </is>
      </c>
      <c r="T30" s="306" t="inlineStr">
        <is>
          <t>천</t>
        </is>
      </c>
      <c r="U30" s="306" t="inlineStr">
        <is>
          <t>백</t>
        </is>
      </c>
      <c r="V30" s="306" t="inlineStr">
        <is>
          <t>십</t>
        </is>
      </c>
      <c r="W30" s="306" t="inlineStr">
        <is>
          <t>만</t>
        </is>
      </c>
      <c r="X30" s="306" t="inlineStr">
        <is>
          <t>천</t>
        </is>
      </c>
      <c r="Y30" s="306" t="inlineStr">
        <is>
          <t>백</t>
        </is>
      </c>
      <c r="Z30" s="306" t="inlineStr">
        <is>
          <t>십</t>
        </is>
      </c>
      <c r="AA30" s="306" t="inlineStr">
        <is>
          <t>일</t>
        </is>
      </c>
      <c r="AB30" s="440" t="n"/>
      <c r="AC30" s="416" t="n"/>
      <c r="AD30" s="416" t="n"/>
      <c r="AE30" s="416" t="n"/>
      <c r="AF30" s="417" t="n"/>
    </row>
    <row customHeight="1" ht="14.25" r="31" s="391" thickBot="1">
      <c r="A31" s="441">
        <f>Q1</f>
        <v/>
      </c>
      <c r="B31" s="408" t="n"/>
      <c r="C31" s="308">
        <f>V1</f>
        <v/>
      </c>
      <c r="D31" s="309" t="n">
        <v>25</v>
      </c>
      <c r="E31" s="701" t="n"/>
      <c r="F31" s="409" t="n"/>
      <c r="G31" s="702" t="n"/>
      <c r="H31" s="702" t="n"/>
      <c r="I31" s="702" t="n"/>
      <c r="J31" s="702" t="n"/>
      <c r="K31" s="702">
        <f>MID(AH29,1,1)</f>
        <v/>
      </c>
      <c r="L31" s="702">
        <f>MID(AH29,2,1)</f>
        <v/>
      </c>
      <c r="M31" s="702">
        <f>MID(AH29,3,1)</f>
        <v/>
      </c>
      <c r="N31" s="702">
        <f>MID(AH29,4,1)</f>
        <v/>
      </c>
      <c r="O31" s="702">
        <f>MID(AH29,5,1)</f>
        <v/>
      </c>
      <c r="P31" s="702">
        <f>MID(AH29,6,1)</f>
        <v/>
      </c>
      <c r="Q31" s="702">
        <f>MID(AH29,7,1)</f>
        <v/>
      </c>
      <c r="R31" s="702" t="n"/>
      <c r="S31" s="702" t="n"/>
      <c r="T31" s="702" t="n"/>
      <c r="U31" s="702" t="n"/>
      <c r="V31" s="702">
        <f>MID(AI29,1,1)</f>
        <v/>
      </c>
      <c r="W31" s="702">
        <f>MID(AI29,2,1)</f>
        <v/>
      </c>
      <c r="X31" s="702">
        <f>MID(AI29,3,1)</f>
        <v/>
      </c>
      <c r="Y31" s="702">
        <f>MID(AI29,4,1)</f>
        <v/>
      </c>
      <c r="Z31" s="702">
        <f>MID(AI29,5,1)</f>
        <v/>
      </c>
      <c r="AA31" s="702">
        <f>MID(AI29,6,1)</f>
        <v/>
      </c>
      <c r="AB31" s="418" t="n"/>
      <c r="AC31" s="419" t="n"/>
      <c r="AD31" s="419" t="n"/>
      <c r="AE31" s="419" t="n"/>
      <c r="AF31" s="420" t="n"/>
    </row>
    <row r="32">
      <c r="A32" s="36" t="inlineStr">
        <is>
          <t>월</t>
        </is>
      </c>
      <c r="B32" s="37" t="inlineStr">
        <is>
          <t>일</t>
        </is>
      </c>
      <c r="C32" s="428" t="inlineStr">
        <is>
          <t>품          목</t>
        </is>
      </c>
      <c r="D32" s="419" t="n"/>
      <c r="E32" s="419" t="n"/>
      <c r="F32" s="419" t="n"/>
      <c r="G32" s="419" t="n"/>
      <c r="H32" s="420" t="n"/>
      <c r="I32" s="429" t="inlineStr">
        <is>
          <t>규격</t>
        </is>
      </c>
      <c r="J32" s="430" t="n"/>
      <c r="K32" s="431" t="n"/>
      <c r="L32" s="429" t="inlineStr">
        <is>
          <t>수량</t>
        </is>
      </c>
      <c r="M32" s="430" t="n"/>
      <c r="N32" s="431" t="n"/>
      <c r="O32" s="428" t="inlineStr">
        <is>
          <t>단      가</t>
        </is>
      </c>
      <c r="P32" s="419" t="n"/>
      <c r="Q32" s="419" t="n"/>
      <c r="R32" s="419" t="n"/>
      <c r="S32" s="420" t="n"/>
      <c r="T32" s="428" t="inlineStr">
        <is>
          <t>공  급  가  액</t>
        </is>
      </c>
      <c r="U32" s="419" t="n"/>
      <c r="V32" s="419" t="n"/>
      <c r="W32" s="419" t="n"/>
      <c r="X32" s="419" t="n"/>
      <c r="Y32" s="420" t="n"/>
      <c r="Z32" s="428" t="inlineStr">
        <is>
          <t>세        액</t>
        </is>
      </c>
      <c r="AA32" s="419" t="n"/>
      <c r="AB32" s="419" t="n"/>
      <c r="AC32" s="419" t="n"/>
      <c r="AD32" s="420" t="n"/>
      <c r="AE32" s="428" t="inlineStr">
        <is>
          <t>비고</t>
        </is>
      </c>
      <c r="AF32" s="420" t="n"/>
    </row>
    <row r="33">
      <c r="A33" s="311">
        <f>C31</f>
        <v/>
      </c>
      <c r="B33" s="312">
        <f>D31</f>
        <v/>
      </c>
      <c r="C33" s="424" t="inlineStr">
        <is>
          <t>4층 월세</t>
        </is>
      </c>
      <c r="D33" s="414" t="n"/>
      <c r="E33" s="414" t="n"/>
      <c r="F33" s="414" t="n"/>
      <c r="G33" s="414" t="n"/>
      <c r="H33" s="412" t="n"/>
      <c r="I33" s="425" t="n"/>
      <c r="J33" s="414" t="n"/>
      <c r="K33" s="412" t="n"/>
      <c r="L33" s="703" t="n"/>
      <c r="M33" s="414" t="n"/>
      <c r="N33" s="412" t="n"/>
      <c r="O33" s="704" t="n"/>
      <c r="P33" s="414" t="n"/>
      <c r="Q33" s="414" t="n"/>
      <c r="R33" s="414" t="n"/>
      <c r="S33" s="412" t="n"/>
      <c r="T33" s="704">
        <f>G4</f>
        <v/>
      </c>
      <c r="U33" s="414" t="n"/>
      <c r="V33" s="414" t="n"/>
      <c r="W33" s="414" t="n"/>
      <c r="X33" s="414" t="n"/>
      <c r="Y33" s="412" t="n"/>
      <c r="Z33" s="704">
        <f>T33*0.1</f>
        <v/>
      </c>
      <c r="AA33" s="414" t="n"/>
      <c r="AB33" s="414" t="n"/>
      <c r="AC33" s="414" t="n"/>
      <c r="AD33" s="412" t="n"/>
      <c r="AE33" s="411" t="n"/>
      <c r="AF33" s="412" t="n"/>
    </row>
    <row r="34">
      <c r="A34" s="311">
        <f>A33</f>
        <v/>
      </c>
      <c r="B34" s="312">
        <f>B33</f>
        <v/>
      </c>
      <c r="C34" s="424" t="inlineStr">
        <is>
          <t>4층 관리비</t>
        </is>
      </c>
      <c r="D34" s="414" t="n"/>
      <c r="E34" s="414" t="n"/>
      <c r="F34" s="414" t="n"/>
      <c r="G34" s="414" t="n"/>
      <c r="H34" s="412" t="n"/>
      <c r="I34" s="425" t="n"/>
      <c r="J34" s="414" t="n"/>
      <c r="K34" s="412" t="n"/>
      <c r="L34" s="703" t="n"/>
      <c r="M34" s="414" t="n"/>
      <c r="N34" s="412" t="n"/>
      <c r="O34" s="704" t="n"/>
      <c r="P34" s="414" t="n"/>
      <c r="Q34" s="414" t="n"/>
      <c r="R34" s="414" t="n"/>
      <c r="S34" s="412" t="n"/>
      <c r="T34" s="704">
        <f>G6/1.1</f>
        <v/>
      </c>
      <c r="U34" s="414" t="n"/>
      <c r="V34" s="414" t="n"/>
      <c r="W34" s="414" t="n"/>
      <c r="X34" s="414" t="n"/>
      <c r="Y34" s="412" t="n"/>
      <c r="Z34" s="704">
        <f>G6-T34</f>
        <v/>
      </c>
      <c r="AA34" s="414" t="n"/>
      <c r="AB34" s="414" t="n"/>
      <c r="AC34" s="414" t="n"/>
      <c r="AD34" s="412" t="n"/>
      <c r="AE34" s="411" t="n"/>
      <c r="AF34" s="412" t="n"/>
    </row>
    <row r="35">
      <c r="A35" s="311">
        <f>A34</f>
        <v/>
      </c>
      <c r="B35" s="312">
        <f>B34</f>
        <v/>
      </c>
      <c r="C35" s="424" t="inlineStr">
        <is>
          <t>4층 전기요금</t>
        </is>
      </c>
      <c r="D35" s="414" t="n"/>
      <c r="E35" s="414" t="n"/>
      <c r="F35" s="414" t="n"/>
      <c r="G35" s="414" t="n"/>
      <c r="H35" s="412" t="n"/>
      <c r="I35" s="425" t="n"/>
      <c r="J35" s="414" t="n"/>
      <c r="K35" s="412" t="n"/>
      <c r="L35" s="703" t="n"/>
      <c r="M35" s="414" t="n"/>
      <c r="N35" s="412" t="n"/>
      <c r="O35" s="704" t="n"/>
      <c r="P35" s="414" t="n"/>
      <c r="Q35" s="414" t="n"/>
      <c r="R35" s="414" t="n"/>
      <c r="S35" s="412" t="n"/>
      <c r="T35" s="704">
        <f>G7/1.1</f>
        <v/>
      </c>
      <c r="U35" s="414" t="n"/>
      <c r="V35" s="414" t="n"/>
      <c r="W35" s="414" t="n"/>
      <c r="X35" s="414" t="n"/>
      <c r="Y35" s="412" t="n"/>
      <c r="Z35" s="704">
        <f>G7-T35</f>
        <v/>
      </c>
      <c r="AA35" s="414" t="n"/>
      <c r="AB35" s="414" t="n"/>
      <c r="AC35" s="414" t="n"/>
      <c r="AD35" s="412" t="n"/>
      <c r="AE35" s="411" t="n"/>
      <c r="AF35" s="412" t="n"/>
    </row>
    <row r="36">
      <c r="A36" s="311" t="n"/>
      <c r="B36" s="312" t="n"/>
      <c r="C36" s="424" t="n"/>
      <c r="D36" s="414" t="n"/>
      <c r="E36" s="414" t="n"/>
      <c r="F36" s="414" t="n"/>
      <c r="G36" s="414" t="n"/>
      <c r="H36" s="412" t="n"/>
      <c r="I36" s="425" t="n"/>
      <c r="J36" s="414" t="n"/>
      <c r="K36" s="412" t="n"/>
      <c r="L36" s="703" t="n"/>
      <c r="M36" s="414" t="n"/>
      <c r="N36" s="412" t="n"/>
      <c r="O36" s="704" t="n"/>
      <c r="P36" s="414" t="n"/>
      <c r="Q36" s="414" t="n"/>
      <c r="R36" s="414" t="n"/>
      <c r="S36" s="412" t="n"/>
      <c r="T36" s="704" t="n"/>
      <c r="U36" s="414" t="n"/>
      <c r="V36" s="414" t="n"/>
      <c r="W36" s="414" t="n"/>
      <c r="X36" s="414" t="n"/>
      <c r="Y36" s="412" t="n"/>
      <c r="Z36" s="704" t="n"/>
      <c r="AA36" s="414" t="n"/>
      <c r="AB36" s="414" t="n"/>
      <c r="AC36" s="414" t="n"/>
      <c r="AD36" s="412" t="n"/>
      <c r="AE36" s="411" t="n"/>
      <c r="AF36" s="412" t="n"/>
    </row>
    <row r="37">
      <c r="A37" s="413" t="inlineStr">
        <is>
          <t>합계금액</t>
        </is>
      </c>
      <c r="B37" s="414" t="n"/>
      <c r="C37" s="414" t="n"/>
      <c r="D37" s="414" t="n"/>
      <c r="E37" s="412" t="n"/>
      <c r="F37" s="415" t="inlineStr">
        <is>
          <t>현  금</t>
        </is>
      </c>
      <c r="G37" s="414" t="n"/>
      <c r="H37" s="414" t="n"/>
      <c r="I37" s="414" t="n"/>
      <c r="J37" s="412" t="n"/>
      <c r="K37" s="415" t="inlineStr">
        <is>
          <t>수  표</t>
        </is>
      </c>
      <c r="L37" s="414" t="n"/>
      <c r="M37" s="414" t="n"/>
      <c r="N37" s="414" t="n"/>
      <c r="O37" s="412" t="n"/>
      <c r="P37" s="415" t="inlineStr">
        <is>
          <t>어  음</t>
        </is>
      </c>
      <c r="Q37" s="414" t="n"/>
      <c r="R37" s="414" t="n"/>
      <c r="S37" s="414" t="n"/>
      <c r="T37" s="412" t="n"/>
      <c r="U37" s="415" t="inlineStr">
        <is>
          <t>외상미수금</t>
        </is>
      </c>
      <c r="V37" s="414" t="n"/>
      <c r="W37" s="414" t="n"/>
      <c r="X37" s="414" t="n"/>
      <c r="Y37" s="412" t="n"/>
      <c r="Z37" s="415" t="inlineStr">
        <is>
          <t xml:space="preserve">이 금액을 </t>
        </is>
      </c>
      <c r="AA37" s="416" t="n"/>
      <c r="AB37" s="416" t="n"/>
      <c r="AC37" s="417" t="n"/>
      <c r="AD37" s="421" t="inlineStr">
        <is>
          <t>청구</t>
        </is>
      </c>
      <c r="AE37" s="422" t="n"/>
      <c r="AF37" s="405" t="inlineStr">
        <is>
          <t>함</t>
        </is>
      </c>
    </row>
    <row customHeight="1" ht="14.25" r="38" s="391" thickBot="1">
      <c r="A38" s="706">
        <f>SUM(T33:AD35)</f>
        <v/>
      </c>
      <c r="B38" s="408" t="n"/>
      <c r="C38" s="408" t="n"/>
      <c r="D38" s="408" t="n"/>
      <c r="E38" s="409" t="n"/>
      <c r="F38" s="707" t="n"/>
      <c r="G38" s="408" t="n"/>
      <c r="H38" s="408" t="n"/>
      <c r="I38" s="408" t="n"/>
      <c r="J38" s="409" t="n"/>
      <c r="K38" s="707" t="n"/>
      <c r="L38" s="408" t="n"/>
      <c r="M38" s="408" t="n"/>
      <c r="N38" s="408" t="n"/>
      <c r="O38" s="409" t="n"/>
      <c r="P38" s="707" t="n"/>
      <c r="Q38" s="408" t="n"/>
      <c r="R38" s="408" t="n"/>
      <c r="S38" s="408" t="n"/>
      <c r="T38" s="409" t="n"/>
      <c r="U38" s="707" t="n"/>
      <c r="V38" s="408" t="n"/>
      <c r="W38" s="408" t="n"/>
      <c r="X38" s="408" t="n"/>
      <c r="Y38" s="409" t="n"/>
      <c r="Z38" s="418" t="n"/>
      <c r="AA38" s="419" t="n"/>
      <c r="AB38" s="419" t="n"/>
      <c r="AC38" s="420" t="n"/>
      <c r="AD38" s="423" t="n"/>
      <c r="AE38" s="423" t="n"/>
      <c r="AF38" s="406" t="n"/>
    </row>
    <row r="39">
      <c r="A39" s="31" t="inlineStr">
        <is>
          <t>22226-28131일 '96.3.27승인</t>
        </is>
      </c>
      <c r="B39" s="31" t="n"/>
      <c r="C39" s="32" t="n"/>
      <c r="D39" s="32" t="n"/>
      <c r="E39" s="32" t="n"/>
      <c r="F39" s="32" t="n"/>
      <c r="G39" s="32" t="n"/>
      <c r="H39" s="32" t="n"/>
      <c r="I39" s="32" t="n"/>
      <c r="J39" s="32" t="n"/>
      <c r="K39" s="32" t="n"/>
      <c r="L39" s="32" t="n"/>
      <c r="M39" s="32" t="n"/>
      <c r="N39" s="32" t="n"/>
      <c r="O39" s="32" t="n"/>
      <c r="P39" s="32" t="n"/>
      <c r="Q39" s="32" t="n"/>
      <c r="R39" s="32" t="n"/>
      <c r="S39" s="32" t="n"/>
      <c r="T39" s="32" t="n"/>
      <c r="U39" s="32" t="n"/>
      <c r="V39" s="32" t="n"/>
      <c r="W39" s="403" t="inlineStr">
        <is>
          <t>인쇄용지(특급)34g/m2 182mmx128mm</t>
        </is>
      </c>
      <c r="X39" s="404" t="n"/>
      <c r="Y39" s="404" t="n"/>
      <c r="Z39" s="404" t="n"/>
      <c r="AA39" s="404" t="n"/>
      <c r="AB39" s="404" t="n"/>
      <c r="AC39" s="404" t="n"/>
      <c r="AD39" s="404" t="n"/>
      <c r="AE39" s="404" t="n"/>
      <c r="AF39" s="404" t="n"/>
    </row>
    <row customHeight="1" ht="14.25" r="44" s="391" thickBot="1">
      <c r="A44" s="57" t="inlineStr">
        <is>
          <t>[별지 제11호 서식]</t>
        </is>
      </c>
      <c r="B44" s="57" t="n"/>
      <c r="C44" s="58" t="n"/>
      <c r="D44" s="58" t="n"/>
      <c r="E44" s="58" t="n"/>
      <c r="F44" s="58" t="n"/>
      <c r="G44" s="58" t="n"/>
      <c r="H44" s="58" t="n"/>
      <c r="I44" s="58" t="n"/>
      <c r="J44" s="58" t="n"/>
      <c r="K44" s="58" t="n"/>
      <c r="L44" s="58" t="n"/>
      <c r="M44" s="58" t="n"/>
      <c r="N44" s="58" t="n"/>
      <c r="O44" s="58" t="n"/>
      <c r="P44" s="58" t="n"/>
      <c r="Q44" s="58" t="n"/>
      <c r="R44" s="58" t="n"/>
      <c r="S44" s="58" t="n"/>
      <c r="T44" s="58" t="n"/>
      <c r="U44" s="58" t="n"/>
      <c r="V44" s="58" t="n"/>
      <c r="W44" s="58" t="n"/>
      <c r="X44" s="58" t="n"/>
      <c r="Y44" s="58" t="n"/>
      <c r="Z44" s="58" t="n"/>
      <c r="AA44" s="58" t="n"/>
      <c r="AB44" s="58" t="n"/>
      <c r="AC44" s="58" t="n"/>
      <c r="AD44" s="58" t="n"/>
      <c r="AE44" s="58" t="n"/>
      <c r="AF44" s="58" t="n"/>
    </row>
    <row r="45">
      <c r="A45" s="539" t="inlineStr">
        <is>
          <t>세 금 계 산 서</t>
        </is>
      </c>
      <c r="B45" s="475" t="n"/>
      <c r="C45" s="475" t="n"/>
      <c r="D45" s="475" t="n"/>
      <c r="E45" s="475" t="n"/>
      <c r="F45" s="475" t="n"/>
      <c r="G45" s="475" t="n"/>
      <c r="H45" s="475" t="n"/>
      <c r="I45" s="475" t="n"/>
      <c r="J45" s="475" t="n"/>
      <c r="K45" s="475" t="n"/>
      <c r="L45" s="475" t="n"/>
      <c r="M45" s="475" t="n"/>
      <c r="N45" s="475" t="n"/>
      <c r="O45" s="475" t="n"/>
      <c r="P45" s="541" t="inlineStr">
        <is>
          <t>(</t>
        </is>
      </c>
      <c r="Q45" s="474" t="inlineStr">
        <is>
          <t>공  급  자</t>
        </is>
      </c>
      <c r="R45" s="475" t="n"/>
      <c r="S45" s="475" t="n"/>
      <c r="T45" s="475" t="n"/>
      <c r="U45" s="475" t="n"/>
      <c r="V45" s="474" t="inlineStr">
        <is>
          <t>)</t>
        </is>
      </c>
      <c r="W45" s="471" t="inlineStr">
        <is>
          <t>책   번   호</t>
        </is>
      </c>
      <c r="X45" s="472" t="n"/>
      <c r="Y45" s="472" t="n"/>
      <c r="Z45" s="473" t="n"/>
      <c r="AA45" s="535">
        <f>AA19</f>
        <v/>
      </c>
      <c r="AB45" s="472" t="n"/>
      <c r="AC45" s="59" t="inlineStr">
        <is>
          <t>권</t>
        </is>
      </c>
      <c r="AD45" s="535">
        <f>AD19</f>
        <v/>
      </c>
      <c r="AE45" s="472" t="n"/>
      <c r="AF45" s="60" t="inlineStr">
        <is>
          <t>호</t>
        </is>
      </c>
    </row>
    <row customHeight="1" ht="14.25" r="46" s="391" thickBot="1">
      <c r="A46" s="540" t="n"/>
      <c r="Q46" s="536" t="inlineStr">
        <is>
          <t>보  관  용</t>
        </is>
      </c>
      <c r="R46" s="490" t="n"/>
      <c r="S46" s="490" t="n"/>
      <c r="T46" s="490" t="n"/>
      <c r="U46" s="490" t="n"/>
      <c r="W46" s="484" t="inlineStr">
        <is>
          <t>일 련 번 호</t>
        </is>
      </c>
      <c r="X46" s="537" t="n"/>
      <c r="Y46" s="537" t="n"/>
      <c r="Z46" s="538" t="n"/>
      <c r="AA46" s="313">
        <f>AA20</f>
        <v/>
      </c>
      <c r="AB46" s="314">
        <f>AB20</f>
        <v/>
      </c>
      <c r="AC46" s="313">
        <f>AC20</f>
        <v/>
      </c>
      <c r="AD46" s="313">
        <f>AD20</f>
        <v/>
      </c>
      <c r="AE46" s="313">
        <f>AE20</f>
        <v/>
      </c>
      <c r="AF46" s="315">
        <f>AF20</f>
        <v/>
      </c>
    </row>
    <row r="47">
      <c r="A47" s="517" t="inlineStr">
        <is>
          <t>공 급 자</t>
        </is>
      </c>
      <c r="B47" s="487" t="inlineStr">
        <is>
          <t>등록번호</t>
        </is>
      </c>
      <c r="C47" s="479" t="n"/>
      <c r="D47" s="488" t="n"/>
      <c r="E47" s="494">
        <f>E21</f>
        <v/>
      </c>
      <c r="F47" s="498">
        <f>F21</f>
        <v/>
      </c>
      <c r="G47" s="498">
        <f>G21</f>
        <v/>
      </c>
      <c r="H47" s="498">
        <f>H21</f>
        <v/>
      </c>
      <c r="I47" s="498">
        <f>I21</f>
        <v/>
      </c>
      <c r="J47" s="498">
        <f>J21</f>
        <v/>
      </c>
      <c r="K47" s="498">
        <f>K21</f>
        <v/>
      </c>
      <c r="L47" s="498">
        <f>L21</f>
        <v/>
      </c>
      <c r="M47" s="498">
        <f>M21</f>
        <v/>
      </c>
      <c r="N47" s="498">
        <f>N21</f>
        <v/>
      </c>
      <c r="O47" s="498">
        <f>O21</f>
        <v/>
      </c>
      <c r="P47" s="529">
        <f>P21</f>
        <v/>
      </c>
      <c r="Q47" s="485" t="inlineStr">
        <is>
          <t>공급받는자</t>
        </is>
      </c>
      <c r="R47" s="487" t="inlineStr">
        <is>
          <t>등록번호</t>
        </is>
      </c>
      <c r="S47" s="479" t="n"/>
      <c r="T47" s="488" t="n"/>
      <c r="U47" s="542">
        <f>U21</f>
        <v/>
      </c>
      <c r="V47" s="507">
        <f>V21</f>
        <v/>
      </c>
      <c r="W47" s="507">
        <f>W21</f>
        <v/>
      </c>
      <c r="X47" s="507" t="inlineStr">
        <is>
          <t>-</t>
        </is>
      </c>
      <c r="Y47" s="507">
        <f>Y21</f>
        <v/>
      </c>
      <c r="Z47" s="507">
        <f>Z21</f>
        <v/>
      </c>
      <c r="AA47" s="507" t="inlineStr">
        <is>
          <t>-</t>
        </is>
      </c>
      <c r="AB47" s="507">
        <f>AB21</f>
        <v/>
      </c>
      <c r="AC47" s="507">
        <f>AC21</f>
        <v/>
      </c>
      <c r="AD47" s="507">
        <f>AD21</f>
        <v/>
      </c>
      <c r="AE47" s="507">
        <f>AE21</f>
        <v/>
      </c>
      <c r="AF47" s="554">
        <f>AF21</f>
        <v/>
      </c>
    </row>
    <row customHeight="1" ht="14.25" r="48" s="391" thickBot="1">
      <c r="A48" s="518" t="n"/>
      <c r="B48" s="489" t="n"/>
      <c r="C48" s="490" t="n"/>
      <c r="D48" s="491" t="n"/>
      <c r="E48" s="495" t="n"/>
      <c r="F48" s="499" t="n"/>
      <c r="G48" s="499" t="n"/>
      <c r="H48" s="499" t="n"/>
      <c r="I48" s="499" t="n"/>
      <c r="J48" s="499" t="n"/>
      <c r="K48" s="499" t="n"/>
      <c r="L48" s="499" t="n"/>
      <c r="M48" s="499" t="n"/>
      <c r="N48" s="499" t="n"/>
      <c r="O48" s="499" t="n"/>
      <c r="P48" s="530" t="n"/>
      <c r="Q48" s="486" t="n"/>
      <c r="R48" s="489" t="n"/>
      <c r="S48" s="490" t="n"/>
      <c r="T48" s="491" t="n"/>
      <c r="U48" s="519" t="n"/>
      <c r="V48" s="493" t="n"/>
      <c r="W48" s="493" t="n"/>
      <c r="X48" s="493" t="n"/>
      <c r="Y48" s="493" t="n"/>
      <c r="Z48" s="493" t="n"/>
      <c r="AA48" s="493" t="n"/>
      <c r="AB48" s="493" t="n"/>
      <c r="AC48" s="493" t="n"/>
      <c r="AD48" s="493" t="n"/>
      <c r="AE48" s="493" t="n"/>
      <c r="AF48" s="555" t="n"/>
    </row>
    <row r="49">
      <c r="A49" s="518" t="n"/>
      <c r="B49" s="556" t="inlineStr">
        <is>
          <t>상     호</t>
        </is>
      </c>
      <c r="C49" s="479" t="n"/>
      <c r="D49" s="488" t="n"/>
      <c r="E49" s="557">
        <f>E23</f>
        <v/>
      </c>
      <c r="F49" s="479" t="n"/>
      <c r="G49" s="479" t="n"/>
      <c r="H49" s="479" t="n"/>
      <c r="I49" s="479" t="n"/>
      <c r="J49" s="480" t="n"/>
      <c r="K49" s="492" t="inlineStr">
        <is>
          <t>성명</t>
        </is>
      </c>
      <c r="L49" s="523">
        <f>L23</f>
        <v/>
      </c>
      <c r="M49" s="479" t="n"/>
      <c r="N49" s="479" t="n"/>
      <c r="O49" s="479" t="n"/>
      <c r="P49" s="524" t="inlineStr">
        <is>
          <t>인</t>
        </is>
      </c>
      <c r="Q49" s="486" t="n"/>
      <c r="R49" s="526" t="inlineStr">
        <is>
          <t>상     호</t>
        </is>
      </c>
      <c r="S49" s="479" t="n"/>
      <c r="T49" s="480" t="n"/>
      <c r="U49" s="586">
        <f>U23</f>
        <v/>
      </c>
      <c r="V49" s="475" t="n"/>
      <c r="W49" s="475" t="n"/>
      <c r="X49" s="475" t="n"/>
      <c r="Y49" s="475" t="n"/>
      <c r="Z49" s="528" t="n"/>
      <c r="AA49" s="543" t="inlineStr">
        <is>
          <t>성명</t>
        </is>
      </c>
      <c r="AB49" s="544">
        <f>AB23</f>
        <v/>
      </c>
      <c r="AC49" s="475" t="n"/>
      <c r="AD49" s="475" t="n"/>
      <c r="AE49" s="475" t="n"/>
      <c r="AF49" s="545" t="inlineStr">
        <is>
          <t>인</t>
        </is>
      </c>
    </row>
    <row customHeight="1" ht="14.25" r="50" s="391" thickBot="1">
      <c r="A50" s="518" t="n"/>
      <c r="B50" s="546" t="inlineStr">
        <is>
          <t>(법인명)</t>
        </is>
      </c>
      <c r="C50" s="490" t="n"/>
      <c r="D50" s="491" t="n"/>
      <c r="E50" s="558" t="n"/>
      <c r="F50" s="482" t="n"/>
      <c r="G50" s="482" t="n"/>
      <c r="H50" s="482" t="n"/>
      <c r="I50" s="482" t="n"/>
      <c r="J50" s="483" t="n"/>
      <c r="K50" s="493" t="n"/>
      <c r="L50" s="481" t="n"/>
      <c r="M50" s="482" t="n"/>
      <c r="N50" s="482" t="n"/>
      <c r="O50" s="482" t="n"/>
      <c r="P50" s="525" t="n"/>
      <c r="Q50" s="486" t="n"/>
      <c r="R50" s="496" t="inlineStr">
        <is>
          <t>(법인명)</t>
        </is>
      </c>
      <c r="S50" s="490" t="n"/>
      <c r="T50" s="497" t="n"/>
      <c r="U50" s="489" t="n"/>
      <c r="V50" s="490" t="n"/>
      <c r="W50" s="490" t="n"/>
      <c r="X50" s="490" t="n"/>
      <c r="Y50" s="490" t="n"/>
      <c r="Z50" s="497" t="n"/>
      <c r="AA50" s="499" t="n"/>
      <c r="AB50" s="489" t="n"/>
      <c r="AC50" s="490" t="n"/>
      <c r="AD50" s="490" t="n"/>
      <c r="AE50" s="490" t="n"/>
      <c r="AF50" s="491" t="n"/>
    </row>
    <row r="51">
      <c r="A51" s="518" t="n"/>
      <c r="B51" s="526" t="inlineStr">
        <is>
          <t>사 업 장</t>
        </is>
      </c>
      <c r="C51" s="479" t="n"/>
      <c r="D51" s="480" t="n"/>
      <c r="E51" s="559">
        <f>E25</f>
        <v/>
      </c>
      <c r="F51" s="475" t="n"/>
      <c r="G51" s="475" t="n"/>
      <c r="H51" s="475" t="n"/>
      <c r="I51" s="475" t="n"/>
      <c r="J51" s="475" t="n"/>
      <c r="K51" s="475" t="n"/>
      <c r="L51" s="475" t="n"/>
      <c r="M51" s="475" t="n"/>
      <c r="N51" s="475" t="n"/>
      <c r="O51" s="475" t="n"/>
      <c r="P51" s="528" t="n"/>
      <c r="Q51" s="486" t="n"/>
      <c r="R51" s="526" t="inlineStr">
        <is>
          <t>사 업 장</t>
        </is>
      </c>
      <c r="S51" s="479" t="n"/>
      <c r="T51" s="480" t="n"/>
      <c r="U51" s="589">
        <f>U25</f>
        <v/>
      </c>
      <c r="V51" s="479" t="n"/>
      <c r="W51" s="479" t="n"/>
      <c r="X51" s="479" t="n"/>
      <c r="Y51" s="479" t="n"/>
      <c r="Z51" s="479" t="n"/>
      <c r="AA51" s="479" t="n"/>
      <c r="AB51" s="479" t="n"/>
      <c r="AC51" s="479" t="n"/>
      <c r="AD51" s="479" t="n"/>
      <c r="AE51" s="479" t="n"/>
      <c r="AF51" s="488" t="n"/>
    </row>
    <row r="52">
      <c r="A52" s="518" t="n"/>
      <c r="B52" s="496" t="inlineStr">
        <is>
          <t>주     소</t>
        </is>
      </c>
      <c r="C52" s="490" t="n"/>
      <c r="D52" s="497" t="n"/>
      <c r="E52" s="489" t="n"/>
      <c r="F52" s="490" t="n"/>
      <c r="G52" s="490" t="n"/>
      <c r="H52" s="490" t="n"/>
      <c r="I52" s="490" t="n"/>
      <c r="J52" s="490" t="n"/>
      <c r="K52" s="490" t="n"/>
      <c r="L52" s="490" t="n"/>
      <c r="M52" s="490" t="n"/>
      <c r="N52" s="490" t="n"/>
      <c r="O52" s="490" t="n"/>
      <c r="P52" s="497" t="n"/>
      <c r="Q52" s="486" t="n"/>
      <c r="R52" s="496" t="inlineStr">
        <is>
          <t>주     소</t>
        </is>
      </c>
      <c r="S52" s="490" t="n"/>
      <c r="T52" s="497" t="n"/>
      <c r="U52" s="489" t="n"/>
      <c r="V52" s="490" t="n"/>
      <c r="W52" s="490" t="n"/>
      <c r="X52" s="490" t="n"/>
      <c r="Y52" s="490" t="n"/>
      <c r="Z52" s="490" t="n"/>
      <c r="AA52" s="490" t="n"/>
      <c r="AB52" s="490" t="n"/>
      <c r="AC52" s="490" t="n"/>
      <c r="AD52" s="490" t="n"/>
      <c r="AE52" s="490" t="n"/>
      <c r="AF52" s="491" t="n"/>
    </row>
    <row r="53">
      <c r="A53" s="518" t="n"/>
      <c r="B53" s="484" t="inlineStr">
        <is>
          <t>업     태</t>
        </is>
      </c>
      <c r="C53" s="479" t="n"/>
      <c r="D53" s="480" t="n"/>
      <c r="E53" s="478">
        <f>E27</f>
        <v/>
      </c>
      <c r="F53" s="479" t="n"/>
      <c r="G53" s="479" t="n"/>
      <c r="H53" s="479" t="n"/>
      <c r="I53" s="479" t="n"/>
      <c r="J53" s="480" t="n"/>
      <c r="K53" s="492" t="inlineStr">
        <is>
          <t>종목</t>
        </is>
      </c>
      <c r="L53" s="478">
        <f>L27</f>
        <v/>
      </c>
      <c r="M53" s="479" t="n"/>
      <c r="N53" s="479" t="n"/>
      <c r="O53" s="479" t="n"/>
      <c r="P53" s="480" t="n"/>
      <c r="Q53" s="486" t="n"/>
      <c r="R53" s="484" t="inlineStr">
        <is>
          <t>업     태</t>
        </is>
      </c>
      <c r="S53" s="479" t="n"/>
      <c r="T53" s="480" t="n"/>
      <c r="U53" s="478">
        <f>U27</f>
        <v/>
      </c>
      <c r="V53" s="479" t="n"/>
      <c r="W53" s="479" t="n"/>
      <c r="X53" s="479" t="n"/>
      <c r="Y53" s="479" t="n"/>
      <c r="Z53" s="480" t="n"/>
      <c r="AA53" s="492" t="inlineStr">
        <is>
          <t>종목</t>
        </is>
      </c>
      <c r="AB53" s="534">
        <f>AB27</f>
        <v/>
      </c>
      <c r="AC53" s="479" t="n"/>
      <c r="AD53" s="479" t="n"/>
      <c r="AE53" s="479" t="n"/>
      <c r="AF53" s="488" t="n"/>
    </row>
    <row customHeight="1" ht="14.25" r="54" s="391" thickBot="1">
      <c r="A54" s="519" t="n"/>
      <c r="B54" s="481" t="n"/>
      <c r="C54" s="482" t="n"/>
      <c r="D54" s="483" t="n"/>
      <c r="E54" s="481" t="n"/>
      <c r="F54" s="482" t="n"/>
      <c r="G54" s="482" t="n"/>
      <c r="H54" s="482" t="n"/>
      <c r="I54" s="482" t="n"/>
      <c r="J54" s="483" t="n"/>
      <c r="K54" s="493" t="n"/>
      <c r="L54" s="481" t="n"/>
      <c r="M54" s="482" t="n"/>
      <c r="N54" s="482" t="n"/>
      <c r="O54" s="482" t="n"/>
      <c r="P54" s="483" t="n"/>
      <c r="Q54" s="483" t="n"/>
      <c r="R54" s="481" t="n"/>
      <c r="S54" s="482" t="n"/>
      <c r="T54" s="483" t="n"/>
      <c r="U54" s="481" t="n"/>
      <c r="V54" s="482" t="n"/>
      <c r="W54" s="482" t="n"/>
      <c r="X54" s="482" t="n"/>
      <c r="Y54" s="482" t="n"/>
      <c r="Z54" s="483" t="n"/>
      <c r="AA54" s="493" t="n"/>
      <c r="AB54" s="481" t="n"/>
      <c r="AC54" s="482" t="n"/>
      <c r="AD54" s="482" t="n"/>
      <c r="AE54" s="482" t="n"/>
      <c r="AF54" s="525" t="n"/>
    </row>
    <row r="55">
      <c r="A55" s="565" t="inlineStr">
        <is>
          <t>작     성</t>
        </is>
      </c>
      <c r="B55" s="472" t="n"/>
      <c r="C55" s="472" t="n"/>
      <c r="D55" s="473" t="n"/>
      <c r="E55" s="561" t="inlineStr">
        <is>
          <t>공      급       가      액</t>
        </is>
      </c>
      <c r="F55" s="472" t="n"/>
      <c r="G55" s="472" t="n"/>
      <c r="H55" s="472" t="n"/>
      <c r="I55" s="472" t="n"/>
      <c r="J55" s="472" t="n"/>
      <c r="K55" s="472" t="n"/>
      <c r="L55" s="472" t="n"/>
      <c r="M55" s="472" t="n"/>
      <c r="N55" s="472" t="n"/>
      <c r="O55" s="472" t="n"/>
      <c r="P55" s="472" t="n"/>
      <c r="Q55" s="473" t="n"/>
      <c r="R55" s="561" t="inlineStr">
        <is>
          <t>세                액</t>
        </is>
      </c>
      <c r="S55" s="472" t="n"/>
      <c r="T55" s="472" t="n"/>
      <c r="U55" s="472" t="n"/>
      <c r="V55" s="472" t="n"/>
      <c r="W55" s="472" t="n"/>
      <c r="X55" s="472" t="n"/>
      <c r="Y55" s="472" t="n"/>
      <c r="Z55" s="472" t="n"/>
      <c r="AA55" s="473" t="n"/>
      <c r="AB55" s="532" t="inlineStr">
        <is>
          <t>비     고</t>
        </is>
      </c>
      <c r="AC55" s="472" t="n"/>
      <c r="AD55" s="472" t="n"/>
      <c r="AE55" s="472" t="n"/>
      <c r="AF55" s="533" t="n"/>
    </row>
    <row r="56">
      <c r="A56" s="560" t="inlineStr">
        <is>
          <t>년</t>
        </is>
      </c>
      <c r="B56" s="549" t="n"/>
      <c r="C56" s="316" t="inlineStr">
        <is>
          <t>월</t>
        </is>
      </c>
      <c r="D56" s="316" t="inlineStr">
        <is>
          <t>일</t>
        </is>
      </c>
      <c r="E56" s="562" t="inlineStr">
        <is>
          <t>공란수</t>
        </is>
      </c>
      <c r="F56" s="549" t="n"/>
      <c r="G56" s="562" t="inlineStr">
        <is>
          <t>백</t>
        </is>
      </c>
      <c r="H56" s="316" t="inlineStr">
        <is>
          <t>십</t>
        </is>
      </c>
      <c r="I56" s="316" t="inlineStr">
        <is>
          <t>억</t>
        </is>
      </c>
      <c r="J56" s="316" t="inlineStr">
        <is>
          <t>천</t>
        </is>
      </c>
      <c r="K56" s="316" t="inlineStr">
        <is>
          <t>백</t>
        </is>
      </c>
      <c r="L56" s="316" t="inlineStr">
        <is>
          <t>십</t>
        </is>
      </c>
      <c r="M56" s="316" t="inlineStr">
        <is>
          <t>만</t>
        </is>
      </c>
      <c r="N56" s="316" t="inlineStr">
        <is>
          <t>천</t>
        </is>
      </c>
      <c r="O56" s="316" t="inlineStr">
        <is>
          <t>백</t>
        </is>
      </c>
      <c r="P56" s="316" t="inlineStr">
        <is>
          <t>십</t>
        </is>
      </c>
      <c r="Q56" s="316" t="inlineStr">
        <is>
          <t>일</t>
        </is>
      </c>
      <c r="R56" s="316" t="inlineStr">
        <is>
          <t>십</t>
        </is>
      </c>
      <c r="S56" s="316" t="inlineStr">
        <is>
          <t>억</t>
        </is>
      </c>
      <c r="T56" s="316" t="inlineStr">
        <is>
          <t>천</t>
        </is>
      </c>
      <c r="U56" s="316" t="inlineStr">
        <is>
          <t>백</t>
        </is>
      </c>
      <c r="V56" s="316" t="inlineStr">
        <is>
          <t>십</t>
        </is>
      </c>
      <c r="W56" s="316" t="inlineStr">
        <is>
          <t>만</t>
        </is>
      </c>
      <c r="X56" s="316" t="inlineStr">
        <is>
          <t>천</t>
        </is>
      </c>
      <c r="Y56" s="316" t="inlineStr">
        <is>
          <t>백</t>
        </is>
      </c>
      <c r="Z56" s="316" t="inlineStr">
        <is>
          <t>십</t>
        </is>
      </c>
      <c r="AA56" s="316" t="inlineStr">
        <is>
          <t>일</t>
        </is>
      </c>
      <c r="AB56" s="566" t="n"/>
      <c r="AC56" s="479" t="n"/>
      <c r="AD56" s="479" t="n"/>
      <c r="AE56" s="479" t="n"/>
      <c r="AF56" s="488" t="n"/>
    </row>
    <row customHeight="1" ht="14.25" r="57" s="391" thickBot="1">
      <c r="A57" s="563">
        <f>A31</f>
        <v/>
      </c>
      <c r="B57" s="538" t="n"/>
      <c r="C57" s="318">
        <f>C31</f>
        <v/>
      </c>
      <c r="D57" s="318">
        <f>D31</f>
        <v/>
      </c>
      <c r="E57" s="708" t="n"/>
      <c r="F57" s="538" t="n"/>
      <c r="G57" s="709" t="n"/>
      <c r="H57" s="709" t="n"/>
      <c r="I57" s="709" t="n"/>
      <c r="J57" s="709" t="n"/>
      <c r="K57" s="709">
        <f>K31</f>
        <v/>
      </c>
      <c r="L57" s="709">
        <f>L31</f>
        <v/>
      </c>
      <c r="M57" s="709">
        <f>M31</f>
        <v/>
      </c>
      <c r="N57" s="709">
        <f>N31</f>
        <v/>
      </c>
      <c r="O57" s="709">
        <f>O31</f>
        <v/>
      </c>
      <c r="P57" s="709">
        <f>P31</f>
        <v/>
      </c>
      <c r="Q57" s="709">
        <f>Q31</f>
        <v/>
      </c>
      <c r="R57" s="709" t="n"/>
      <c r="S57" s="709" t="n"/>
      <c r="T57" s="709" t="n"/>
      <c r="U57" s="709" t="n"/>
      <c r="V57" s="709">
        <f>V31</f>
        <v/>
      </c>
      <c r="W57" s="709">
        <f>W31</f>
        <v/>
      </c>
      <c r="X57" s="709">
        <f>X31</f>
        <v/>
      </c>
      <c r="Y57" s="709">
        <f>Y31</f>
        <v/>
      </c>
      <c r="Z57" s="709">
        <f>Z31</f>
        <v/>
      </c>
      <c r="AA57" s="709">
        <f>AA31</f>
        <v/>
      </c>
      <c r="AB57" s="481" t="n"/>
      <c r="AC57" s="482" t="n"/>
      <c r="AD57" s="482" t="n"/>
      <c r="AE57" s="482" t="n"/>
      <c r="AF57" s="525" t="n"/>
    </row>
    <row r="58">
      <c r="A58" s="61" t="inlineStr">
        <is>
          <t>월</t>
        </is>
      </c>
      <c r="B58" s="62" t="inlineStr">
        <is>
          <t>일</t>
        </is>
      </c>
      <c r="C58" s="561" t="inlineStr">
        <is>
          <t>품          목</t>
        </is>
      </c>
      <c r="D58" s="472" t="n"/>
      <c r="E58" s="472" t="n"/>
      <c r="F58" s="472" t="n"/>
      <c r="G58" s="472" t="n"/>
      <c r="H58" s="473" t="n"/>
      <c r="I58" s="561" t="inlineStr">
        <is>
          <t>규격</t>
        </is>
      </c>
      <c r="J58" s="472" t="n"/>
      <c r="K58" s="473" t="n"/>
      <c r="L58" s="561" t="inlineStr">
        <is>
          <t>수량</t>
        </is>
      </c>
      <c r="M58" s="472" t="n"/>
      <c r="N58" s="473" t="n"/>
      <c r="O58" s="561" t="inlineStr">
        <is>
          <t>단      가</t>
        </is>
      </c>
      <c r="P58" s="472" t="n"/>
      <c r="Q58" s="472" t="n"/>
      <c r="R58" s="472" t="n"/>
      <c r="S58" s="473" t="n"/>
      <c r="T58" s="561" t="inlineStr">
        <is>
          <t>공  급  가  액</t>
        </is>
      </c>
      <c r="U58" s="472" t="n"/>
      <c r="V58" s="472" t="n"/>
      <c r="W58" s="472" t="n"/>
      <c r="X58" s="472" t="n"/>
      <c r="Y58" s="473" t="n"/>
      <c r="Z58" s="561" t="inlineStr">
        <is>
          <t>세        액</t>
        </is>
      </c>
      <c r="AA58" s="472" t="n"/>
      <c r="AB58" s="472" t="n"/>
      <c r="AC58" s="472" t="n"/>
      <c r="AD58" s="473" t="n"/>
      <c r="AE58" s="532" t="inlineStr">
        <is>
          <t>비고</t>
        </is>
      </c>
      <c r="AF58" s="533" t="n"/>
    </row>
    <row r="59">
      <c r="A59" s="320">
        <f>A33</f>
        <v/>
      </c>
      <c r="B59" s="320">
        <f>B33</f>
        <v/>
      </c>
      <c r="C59" s="567">
        <f>C33</f>
        <v/>
      </c>
      <c r="D59" s="548" t="n"/>
      <c r="E59" s="548" t="n"/>
      <c r="F59" s="548" t="n"/>
      <c r="G59" s="548" t="n"/>
      <c r="H59" s="549" t="n"/>
      <c r="I59" s="547" t="n"/>
      <c r="J59" s="548" t="n"/>
      <c r="K59" s="549" t="n"/>
      <c r="L59" s="710">
        <f>L33</f>
        <v/>
      </c>
      <c r="M59" s="548" t="n"/>
      <c r="N59" s="549" t="n"/>
      <c r="O59" s="711">
        <f>O33</f>
        <v/>
      </c>
      <c r="P59" s="548" t="n"/>
      <c r="Q59" s="548" t="n"/>
      <c r="R59" s="548" t="n"/>
      <c r="S59" s="549" t="n"/>
      <c r="T59" s="711">
        <f>T33</f>
        <v/>
      </c>
      <c r="U59" s="548" t="n"/>
      <c r="V59" s="548" t="n"/>
      <c r="W59" s="548" t="n"/>
      <c r="X59" s="548" t="n"/>
      <c r="Y59" s="549" t="n"/>
      <c r="Z59" s="711">
        <f>Z33</f>
        <v/>
      </c>
      <c r="AA59" s="548" t="n"/>
      <c r="AB59" s="548" t="n"/>
      <c r="AC59" s="548" t="n"/>
      <c r="AD59" s="549" t="n"/>
      <c r="AE59" s="552" t="n"/>
      <c r="AF59" s="553" t="n"/>
    </row>
    <row r="60">
      <c r="A60" s="320">
        <f>A34</f>
        <v/>
      </c>
      <c r="B60" s="320">
        <f>B34</f>
        <v/>
      </c>
      <c r="C60" s="567">
        <f>C34</f>
        <v/>
      </c>
      <c r="D60" s="548" t="n"/>
      <c r="E60" s="548" t="n"/>
      <c r="F60" s="548" t="n"/>
      <c r="G60" s="548" t="n"/>
      <c r="H60" s="549" t="n"/>
      <c r="I60" s="547" t="n"/>
      <c r="J60" s="548" t="n"/>
      <c r="K60" s="549" t="n"/>
      <c r="L60" s="710">
        <f>L34</f>
        <v/>
      </c>
      <c r="M60" s="548" t="n"/>
      <c r="N60" s="549" t="n"/>
      <c r="O60" s="711">
        <f>O34</f>
        <v/>
      </c>
      <c r="P60" s="548" t="n"/>
      <c r="Q60" s="548" t="n"/>
      <c r="R60" s="548" t="n"/>
      <c r="S60" s="549" t="n"/>
      <c r="T60" s="711">
        <f>T34</f>
        <v/>
      </c>
      <c r="U60" s="548" t="n"/>
      <c r="V60" s="548" t="n"/>
      <c r="W60" s="548" t="n"/>
      <c r="X60" s="548" t="n"/>
      <c r="Y60" s="549" t="n"/>
      <c r="Z60" s="711">
        <f>Z34</f>
        <v/>
      </c>
      <c r="AA60" s="548" t="n"/>
      <c r="AB60" s="548" t="n"/>
      <c r="AC60" s="548" t="n"/>
      <c r="AD60" s="549" t="n"/>
      <c r="AE60" s="552" t="n"/>
      <c r="AF60" s="553" t="n"/>
    </row>
    <row r="61">
      <c r="A61" s="320">
        <f>A35</f>
        <v/>
      </c>
      <c r="B61" s="320">
        <f>B35</f>
        <v/>
      </c>
      <c r="C61" s="567">
        <f>C35</f>
        <v/>
      </c>
      <c r="D61" s="548" t="n"/>
      <c r="E61" s="548" t="n"/>
      <c r="F61" s="548" t="n"/>
      <c r="G61" s="548" t="n"/>
      <c r="H61" s="549" t="n"/>
      <c r="I61" s="547" t="n"/>
      <c r="J61" s="548" t="n"/>
      <c r="K61" s="549" t="n"/>
      <c r="L61" s="710">
        <f>L35</f>
        <v/>
      </c>
      <c r="M61" s="548" t="n"/>
      <c r="N61" s="549" t="n"/>
      <c r="O61" s="711">
        <f>O35</f>
        <v/>
      </c>
      <c r="P61" s="548" t="n"/>
      <c r="Q61" s="548" t="n"/>
      <c r="R61" s="548" t="n"/>
      <c r="S61" s="549" t="n"/>
      <c r="T61" s="711">
        <f>T35</f>
        <v/>
      </c>
      <c r="U61" s="548" t="n"/>
      <c r="V61" s="548" t="n"/>
      <c r="W61" s="548" t="n"/>
      <c r="X61" s="548" t="n"/>
      <c r="Y61" s="549" t="n"/>
      <c r="Z61" s="711">
        <f>Z35</f>
        <v/>
      </c>
      <c r="AA61" s="548" t="n"/>
      <c r="AB61" s="548" t="n"/>
      <c r="AC61" s="548" t="n"/>
      <c r="AD61" s="549" t="n"/>
      <c r="AE61" s="552" t="n"/>
      <c r="AF61" s="553" t="n"/>
    </row>
    <row r="62">
      <c r="A62" s="320" t="n"/>
      <c r="B62" s="320" t="n"/>
      <c r="C62" s="567" t="n"/>
      <c r="D62" s="548" t="n"/>
      <c r="E62" s="548" t="n"/>
      <c r="F62" s="548" t="n"/>
      <c r="G62" s="548" t="n"/>
      <c r="H62" s="549" t="n"/>
      <c r="I62" s="547" t="n"/>
      <c r="J62" s="548" t="n"/>
      <c r="K62" s="549" t="n"/>
      <c r="L62" s="710">
        <f>L36</f>
        <v/>
      </c>
      <c r="M62" s="548" t="n"/>
      <c r="N62" s="549" t="n"/>
      <c r="O62" s="711">
        <f>O36</f>
        <v/>
      </c>
      <c r="P62" s="548" t="n"/>
      <c r="Q62" s="548" t="n"/>
      <c r="R62" s="548" t="n"/>
      <c r="S62" s="549" t="n"/>
      <c r="T62" s="711">
        <f>T36</f>
        <v/>
      </c>
      <c r="U62" s="548" t="n"/>
      <c r="V62" s="548" t="n"/>
      <c r="W62" s="548" t="n"/>
      <c r="X62" s="548" t="n"/>
      <c r="Y62" s="549" t="n"/>
      <c r="Z62" s="711">
        <f>Z36</f>
        <v/>
      </c>
      <c r="AA62" s="548" t="n"/>
      <c r="AB62" s="548" t="n"/>
      <c r="AC62" s="548" t="n"/>
      <c r="AD62" s="549" t="n"/>
      <c r="AE62" s="552" t="n"/>
      <c r="AF62" s="553" t="n"/>
    </row>
    <row r="63">
      <c r="A63" s="560" t="inlineStr">
        <is>
          <t>합계금액</t>
        </is>
      </c>
      <c r="B63" s="548" t="n"/>
      <c r="C63" s="548" t="n"/>
      <c r="D63" s="548" t="n"/>
      <c r="E63" s="549" t="n"/>
      <c r="F63" s="562" t="inlineStr">
        <is>
          <t>현  금</t>
        </is>
      </c>
      <c r="G63" s="548" t="n"/>
      <c r="H63" s="548" t="n"/>
      <c r="I63" s="548" t="n"/>
      <c r="J63" s="549" t="n"/>
      <c r="K63" s="562" t="inlineStr">
        <is>
          <t>수  표</t>
        </is>
      </c>
      <c r="L63" s="548" t="n"/>
      <c r="M63" s="548" t="n"/>
      <c r="N63" s="548" t="n"/>
      <c r="O63" s="549" t="n"/>
      <c r="P63" s="562" t="inlineStr">
        <is>
          <t>어  음</t>
        </is>
      </c>
      <c r="Q63" s="548" t="n"/>
      <c r="R63" s="548" t="n"/>
      <c r="S63" s="548" t="n"/>
      <c r="T63" s="549" t="n"/>
      <c r="U63" s="562" t="inlineStr">
        <is>
          <t>외상미수금</t>
        </is>
      </c>
      <c r="V63" s="548" t="n"/>
      <c r="W63" s="548" t="n"/>
      <c r="X63" s="548" t="n"/>
      <c r="Y63" s="549" t="n"/>
      <c r="Z63" s="571" t="inlineStr">
        <is>
          <t xml:space="preserve">이 금액을 </t>
        </is>
      </c>
      <c r="AA63" s="479" t="n"/>
      <c r="AB63" s="479" t="n"/>
      <c r="AC63" s="479" t="n"/>
      <c r="AD63" s="572">
        <f>AD37</f>
        <v/>
      </c>
      <c r="AE63" s="479" t="n"/>
      <c r="AF63" s="573" t="inlineStr">
        <is>
          <t>함</t>
        </is>
      </c>
    </row>
    <row customHeight="1" ht="14.25" r="64" s="391" thickBot="1">
      <c r="A64" s="712">
        <f>A38</f>
        <v/>
      </c>
      <c r="B64" s="537" t="n"/>
      <c r="C64" s="537" t="n"/>
      <c r="D64" s="537" t="n"/>
      <c r="E64" s="538" t="n"/>
      <c r="F64" s="713" t="n"/>
      <c r="G64" s="537" t="n"/>
      <c r="H64" s="537" t="n"/>
      <c r="I64" s="537" t="n"/>
      <c r="J64" s="538" t="n"/>
      <c r="K64" s="713" t="n"/>
      <c r="L64" s="537" t="n"/>
      <c r="M64" s="537" t="n"/>
      <c r="N64" s="537" t="n"/>
      <c r="O64" s="538" t="n"/>
      <c r="P64" s="713" t="n"/>
      <c r="Q64" s="537" t="n"/>
      <c r="R64" s="537" t="n"/>
      <c r="S64" s="537" t="n"/>
      <c r="T64" s="538" t="n"/>
      <c r="U64" s="713" t="n"/>
      <c r="V64" s="537" t="n"/>
      <c r="W64" s="537" t="n"/>
      <c r="X64" s="537" t="n"/>
      <c r="Y64" s="538" t="n"/>
      <c r="Z64" s="481" t="n"/>
      <c r="AA64" s="482" t="n"/>
      <c r="AB64" s="482" t="n"/>
      <c r="AC64" s="482" t="n"/>
      <c r="AD64" s="482" t="n"/>
      <c r="AE64" s="482" t="n"/>
      <c r="AF64" s="525" t="n"/>
    </row>
    <row r="65">
      <c r="A65" s="57" t="inlineStr">
        <is>
          <t>22226-28131일 '96.3.27승인</t>
        </is>
      </c>
      <c r="B65" s="57" t="n"/>
      <c r="C65" s="58" t="n"/>
      <c r="D65" s="58" t="n"/>
      <c r="E65" s="58" t="n"/>
      <c r="F65" s="58" t="n"/>
      <c r="G65" s="58" t="n"/>
      <c r="H65" s="58" t="n"/>
      <c r="I65" s="58" t="n"/>
      <c r="J65" s="58" t="n"/>
      <c r="K65" s="58" t="n"/>
      <c r="L65" s="58" t="n"/>
      <c r="M65" s="58" t="n"/>
      <c r="N65" s="58" t="n"/>
      <c r="O65" s="58" t="n"/>
      <c r="P65" s="58" t="n"/>
      <c r="Q65" s="58" t="n"/>
      <c r="R65" s="58" t="n"/>
      <c r="S65" s="58" t="n"/>
      <c r="T65" s="58" t="n"/>
      <c r="U65" s="570" t="inlineStr">
        <is>
          <t>인쇄용지(특급)34g/m2 182mmx128mm</t>
        </is>
      </c>
      <c r="V65" s="475" t="n"/>
      <c r="W65" s="475" t="n"/>
      <c r="X65" s="475" t="n"/>
      <c r="Y65" s="475" t="n"/>
      <c r="Z65" s="475" t="n"/>
      <c r="AA65" s="475" t="n"/>
      <c r="AB65" s="475" t="n"/>
      <c r="AC65" s="475" t="n"/>
      <c r="AD65" s="475" t="n"/>
      <c r="AE65" s="475" t="n"/>
      <c r="AF65" s="475" t="n"/>
    </row>
  </sheetData>
  <mergeCells count="290">
    <mergeCell ref="Q1:S1"/>
    <mergeCell ref="A3:F3"/>
    <mergeCell ref="G3:K3"/>
    <mergeCell ref="L3:V3"/>
    <mergeCell ref="X3:AF3"/>
    <mergeCell ref="A4:F4"/>
    <mergeCell ref="G4:K4"/>
    <mergeCell ref="L4:V4"/>
    <mergeCell ref="X4:AA4"/>
    <mergeCell ref="AB4:AE4"/>
    <mergeCell ref="A5:F5"/>
    <mergeCell ref="G5:K5"/>
    <mergeCell ref="L5:V5"/>
    <mergeCell ref="X5:AA5"/>
    <mergeCell ref="AB5:AE5"/>
    <mergeCell ref="A6:F6"/>
    <mergeCell ref="G6:K6"/>
    <mergeCell ref="L6:V6"/>
    <mergeCell ref="X6:AA6"/>
    <mergeCell ref="AB6:AE6"/>
    <mergeCell ref="A7:F7"/>
    <mergeCell ref="G7:K7"/>
    <mergeCell ref="L7:V7"/>
    <mergeCell ref="X7:AA7"/>
    <mergeCell ref="AB7:AE7"/>
    <mergeCell ref="A8:F8"/>
    <mergeCell ref="G8:K8"/>
    <mergeCell ref="L8:V8"/>
    <mergeCell ref="X8:AA8"/>
    <mergeCell ref="AB8:AE8"/>
    <mergeCell ref="X11:AA11"/>
    <mergeCell ref="AB11:AE11"/>
    <mergeCell ref="X12:AA12"/>
    <mergeCell ref="AB12:AE12"/>
    <mergeCell ref="X13:AA13"/>
    <mergeCell ref="AB13:AE13"/>
    <mergeCell ref="A9:F9"/>
    <mergeCell ref="G9:K9"/>
    <mergeCell ref="L9:V9"/>
    <mergeCell ref="X9:AA9"/>
    <mergeCell ref="AB9:AE9"/>
    <mergeCell ref="A10:F10"/>
    <mergeCell ref="G10:K10"/>
    <mergeCell ref="L10:V10"/>
    <mergeCell ref="X10:AA10"/>
    <mergeCell ref="AB10:AE10"/>
    <mergeCell ref="V18:AA18"/>
    <mergeCell ref="AB18:AF18"/>
    <mergeCell ref="A19:O20"/>
    <mergeCell ref="P19:P20"/>
    <mergeCell ref="Q19:U19"/>
    <mergeCell ref="V19:V20"/>
    <mergeCell ref="W19:Z19"/>
    <mergeCell ref="AA19:AB19"/>
    <mergeCell ref="AD19:AE19"/>
    <mergeCell ref="Q20:U20"/>
    <mergeCell ref="N21:N22"/>
    <mergeCell ref="O21:O22"/>
    <mergeCell ref="P21:P22"/>
    <mergeCell ref="Q21:Q28"/>
    <mergeCell ref="W20:Z20"/>
    <mergeCell ref="A21:A28"/>
    <mergeCell ref="B21:D22"/>
    <mergeCell ref="E21:E22"/>
    <mergeCell ref="F21:F22"/>
    <mergeCell ref="G21:G22"/>
    <mergeCell ref="H21:H22"/>
    <mergeCell ref="I21:I22"/>
    <mergeCell ref="J21:J22"/>
    <mergeCell ref="K21:K22"/>
    <mergeCell ref="AF21:AF22"/>
    <mergeCell ref="B23:D23"/>
    <mergeCell ref="E23:J24"/>
    <mergeCell ref="K23:K24"/>
    <mergeCell ref="L23:O24"/>
    <mergeCell ref="P23:P24"/>
    <mergeCell ref="R23:T23"/>
    <mergeCell ref="U23:Z24"/>
    <mergeCell ref="AA23:AA24"/>
    <mergeCell ref="AB23:AE24"/>
    <mergeCell ref="Z21:Z22"/>
    <mergeCell ref="AA21:AA22"/>
    <mergeCell ref="AB21:AB22"/>
    <mergeCell ref="AC21:AC22"/>
    <mergeCell ref="AD21:AD22"/>
    <mergeCell ref="AE21:AE22"/>
    <mergeCell ref="R21:T22"/>
    <mergeCell ref="U21:U22"/>
    <mergeCell ref="V21:V22"/>
    <mergeCell ref="W21:W22"/>
    <mergeCell ref="X21:X22"/>
    <mergeCell ref="Y21:Y22"/>
    <mergeCell ref="L21:L22"/>
    <mergeCell ref="M21:M22"/>
    <mergeCell ref="AF23:AF24"/>
    <mergeCell ref="B24:D24"/>
    <mergeCell ref="R24:T24"/>
    <mergeCell ref="B25:D25"/>
    <mergeCell ref="E25:P26"/>
    <mergeCell ref="R25:T25"/>
    <mergeCell ref="U25:AF26"/>
    <mergeCell ref="B26:D26"/>
    <mergeCell ref="R26:T26"/>
    <mergeCell ref="AA27:AA28"/>
    <mergeCell ref="AB27:AF28"/>
    <mergeCell ref="A29:D29"/>
    <mergeCell ref="E29:Q29"/>
    <mergeCell ref="R29:AA29"/>
    <mergeCell ref="AB29:AF29"/>
    <mergeCell ref="B27:D28"/>
    <mergeCell ref="E27:J28"/>
    <mergeCell ref="K27:K28"/>
    <mergeCell ref="L27:P28"/>
    <mergeCell ref="R27:T28"/>
    <mergeCell ref="U27:Z28"/>
    <mergeCell ref="A30:B30"/>
    <mergeCell ref="E30:F30"/>
    <mergeCell ref="AB30:AF31"/>
    <mergeCell ref="A31:B31"/>
    <mergeCell ref="E31:F31"/>
    <mergeCell ref="C32:H32"/>
    <mergeCell ref="I32:K32"/>
    <mergeCell ref="L32:N32"/>
    <mergeCell ref="O32:S32"/>
    <mergeCell ref="T32:Y32"/>
    <mergeCell ref="Z32:AD32"/>
    <mergeCell ref="AE32:AF32"/>
    <mergeCell ref="C33:H33"/>
    <mergeCell ref="I33:K33"/>
    <mergeCell ref="L33:N33"/>
    <mergeCell ref="O33:S33"/>
    <mergeCell ref="T33:Y33"/>
    <mergeCell ref="Z33:AD33"/>
    <mergeCell ref="AE33:AF33"/>
    <mergeCell ref="AE34:AF34"/>
    <mergeCell ref="C35:H35"/>
    <mergeCell ref="I35:K35"/>
    <mergeCell ref="L35:N35"/>
    <mergeCell ref="O35:S35"/>
    <mergeCell ref="T35:Y35"/>
    <mergeCell ref="Z35:AD35"/>
    <mergeCell ref="AE35:AF35"/>
    <mergeCell ref="C34:H34"/>
    <mergeCell ref="I34:K34"/>
    <mergeCell ref="L34:N34"/>
    <mergeCell ref="O34:S34"/>
    <mergeCell ref="T34:Y34"/>
    <mergeCell ref="Z34:AD34"/>
    <mergeCell ref="AE36:AF36"/>
    <mergeCell ref="A37:E37"/>
    <mergeCell ref="F37:J37"/>
    <mergeCell ref="K37:O37"/>
    <mergeCell ref="P37:T37"/>
    <mergeCell ref="U37:Y37"/>
    <mergeCell ref="Z37:AC38"/>
    <mergeCell ref="AD37:AE38"/>
    <mergeCell ref="AF37:AF38"/>
    <mergeCell ref="A38:E38"/>
    <mergeCell ref="C36:H36"/>
    <mergeCell ref="I36:K36"/>
    <mergeCell ref="L36:N36"/>
    <mergeCell ref="O36:S36"/>
    <mergeCell ref="T36:Y36"/>
    <mergeCell ref="Z36:AD36"/>
    <mergeCell ref="F38:J38"/>
    <mergeCell ref="K38:O38"/>
    <mergeCell ref="P38:T38"/>
    <mergeCell ref="U38:Y38"/>
    <mergeCell ref="W39:AF39"/>
    <mergeCell ref="A45:O46"/>
    <mergeCell ref="P45:P46"/>
    <mergeCell ref="Q45:U45"/>
    <mergeCell ref="V45:V46"/>
    <mergeCell ref="W45:Z45"/>
    <mergeCell ref="I47:I48"/>
    <mergeCell ref="J47:J48"/>
    <mergeCell ref="K47:K48"/>
    <mergeCell ref="L47:L48"/>
    <mergeCell ref="M47:M48"/>
    <mergeCell ref="N47:N48"/>
    <mergeCell ref="AA45:AB45"/>
    <mergeCell ref="AD45:AE45"/>
    <mergeCell ref="Q46:U46"/>
    <mergeCell ref="W46:Z46"/>
    <mergeCell ref="AC47:AC48"/>
    <mergeCell ref="AD47:AD48"/>
    <mergeCell ref="AE47:AE48"/>
    <mergeCell ref="AF47:AF48"/>
    <mergeCell ref="Z47:Z48"/>
    <mergeCell ref="AA47:AA48"/>
    <mergeCell ref="AB47:AB48"/>
    <mergeCell ref="W47:W48"/>
    <mergeCell ref="E49:J50"/>
    <mergeCell ref="K49:K50"/>
    <mergeCell ref="L49:O50"/>
    <mergeCell ref="P49:P50"/>
    <mergeCell ref="R49:T49"/>
    <mergeCell ref="AA53:AA54"/>
    <mergeCell ref="AB53:AF54"/>
    <mergeCell ref="X47:X48"/>
    <mergeCell ref="Y47:Y48"/>
    <mergeCell ref="O47:O48"/>
    <mergeCell ref="P47:P48"/>
    <mergeCell ref="Q47:Q54"/>
    <mergeCell ref="R47:T48"/>
    <mergeCell ref="U47:U48"/>
    <mergeCell ref="V47:V48"/>
    <mergeCell ref="U49:Z50"/>
    <mergeCell ref="R52:T52"/>
    <mergeCell ref="E51:P52"/>
    <mergeCell ref="R51:T51"/>
    <mergeCell ref="U51:AF52"/>
    <mergeCell ref="A55:D55"/>
    <mergeCell ref="E55:Q55"/>
    <mergeCell ref="R55:AA55"/>
    <mergeCell ref="AB55:AF55"/>
    <mergeCell ref="B53:D54"/>
    <mergeCell ref="E53:J54"/>
    <mergeCell ref="K53:K54"/>
    <mergeCell ref="L53:P54"/>
    <mergeCell ref="R53:T54"/>
    <mergeCell ref="U53:Z54"/>
    <mergeCell ref="A47:A54"/>
    <mergeCell ref="B47:D48"/>
    <mergeCell ref="E47:E48"/>
    <mergeCell ref="F47:F48"/>
    <mergeCell ref="G47:G48"/>
    <mergeCell ref="H47:H48"/>
    <mergeCell ref="AA49:AA50"/>
    <mergeCell ref="AB49:AE50"/>
    <mergeCell ref="AF49:AF50"/>
    <mergeCell ref="B50:D50"/>
    <mergeCell ref="R50:T50"/>
    <mergeCell ref="B51:D51"/>
    <mergeCell ref="B52:D52"/>
    <mergeCell ref="B49:D49"/>
    <mergeCell ref="A56:B56"/>
    <mergeCell ref="E56:F56"/>
    <mergeCell ref="AB56:AF57"/>
    <mergeCell ref="A57:B57"/>
    <mergeCell ref="E57:F57"/>
    <mergeCell ref="C58:H58"/>
    <mergeCell ref="I58:K58"/>
    <mergeCell ref="L58:N58"/>
    <mergeCell ref="O58:S58"/>
    <mergeCell ref="T58:Y58"/>
    <mergeCell ref="Z58:AD58"/>
    <mergeCell ref="AE58:AF58"/>
    <mergeCell ref="C59:H59"/>
    <mergeCell ref="I59:K59"/>
    <mergeCell ref="L59:N59"/>
    <mergeCell ref="O59:S59"/>
    <mergeCell ref="T59:Y59"/>
    <mergeCell ref="Z59:AD59"/>
    <mergeCell ref="AE59:AF59"/>
    <mergeCell ref="AE60:AF60"/>
    <mergeCell ref="C61:H61"/>
    <mergeCell ref="I61:K61"/>
    <mergeCell ref="L61:N61"/>
    <mergeCell ref="O61:S61"/>
    <mergeCell ref="T61:Y61"/>
    <mergeCell ref="Z61:AD61"/>
    <mergeCell ref="AE61:AF61"/>
    <mergeCell ref="C60:H60"/>
    <mergeCell ref="I60:K60"/>
    <mergeCell ref="L60:N60"/>
    <mergeCell ref="O60:S60"/>
    <mergeCell ref="T60:Y60"/>
    <mergeCell ref="Z60:AD60"/>
    <mergeCell ref="F64:J64"/>
    <mergeCell ref="K64:O64"/>
    <mergeCell ref="P64:T64"/>
    <mergeCell ref="U64:Y64"/>
    <mergeCell ref="U65:AF65"/>
    <mergeCell ref="AE62:AF62"/>
    <mergeCell ref="A63:E63"/>
    <mergeCell ref="F63:J63"/>
    <mergeCell ref="K63:O63"/>
    <mergeCell ref="P63:T63"/>
    <mergeCell ref="U63:Y63"/>
    <mergeCell ref="Z63:AC64"/>
    <mergeCell ref="AD63:AE64"/>
    <mergeCell ref="AF63:AF64"/>
    <mergeCell ref="A64:E64"/>
    <mergeCell ref="C62:H62"/>
    <mergeCell ref="I62:K62"/>
    <mergeCell ref="L62:N62"/>
    <mergeCell ref="O62:S62"/>
    <mergeCell ref="T62:Y62"/>
    <mergeCell ref="Z62:AD62"/>
  </mergeCells>
  <pageMargins bottom="0.984251968503937" footer="0.5118110236220472" header="0.5118110236220472" left="0.7480314960629921" right="0.7480314960629921" top="0.984251968503937"/>
  <pageSetup orientation="portrait" paperSize="9"/>
  <rowBreaks count="1" manualBreakCount="1">
    <brk id="41" man="1" max="16383" min="0"/>
  </rowBreaks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115"/>
  <sheetViews>
    <sheetView workbookViewId="0">
      <selection activeCell="AM12" sqref="AM12"/>
    </sheetView>
  </sheetViews>
  <sheetFormatPr baseColWidth="8" defaultColWidth="8.77734375" defaultRowHeight="13.5"/>
  <cols>
    <col customWidth="1" max="32" min="1" style="391" width="2.33203125"/>
    <col bestFit="1" customWidth="1" max="34" min="34" style="391" width="15.44140625"/>
    <col customWidth="1" max="35" min="35" style="391" width="10.44140625"/>
  </cols>
  <sheetData>
    <row customFormat="1" customHeight="1" ht="23.25" r="1" s="4" thickBot="1">
      <c r="A1" s="53" t="inlineStr">
        <is>
          <t>㈜ 지니컵 임대료내역</t>
        </is>
      </c>
      <c r="B1" s="39" t="n"/>
      <c r="C1" s="40" t="n"/>
      <c r="D1" s="41" t="n"/>
      <c r="E1" s="41" t="n"/>
      <c r="F1" s="41" t="n"/>
      <c r="G1" s="41" t="n"/>
      <c r="H1" s="41" t="n"/>
      <c r="I1" s="41" t="n"/>
      <c r="J1" s="41" t="n"/>
      <c r="K1" s="41" t="n"/>
      <c r="L1" s="41" t="n"/>
      <c r="M1" s="41" t="n"/>
      <c r="N1" s="41" t="n"/>
      <c r="O1" s="53" t="n"/>
      <c r="P1" s="53" t="inlineStr">
        <is>
          <t>(</t>
        </is>
      </c>
      <c r="Q1" s="516">
        <f>정육점!Q1</f>
        <v/>
      </c>
      <c r="R1" s="346" t="n"/>
      <c r="S1" s="346" t="n"/>
      <c r="T1" s="53" t="inlineStr">
        <is>
          <t>년</t>
        </is>
      </c>
      <c r="U1" s="53" t="n"/>
      <c r="V1" s="83">
        <f>정육점!V1</f>
        <v/>
      </c>
      <c r="W1" s="53" t="inlineStr">
        <is>
          <t>월</t>
        </is>
      </c>
      <c r="X1" s="53" t="inlineStr">
        <is>
          <t>)</t>
        </is>
      </c>
      <c r="Y1" s="53" t="n"/>
      <c r="Z1" s="53" t="n"/>
      <c r="AA1" s="53" t="n"/>
      <c r="AB1" s="53" t="n"/>
      <c r="AC1" s="41" t="n"/>
      <c r="AD1" s="41" t="n"/>
      <c r="AE1" s="41" t="n"/>
      <c r="AF1" s="41" t="n"/>
    </row>
    <row customFormat="1" customHeight="1" ht="15" r="2" s="4" thickTop="1">
      <c r="A2" s="42" t="n"/>
      <c r="B2" s="42" t="n"/>
      <c r="C2" s="42" t="n"/>
    </row>
    <row customFormat="1" customHeight="1" ht="15" r="3" s="4">
      <c r="A3" s="579" t="inlineStr">
        <is>
          <t>내역상세</t>
        </is>
      </c>
      <c r="B3" s="382" t="n"/>
      <c r="C3" s="382" t="n"/>
      <c r="D3" s="382" t="n"/>
      <c r="E3" s="382" t="n"/>
      <c r="F3" s="348" t="n"/>
      <c r="G3" s="579" t="inlineStr">
        <is>
          <t>금   액</t>
        </is>
      </c>
      <c r="H3" s="382" t="n"/>
      <c r="I3" s="382" t="n"/>
      <c r="J3" s="382" t="n"/>
      <c r="K3" s="348" t="n"/>
      <c r="L3" s="579" t="inlineStr">
        <is>
          <t>비   고</t>
        </is>
      </c>
      <c r="M3" s="382" t="n"/>
      <c r="N3" s="382" t="n"/>
      <c r="O3" s="382" t="n"/>
      <c r="P3" s="382" t="n"/>
      <c r="Q3" s="382" t="n"/>
      <c r="R3" s="382" t="n"/>
      <c r="S3" s="382" t="n"/>
      <c r="T3" s="382" t="n"/>
      <c r="U3" s="382" t="n"/>
      <c r="V3" s="348" t="n"/>
      <c r="X3" s="514" t="inlineStr">
        <is>
          <t>미납임대료</t>
        </is>
      </c>
      <c r="Y3" s="382" t="n"/>
      <c r="Z3" s="382" t="n"/>
      <c r="AA3" s="382" t="n"/>
      <c r="AB3" s="382" t="n"/>
      <c r="AC3" s="382" t="n"/>
      <c r="AD3" s="382" t="n"/>
      <c r="AE3" s="382" t="n"/>
      <c r="AF3" s="348" t="n"/>
    </row>
    <row customFormat="1" customHeight="1" ht="15" r="4" s="4">
      <c r="A4" s="576" t="inlineStr">
        <is>
          <t>월세</t>
        </is>
      </c>
      <c r="B4" s="382" t="n"/>
      <c r="C4" s="382" t="n"/>
      <c r="D4" s="382" t="n"/>
      <c r="E4" s="382" t="n"/>
      <c r="F4" s="348" t="n"/>
      <c r="G4" s="714">
        <f>2200000</f>
        <v/>
      </c>
      <c r="H4" s="382" t="n"/>
      <c r="I4" s="382" t="n"/>
      <c r="J4" s="382" t="n"/>
      <c r="K4" s="348" t="n"/>
      <c r="L4" s="580" t="n"/>
      <c r="M4" s="382" t="n"/>
      <c r="N4" s="382" t="n"/>
      <c r="O4" s="382" t="n"/>
      <c r="P4" s="382" t="n"/>
      <c r="Q4" s="382" t="n"/>
      <c r="R4" s="382" t="n"/>
      <c r="S4" s="382" t="n"/>
      <c r="T4" s="382" t="n"/>
      <c r="U4" s="382" t="n"/>
      <c r="V4" s="348" t="n"/>
      <c r="X4" s="511" t="n"/>
      <c r="Y4" s="382" t="n"/>
      <c r="Z4" s="382" t="n"/>
      <c r="AA4" s="348" t="n"/>
      <c r="AB4" s="689" t="n"/>
      <c r="AC4" s="382" t="n"/>
      <c r="AD4" s="382" t="n"/>
      <c r="AE4" s="382" t="n"/>
      <c r="AF4" s="715" t="n"/>
      <c r="AH4" s="99" t="n"/>
      <c r="AI4" s="722" t="n"/>
    </row>
    <row customFormat="1" customHeight="1" ht="15" r="5" s="4">
      <c r="A5" s="576" t="inlineStr">
        <is>
          <t>부가세(10%)</t>
        </is>
      </c>
      <c r="B5" s="382" t="n"/>
      <c r="C5" s="382" t="n"/>
      <c r="D5" s="382" t="n"/>
      <c r="E5" s="382" t="n"/>
      <c r="F5" s="348" t="n"/>
      <c r="G5" s="714">
        <f>G4*0.1</f>
        <v/>
      </c>
      <c r="H5" s="382" t="n"/>
      <c r="I5" s="382" t="n"/>
      <c r="J5" s="382" t="n"/>
      <c r="K5" s="348" t="n"/>
      <c r="L5" s="576" t="n"/>
      <c r="M5" s="382" t="n"/>
      <c r="N5" s="382" t="n"/>
      <c r="O5" s="382" t="n"/>
      <c r="P5" s="382" t="n"/>
      <c r="Q5" s="382" t="n"/>
      <c r="R5" s="382" t="n"/>
      <c r="S5" s="382" t="n"/>
      <c r="T5" s="382" t="n"/>
      <c r="U5" s="382" t="n"/>
      <c r="V5" s="348" t="n"/>
      <c r="X5" s="511" t="n"/>
      <c r="Y5" s="382" t="n"/>
      <c r="Z5" s="382" t="n"/>
      <c r="AA5" s="348" t="n"/>
      <c r="AB5" s="689" t="n"/>
      <c r="AC5" s="382" t="n"/>
      <c r="AD5" s="382" t="n"/>
      <c r="AE5" s="382" t="n"/>
      <c r="AF5" s="715" t="n"/>
      <c r="AI5" s="692" t="n"/>
    </row>
    <row customFormat="1" customHeight="1" ht="15" r="6" s="4">
      <c r="A6" s="576" t="inlineStr">
        <is>
          <t>공동 관리비</t>
        </is>
      </c>
      <c r="B6" s="382" t="n"/>
      <c r="C6" s="382" t="n"/>
      <c r="D6" s="382" t="n"/>
      <c r="E6" s="382" t="n"/>
      <c r="F6" s="348" t="n"/>
      <c r="G6" s="714">
        <f>6000*113.5</f>
        <v/>
      </c>
      <c r="H6" s="382" t="n"/>
      <c r="I6" s="382" t="n"/>
      <c r="J6" s="382" t="n"/>
      <c r="K6" s="348" t="n"/>
      <c r="L6" s="576" t="inlineStr">
        <is>
          <t xml:space="preserve">5층 113.5평, 월 6,000원/평 </t>
        </is>
      </c>
      <c r="M6" s="382" t="n"/>
      <c r="N6" s="382" t="n"/>
      <c r="O6" s="382" t="n"/>
      <c r="P6" s="382" t="n"/>
      <c r="Q6" s="382" t="n"/>
      <c r="R6" s="382" t="n"/>
      <c r="S6" s="382" t="n"/>
      <c r="T6" s="382" t="n"/>
      <c r="U6" s="382" t="n"/>
      <c r="V6" s="348" t="n"/>
      <c r="X6" s="511" t="n"/>
      <c r="Y6" s="382" t="n"/>
      <c r="Z6" s="382" t="n"/>
      <c r="AA6" s="348" t="n"/>
      <c r="AB6" s="689" t="n"/>
      <c r="AC6" s="382" t="n"/>
      <c r="AD6" s="382" t="n"/>
      <c r="AE6" s="382" t="n"/>
      <c r="AF6" s="715" t="n"/>
      <c r="AI6" s="692" t="n"/>
    </row>
    <row customFormat="1" customHeight="1" ht="15" r="7" s="4">
      <c r="A7" s="576" t="inlineStr">
        <is>
          <t>전기요금</t>
        </is>
      </c>
      <c r="B7" s="382" t="n"/>
      <c r="C7" s="382" t="n"/>
      <c r="D7" s="382" t="n"/>
      <c r="E7" s="382" t="n"/>
      <c r="F7" s="348" t="n"/>
      <c r="G7" s="714">
        <f>전기수도요금!H17</f>
        <v/>
      </c>
      <c r="H7" s="382" t="n"/>
      <c r="I7" s="382" t="n"/>
      <c r="J7" s="382" t="n"/>
      <c r="K7" s="348" t="n"/>
      <c r="L7" s="577" t="n"/>
      <c r="M7" s="382" t="n"/>
      <c r="N7" s="382" t="n"/>
      <c r="O7" s="382" t="n"/>
      <c r="P7" s="382" t="n"/>
      <c r="Q7" s="382" t="n"/>
      <c r="R7" s="382" t="n"/>
      <c r="S7" s="382" t="n"/>
      <c r="T7" s="382" t="n"/>
      <c r="U7" s="382" t="n"/>
      <c r="V7" s="348" t="n"/>
      <c r="X7" s="511" t="n"/>
      <c r="Y7" s="382" t="n"/>
      <c r="Z7" s="382" t="n"/>
      <c r="AA7" s="348" t="n"/>
      <c r="AB7" s="689" t="n"/>
      <c r="AC7" s="382" t="n"/>
      <c r="AD7" s="382" t="n"/>
      <c r="AE7" s="382" t="n"/>
      <c r="AF7" s="715" t="n"/>
      <c r="AI7" s="692" t="n"/>
    </row>
    <row customFormat="1" customHeight="1" ht="15" r="8" s="4">
      <c r="A8" s="576" t="inlineStr">
        <is>
          <t>상/하수도 요금</t>
        </is>
      </c>
      <c r="B8" s="382" t="n"/>
      <c r="C8" s="382" t="n"/>
      <c r="D8" s="382" t="n"/>
      <c r="E8" s="382" t="n"/>
      <c r="F8" s="348" t="n"/>
      <c r="G8" s="714">
        <f>전기수도요금!G37</f>
        <v/>
      </c>
      <c r="H8" s="382" t="n"/>
      <c r="I8" s="382" t="n"/>
      <c r="J8" s="382" t="n"/>
      <c r="K8" s="348" t="n"/>
      <c r="L8" s="577" t="n"/>
      <c r="M8" s="382" t="n"/>
      <c r="N8" s="382" t="n"/>
      <c r="O8" s="382" t="n"/>
      <c r="P8" s="382" t="n"/>
      <c r="Q8" s="382" t="n"/>
      <c r="R8" s="382" t="n"/>
      <c r="S8" s="382" t="n"/>
      <c r="T8" s="382" t="n"/>
      <c r="U8" s="382" t="n"/>
      <c r="V8" s="348" t="n"/>
      <c r="X8" s="511" t="n"/>
      <c r="Y8" s="382" t="n"/>
      <c r="Z8" s="382" t="n"/>
      <c r="AA8" s="348" t="n"/>
      <c r="AB8" s="689" t="n"/>
      <c r="AC8" s="382" t="n"/>
      <c r="AD8" s="382" t="n"/>
      <c r="AE8" s="382" t="n"/>
      <c r="AF8" s="715" t="n"/>
    </row>
    <row customFormat="1" customHeight="1" ht="15" r="9" s="4">
      <c r="A9" s="579" t="n"/>
      <c r="B9" s="382" t="n"/>
      <c r="C9" s="382" t="n"/>
      <c r="D9" s="382" t="n"/>
      <c r="E9" s="382" t="n"/>
      <c r="F9" s="348" t="n"/>
      <c r="G9" s="714" t="n"/>
      <c r="H9" s="382" t="n"/>
      <c r="I9" s="382" t="n"/>
      <c r="J9" s="382" t="n"/>
      <c r="K9" s="348" t="n"/>
      <c r="L9" s="576" t="n"/>
      <c r="M9" s="382" t="n"/>
      <c r="N9" s="382" t="n"/>
      <c r="O9" s="382" t="n"/>
      <c r="P9" s="382" t="n"/>
      <c r="Q9" s="382" t="n"/>
      <c r="R9" s="382" t="n"/>
      <c r="S9" s="382" t="n"/>
      <c r="T9" s="382" t="n"/>
      <c r="U9" s="382" t="n"/>
      <c r="V9" s="348" t="n"/>
      <c r="X9" s="511" t="n"/>
      <c r="Y9" s="382" t="n"/>
      <c r="Z9" s="382" t="n"/>
      <c r="AA9" s="348" t="n"/>
      <c r="AB9" s="689" t="n"/>
      <c r="AC9" s="382" t="n"/>
      <c r="AD9" s="382" t="n"/>
      <c r="AE9" s="382" t="n"/>
      <c r="AF9" s="715" t="n"/>
      <c r="AI9" s="692" t="n"/>
    </row>
    <row customFormat="1" customHeight="1" ht="15" r="10" s="4">
      <c r="A10" s="582" t="inlineStr">
        <is>
          <t>임대료 합계</t>
        </is>
      </c>
      <c r="B10" s="382" t="n"/>
      <c r="C10" s="382" t="n"/>
      <c r="D10" s="382" t="n"/>
      <c r="E10" s="382" t="n"/>
      <c r="F10" s="348" t="n"/>
      <c r="G10" s="716">
        <f>SUM(G4:J9)</f>
        <v/>
      </c>
      <c r="H10" s="382" t="n"/>
      <c r="I10" s="382" t="n"/>
      <c r="J10" s="382" t="n"/>
      <c r="K10" s="348" t="n"/>
      <c r="L10" s="583" t="n"/>
      <c r="M10" s="382" t="n"/>
      <c r="N10" s="382" t="n"/>
      <c r="O10" s="382" t="n"/>
      <c r="P10" s="382" t="n"/>
      <c r="Q10" s="382" t="n"/>
      <c r="R10" s="382" t="n"/>
      <c r="S10" s="382" t="n"/>
      <c r="T10" s="382" t="n"/>
      <c r="U10" s="382" t="n"/>
      <c r="V10" s="348" t="n"/>
      <c r="X10" s="511" t="n"/>
      <c r="Y10" s="382" t="n"/>
      <c r="Z10" s="382" t="n"/>
      <c r="AA10" s="348" t="n"/>
      <c r="AB10" s="689" t="n"/>
      <c r="AC10" s="382" t="n"/>
      <c r="AD10" s="382" t="n"/>
      <c r="AE10" s="382" t="n"/>
      <c r="AF10" s="715" t="n"/>
    </row>
    <row customFormat="1" customHeight="1" ht="15" r="11" s="4">
      <c r="A11" s="42" t="n"/>
      <c r="B11" s="42" t="n"/>
      <c r="C11" s="42" t="n"/>
      <c r="X11" s="511" t="n"/>
      <c r="Y11" s="382" t="n"/>
      <c r="Z11" s="382" t="n"/>
      <c r="AA11" s="348" t="n"/>
      <c r="AB11" s="689" t="n"/>
      <c r="AC11" s="382" t="n"/>
      <c r="AD11" s="382" t="n"/>
      <c r="AE11" s="382" t="n"/>
      <c r="AF11" s="715" t="n"/>
    </row>
    <row customFormat="1" customHeight="1" ht="15" r="12" s="4">
      <c r="A12" s="43">
        <f>정육점!A12</f>
        <v/>
      </c>
      <c r="B12" s="44" t="n"/>
      <c r="C12" s="45" t="n"/>
      <c r="D12" s="46" t="n"/>
      <c r="E12" s="46" t="n"/>
      <c r="F12" s="46" t="n"/>
      <c r="G12" s="46" t="n"/>
      <c r="H12" s="46" t="n"/>
      <c r="I12" s="46" t="n"/>
      <c r="J12" s="46" t="n"/>
      <c r="K12" s="46" t="n"/>
      <c r="L12" s="46" t="n"/>
      <c r="M12" s="46" t="n"/>
      <c r="N12" s="46" t="n"/>
      <c r="O12" s="46" t="n"/>
      <c r="P12" s="46" t="n"/>
      <c r="Q12" s="46" t="n"/>
      <c r="R12" s="46" t="n"/>
      <c r="S12" s="46" t="n"/>
      <c r="T12" s="46" t="n"/>
      <c r="U12" s="46" t="n"/>
      <c r="V12" s="46" t="n"/>
      <c r="X12" s="511" t="n"/>
      <c r="Y12" s="382" t="n"/>
      <c r="Z12" s="382" t="n"/>
      <c r="AA12" s="348" t="n"/>
      <c r="AB12" s="718" t="n"/>
      <c r="AC12" s="378" t="n"/>
      <c r="AD12" s="378" t="n"/>
      <c r="AE12" s="378" t="n"/>
      <c r="AF12" s="719" t="n"/>
    </row>
    <row customFormat="1" customHeight="1" ht="15" r="13" s="4">
      <c r="A13" s="47" t="inlineStr">
        <is>
          <t>신한은행 379-02-099892 (예금주:곽순욱/세림빌딩)</t>
        </is>
      </c>
      <c r="B13" s="44" t="n"/>
      <c r="C13" s="45" t="n"/>
      <c r="D13" s="46" t="n"/>
      <c r="E13" s="46" t="n"/>
      <c r="F13" s="46" t="n"/>
      <c r="G13" s="46" t="n"/>
      <c r="H13" s="46" t="n"/>
      <c r="I13" s="46" t="n"/>
      <c r="J13" s="46" t="n"/>
      <c r="K13" s="46" t="n"/>
      <c r="L13" s="46" t="n"/>
      <c r="M13" s="46" t="n"/>
      <c r="N13" s="46" t="n"/>
      <c r="O13" s="46" t="n"/>
      <c r="P13" s="46" t="n"/>
      <c r="Q13" s="46" t="n"/>
      <c r="R13" s="46" t="n"/>
      <c r="S13" s="46" t="n"/>
      <c r="T13" s="46" t="n"/>
      <c r="U13" s="46" t="n"/>
      <c r="V13" s="46" t="n"/>
      <c r="X13" s="574" t="inlineStr">
        <is>
          <t>합계</t>
        </is>
      </c>
      <c r="Y13" s="382" t="n"/>
      <c r="Z13" s="382" t="n"/>
      <c r="AA13" s="382" t="n"/>
      <c r="AB13" s="694">
        <f>SUM(AB4:AE12)</f>
        <v/>
      </c>
      <c r="AC13" s="382" t="n"/>
      <c r="AD13" s="382" t="n"/>
      <c r="AE13" s="382" t="n"/>
      <c r="AF13" s="720" t="inlineStr">
        <is>
          <t>원</t>
        </is>
      </c>
      <c r="AH13" s="723" t="n"/>
      <c r="AI13" s="724" t="n"/>
    </row>
    <row customFormat="1" customHeight="1" ht="15" r="14" s="4">
      <c r="A14" s="54" t="n"/>
      <c r="B14" s="55" t="n"/>
      <c r="C14" s="56" t="n"/>
      <c r="X14" s="49" t="n"/>
      <c r="Y14" s="49" t="n"/>
      <c r="Z14" s="49" t="n"/>
      <c r="AA14" s="49" t="n"/>
      <c r="AB14" s="696" t="n"/>
      <c r="AC14" s="696" t="n"/>
      <c r="AD14" s="696" t="n"/>
      <c r="AE14" s="696" t="n"/>
      <c r="AF14" s="697" t="n"/>
      <c r="AH14" s="4" t="inlineStr">
        <is>
          <t xml:space="preserve"> </t>
        </is>
      </c>
    </row>
    <row customFormat="1" r="15" s="4"/>
    <row customFormat="1" r="16" s="4"/>
    <row customFormat="1" r="17" s="4">
      <c r="A17" s="48" t="n"/>
      <c r="B17" s="48" t="n"/>
      <c r="C17" s="48" t="n"/>
      <c r="D17" s="48" t="n"/>
      <c r="E17" s="48" t="n"/>
      <c r="F17" s="48" t="n"/>
      <c r="G17" s="48" t="n"/>
      <c r="H17" s="48" t="n"/>
      <c r="I17" s="48" t="n"/>
      <c r="J17" s="48" t="n"/>
      <c r="K17" s="48" t="n"/>
      <c r="L17" s="48" t="n"/>
      <c r="M17" s="48" t="n"/>
      <c r="N17" s="48" t="n"/>
      <c r="O17" s="48" t="n"/>
      <c r="P17" s="48" t="n"/>
      <c r="Q17" s="48" t="n"/>
      <c r="R17" s="48" t="n"/>
      <c r="S17" s="48" t="n"/>
      <c r="T17" s="48" t="n"/>
      <c r="U17" s="48" t="n"/>
      <c r="V17" s="48" t="n"/>
      <c r="W17" s="48" t="n"/>
      <c r="X17" s="48" t="n"/>
      <c r="Y17" s="48" t="n"/>
      <c r="Z17" s="48" t="n"/>
      <c r="AA17" s="48" t="n"/>
      <c r="AB17" s="48" t="n"/>
      <c r="AC17" s="48" t="n"/>
      <c r="AD17" s="48" t="n"/>
      <c r="AE17" s="48" t="n"/>
      <c r="AF17" s="48" t="n"/>
    </row>
    <row customHeight="1" ht="14.25" r="18" s="391" thickBot="1">
      <c r="A18" s="31" t="inlineStr">
        <is>
          <t>[별지 제11호 서식]</t>
        </is>
      </c>
      <c r="B18" s="31" t="n"/>
      <c r="C18" s="32" t="n"/>
      <c r="D18" s="32" t="n"/>
      <c r="E18" s="32" t="n"/>
      <c r="F18" s="32" t="n"/>
      <c r="G18" s="33" t="n"/>
      <c r="H18" s="33" t="n"/>
      <c r="I18" s="32" t="n"/>
      <c r="J18" s="32" t="n"/>
      <c r="K18" s="32" t="n"/>
      <c r="L18" s="32" t="n"/>
      <c r="M18" s="32" t="n"/>
      <c r="N18" s="32" t="n"/>
      <c r="O18" s="32" t="n"/>
      <c r="P18" s="32" t="n"/>
      <c r="Q18" s="32" t="n"/>
      <c r="R18" s="32" t="n"/>
      <c r="S18" s="32" t="n"/>
      <c r="T18" s="32" t="n"/>
      <c r="U18" s="32" t="n"/>
      <c r="V18" s="470" t="n"/>
      <c r="AB18" s="470" t="n"/>
    </row>
    <row r="19">
      <c r="A19" s="500" t="inlineStr">
        <is>
          <t>세 금 계 산 서</t>
        </is>
      </c>
      <c r="B19" s="404" t="n"/>
      <c r="C19" s="404" t="n"/>
      <c r="D19" s="404" t="n"/>
      <c r="E19" s="404" t="n"/>
      <c r="F19" s="404" t="n"/>
      <c r="G19" s="404" t="n"/>
      <c r="H19" s="404" t="n"/>
      <c r="I19" s="404" t="n"/>
      <c r="J19" s="404" t="n"/>
      <c r="K19" s="404" t="n"/>
      <c r="L19" s="404" t="n"/>
      <c r="M19" s="404" t="n"/>
      <c r="N19" s="404" t="n"/>
      <c r="O19" s="404" t="n"/>
      <c r="P19" s="502" t="inlineStr">
        <is>
          <t>(</t>
        </is>
      </c>
      <c r="Q19" s="503" t="inlineStr">
        <is>
          <t>공급받는자</t>
        </is>
      </c>
      <c r="R19" s="404" t="n"/>
      <c r="S19" s="404" t="n"/>
      <c r="T19" s="404" t="n"/>
      <c r="U19" s="404" t="n"/>
      <c r="V19" s="503" t="inlineStr">
        <is>
          <t>)</t>
        </is>
      </c>
      <c r="W19" s="504" t="inlineStr">
        <is>
          <t>책   번   호</t>
        </is>
      </c>
      <c r="X19" s="430" t="n"/>
      <c r="Y19" s="430" t="n"/>
      <c r="Z19" s="431" t="n"/>
      <c r="AA19" s="505" t="n"/>
      <c r="AB19" s="430" t="n"/>
      <c r="AC19" s="34" t="inlineStr">
        <is>
          <t>권</t>
        </is>
      </c>
      <c r="AD19" s="505" t="n"/>
      <c r="AE19" s="430" t="n"/>
      <c r="AF19" s="35" t="inlineStr">
        <is>
          <t>호</t>
        </is>
      </c>
    </row>
    <row customHeight="1" ht="14.25" r="20" s="391" thickBot="1">
      <c r="A20" s="501" t="n"/>
      <c r="Q20" s="506" t="inlineStr">
        <is>
          <t>보  관  용</t>
        </is>
      </c>
      <c r="R20" s="419" t="n"/>
      <c r="S20" s="419" t="n"/>
      <c r="T20" s="419" t="n"/>
      <c r="U20" s="419" t="n"/>
      <c r="W20" s="462" t="inlineStr">
        <is>
          <t>일 련 번 호</t>
        </is>
      </c>
      <c r="X20" s="408" t="n"/>
      <c r="Y20" s="408" t="n"/>
      <c r="Z20" s="409" t="n"/>
      <c r="AA20" s="303" t="n"/>
      <c r="AB20" s="304" t="n"/>
      <c r="AC20" s="303" t="n"/>
      <c r="AD20" s="303" t="n"/>
      <c r="AE20" s="303" t="n"/>
      <c r="AF20" s="305" t="n"/>
      <c r="AH20" s="92" t="n"/>
    </row>
    <row customHeight="1" ht="13.5" r="21" s="391">
      <c r="A21" s="463" t="inlineStr">
        <is>
          <t>공 급 자</t>
        </is>
      </c>
      <c r="B21" s="433" t="inlineStr">
        <is>
          <t>등록번호</t>
        </is>
      </c>
      <c r="C21" s="416" t="n"/>
      <c r="D21" s="417" t="n"/>
      <c r="E21" s="458" t="n">
        <v>1</v>
      </c>
      <c r="F21" s="452" t="n">
        <v>2</v>
      </c>
      <c r="G21" s="452" t="n">
        <v>4</v>
      </c>
      <c r="H21" s="452" t="inlineStr">
        <is>
          <t>-</t>
        </is>
      </c>
      <c r="I21" s="452" t="n">
        <v>2</v>
      </c>
      <c r="J21" s="452" t="n">
        <v>0</v>
      </c>
      <c r="K21" s="452" t="inlineStr">
        <is>
          <t>-</t>
        </is>
      </c>
      <c r="L21" s="452" t="n">
        <v>2</v>
      </c>
      <c r="M21" s="452" t="n">
        <v>6</v>
      </c>
      <c r="N21" s="452" t="n">
        <v>4</v>
      </c>
      <c r="O21" s="452" t="n">
        <v>4</v>
      </c>
      <c r="P21" s="465" t="n">
        <v>9</v>
      </c>
      <c r="Q21" s="467" t="inlineStr">
        <is>
          <t>공급받는자</t>
        </is>
      </c>
      <c r="R21" s="433" t="inlineStr">
        <is>
          <t>등록번호</t>
        </is>
      </c>
      <c r="S21" s="416" t="n"/>
      <c r="T21" s="417" t="n"/>
      <c r="U21" s="458" t="n">
        <v>5</v>
      </c>
      <c r="V21" s="452" t="n">
        <v>3</v>
      </c>
      <c r="W21" s="452" t="n">
        <v>6</v>
      </c>
      <c r="X21" s="452" t="inlineStr">
        <is>
          <t>-</t>
        </is>
      </c>
      <c r="Y21" s="452" t="n">
        <v>8</v>
      </c>
      <c r="Z21" s="452" t="n">
        <v>6</v>
      </c>
      <c r="AA21" s="452" t="inlineStr">
        <is>
          <t>-</t>
        </is>
      </c>
      <c r="AB21" s="452" t="n">
        <v>0</v>
      </c>
      <c r="AC21" s="452" t="n">
        <v>1</v>
      </c>
      <c r="AD21" s="452" t="n">
        <v>7</v>
      </c>
      <c r="AE21" s="452" t="n">
        <v>6</v>
      </c>
      <c r="AF21" s="453" t="n">
        <v>3</v>
      </c>
      <c r="AH21" s="92" t="n"/>
      <c r="AI21" s="93" t="n"/>
    </row>
    <row customHeight="1" ht="14.25" r="22" s="391" thickBot="1">
      <c r="A22" s="464" t="n"/>
      <c r="B22" s="418" t="n"/>
      <c r="C22" s="419" t="n"/>
      <c r="D22" s="420" t="n"/>
      <c r="E22" s="459" t="n"/>
      <c r="F22" s="439" t="n"/>
      <c r="G22" s="439" t="n"/>
      <c r="H22" s="439" t="n"/>
      <c r="I22" s="439" t="n"/>
      <c r="J22" s="439" t="n"/>
      <c r="K22" s="439" t="n"/>
      <c r="L22" s="439" t="n"/>
      <c r="M22" s="439" t="n"/>
      <c r="N22" s="439" t="n"/>
      <c r="O22" s="439" t="n"/>
      <c r="P22" s="466" t="n"/>
      <c r="Q22" s="468" t="n"/>
      <c r="R22" s="418" t="n"/>
      <c r="S22" s="419" t="n"/>
      <c r="T22" s="420" t="n"/>
      <c r="U22" s="459" t="n"/>
      <c r="V22" s="439" t="n"/>
      <c r="W22" s="439" t="n"/>
      <c r="X22" s="439" t="n"/>
      <c r="Y22" s="439" t="n"/>
      <c r="Z22" s="439" t="n"/>
      <c r="AA22" s="439" t="n"/>
      <c r="AB22" s="439" t="n"/>
      <c r="AC22" s="439" t="n"/>
      <c r="AD22" s="439" t="n"/>
      <c r="AE22" s="439" t="n"/>
      <c r="AF22" s="454" t="n"/>
    </row>
    <row customHeight="1" ht="13.5" r="23" s="391">
      <c r="A23" s="464" t="n"/>
      <c r="B23" s="444" t="inlineStr">
        <is>
          <t>상     호</t>
        </is>
      </c>
      <c r="C23" s="416" t="n"/>
      <c r="D23" s="417" t="n"/>
      <c r="E23" s="445" t="inlineStr">
        <is>
          <t>세림빌딩</t>
        </is>
      </c>
      <c r="F23" s="416" t="n"/>
      <c r="G23" s="416" t="n"/>
      <c r="H23" s="416" t="n"/>
      <c r="I23" s="416" t="n"/>
      <c r="J23" s="417" t="n"/>
      <c r="K23" s="438" t="inlineStr">
        <is>
          <t>성명</t>
        </is>
      </c>
      <c r="L23" s="447" t="inlineStr">
        <is>
          <t>곽순욱 외1인</t>
        </is>
      </c>
      <c r="M23" s="416" t="n"/>
      <c r="N23" s="416" t="n"/>
      <c r="O23" s="417" t="n"/>
      <c r="P23" s="448" t="inlineStr">
        <is>
          <t>인</t>
        </is>
      </c>
      <c r="Q23" s="468" t="n"/>
      <c r="R23" s="444" t="inlineStr">
        <is>
          <t>상     호</t>
        </is>
      </c>
      <c r="S23" s="416" t="n"/>
      <c r="T23" s="417" t="n"/>
      <c r="U23" s="585" t="inlineStr">
        <is>
          <t>㈜지니컵</t>
        </is>
      </c>
      <c r="V23" s="404" t="n"/>
      <c r="W23" s="404" t="n"/>
      <c r="X23" s="404" t="n"/>
      <c r="Y23" s="404" t="n"/>
      <c r="Z23" s="456" t="n"/>
      <c r="AA23" s="457" t="inlineStr">
        <is>
          <t>성명</t>
        </is>
      </c>
      <c r="AB23" s="592" t="inlineStr">
        <is>
          <t>양태양</t>
        </is>
      </c>
      <c r="AC23" s="404" t="n"/>
      <c r="AD23" s="404" t="n"/>
      <c r="AE23" s="404" t="n"/>
      <c r="AF23" s="461" t="inlineStr">
        <is>
          <t>인</t>
        </is>
      </c>
    </row>
    <row customHeight="1" ht="14.25" r="24" s="391" thickBot="1">
      <c r="A24" s="464" t="n"/>
      <c r="B24" s="443" t="inlineStr">
        <is>
          <t>(법인명)</t>
        </is>
      </c>
      <c r="C24" s="419" t="n"/>
      <c r="D24" s="420" t="n"/>
      <c r="E24" s="446" t="n"/>
      <c r="F24" s="436" t="n"/>
      <c r="G24" s="436" t="n"/>
      <c r="H24" s="436" t="n"/>
      <c r="I24" s="436" t="n"/>
      <c r="J24" s="437" t="n"/>
      <c r="K24" s="439" t="n"/>
      <c r="L24" s="418" t="n"/>
      <c r="M24" s="419" t="n"/>
      <c r="N24" s="419" t="n"/>
      <c r="O24" s="420" t="n"/>
      <c r="P24" s="406" t="n"/>
      <c r="Q24" s="468" t="n"/>
      <c r="R24" s="443" t="inlineStr">
        <is>
          <t>(법인명)</t>
        </is>
      </c>
      <c r="S24" s="419" t="n"/>
      <c r="T24" s="420" t="n"/>
      <c r="U24" s="435" t="n"/>
      <c r="V24" s="436" t="n"/>
      <c r="W24" s="436" t="n"/>
      <c r="X24" s="436" t="n"/>
      <c r="Y24" s="436" t="n"/>
      <c r="Z24" s="437" t="n"/>
      <c r="AA24" s="439" t="n"/>
      <c r="AB24" s="418" t="n"/>
      <c r="AC24" s="419" t="n"/>
      <c r="AD24" s="419" t="n"/>
      <c r="AE24" s="419" t="n"/>
      <c r="AF24" s="406" t="n"/>
    </row>
    <row customHeight="1" ht="13.5" r="25" s="391">
      <c r="A25" s="464" t="n"/>
      <c r="B25" s="444" t="inlineStr">
        <is>
          <t>사 업 장</t>
        </is>
      </c>
      <c r="C25" s="416" t="n"/>
      <c r="D25" s="417" t="n"/>
      <c r="E25" s="469" t="inlineStr">
        <is>
          <t>경기도 수원시 영통구 동수원로 514</t>
        </is>
      </c>
      <c r="F25" s="404" t="n"/>
      <c r="G25" s="404" t="n"/>
      <c r="H25" s="404" t="n"/>
      <c r="I25" s="404" t="n"/>
      <c r="J25" s="404" t="n"/>
      <c r="K25" s="404" t="n"/>
      <c r="L25" s="404" t="n"/>
      <c r="M25" s="404" t="n"/>
      <c r="N25" s="404" t="n"/>
      <c r="O25" s="404" t="n"/>
      <c r="P25" s="456" t="n"/>
      <c r="Q25" s="468" t="n"/>
      <c r="R25" s="444" t="inlineStr">
        <is>
          <t>사 업 장</t>
        </is>
      </c>
      <c r="S25" s="416" t="n"/>
      <c r="T25" s="417" t="n"/>
      <c r="U25" s="469" t="inlineStr">
        <is>
          <t>울산광역시 중구 성안1길 19, 105호</t>
        </is>
      </c>
      <c r="V25" s="404" t="n"/>
      <c r="W25" s="404" t="n"/>
      <c r="X25" s="404" t="n"/>
      <c r="Y25" s="404" t="n"/>
      <c r="Z25" s="404" t="n"/>
      <c r="AA25" s="404" t="n"/>
      <c r="AB25" s="404" t="n"/>
      <c r="AC25" s="404" t="n"/>
      <c r="AD25" s="404" t="n"/>
      <c r="AE25" s="404" t="n"/>
      <c r="AF25" s="456" t="n"/>
      <c r="AH25" s="95" t="inlineStr">
        <is>
          <t>공급가액</t>
        </is>
      </c>
      <c r="AI25" s="95" t="inlineStr">
        <is>
          <t>세액</t>
        </is>
      </c>
      <c r="AJ25" s="95" t="inlineStr">
        <is>
          <t>합계금액</t>
        </is>
      </c>
    </row>
    <row r="26">
      <c r="A26" s="464" t="n"/>
      <c r="B26" s="443" t="inlineStr">
        <is>
          <t>주     소</t>
        </is>
      </c>
      <c r="C26" s="419" t="n"/>
      <c r="D26" s="420" t="n"/>
      <c r="E26" s="418" t="n"/>
      <c r="F26" s="419" t="n"/>
      <c r="G26" s="419" t="n"/>
      <c r="H26" s="419" t="n"/>
      <c r="I26" s="419" t="n"/>
      <c r="J26" s="419" t="n"/>
      <c r="K26" s="419" t="n"/>
      <c r="L26" s="419" t="n"/>
      <c r="M26" s="419" t="n"/>
      <c r="N26" s="419" t="n"/>
      <c r="O26" s="419" t="n"/>
      <c r="P26" s="420" t="n"/>
      <c r="Q26" s="468" t="n"/>
      <c r="R26" s="443" t="inlineStr">
        <is>
          <t>주     소</t>
        </is>
      </c>
      <c r="S26" s="419" t="n"/>
      <c r="T26" s="420" t="n"/>
      <c r="U26" s="418" t="n"/>
      <c r="V26" s="419" t="n"/>
      <c r="W26" s="419" t="n"/>
      <c r="X26" s="419" t="n"/>
      <c r="Y26" s="419" t="n"/>
      <c r="Z26" s="419" t="n"/>
      <c r="AA26" s="419" t="n"/>
      <c r="AB26" s="419" t="n"/>
      <c r="AC26" s="419" t="n"/>
      <c r="AD26" s="419" t="n"/>
      <c r="AE26" s="419" t="n"/>
      <c r="AF26" s="420" t="n"/>
      <c r="AH26" s="698">
        <f>T33</f>
        <v/>
      </c>
      <c r="AI26" s="698">
        <f>Z33</f>
        <v/>
      </c>
    </row>
    <row customHeight="1" ht="13.5" r="27" s="391">
      <c r="A27" s="464" t="n"/>
      <c r="B27" s="433" t="inlineStr">
        <is>
          <t>업     태</t>
        </is>
      </c>
      <c r="C27" s="416" t="n"/>
      <c r="D27" s="417" t="n"/>
      <c r="E27" s="434" t="inlineStr">
        <is>
          <t>부동산업</t>
        </is>
      </c>
      <c r="F27" s="416" t="n"/>
      <c r="G27" s="416" t="n"/>
      <c r="H27" s="416" t="n"/>
      <c r="I27" s="416" t="n"/>
      <c r="J27" s="417" t="n"/>
      <c r="K27" s="438" t="inlineStr">
        <is>
          <t>종목</t>
        </is>
      </c>
      <c r="L27" s="434" t="inlineStr">
        <is>
          <t>비주거용            건물임대업</t>
        </is>
      </c>
      <c r="M27" s="416" t="n"/>
      <c r="N27" s="416" t="n"/>
      <c r="O27" s="416" t="n"/>
      <c r="P27" s="417" t="n"/>
      <c r="Q27" s="468" t="n"/>
      <c r="R27" s="433" t="inlineStr">
        <is>
          <t>업     태</t>
        </is>
      </c>
      <c r="S27" s="416" t="n"/>
      <c r="T27" s="417" t="n"/>
      <c r="U27" s="590" t="inlineStr">
        <is>
          <t>과학 및 기술 서비스업,제조업,도소매업,정보통신업</t>
        </is>
      </c>
      <c r="V27" s="416" t="n"/>
      <c r="W27" s="416" t="n"/>
      <c r="X27" s="416" t="n"/>
      <c r="Y27" s="416" t="n"/>
      <c r="Z27" s="417" t="n"/>
      <c r="AA27" s="438" t="inlineStr">
        <is>
          <t>종목</t>
        </is>
      </c>
      <c r="AB27" s="591" t="inlineStr">
        <is>
          <t>의학 및 약학 연구개발업</t>
        </is>
      </c>
      <c r="AC27" s="416" t="n"/>
      <c r="AD27" s="416" t="n"/>
      <c r="AE27" s="416" t="n"/>
      <c r="AF27" s="450" t="n"/>
      <c r="AH27" s="698">
        <f>T34</f>
        <v/>
      </c>
      <c r="AI27" s="698">
        <f>Z34</f>
        <v/>
      </c>
    </row>
    <row customHeight="1" ht="14.25" r="28" s="391" thickBot="1">
      <c r="A28" s="459" t="n"/>
      <c r="B28" s="418" t="n"/>
      <c r="C28" s="419" t="n"/>
      <c r="D28" s="420" t="n"/>
      <c r="E28" s="435" t="n"/>
      <c r="F28" s="436" t="n"/>
      <c r="G28" s="436" t="n"/>
      <c r="H28" s="436" t="n"/>
      <c r="I28" s="436" t="n"/>
      <c r="J28" s="437" t="n"/>
      <c r="K28" s="439" t="n"/>
      <c r="L28" s="435" t="n"/>
      <c r="M28" s="436" t="n"/>
      <c r="N28" s="436" t="n"/>
      <c r="O28" s="436" t="n"/>
      <c r="P28" s="437" t="n"/>
      <c r="Q28" s="420" t="n"/>
      <c r="R28" s="418" t="n"/>
      <c r="S28" s="419" t="n"/>
      <c r="T28" s="420" t="n"/>
      <c r="U28" s="435" t="n"/>
      <c r="V28" s="436" t="n"/>
      <c r="W28" s="436" t="n"/>
      <c r="X28" s="436" t="n"/>
      <c r="Y28" s="436" t="n"/>
      <c r="Z28" s="437" t="n"/>
      <c r="AA28" s="439" t="n"/>
      <c r="AB28" s="435" t="n"/>
      <c r="AC28" s="436" t="n"/>
      <c r="AD28" s="436" t="n"/>
      <c r="AE28" s="436" t="n"/>
      <c r="AF28" s="451" t="n"/>
      <c r="AH28" s="698">
        <f>T35</f>
        <v/>
      </c>
      <c r="AI28" s="698">
        <f>Z35</f>
        <v/>
      </c>
    </row>
    <row r="29">
      <c r="A29" s="432" t="inlineStr">
        <is>
          <t>작     성</t>
        </is>
      </c>
      <c r="B29" s="430" t="n"/>
      <c r="C29" s="430" t="n"/>
      <c r="D29" s="431" t="n"/>
      <c r="E29" s="429" t="inlineStr">
        <is>
          <t>공      급      가      액</t>
        </is>
      </c>
      <c r="F29" s="430" t="n"/>
      <c r="G29" s="430" t="n"/>
      <c r="H29" s="430" t="n"/>
      <c r="I29" s="430" t="n"/>
      <c r="J29" s="430" t="n"/>
      <c r="K29" s="430" t="n"/>
      <c r="L29" s="430" t="n"/>
      <c r="M29" s="430" t="n"/>
      <c r="N29" s="430" t="n"/>
      <c r="O29" s="430" t="n"/>
      <c r="P29" s="430" t="n"/>
      <c r="Q29" s="431" t="n"/>
      <c r="R29" s="429" t="inlineStr">
        <is>
          <t>세               액</t>
        </is>
      </c>
      <c r="S29" s="430" t="n"/>
      <c r="T29" s="430" t="n"/>
      <c r="U29" s="430" t="n"/>
      <c r="V29" s="430" t="n"/>
      <c r="W29" s="430" t="n"/>
      <c r="X29" s="430" t="n"/>
      <c r="Y29" s="430" t="n"/>
      <c r="Z29" s="430" t="n"/>
      <c r="AA29" s="431" t="n"/>
      <c r="AB29" s="429" t="inlineStr">
        <is>
          <t>비      고</t>
        </is>
      </c>
      <c r="AC29" s="430" t="n"/>
      <c r="AD29" s="430" t="n"/>
      <c r="AE29" s="430" t="n"/>
      <c r="AF29" s="431" t="n"/>
      <c r="AH29" s="699">
        <f>SUM(AH26:AH28)</f>
        <v/>
      </c>
      <c r="AI29" s="699">
        <f>SUM(AI26:AI28)</f>
        <v/>
      </c>
      <c r="AJ29" s="700">
        <f>SUM(AH29:AI29)</f>
        <v/>
      </c>
    </row>
    <row r="30">
      <c r="A30" s="413" t="inlineStr">
        <is>
          <t>년</t>
        </is>
      </c>
      <c r="B30" s="412" t="n"/>
      <c r="C30" s="306" t="inlineStr">
        <is>
          <t>월</t>
        </is>
      </c>
      <c r="D30" s="306" t="inlineStr">
        <is>
          <t>일</t>
        </is>
      </c>
      <c r="E30" s="415" t="inlineStr">
        <is>
          <t>공란수</t>
        </is>
      </c>
      <c r="F30" s="412" t="n"/>
      <c r="G30" s="415" t="inlineStr">
        <is>
          <t>백</t>
        </is>
      </c>
      <c r="H30" s="306" t="inlineStr">
        <is>
          <t>십</t>
        </is>
      </c>
      <c r="I30" s="306" t="inlineStr">
        <is>
          <t>억</t>
        </is>
      </c>
      <c r="J30" s="306" t="inlineStr">
        <is>
          <t>천</t>
        </is>
      </c>
      <c r="K30" s="306" t="inlineStr">
        <is>
          <t>백</t>
        </is>
      </c>
      <c r="L30" s="306" t="inlineStr">
        <is>
          <t>십</t>
        </is>
      </c>
      <c r="M30" s="306" t="inlineStr">
        <is>
          <t>만</t>
        </is>
      </c>
      <c r="N30" s="306" t="inlineStr">
        <is>
          <t>천</t>
        </is>
      </c>
      <c r="O30" s="306" t="inlineStr">
        <is>
          <t>백</t>
        </is>
      </c>
      <c r="P30" s="306" t="inlineStr">
        <is>
          <t>십</t>
        </is>
      </c>
      <c r="Q30" s="306" t="inlineStr">
        <is>
          <t>일</t>
        </is>
      </c>
      <c r="R30" s="306" t="inlineStr">
        <is>
          <t>십</t>
        </is>
      </c>
      <c r="S30" s="306" t="inlineStr">
        <is>
          <t>억</t>
        </is>
      </c>
      <c r="T30" s="306" t="inlineStr">
        <is>
          <t>천</t>
        </is>
      </c>
      <c r="U30" s="306" t="inlineStr">
        <is>
          <t>백</t>
        </is>
      </c>
      <c r="V30" s="306" t="inlineStr">
        <is>
          <t>십</t>
        </is>
      </c>
      <c r="W30" s="306" t="inlineStr">
        <is>
          <t>만</t>
        </is>
      </c>
      <c r="X30" s="306" t="inlineStr">
        <is>
          <t>천</t>
        </is>
      </c>
      <c r="Y30" s="306" t="inlineStr">
        <is>
          <t>백</t>
        </is>
      </c>
      <c r="Z30" s="306" t="inlineStr">
        <is>
          <t>십</t>
        </is>
      </c>
      <c r="AA30" s="306" t="inlineStr">
        <is>
          <t>일</t>
        </is>
      </c>
      <c r="AB30" s="440" t="n"/>
      <c r="AC30" s="416" t="n"/>
      <c r="AD30" s="416" t="n"/>
      <c r="AE30" s="416" t="n"/>
      <c r="AF30" s="417" t="n"/>
    </row>
    <row customHeight="1" ht="14.25" r="31" s="391" thickBot="1">
      <c r="A31" s="441">
        <f>Q1</f>
        <v/>
      </c>
      <c r="B31" s="408" t="n"/>
      <c r="C31" s="308">
        <f>V1</f>
        <v/>
      </c>
      <c r="D31" s="309" t="n">
        <v>25</v>
      </c>
      <c r="E31" s="701" t="n"/>
      <c r="F31" s="409" t="n"/>
      <c r="G31" s="702" t="n"/>
      <c r="H31" s="702" t="n"/>
      <c r="I31" s="702" t="n"/>
      <c r="J31" s="702" t="n"/>
      <c r="K31" s="702">
        <f>MID(AH29,1,1)</f>
        <v/>
      </c>
      <c r="L31" s="702">
        <f>MID(AH29,2,1)</f>
        <v/>
      </c>
      <c r="M31" s="702">
        <f>MID(AH29,3,1)</f>
        <v/>
      </c>
      <c r="N31" s="702">
        <f>MID(AH29,4,1)</f>
        <v/>
      </c>
      <c r="O31" s="702">
        <f>MID(AH29,5,1)</f>
        <v/>
      </c>
      <c r="P31" s="702">
        <f>MID(AH29,6,1)</f>
        <v/>
      </c>
      <c r="Q31" s="702">
        <f>MID(AH29,7,1)</f>
        <v/>
      </c>
      <c r="R31" s="702" t="n"/>
      <c r="S31" s="702" t="n"/>
      <c r="T31" s="702" t="n"/>
      <c r="U31" s="702" t="n"/>
      <c r="V31" s="702">
        <f>MID(AI29,1,1)</f>
        <v/>
      </c>
      <c r="W31" s="702">
        <f>MID(AI29,2,1)</f>
        <v/>
      </c>
      <c r="X31" s="702">
        <f>MID(AI29,3,1)</f>
        <v/>
      </c>
      <c r="Y31" s="702">
        <f>MID(AI29,4,1)</f>
        <v/>
      </c>
      <c r="Z31" s="702">
        <f>MID(AI29,5,1)</f>
        <v/>
      </c>
      <c r="AA31" s="702">
        <f>MID(AI29,6,1)</f>
        <v/>
      </c>
      <c r="AB31" s="418" t="n"/>
      <c r="AC31" s="419" t="n"/>
      <c r="AD31" s="419" t="n"/>
      <c r="AE31" s="419" t="n"/>
      <c r="AF31" s="420" t="n"/>
    </row>
    <row r="32">
      <c r="A32" s="36" t="inlineStr">
        <is>
          <t>월</t>
        </is>
      </c>
      <c r="B32" s="37" t="inlineStr">
        <is>
          <t>일</t>
        </is>
      </c>
      <c r="C32" s="428" t="inlineStr">
        <is>
          <t>품          목</t>
        </is>
      </c>
      <c r="D32" s="419" t="n"/>
      <c r="E32" s="419" t="n"/>
      <c r="F32" s="419" t="n"/>
      <c r="G32" s="419" t="n"/>
      <c r="H32" s="420" t="n"/>
      <c r="I32" s="429" t="inlineStr">
        <is>
          <t>규격</t>
        </is>
      </c>
      <c r="J32" s="430" t="n"/>
      <c r="K32" s="431" t="n"/>
      <c r="L32" s="429" t="inlineStr">
        <is>
          <t>수량</t>
        </is>
      </c>
      <c r="M32" s="430" t="n"/>
      <c r="N32" s="431" t="n"/>
      <c r="O32" s="428" t="inlineStr">
        <is>
          <t>단      가</t>
        </is>
      </c>
      <c r="P32" s="419" t="n"/>
      <c r="Q32" s="419" t="n"/>
      <c r="R32" s="419" t="n"/>
      <c r="S32" s="420" t="n"/>
      <c r="T32" s="428" t="inlineStr">
        <is>
          <t>공  급  가  액</t>
        </is>
      </c>
      <c r="U32" s="419" t="n"/>
      <c r="V32" s="419" t="n"/>
      <c r="W32" s="419" t="n"/>
      <c r="X32" s="419" t="n"/>
      <c r="Y32" s="420" t="n"/>
      <c r="Z32" s="428" t="inlineStr">
        <is>
          <t>세        액</t>
        </is>
      </c>
      <c r="AA32" s="419" t="n"/>
      <c r="AB32" s="419" t="n"/>
      <c r="AC32" s="419" t="n"/>
      <c r="AD32" s="420" t="n"/>
      <c r="AE32" s="428" t="inlineStr">
        <is>
          <t>비고</t>
        </is>
      </c>
      <c r="AF32" s="420" t="n"/>
    </row>
    <row r="33">
      <c r="A33" s="311">
        <f>C31</f>
        <v/>
      </c>
      <c r="B33" s="312">
        <f>D31</f>
        <v/>
      </c>
      <c r="C33" s="424" t="inlineStr">
        <is>
          <t>월세</t>
        </is>
      </c>
      <c r="D33" s="414" t="n"/>
      <c r="E33" s="414" t="n"/>
      <c r="F33" s="414" t="n"/>
      <c r="G33" s="414" t="n"/>
      <c r="H33" s="412" t="n"/>
      <c r="I33" s="425" t="n"/>
      <c r="J33" s="414" t="n"/>
      <c r="K33" s="412" t="n"/>
      <c r="L33" s="703" t="n"/>
      <c r="M33" s="414" t="n"/>
      <c r="N33" s="412" t="n"/>
      <c r="O33" s="704" t="n"/>
      <c r="P33" s="414" t="n"/>
      <c r="Q33" s="414" t="n"/>
      <c r="R33" s="414" t="n"/>
      <c r="S33" s="412" t="n"/>
      <c r="T33" s="704">
        <f>G4</f>
        <v/>
      </c>
      <c r="U33" s="414" t="n"/>
      <c r="V33" s="414" t="n"/>
      <c r="W33" s="414" t="n"/>
      <c r="X33" s="414" t="n"/>
      <c r="Y33" s="412" t="n"/>
      <c r="Z33" s="704">
        <f>T33*0.1</f>
        <v/>
      </c>
      <c r="AA33" s="414" t="n"/>
      <c r="AB33" s="414" t="n"/>
      <c r="AC33" s="414" t="n"/>
      <c r="AD33" s="412" t="n"/>
      <c r="AE33" s="411" t="n"/>
      <c r="AF33" s="412" t="n"/>
    </row>
    <row r="34">
      <c r="A34" s="311" t="n"/>
      <c r="B34" s="312" t="n"/>
      <c r="C34" s="424" t="n"/>
      <c r="D34" s="414" t="n"/>
      <c r="E34" s="414" t="n"/>
      <c r="F34" s="414" t="n"/>
      <c r="G34" s="414" t="n"/>
      <c r="H34" s="412" t="n"/>
      <c r="I34" s="425" t="n"/>
      <c r="J34" s="414" t="n"/>
      <c r="K34" s="412" t="n"/>
      <c r="L34" s="703" t="n"/>
      <c r="M34" s="414" t="n"/>
      <c r="N34" s="412" t="n"/>
      <c r="O34" s="704" t="n"/>
      <c r="P34" s="414" t="n"/>
      <c r="Q34" s="414" t="n"/>
      <c r="R34" s="414" t="n"/>
      <c r="S34" s="412" t="n"/>
      <c r="T34" s="704" t="n"/>
      <c r="U34" s="414" t="n"/>
      <c r="V34" s="414" t="n"/>
      <c r="W34" s="414" t="n"/>
      <c r="X34" s="414" t="n"/>
      <c r="Y34" s="412" t="n"/>
      <c r="Z34" s="704" t="n"/>
      <c r="AA34" s="414" t="n"/>
      <c r="AB34" s="414" t="n"/>
      <c r="AC34" s="414" t="n"/>
      <c r="AD34" s="412" t="n"/>
      <c r="AE34" s="411" t="n"/>
      <c r="AF34" s="412" t="n"/>
    </row>
    <row r="35">
      <c r="A35" s="311" t="n"/>
      <c r="B35" s="312" t="n"/>
      <c r="C35" s="424" t="n"/>
      <c r="D35" s="414" t="n"/>
      <c r="E35" s="414" t="n"/>
      <c r="F35" s="414" t="n"/>
      <c r="G35" s="414" t="n"/>
      <c r="H35" s="412" t="n"/>
      <c r="I35" s="425" t="n"/>
      <c r="J35" s="414" t="n"/>
      <c r="K35" s="412" t="n"/>
      <c r="L35" s="703" t="n"/>
      <c r="M35" s="414" t="n"/>
      <c r="N35" s="412" t="n"/>
      <c r="O35" s="704" t="n"/>
      <c r="P35" s="414" t="n"/>
      <c r="Q35" s="414" t="n"/>
      <c r="R35" s="414" t="n"/>
      <c r="S35" s="412" t="n"/>
      <c r="T35" s="704" t="n"/>
      <c r="U35" s="414" t="n"/>
      <c r="V35" s="414" t="n"/>
      <c r="W35" s="414" t="n"/>
      <c r="X35" s="414" t="n"/>
      <c r="Y35" s="412" t="n"/>
      <c r="Z35" s="704" t="n"/>
      <c r="AA35" s="414" t="n"/>
      <c r="AB35" s="414" t="n"/>
      <c r="AC35" s="414" t="n"/>
      <c r="AD35" s="412" t="n"/>
      <c r="AE35" s="411" t="n"/>
      <c r="AF35" s="412" t="n"/>
    </row>
    <row r="36">
      <c r="A36" s="311" t="n"/>
      <c r="B36" s="312" t="n"/>
      <c r="C36" s="424" t="n"/>
      <c r="D36" s="414" t="n"/>
      <c r="E36" s="414" t="n"/>
      <c r="F36" s="414" t="n"/>
      <c r="G36" s="414" t="n"/>
      <c r="H36" s="412" t="n"/>
      <c r="I36" s="425" t="n"/>
      <c r="J36" s="414" t="n"/>
      <c r="K36" s="412" t="n"/>
      <c r="L36" s="703" t="n"/>
      <c r="M36" s="414" t="n"/>
      <c r="N36" s="412" t="n"/>
      <c r="O36" s="704" t="n"/>
      <c r="P36" s="414" t="n"/>
      <c r="Q36" s="414" t="n"/>
      <c r="R36" s="414" t="n"/>
      <c r="S36" s="412" t="n"/>
      <c r="T36" s="704" t="n"/>
      <c r="U36" s="414" t="n"/>
      <c r="V36" s="414" t="n"/>
      <c r="W36" s="414" t="n"/>
      <c r="X36" s="414" t="n"/>
      <c r="Y36" s="412" t="n"/>
      <c r="Z36" s="704" t="n"/>
      <c r="AA36" s="414" t="n"/>
      <c r="AB36" s="414" t="n"/>
      <c r="AC36" s="414" t="n"/>
      <c r="AD36" s="412" t="n"/>
      <c r="AE36" s="411" t="n"/>
      <c r="AF36" s="412" t="n"/>
    </row>
    <row r="37">
      <c r="A37" s="413" t="inlineStr">
        <is>
          <t>합계금액</t>
        </is>
      </c>
      <c r="B37" s="414" t="n"/>
      <c r="C37" s="414" t="n"/>
      <c r="D37" s="414" t="n"/>
      <c r="E37" s="412" t="n"/>
      <c r="F37" s="415" t="inlineStr">
        <is>
          <t>현  금</t>
        </is>
      </c>
      <c r="G37" s="414" t="n"/>
      <c r="H37" s="414" t="n"/>
      <c r="I37" s="414" t="n"/>
      <c r="J37" s="412" t="n"/>
      <c r="K37" s="415" t="inlineStr">
        <is>
          <t>수  표</t>
        </is>
      </c>
      <c r="L37" s="414" t="n"/>
      <c r="M37" s="414" t="n"/>
      <c r="N37" s="414" t="n"/>
      <c r="O37" s="412" t="n"/>
      <c r="P37" s="415" t="inlineStr">
        <is>
          <t>어  음</t>
        </is>
      </c>
      <c r="Q37" s="414" t="n"/>
      <c r="R37" s="414" t="n"/>
      <c r="S37" s="414" t="n"/>
      <c r="T37" s="412" t="n"/>
      <c r="U37" s="415" t="inlineStr">
        <is>
          <t>외상미수금</t>
        </is>
      </c>
      <c r="V37" s="414" t="n"/>
      <c r="W37" s="414" t="n"/>
      <c r="X37" s="414" t="n"/>
      <c r="Y37" s="412" t="n"/>
      <c r="Z37" s="415" t="inlineStr">
        <is>
          <t xml:space="preserve">이 금액을 </t>
        </is>
      </c>
      <c r="AA37" s="416" t="n"/>
      <c r="AB37" s="416" t="n"/>
      <c r="AC37" s="417" t="n"/>
      <c r="AD37" s="421" t="inlineStr">
        <is>
          <t>청구</t>
        </is>
      </c>
      <c r="AE37" s="422" t="n"/>
      <c r="AF37" s="405" t="inlineStr">
        <is>
          <t>함</t>
        </is>
      </c>
    </row>
    <row customHeight="1" ht="14.25" r="38" s="391" thickBot="1">
      <c r="A38" s="706">
        <f>SUM(T33:AD35)</f>
        <v/>
      </c>
      <c r="B38" s="408" t="n"/>
      <c r="C38" s="408" t="n"/>
      <c r="D38" s="408" t="n"/>
      <c r="E38" s="409" t="n"/>
      <c r="F38" s="707" t="n"/>
      <c r="G38" s="408" t="n"/>
      <c r="H38" s="408" t="n"/>
      <c r="I38" s="408" t="n"/>
      <c r="J38" s="409" t="n"/>
      <c r="K38" s="707" t="n"/>
      <c r="L38" s="408" t="n"/>
      <c r="M38" s="408" t="n"/>
      <c r="N38" s="408" t="n"/>
      <c r="O38" s="409" t="n"/>
      <c r="P38" s="707" t="n"/>
      <c r="Q38" s="408" t="n"/>
      <c r="R38" s="408" t="n"/>
      <c r="S38" s="408" t="n"/>
      <c r="T38" s="409" t="n"/>
      <c r="U38" s="707" t="n"/>
      <c r="V38" s="408" t="n"/>
      <c r="W38" s="408" t="n"/>
      <c r="X38" s="408" t="n"/>
      <c r="Y38" s="409" t="n"/>
      <c r="Z38" s="418" t="n"/>
      <c r="AA38" s="419" t="n"/>
      <c r="AB38" s="419" t="n"/>
      <c r="AC38" s="420" t="n"/>
      <c r="AD38" s="423" t="n"/>
      <c r="AE38" s="423" t="n"/>
      <c r="AF38" s="406" t="n"/>
    </row>
    <row r="39">
      <c r="A39" s="31" t="inlineStr">
        <is>
          <t>22226-28131일 '96.3.27승인</t>
        </is>
      </c>
      <c r="B39" s="31" t="n"/>
      <c r="C39" s="32" t="n"/>
      <c r="D39" s="32" t="n"/>
      <c r="E39" s="32" t="n"/>
      <c r="F39" s="32" t="n"/>
      <c r="G39" s="32" t="n"/>
      <c r="H39" s="32" t="n"/>
      <c r="I39" s="32" t="n"/>
      <c r="J39" s="32" t="n"/>
      <c r="K39" s="32" t="n"/>
      <c r="L39" s="32" t="n"/>
      <c r="M39" s="32" t="n"/>
      <c r="N39" s="32" t="n"/>
      <c r="O39" s="32" t="n"/>
      <c r="P39" s="32" t="n"/>
      <c r="Q39" s="32" t="n"/>
      <c r="R39" s="32" t="n"/>
      <c r="S39" s="32" t="n"/>
      <c r="T39" s="32" t="n"/>
      <c r="U39" s="32" t="n"/>
      <c r="V39" s="32" t="n"/>
      <c r="W39" s="403" t="inlineStr">
        <is>
          <t>인쇄용지(특급)34g/m2 182mmx128mm</t>
        </is>
      </c>
      <c r="X39" s="404" t="n"/>
      <c r="Y39" s="404" t="n"/>
      <c r="Z39" s="404" t="n"/>
      <c r="AA39" s="404" t="n"/>
      <c r="AB39" s="404" t="n"/>
      <c r="AC39" s="404" t="n"/>
      <c r="AD39" s="404" t="n"/>
      <c r="AE39" s="404" t="n"/>
      <c r="AF39" s="404" t="n"/>
    </row>
    <row customHeight="1" ht="14.25" r="43" s="391" thickBot="1">
      <c r="A43" s="31" t="inlineStr">
        <is>
          <t>[별지 제11호 서식]</t>
        </is>
      </c>
      <c r="B43" s="31" t="n"/>
      <c r="C43" s="32" t="n"/>
      <c r="D43" s="32" t="n"/>
      <c r="E43" s="32" t="n"/>
      <c r="F43" s="32" t="n"/>
      <c r="G43" s="33" t="n"/>
      <c r="H43" s="33" t="n"/>
      <c r="I43" s="32" t="n"/>
      <c r="J43" s="32" t="n"/>
      <c r="K43" s="32" t="n"/>
      <c r="L43" s="32" t="n"/>
      <c r="M43" s="32" t="n"/>
      <c r="N43" s="32" t="n"/>
      <c r="O43" s="32" t="n"/>
      <c r="P43" s="32" t="n"/>
      <c r="Q43" s="32" t="n"/>
      <c r="R43" s="32" t="n"/>
      <c r="S43" s="32" t="n"/>
      <c r="T43" s="32" t="n"/>
      <c r="U43" s="32" t="n"/>
      <c r="V43" s="470" t="n"/>
      <c r="AB43" s="470" t="n"/>
    </row>
    <row r="44">
      <c r="A44" s="500" t="inlineStr">
        <is>
          <t>세 금 계 산 서</t>
        </is>
      </c>
      <c r="B44" s="404" t="n"/>
      <c r="C44" s="404" t="n"/>
      <c r="D44" s="404" t="n"/>
      <c r="E44" s="404" t="n"/>
      <c r="F44" s="404" t="n"/>
      <c r="G44" s="404" t="n"/>
      <c r="H44" s="404" t="n"/>
      <c r="I44" s="404" t="n"/>
      <c r="J44" s="404" t="n"/>
      <c r="K44" s="404" t="n"/>
      <c r="L44" s="404" t="n"/>
      <c r="M44" s="404" t="n"/>
      <c r="N44" s="404" t="n"/>
      <c r="O44" s="404" t="n"/>
      <c r="P44" s="502" t="inlineStr">
        <is>
          <t>(</t>
        </is>
      </c>
      <c r="Q44" s="503" t="inlineStr">
        <is>
          <t>공급받는자</t>
        </is>
      </c>
      <c r="R44" s="404" t="n"/>
      <c r="S44" s="404" t="n"/>
      <c r="T44" s="404" t="n"/>
      <c r="U44" s="404" t="n"/>
      <c r="V44" s="503" t="inlineStr">
        <is>
          <t>)</t>
        </is>
      </c>
      <c r="W44" s="504" t="inlineStr">
        <is>
          <t>책   번   호</t>
        </is>
      </c>
      <c r="X44" s="430" t="n"/>
      <c r="Y44" s="430" t="n"/>
      <c r="Z44" s="431" t="n"/>
      <c r="AA44" s="505" t="n"/>
      <c r="AB44" s="430" t="n"/>
      <c r="AC44" s="34" t="inlineStr">
        <is>
          <t>권</t>
        </is>
      </c>
      <c r="AD44" s="505" t="n"/>
      <c r="AE44" s="430" t="n"/>
      <c r="AF44" s="35" t="inlineStr">
        <is>
          <t>호</t>
        </is>
      </c>
    </row>
    <row customHeight="1" ht="13.5" r="45" s="391" thickBot="1">
      <c r="A45" s="501" t="n"/>
      <c r="Q45" s="506" t="inlineStr">
        <is>
          <t>보  관  용</t>
        </is>
      </c>
      <c r="R45" s="419" t="n"/>
      <c r="S45" s="419" t="n"/>
      <c r="T45" s="419" t="n"/>
      <c r="U45" s="419" t="n"/>
      <c r="W45" s="462" t="inlineStr">
        <is>
          <t>일 련 번 호</t>
        </is>
      </c>
      <c r="X45" s="408" t="n"/>
      <c r="Y45" s="408" t="n"/>
      <c r="Z45" s="409" t="n"/>
      <c r="AA45" s="303" t="n"/>
      <c r="AB45" s="304" t="n"/>
      <c r="AC45" s="303" t="n"/>
      <c r="AD45" s="303" t="n"/>
      <c r="AE45" s="303" t="n"/>
      <c r="AF45" s="305" t="n"/>
    </row>
    <row customHeight="1" ht="14.25" r="46" s="391">
      <c r="A46" s="463" t="inlineStr">
        <is>
          <t>공 급 자</t>
        </is>
      </c>
      <c r="B46" s="433" t="inlineStr">
        <is>
          <t>등록번호</t>
        </is>
      </c>
      <c r="C46" s="416" t="n"/>
      <c r="D46" s="417" t="n"/>
      <c r="E46" s="458" t="n">
        <v>1</v>
      </c>
      <c r="F46" s="452" t="n">
        <v>2</v>
      </c>
      <c r="G46" s="452" t="n">
        <v>4</v>
      </c>
      <c r="H46" s="452" t="inlineStr">
        <is>
          <t>-</t>
        </is>
      </c>
      <c r="I46" s="452" t="n">
        <v>2</v>
      </c>
      <c r="J46" s="452" t="n">
        <v>0</v>
      </c>
      <c r="K46" s="452" t="inlineStr">
        <is>
          <t>-</t>
        </is>
      </c>
      <c r="L46" s="452" t="n">
        <v>2</v>
      </c>
      <c r="M46" s="452" t="n">
        <v>6</v>
      </c>
      <c r="N46" s="452" t="n">
        <v>4</v>
      </c>
      <c r="O46" s="452" t="n">
        <v>4</v>
      </c>
      <c r="P46" s="465" t="n">
        <v>9</v>
      </c>
      <c r="Q46" s="467" t="inlineStr">
        <is>
          <t>공급받는자</t>
        </is>
      </c>
      <c r="R46" s="433" t="inlineStr">
        <is>
          <t>등록번호</t>
        </is>
      </c>
      <c r="S46" s="416" t="n"/>
      <c r="T46" s="417" t="n"/>
      <c r="U46" s="458" t="n">
        <v>5</v>
      </c>
      <c r="V46" s="452" t="n">
        <v>3</v>
      </c>
      <c r="W46" s="452" t="n">
        <v>6</v>
      </c>
      <c r="X46" s="452" t="inlineStr">
        <is>
          <t>-</t>
        </is>
      </c>
      <c r="Y46" s="452" t="n">
        <v>8</v>
      </c>
      <c r="Z46" s="452" t="n">
        <v>6</v>
      </c>
      <c r="AA46" s="452" t="inlineStr">
        <is>
          <t>-</t>
        </is>
      </c>
      <c r="AB46" s="452" t="n">
        <v>0</v>
      </c>
      <c r="AC46" s="452" t="n">
        <v>1</v>
      </c>
      <c r="AD46" s="452" t="n">
        <v>7</v>
      </c>
      <c r="AE46" s="452" t="n">
        <v>6</v>
      </c>
      <c r="AF46" s="453" t="n">
        <v>3</v>
      </c>
    </row>
    <row customHeight="1" ht="13.5" r="47" s="391" thickBot="1">
      <c r="A47" s="464" t="n"/>
      <c r="B47" s="418" t="n"/>
      <c r="C47" s="419" t="n"/>
      <c r="D47" s="420" t="n"/>
      <c r="E47" s="459" t="n"/>
      <c r="F47" s="439" t="n"/>
      <c r="G47" s="439" t="n"/>
      <c r="H47" s="439" t="n"/>
      <c r="I47" s="439" t="n"/>
      <c r="J47" s="439" t="n"/>
      <c r="K47" s="439" t="n"/>
      <c r="L47" s="439" t="n"/>
      <c r="M47" s="439" t="n"/>
      <c r="N47" s="439" t="n"/>
      <c r="O47" s="439" t="n"/>
      <c r="P47" s="466" t="n"/>
      <c r="Q47" s="468" t="n"/>
      <c r="R47" s="418" t="n"/>
      <c r="S47" s="419" t="n"/>
      <c r="T47" s="420" t="n"/>
      <c r="U47" s="459" t="n"/>
      <c r="V47" s="439" t="n"/>
      <c r="W47" s="439" t="n"/>
      <c r="X47" s="439" t="n"/>
      <c r="Y47" s="439" t="n"/>
      <c r="Z47" s="439" t="n"/>
      <c r="AA47" s="439" t="n"/>
      <c r="AB47" s="439" t="n"/>
      <c r="AC47" s="439" t="n"/>
      <c r="AD47" s="439" t="n"/>
      <c r="AE47" s="439" t="n"/>
      <c r="AF47" s="454" t="n"/>
    </row>
    <row customHeight="1" ht="14.25" r="48" s="391">
      <c r="A48" s="464" t="n"/>
      <c r="B48" s="444" t="inlineStr">
        <is>
          <t>상     호</t>
        </is>
      </c>
      <c r="C48" s="416" t="n"/>
      <c r="D48" s="417" t="n"/>
      <c r="E48" s="445" t="inlineStr">
        <is>
          <t>세림빌딩</t>
        </is>
      </c>
      <c r="F48" s="416" t="n"/>
      <c r="G48" s="416" t="n"/>
      <c r="H48" s="416" t="n"/>
      <c r="I48" s="416" t="n"/>
      <c r="J48" s="417" t="n"/>
      <c r="K48" s="438" t="inlineStr">
        <is>
          <t>성명</t>
        </is>
      </c>
      <c r="L48" s="447" t="inlineStr">
        <is>
          <t>곽순욱 외1인</t>
        </is>
      </c>
      <c r="M48" s="416" t="n"/>
      <c r="N48" s="416" t="n"/>
      <c r="O48" s="417" t="n"/>
      <c r="P48" s="448" t="inlineStr">
        <is>
          <t>인</t>
        </is>
      </c>
      <c r="Q48" s="468" t="n"/>
      <c r="R48" s="444" t="inlineStr">
        <is>
          <t>상     호</t>
        </is>
      </c>
      <c r="S48" s="416" t="n"/>
      <c r="T48" s="417" t="n"/>
      <c r="U48" s="585" t="inlineStr">
        <is>
          <t>㈜지니컵</t>
        </is>
      </c>
      <c r="V48" s="404" t="n"/>
      <c r="W48" s="404" t="n"/>
      <c r="X48" s="404" t="n"/>
      <c r="Y48" s="404" t="n"/>
      <c r="Z48" s="456" t="n"/>
      <c r="AA48" s="457" t="inlineStr">
        <is>
          <t>성명</t>
        </is>
      </c>
      <c r="AB48" s="592" t="inlineStr">
        <is>
          <t>양태양</t>
        </is>
      </c>
      <c r="AC48" s="404" t="n"/>
      <c r="AD48" s="404" t="n"/>
      <c r="AE48" s="404" t="n"/>
      <c r="AF48" s="461" t="inlineStr">
        <is>
          <t>인</t>
        </is>
      </c>
    </row>
    <row customHeight="1" ht="13.5" r="49" s="391" thickBot="1">
      <c r="A49" s="464" t="n"/>
      <c r="B49" s="443" t="inlineStr">
        <is>
          <t>(법인명)</t>
        </is>
      </c>
      <c r="C49" s="419" t="n"/>
      <c r="D49" s="420" t="n"/>
      <c r="E49" s="446" t="n"/>
      <c r="F49" s="436" t="n"/>
      <c r="G49" s="436" t="n"/>
      <c r="H49" s="436" t="n"/>
      <c r="I49" s="436" t="n"/>
      <c r="J49" s="437" t="n"/>
      <c r="K49" s="439" t="n"/>
      <c r="L49" s="418" t="n"/>
      <c r="M49" s="419" t="n"/>
      <c r="N49" s="419" t="n"/>
      <c r="O49" s="420" t="n"/>
      <c r="P49" s="406" t="n"/>
      <c r="Q49" s="468" t="n"/>
      <c r="R49" s="443" t="inlineStr">
        <is>
          <t>(법인명)</t>
        </is>
      </c>
      <c r="S49" s="419" t="n"/>
      <c r="T49" s="420" t="n"/>
      <c r="U49" s="435" t="n"/>
      <c r="V49" s="436" t="n"/>
      <c r="W49" s="436" t="n"/>
      <c r="X49" s="436" t="n"/>
      <c r="Y49" s="436" t="n"/>
      <c r="Z49" s="437" t="n"/>
      <c r="AA49" s="439" t="n"/>
      <c r="AB49" s="418" t="n"/>
      <c r="AC49" s="419" t="n"/>
      <c r="AD49" s="419" t="n"/>
      <c r="AE49" s="419" t="n"/>
      <c r="AF49" s="406" t="n"/>
    </row>
    <row r="50">
      <c r="A50" s="464" t="n"/>
      <c r="B50" s="444" t="inlineStr">
        <is>
          <t>사 업 장</t>
        </is>
      </c>
      <c r="C50" s="416" t="n"/>
      <c r="D50" s="417" t="n"/>
      <c r="E50" s="469" t="inlineStr">
        <is>
          <t>경기도 수원시 영통구 동수원로 514</t>
        </is>
      </c>
      <c r="F50" s="404" t="n"/>
      <c r="G50" s="404" t="n"/>
      <c r="H50" s="404" t="n"/>
      <c r="I50" s="404" t="n"/>
      <c r="J50" s="404" t="n"/>
      <c r="K50" s="404" t="n"/>
      <c r="L50" s="404" t="n"/>
      <c r="M50" s="404" t="n"/>
      <c r="N50" s="404" t="n"/>
      <c r="O50" s="404" t="n"/>
      <c r="P50" s="456" t="n"/>
      <c r="Q50" s="468" t="n"/>
      <c r="R50" s="444" t="inlineStr">
        <is>
          <t>사 업 장</t>
        </is>
      </c>
      <c r="S50" s="416" t="n"/>
      <c r="T50" s="417" t="n"/>
      <c r="U50" s="469">
        <f>U25</f>
        <v/>
      </c>
      <c r="V50" s="404" t="n"/>
      <c r="W50" s="404" t="n"/>
      <c r="X50" s="404" t="n"/>
      <c r="Y50" s="404" t="n"/>
      <c r="Z50" s="404" t="n"/>
      <c r="AA50" s="404" t="n"/>
      <c r="AB50" s="404" t="n"/>
      <c r="AC50" s="404" t="n"/>
      <c r="AD50" s="404" t="n"/>
      <c r="AE50" s="404" t="n"/>
      <c r="AF50" s="456" t="n"/>
      <c r="AH50" s="95" t="inlineStr">
        <is>
          <t>공급가액</t>
        </is>
      </c>
      <c r="AI50" s="95" t="inlineStr">
        <is>
          <t>세액</t>
        </is>
      </c>
      <c r="AJ50" s="95" t="inlineStr">
        <is>
          <t>합계금액</t>
        </is>
      </c>
    </row>
    <row customHeight="1" ht="13.5" r="51" s="391">
      <c r="A51" s="464" t="n"/>
      <c r="B51" s="443" t="inlineStr">
        <is>
          <t>주     소</t>
        </is>
      </c>
      <c r="C51" s="419" t="n"/>
      <c r="D51" s="420" t="n"/>
      <c r="E51" s="418" t="n"/>
      <c r="F51" s="419" t="n"/>
      <c r="G51" s="419" t="n"/>
      <c r="H51" s="419" t="n"/>
      <c r="I51" s="419" t="n"/>
      <c r="J51" s="419" t="n"/>
      <c r="K51" s="419" t="n"/>
      <c r="L51" s="419" t="n"/>
      <c r="M51" s="419" t="n"/>
      <c r="N51" s="419" t="n"/>
      <c r="O51" s="419" t="n"/>
      <c r="P51" s="420" t="n"/>
      <c r="Q51" s="468" t="n"/>
      <c r="R51" s="443" t="inlineStr">
        <is>
          <t>주     소</t>
        </is>
      </c>
      <c r="S51" s="419" t="n"/>
      <c r="T51" s="420" t="n"/>
      <c r="U51" s="418" t="n"/>
      <c r="V51" s="419" t="n"/>
      <c r="W51" s="419" t="n"/>
      <c r="X51" s="419" t="n"/>
      <c r="Y51" s="419" t="n"/>
      <c r="Z51" s="419" t="n"/>
      <c r="AA51" s="419" t="n"/>
      <c r="AB51" s="419" t="n"/>
      <c r="AC51" s="419" t="n"/>
      <c r="AD51" s="419" t="n"/>
      <c r="AE51" s="419" t="n"/>
      <c r="AF51" s="420" t="n"/>
      <c r="AH51" s="698">
        <f>T58</f>
        <v/>
      </c>
      <c r="AI51" s="698">
        <f>Z58</f>
        <v/>
      </c>
    </row>
    <row r="52">
      <c r="A52" s="464" t="n"/>
      <c r="B52" s="433" t="inlineStr">
        <is>
          <t>업     태</t>
        </is>
      </c>
      <c r="C52" s="416" t="n"/>
      <c r="D52" s="417" t="n"/>
      <c r="E52" s="434" t="inlineStr">
        <is>
          <t>부동산업</t>
        </is>
      </c>
      <c r="F52" s="416" t="n"/>
      <c r="G52" s="416" t="n"/>
      <c r="H52" s="416" t="n"/>
      <c r="I52" s="416" t="n"/>
      <c r="J52" s="417" t="n"/>
      <c r="K52" s="438" t="inlineStr">
        <is>
          <t>종목</t>
        </is>
      </c>
      <c r="L52" s="434" t="inlineStr">
        <is>
          <t>비주거용            건물임대업</t>
        </is>
      </c>
      <c r="M52" s="416" t="n"/>
      <c r="N52" s="416" t="n"/>
      <c r="O52" s="416" t="n"/>
      <c r="P52" s="417" t="n"/>
      <c r="Q52" s="468" t="n"/>
      <c r="R52" s="433" t="inlineStr">
        <is>
          <t>업     태</t>
        </is>
      </c>
      <c r="S52" s="416" t="n"/>
      <c r="T52" s="417" t="n"/>
      <c r="U52" s="590" t="inlineStr">
        <is>
          <t>과학 및 기술 서비스업,제조업,도소매업,정보통신업</t>
        </is>
      </c>
      <c r="V52" s="416" t="n"/>
      <c r="W52" s="416" t="n"/>
      <c r="X52" s="416" t="n"/>
      <c r="Y52" s="416" t="n"/>
      <c r="Z52" s="417" t="n"/>
      <c r="AA52" s="438" t="inlineStr">
        <is>
          <t>종목</t>
        </is>
      </c>
      <c r="AB52" s="591" t="inlineStr">
        <is>
          <t>의학 및 약학 연구개발업</t>
        </is>
      </c>
      <c r="AC52" s="416" t="n"/>
      <c r="AD52" s="416" t="n"/>
      <c r="AE52" s="416" t="n"/>
      <c r="AF52" s="450" t="n"/>
      <c r="AH52" s="698">
        <f>T59</f>
        <v/>
      </c>
      <c r="AI52" s="698">
        <f>Z59</f>
        <v/>
      </c>
    </row>
    <row customHeight="1" ht="13.5" r="53" s="391" thickBot="1">
      <c r="A53" s="459" t="n"/>
      <c r="B53" s="418" t="n"/>
      <c r="C53" s="419" t="n"/>
      <c r="D53" s="420" t="n"/>
      <c r="E53" s="435" t="n"/>
      <c r="F53" s="436" t="n"/>
      <c r="G53" s="436" t="n"/>
      <c r="H53" s="436" t="n"/>
      <c r="I53" s="436" t="n"/>
      <c r="J53" s="437" t="n"/>
      <c r="K53" s="439" t="n"/>
      <c r="L53" s="435" t="n"/>
      <c r="M53" s="436" t="n"/>
      <c r="N53" s="436" t="n"/>
      <c r="O53" s="436" t="n"/>
      <c r="P53" s="437" t="n"/>
      <c r="Q53" s="420" t="n"/>
      <c r="R53" s="418" t="n"/>
      <c r="S53" s="419" t="n"/>
      <c r="T53" s="420" t="n"/>
      <c r="U53" s="435" t="n"/>
      <c r="V53" s="436" t="n"/>
      <c r="W53" s="436" t="n"/>
      <c r="X53" s="436" t="n"/>
      <c r="Y53" s="436" t="n"/>
      <c r="Z53" s="437" t="n"/>
      <c r="AA53" s="439" t="n"/>
      <c r="AB53" s="435" t="n"/>
      <c r="AC53" s="436" t="n"/>
      <c r="AD53" s="436" t="n"/>
      <c r="AE53" s="436" t="n"/>
      <c r="AF53" s="451" t="n"/>
      <c r="AH53" s="698">
        <f>T60</f>
        <v/>
      </c>
      <c r="AI53" s="698">
        <f>Z60</f>
        <v/>
      </c>
    </row>
    <row r="54">
      <c r="A54" s="432" t="inlineStr">
        <is>
          <t>작     성</t>
        </is>
      </c>
      <c r="B54" s="430" t="n"/>
      <c r="C54" s="430" t="n"/>
      <c r="D54" s="431" t="n"/>
      <c r="E54" s="429" t="inlineStr">
        <is>
          <t>공      급      가      액</t>
        </is>
      </c>
      <c r="F54" s="430" t="n"/>
      <c r="G54" s="430" t="n"/>
      <c r="H54" s="430" t="n"/>
      <c r="I54" s="430" t="n"/>
      <c r="J54" s="430" t="n"/>
      <c r="K54" s="430" t="n"/>
      <c r="L54" s="430" t="n"/>
      <c r="M54" s="430" t="n"/>
      <c r="N54" s="430" t="n"/>
      <c r="O54" s="430" t="n"/>
      <c r="P54" s="430" t="n"/>
      <c r="Q54" s="431" t="n"/>
      <c r="R54" s="429" t="inlineStr">
        <is>
          <t>세               액</t>
        </is>
      </c>
      <c r="S54" s="430" t="n"/>
      <c r="T54" s="430" t="n"/>
      <c r="U54" s="430" t="n"/>
      <c r="V54" s="430" t="n"/>
      <c r="W54" s="430" t="n"/>
      <c r="X54" s="430" t="n"/>
      <c r="Y54" s="430" t="n"/>
      <c r="Z54" s="430" t="n"/>
      <c r="AA54" s="431" t="n"/>
      <c r="AB54" s="429" t="inlineStr">
        <is>
          <t>비      고</t>
        </is>
      </c>
      <c r="AC54" s="430" t="n"/>
      <c r="AD54" s="430" t="n"/>
      <c r="AE54" s="430" t="n"/>
      <c r="AF54" s="431" t="n"/>
      <c r="AH54" s="699">
        <f>SUM(AH51:AH53)</f>
        <v/>
      </c>
      <c r="AI54" s="699">
        <f>SUM(AI51:AI53)</f>
        <v/>
      </c>
      <c r="AJ54" s="700">
        <f>SUM(AH54:AI54)</f>
        <v/>
      </c>
    </row>
    <row r="55">
      <c r="A55" s="413" t="inlineStr">
        <is>
          <t>년</t>
        </is>
      </c>
      <c r="B55" s="412" t="n"/>
      <c r="C55" s="306" t="inlineStr">
        <is>
          <t>월</t>
        </is>
      </c>
      <c r="D55" s="306" t="inlineStr">
        <is>
          <t>일</t>
        </is>
      </c>
      <c r="E55" s="415" t="inlineStr">
        <is>
          <t>공란수</t>
        </is>
      </c>
      <c r="F55" s="412" t="n"/>
      <c r="G55" s="415" t="inlineStr">
        <is>
          <t>백</t>
        </is>
      </c>
      <c r="H55" s="306" t="inlineStr">
        <is>
          <t>십</t>
        </is>
      </c>
      <c r="I55" s="306" t="inlineStr">
        <is>
          <t>억</t>
        </is>
      </c>
      <c r="J55" s="306" t="inlineStr">
        <is>
          <t>천</t>
        </is>
      </c>
      <c r="K55" s="306" t="inlineStr">
        <is>
          <t>백</t>
        </is>
      </c>
      <c r="L55" s="306" t="inlineStr">
        <is>
          <t>십</t>
        </is>
      </c>
      <c r="M55" s="306" t="inlineStr">
        <is>
          <t>만</t>
        </is>
      </c>
      <c r="N55" s="306" t="inlineStr">
        <is>
          <t>천</t>
        </is>
      </c>
      <c r="O55" s="306" t="inlineStr">
        <is>
          <t>백</t>
        </is>
      </c>
      <c r="P55" s="306" t="inlineStr">
        <is>
          <t>십</t>
        </is>
      </c>
      <c r="Q55" s="306" t="inlineStr">
        <is>
          <t>일</t>
        </is>
      </c>
      <c r="R55" s="306" t="inlineStr">
        <is>
          <t>십</t>
        </is>
      </c>
      <c r="S55" s="306" t="inlineStr">
        <is>
          <t>억</t>
        </is>
      </c>
      <c r="T55" s="306" t="inlineStr">
        <is>
          <t>천</t>
        </is>
      </c>
      <c r="U55" s="306" t="inlineStr">
        <is>
          <t>백</t>
        </is>
      </c>
      <c r="V55" s="306" t="inlineStr">
        <is>
          <t>십</t>
        </is>
      </c>
      <c r="W55" s="306" t="inlineStr">
        <is>
          <t>만</t>
        </is>
      </c>
      <c r="X55" s="306" t="inlineStr">
        <is>
          <t>천</t>
        </is>
      </c>
      <c r="Y55" s="306" t="inlineStr">
        <is>
          <t>백</t>
        </is>
      </c>
      <c r="Z55" s="306" t="inlineStr">
        <is>
          <t>십</t>
        </is>
      </c>
      <c r="AA55" s="306" t="inlineStr">
        <is>
          <t>일</t>
        </is>
      </c>
      <c r="AB55" s="440" t="n"/>
      <c r="AC55" s="416" t="n"/>
      <c r="AD55" s="416" t="n"/>
      <c r="AE55" s="416" t="n"/>
      <c r="AF55" s="417" t="n"/>
    </row>
    <row customHeight="1" ht="14.25" r="56" s="391" thickBot="1">
      <c r="A56" s="441">
        <f>A31</f>
        <v/>
      </c>
      <c r="B56" s="408" t="n"/>
      <c r="C56" s="308">
        <f>C31</f>
        <v/>
      </c>
      <c r="D56" s="309">
        <f>D31</f>
        <v/>
      </c>
      <c r="E56" s="701" t="n"/>
      <c r="F56" s="409" t="n"/>
      <c r="G56" s="702" t="n"/>
      <c r="H56" s="702" t="n"/>
      <c r="I56" s="702" t="n"/>
      <c r="J56" s="702" t="n"/>
      <c r="K56" s="702">
        <f>MID(AH54,1,1)</f>
        <v/>
      </c>
      <c r="L56" s="702">
        <f>MID(AH54,2,1)</f>
        <v/>
      </c>
      <c r="M56" s="702">
        <f>MID(AH54,3,1)</f>
        <v/>
      </c>
      <c r="N56" s="702">
        <f>MID(AH54,4,1)</f>
        <v/>
      </c>
      <c r="O56" s="702">
        <f>MID(AH54,5,1)</f>
        <v/>
      </c>
      <c r="P56" s="702">
        <f>MID(AH54,6,1)</f>
        <v/>
      </c>
      <c r="Q56" s="702">
        <f>MID(AH54,7,1)</f>
        <v/>
      </c>
      <c r="R56" s="702" t="n"/>
      <c r="S56" s="702" t="n"/>
      <c r="T56" s="702" t="n"/>
      <c r="U56" s="702" t="n"/>
      <c r="V56" s="702">
        <f>MID(AI54,1,1)</f>
        <v/>
      </c>
      <c r="W56" s="702">
        <f>MID(AI54,2,1)</f>
        <v/>
      </c>
      <c r="X56" s="702">
        <f>MID(AI54,3,1)</f>
        <v/>
      </c>
      <c r="Y56" s="702">
        <f>MID(AI54,4,1)</f>
        <v/>
      </c>
      <c r="Z56" s="702">
        <f>MID(AI54,5,1)</f>
        <v/>
      </c>
      <c r="AA56" s="702">
        <f>MID(AI54,6,1)</f>
        <v/>
      </c>
      <c r="AB56" s="418" t="n"/>
      <c r="AC56" s="419" t="n"/>
      <c r="AD56" s="419" t="n"/>
      <c r="AE56" s="419" t="n"/>
      <c r="AF56" s="420" t="n"/>
    </row>
    <row r="57">
      <c r="A57" s="36" t="inlineStr">
        <is>
          <t>월</t>
        </is>
      </c>
      <c r="B57" s="37" t="inlineStr">
        <is>
          <t>일</t>
        </is>
      </c>
      <c r="C57" s="428" t="inlineStr">
        <is>
          <t>품          목</t>
        </is>
      </c>
      <c r="D57" s="419" t="n"/>
      <c r="E57" s="419" t="n"/>
      <c r="F57" s="419" t="n"/>
      <c r="G57" s="419" t="n"/>
      <c r="H57" s="420" t="n"/>
      <c r="I57" s="429" t="inlineStr">
        <is>
          <t>규격</t>
        </is>
      </c>
      <c r="J57" s="430" t="n"/>
      <c r="K57" s="431" t="n"/>
      <c r="L57" s="429" t="inlineStr">
        <is>
          <t>수량</t>
        </is>
      </c>
      <c r="M57" s="430" t="n"/>
      <c r="N57" s="431" t="n"/>
      <c r="O57" s="428" t="inlineStr">
        <is>
          <t>단      가</t>
        </is>
      </c>
      <c r="P57" s="419" t="n"/>
      <c r="Q57" s="419" t="n"/>
      <c r="R57" s="419" t="n"/>
      <c r="S57" s="420" t="n"/>
      <c r="T57" s="428" t="inlineStr">
        <is>
          <t>공  급  가  액</t>
        </is>
      </c>
      <c r="U57" s="419" t="n"/>
      <c r="V57" s="419" t="n"/>
      <c r="W57" s="419" t="n"/>
      <c r="X57" s="419" t="n"/>
      <c r="Y57" s="420" t="n"/>
      <c r="Z57" s="428" t="inlineStr">
        <is>
          <t>세        액</t>
        </is>
      </c>
      <c r="AA57" s="419" t="n"/>
      <c r="AB57" s="419" t="n"/>
      <c r="AC57" s="419" t="n"/>
      <c r="AD57" s="420" t="n"/>
      <c r="AE57" s="428" t="inlineStr">
        <is>
          <t>비고</t>
        </is>
      </c>
      <c r="AF57" s="420" t="n"/>
    </row>
    <row r="58">
      <c r="A58" s="311">
        <f>C56</f>
        <v/>
      </c>
      <c r="B58" s="312">
        <f>D56</f>
        <v/>
      </c>
      <c r="C58" s="424" t="inlineStr">
        <is>
          <t>관리비</t>
        </is>
      </c>
      <c r="D58" s="414" t="n"/>
      <c r="E58" s="414" t="n"/>
      <c r="F58" s="414" t="n"/>
      <c r="G58" s="414" t="n"/>
      <c r="H58" s="412" t="n"/>
      <c r="I58" s="425" t="n"/>
      <c r="J58" s="414" t="n"/>
      <c r="K58" s="412" t="n"/>
      <c r="L58" s="703" t="n"/>
      <c r="M58" s="414" t="n"/>
      <c r="N58" s="412" t="n"/>
      <c r="O58" s="704" t="n"/>
      <c r="P58" s="414" t="n"/>
      <c r="Q58" s="414" t="n"/>
      <c r="R58" s="414" t="n"/>
      <c r="S58" s="412" t="n"/>
      <c r="T58" s="704">
        <f>G6/1.1</f>
        <v/>
      </c>
      <c r="U58" s="414" t="n"/>
      <c r="V58" s="414" t="n"/>
      <c r="W58" s="414" t="n"/>
      <c r="X58" s="414" t="n"/>
      <c r="Y58" s="412" t="n"/>
      <c r="Z58" s="704">
        <f>G6-T58</f>
        <v/>
      </c>
      <c r="AA58" s="414" t="n"/>
      <c r="AB58" s="414" t="n"/>
      <c r="AC58" s="414" t="n"/>
      <c r="AD58" s="412" t="n"/>
      <c r="AE58" s="411" t="n"/>
      <c r="AF58" s="412" t="n"/>
    </row>
    <row r="59">
      <c r="A59" s="311">
        <f>A58</f>
        <v/>
      </c>
      <c r="B59" s="312">
        <f>B58</f>
        <v/>
      </c>
      <c r="C59" s="424" t="inlineStr">
        <is>
          <t>전기요금</t>
        </is>
      </c>
      <c r="D59" s="414" t="n"/>
      <c r="E59" s="414" t="n"/>
      <c r="F59" s="414" t="n"/>
      <c r="G59" s="414" t="n"/>
      <c r="H59" s="412" t="n"/>
      <c r="I59" s="425" t="n"/>
      <c r="J59" s="414" t="n"/>
      <c r="K59" s="412" t="n"/>
      <c r="L59" s="703" t="n"/>
      <c r="M59" s="414" t="n"/>
      <c r="N59" s="412" t="n"/>
      <c r="O59" s="704" t="n"/>
      <c r="P59" s="414" t="n"/>
      <c r="Q59" s="414" t="n"/>
      <c r="R59" s="414" t="n"/>
      <c r="S59" s="412" t="n"/>
      <c r="T59" s="704">
        <f>G7/1.1</f>
        <v/>
      </c>
      <c r="U59" s="414" t="n"/>
      <c r="V59" s="414" t="n"/>
      <c r="W59" s="414" t="n"/>
      <c r="X59" s="414" t="n"/>
      <c r="Y59" s="412" t="n"/>
      <c r="Z59" s="704">
        <f>G7-T59</f>
        <v/>
      </c>
      <c r="AA59" s="414" t="n"/>
      <c r="AB59" s="414" t="n"/>
      <c r="AC59" s="414" t="n"/>
      <c r="AD59" s="412" t="n"/>
      <c r="AE59" s="411" t="n"/>
      <c r="AF59" s="412" t="n"/>
    </row>
    <row r="60">
      <c r="A60" s="311" t="n"/>
      <c r="B60" s="312" t="n"/>
      <c r="C60" s="424" t="n"/>
      <c r="D60" s="414" t="n"/>
      <c r="E60" s="414" t="n"/>
      <c r="F60" s="414" t="n"/>
      <c r="G60" s="414" t="n"/>
      <c r="H60" s="412" t="n"/>
      <c r="I60" s="425" t="n"/>
      <c r="J60" s="414" t="n"/>
      <c r="K60" s="412" t="n"/>
      <c r="L60" s="703" t="n"/>
      <c r="M60" s="414" t="n"/>
      <c r="N60" s="412" t="n"/>
      <c r="O60" s="704" t="n"/>
      <c r="P60" s="414" t="n"/>
      <c r="Q60" s="414" t="n"/>
      <c r="R60" s="414" t="n"/>
      <c r="S60" s="412" t="n"/>
      <c r="T60" s="704">
        <f>G32/1.1</f>
        <v/>
      </c>
      <c r="U60" s="414" t="n"/>
      <c r="V60" s="414" t="n"/>
      <c r="W60" s="414" t="n"/>
      <c r="X60" s="414" t="n"/>
      <c r="Y60" s="412" t="n"/>
      <c r="Z60" s="704">
        <f>G32-T60</f>
        <v/>
      </c>
      <c r="AA60" s="414" t="n"/>
      <c r="AB60" s="414" t="n"/>
      <c r="AC60" s="414" t="n"/>
      <c r="AD60" s="412" t="n"/>
      <c r="AE60" s="411" t="n"/>
      <c r="AF60" s="412" t="n"/>
    </row>
    <row r="61">
      <c r="A61" s="311" t="n"/>
      <c r="B61" s="312" t="n"/>
      <c r="C61" s="424" t="n"/>
      <c r="D61" s="414" t="n"/>
      <c r="E61" s="414" t="n"/>
      <c r="F61" s="414" t="n"/>
      <c r="G61" s="414" t="n"/>
      <c r="H61" s="412" t="n"/>
      <c r="I61" s="425" t="n"/>
      <c r="J61" s="414" t="n"/>
      <c r="K61" s="412" t="n"/>
      <c r="L61" s="703" t="n"/>
      <c r="M61" s="414" t="n"/>
      <c r="N61" s="412" t="n"/>
      <c r="O61" s="704" t="n"/>
      <c r="P61" s="414" t="n"/>
      <c r="Q61" s="414" t="n"/>
      <c r="R61" s="414" t="n"/>
      <c r="S61" s="412" t="n"/>
      <c r="T61" s="704" t="n"/>
      <c r="U61" s="414" t="n"/>
      <c r="V61" s="414" t="n"/>
      <c r="W61" s="414" t="n"/>
      <c r="X61" s="414" t="n"/>
      <c r="Y61" s="412" t="n"/>
      <c r="Z61" s="704" t="n"/>
      <c r="AA61" s="414" t="n"/>
      <c r="AB61" s="414" t="n"/>
      <c r="AC61" s="414" t="n"/>
      <c r="AD61" s="412" t="n"/>
      <c r="AE61" s="411" t="n"/>
      <c r="AF61" s="412" t="n"/>
    </row>
    <row r="62">
      <c r="A62" s="413" t="inlineStr">
        <is>
          <t>합계금액</t>
        </is>
      </c>
      <c r="B62" s="414" t="n"/>
      <c r="C62" s="414" t="n"/>
      <c r="D62" s="414" t="n"/>
      <c r="E62" s="412" t="n"/>
      <c r="F62" s="415" t="inlineStr">
        <is>
          <t>현  금</t>
        </is>
      </c>
      <c r="G62" s="414" t="n"/>
      <c r="H62" s="414" t="n"/>
      <c r="I62" s="414" t="n"/>
      <c r="J62" s="412" t="n"/>
      <c r="K62" s="415" t="inlineStr">
        <is>
          <t>수  표</t>
        </is>
      </c>
      <c r="L62" s="414" t="n"/>
      <c r="M62" s="414" t="n"/>
      <c r="N62" s="414" t="n"/>
      <c r="O62" s="412" t="n"/>
      <c r="P62" s="415" t="inlineStr">
        <is>
          <t>어  음</t>
        </is>
      </c>
      <c r="Q62" s="414" t="n"/>
      <c r="R62" s="414" t="n"/>
      <c r="S62" s="414" t="n"/>
      <c r="T62" s="412" t="n"/>
      <c r="U62" s="415" t="inlineStr">
        <is>
          <t>외상미수금</t>
        </is>
      </c>
      <c r="V62" s="414" t="n"/>
      <c r="W62" s="414" t="n"/>
      <c r="X62" s="414" t="n"/>
      <c r="Y62" s="412" t="n"/>
      <c r="Z62" s="415" t="inlineStr">
        <is>
          <t xml:space="preserve">이 금액을 </t>
        </is>
      </c>
      <c r="AA62" s="416" t="n"/>
      <c r="AB62" s="416" t="n"/>
      <c r="AC62" s="417" t="n"/>
      <c r="AD62" s="421" t="inlineStr">
        <is>
          <t>청구</t>
        </is>
      </c>
      <c r="AE62" s="422" t="n"/>
      <c r="AF62" s="405" t="inlineStr">
        <is>
          <t>함</t>
        </is>
      </c>
    </row>
    <row customHeight="1" ht="13.5" r="63" s="391" thickBot="1">
      <c r="A63" s="706">
        <f>SUM(T58:AD60)</f>
        <v/>
      </c>
      <c r="B63" s="408" t="n"/>
      <c r="C63" s="408" t="n"/>
      <c r="D63" s="408" t="n"/>
      <c r="E63" s="409" t="n"/>
      <c r="F63" s="707" t="n"/>
      <c r="G63" s="408" t="n"/>
      <c r="H63" s="408" t="n"/>
      <c r="I63" s="408" t="n"/>
      <c r="J63" s="409" t="n"/>
      <c r="K63" s="707" t="n"/>
      <c r="L63" s="408" t="n"/>
      <c r="M63" s="408" t="n"/>
      <c r="N63" s="408" t="n"/>
      <c r="O63" s="409" t="n"/>
      <c r="P63" s="707" t="n"/>
      <c r="Q63" s="408" t="n"/>
      <c r="R63" s="408" t="n"/>
      <c r="S63" s="408" t="n"/>
      <c r="T63" s="409" t="n"/>
      <c r="U63" s="707" t="n"/>
      <c r="V63" s="408" t="n"/>
      <c r="W63" s="408" t="n"/>
      <c r="X63" s="408" t="n"/>
      <c r="Y63" s="409" t="n"/>
      <c r="Z63" s="418" t="n"/>
      <c r="AA63" s="419" t="n"/>
      <c r="AB63" s="419" t="n"/>
      <c r="AC63" s="420" t="n"/>
      <c r="AD63" s="423" t="n"/>
      <c r="AE63" s="423" t="n"/>
      <c r="AF63" s="406" t="n"/>
    </row>
    <row r="64">
      <c r="A64" s="31" t="inlineStr">
        <is>
          <t>22226-28131일 '96.3.27승인</t>
        </is>
      </c>
      <c r="B64" s="31" t="n"/>
      <c r="C64" s="32" t="n"/>
      <c r="D64" s="32" t="n"/>
      <c r="E64" s="32" t="n"/>
      <c r="F64" s="32" t="n"/>
      <c r="G64" s="32" t="n"/>
      <c r="H64" s="32" t="n"/>
      <c r="I64" s="32" t="n"/>
      <c r="J64" s="32" t="n"/>
      <c r="K64" s="32" t="n"/>
      <c r="L64" s="32" t="n"/>
      <c r="M64" s="32" t="n"/>
      <c r="N64" s="32" t="n"/>
      <c r="O64" s="32" t="n"/>
      <c r="P64" s="32" t="n"/>
      <c r="Q64" s="32" t="n"/>
      <c r="R64" s="32" t="n"/>
      <c r="S64" s="32" t="n"/>
      <c r="T64" s="32" t="n"/>
      <c r="U64" s="32" t="n"/>
      <c r="V64" s="32" t="n"/>
      <c r="W64" s="403" t="inlineStr">
        <is>
          <t>인쇄용지(특급)34g/m2 182mmx128mm</t>
        </is>
      </c>
      <c r="X64" s="404" t="n"/>
      <c r="Y64" s="404" t="n"/>
      <c r="Z64" s="404" t="n"/>
      <c r="AA64" s="404" t="n"/>
      <c r="AB64" s="404" t="n"/>
      <c r="AC64" s="404" t="n"/>
      <c r="AD64" s="404" t="n"/>
      <c r="AE64" s="404" t="n"/>
      <c r="AF64" s="404" t="n"/>
    </row>
    <row r="65">
      <c r="A65" s="31" t="n"/>
      <c r="B65" s="31" t="n"/>
      <c r="C65" s="32" t="n"/>
      <c r="D65" s="32" t="n"/>
      <c r="E65" s="32" t="n"/>
      <c r="F65" s="32" t="n"/>
      <c r="G65" s="32" t="n"/>
      <c r="H65" s="32" t="n"/>
      <c r="I65" s="32" t="n"/>
      <c r="J65" s="32" t="n"/>
      <c r="K65" s="32" t="n"/>
      <c r="L65" s="32" t="n"/>
      <c r="M65" s="32" t="n"/>
      <c r="N65" s="32" t="n"/>
      <c r="O65" s="32" t="n"/>
      <c r="P65" s="32" t="n"/>
      <c r="Q65" s="32" t="n"/>
      <c r="R65" s="32" t="n"/>
      <c r="S65" s="32" t="n"/>
      <c r="T65" s="32" t="n"/>
      <c r="U65" s="32" t="n"/>
      <c r="V65" s="32" t="n"/>
      <c r="W65" s="343" t="n"/>
      <c r="X65" s="343" t="n"/>
      <c r="Y65" s="343" t="n"/>
      <c r="Z65" s="343" t="n"/>
      <c r="AA65" s="343" t="n"/>
      <c r="AB65" s="343" t="n"/>
      <c r="AC65" s="343" t="n"/>
      <c r="AD65" s="343" t="n"/>
      <c r="AE65" s="343" t="n"/>
      <c r="AF65" s="343" t="n"/>
    </row>
    <row r="66">
      <c r="A66" s="31" t="n"/>
      <c r="B66" s="31" t="n"/>
      <c r="C66" s="32" t="n"/>
      <c r="D66" s="32" t="n"/>
      <c r="E66" s="32" t="n"/>
      <c r="F66" s="32" t="n"/>
      <c r="G66" s="32" t="n"/>
      <c r="H66" s="32" t="n"/>
      <c r="I66" s="32" t="n"/>
      <c r="J66" s="32" t="n"/>
      <c r="K66" s="32" t="n"/>
      <c r="L66" s="32" t="n"/>
      <c r="M66" s="32" t="n"/>
      <c r="N66" s="32" t="n"/>
      <c r="O66" s="32" t="n"/>
      <c r="P66" s="32" t="n"/>
      <c r="Q66" s="32" t="n"/>
      <c r="R66" s="32" t="n"/>
      <c r="S66" s="32" t="n"/>
      <c r="T66" s="32" t="n"/>
      <c r="U66" s="32" t="n"/>
      <c r="V66" s="32" t="n"/>
      <c r="W66" s="343" t="n"/>
      <c r="X66" s="343" t="n"/>
      <c r="Y66" s="343" t="n"/>
      <c r="Z66" s="343" t="n"/>
      <c r="AA66" s="343" t="n"/>
      <c r="AB66" s="343" t="n"/>
      <c r="AC66" s="343" t="n"/>
      <c r="AD66" s="343" t="n"/>
      <c r="AE66" s="343" t="n"/>
      <c r="AF66" s="343" t="n"/>
    </row>
    <row r="67">
      <c r="A67" s="31" t="n"/>
      <c r="B67" s="31" t="n"/>
      <c r="C67" s="32" t="n"/>
      <c r="D67" s="32" t="n"/>
      <c r="E67" s="32" t="n"/>
      <c r="F67" s="32" t="n"/>
      <c r="G67" s="32" t="n"/>
      <c r="H67" s="32" t="n"/>
      <c r="I67" s="32" t="n"/>
      <c r="J67" s="32" t="n"/>
      <c r="K67" s="32" t="n"/>
      <c r="L67" s="32" t="n"/>
      <c r="M67" s="32" t="n"/>
      <c r="N67" s="32" t="n"/>
      <c r="O67" s="32" t="n"/>
      <c r="P67" s="32" t="n"/>
      <c r="Q67" s="32" t="n"/>
      <c r="R67" s="32" t="n"/>
      <c r="S67" s="32" t="n"/>
      <c r="T67" s="32" t="n"/>
      <c r="U67" s="32" t="n"/>
      <c r="V67" s="32" t="n"/>
      <c r="W67" s="343" t="n"/>
      <c r="X67" s="343" t="n"/>
      <c r="Y67" s="343" t="n"/>
      <c r="Z67" s="343" t="n"/>
      <c r="AA67" s="343" t="n"/>
      <c r="AB67" s="343" t="n"/>
      <c r="AC67" s="343" t="n"/>
      <c r="AD67" s="343" t="n"/>
      <c r="AE67" s="343" t="n"/>
      <c r="AF67" s="343" t="n"/>
    </row>
    <row r="68">
      <c r="A68" s="31" t="n"/>
      <c r="B68" s="31" t="n"/>
      <c r="C68" s="32" t="n"/>
      <c r="D68" s="32" t="n"/>
      <c r="E68" s="32" t="n"/>
      <c r="F68" s="32" t="n"/>
      <c r="G68" s="32" t="n"/>
      <c r="H68" s="32" t="n"/>
      <c r="I68" s="32" t="n"/>
      <c r="J68" s="32" t="n"/>
      <c r="K68" s="32" t="n"/>
      <c r="L68" s="32" t="n"/>
      <c r="M68" s="32" t="n"/>
      <c r="N68" s="32" t="n"/>
      <c r="O68" s="32" t="n"/>
      <c r="P68" s="32" t="n"/>
      <c r="Q68" s="32" t="n"/>
      <c r="R68" s="32" t="n"/>
      <c r="S68" s="32" t="n"/>
      <c r="T68" s="32" t="n"/>
      <c r="U68" s="32" t="n"/>
      <c r="V68" s="32" t="n"/>
      <c r="W68" s="343" t="n"/>
      <c r="X68" s="343" t="n"/>
      <c r="Y68" s="343" t="n"/>
      <c r="Z68" s="343" t="n"/>
      <c r="AA68" s="343" t="n"/>
      <c r="AB68" s="343" t="n"/>
      <c r="AC68" s="343" t="n"/>
      <c r="AD68" s="343" t="n"/>
      <c r="AE68" s="343" t="n"/>
      <c r="AF68" s="343" t="n"/>
    </row>
    <row customHeight="1" ht="14.25" r="69" s="391" thickBot="1">
      <c r="A69" s="31" t="inlineStr">
        <is>
          <t>[별지 제11호 서식]</t>
        </is>
      </c>
      <c r="B69" s="31" t="n"/>
      <c r="C69" s="32" t="n"/>
      <c r="D69" s="32" t="n"/>
      <c r="E69" s="32" t="n"/>
      <c r="F69" s="32" t="n"/>
      <c r="G69" s="33" t="n"/>
      <c r="H69" s="33" t="n"/>
      <c r="I69" s="32" t="n"/>
      <c r="J69" s="32" t="n"/>
      <c r="K69" s="32" t="n"/>
      <c r="L69" s="32" t="n"/>
      <c r="M69" s="32" t="n"/>
      <c r="N69" s="32" t="n"/>
      <c r="O69" s="32" t="n"/>
      <c r="P69" s="32" t="n"/>
      <c r="Q69" s="32" t="n"/>
      <c r="R69" s="32" t="n"/>
      <c r="S69" s="32" t="n"/>
      <c r="T69" s="32" t="n"/>
      <c r="U69" s="32" t="n"/>
      <c r="V69" s="470" t="n"/>
      <c r="AB69" s="470" t="n"/>
    </row>
    <row r="70">
      <c r="A70" s="500" t="inlineStr">
        <is>
          <t>세 금 계 산 서</t>
        </is>
      </c>
      <c r="B70" s="404" t="n"/>
      <c r="C70" s="404" t="n"/>
      <c r="D70" s="404" t="n"/>
      <c r="E70" s="404" t="n"/>
      <c r="F70" s="404" t="n"/>
      <c r="G70" s="404" t="n"/>
      <c r="H70" s="404" t="n"/>
      <c r="I70" s="404" t="n"/>
      <c r="J70" s="404" t="n"/>
      <c r="K70" s="404" t="n"/>
      <c r="L70" s="404" t="n"/>
      <c r="M70" s="404" t="n"/>
      <c r="N70" s="404" t="n"/>
      <c r="O70" s="404" t="n"/>
      <c r="P70" s="502" t="inlineStr">
        <is>
          <t>(</t>
        </is>
      </c>
      <c r="Q70" s="503" t="inlineStr">
        <is>
          <t>공급받는자</t>
        </is>
      </c>
      <c r="R70" s="404" t="n"/>
      <c r="S70" s="404" t="n"/>
      <c r="T70" s="404" t="n"/>
      <c r="U70" s="404" t="n"/>
      <c r="V70" s="503" t="inlineStr">
        <is>
          <t>)</t>
        </is>
      </c>
      <c r="W70" s="504" t="inlineStr">
        <is>
          <t>책   번   호</t>
        </is>
      </c>
      <c r="X70" s="430" t="n"/>
      <c r="Y70" s="430" t="n"/>
      <c r="Z70" s="431" t="n"/>
      <c r="AA70" s="505" t="n"/>
      <c r="AB70" s="430" t="n"/>
      <c r="AC70" s="34" t="inlineStr">
        <is>
          <t>권</t>
        </is>
      </c>
      <c r="AD70" s="505" t="n"/>
      <c r="AE70" s="430" t="n"/>
      <c r="AF70" s="35" t="inlineStr">
        <is>
          <t>호</t>
        </is>
      </c>
    </row>
    <row customHeight="1" ht="14.25" r="71" s="391" thickBot="1">
      <c r="A71" s="501" t="n"/>
      <c r="Q71" s="506" t="inlineStr">
        <is>
          <t>보  관  용</t>
        </is>
      </c>
      <c r="R71" s="419" t="n"/>
      <c r="S71" s="419" t="n"/>
      <c r="T71" s="419" t="n"/>
      <c r="U71" s="419" t="n"/>
      <c r="W71" s="462" t="inlineStr">
        <is>
          <t>일 련 번 호</t>
        </is>
      </c>
      <c r="X71" s="408" t="n"/>
      <c r="Y71" s="408" t="n"/>
      <c r="Z71" s="409" t="n"/>
      <c r="AA71" s="303" t="n"/>
      <c r="AB71" s="304" t="n"/>
      <c r="AC71" s="303" t="n"/>
      <c r="AD71" s="303" t="n"/>
      <c r="AE71" s="303" t="n"/>
      <c r="AF71" s="305" t="n"/>
    </row>
    <row r="72">
      <c r="A72" s="463" t="inlineStr">
        <is>
          <t>공 급 자</t>
        </is>
      </c>
      <c r="B72" s="433" t="inlineStr">
        <is>
          <t>등록번호</t>
        </is>
      </c>
      <c r="C72" s="416" t="n"/>
      <c r="D72" s="417" t="n"/>
      <c r="E72" s="458" t="n">
        <v>1</v>
      </c>
      <c r="F72" s="452" t="n">
        <v>2</v>
      </c>
      <c r="G72" s="452" t="n">
        <v>4</v>
      </c>
      <c r="H72" s="452" t="inlineStr">
        <is>
          <t>-</t>
        </is>
      </c>
      <c r="I72" s="452" t="n">
        <v>2</v>
      </c>
      <c r="J72" s="452" t="n">
        <v>0</v>
      </c>
      <c r="K72" s="452" t="inlineStr">
        <is>
          <t>-</t>
        </is>
      </c>
      <c r="L72" s="452" t="n">
        <v>2</v>
      </c>
      <c r="M72" s="452" t="n">
        <v>6</v>
      </c>
      <c r="N72" s="452" t="n">
        <v>4</v>
      </c>
      <c r="O72" s="452" t="n">
        <v>4</v>
      </c>
      <c r="P72" s="465" t="n">
        <v>9</v>
      </c>
      <c r="Q72" s="467" t="inlineStr">
        <is>
          <t>공급받는자</t>
        </is>
      </c>
      <c r="R72" s="433" t="inlineStr">
        <is>
          <t>등록번호</t>
        </is>
      </c>
      <c r="S72" s="416" t="n"/>
      <c r="T72" s="417" t="n"/>
      <c r="U72" s="458" t="n">
        <v>5</v>
      </c>
      <c r="V72" s="452" t="n">
        <v>3</v>
      </c>
      <c r="W72" s="452" t="n">
        <v>6</v>
      </c>
      <c r="X72" s="452" t="inlineStr">
        <is>
          <t>-</t>
        </is>
      </c>
      <c r="Y72" s="452" t="n">
        <v>8</v>
      </c>
      <c r="Z72" s="452" t="n">
        <v>6</v>
      </c>
      <c r="AA72" s="452" t="inlineStr">
        <is>
          <t>-</t>
        </is>
      </c>
      <c r="AB72" s="452" t="n">
        <v>0</v>
      </c>
      <c r="AC72" s="452" t="n">
        <v>1</v>
      </c>
      <c r="AD72" s="452" t="n">
        <v>7</v>
      </c>
      <c r="AE72" s="452" t="n">
        <v>6</v>
      </c>
      <c r="AF72" s="453" t="n">
        <v>3</v>
      </c>
    </row>
    <row customHeight="1" ht="14.25" r="73" s="391" thickBot="1">
      <c r="A73" s="464" t="n"/>
      <c r="B73" s="418" t="n"/>
      <c r="C73" s="419" t="n"/>
      <c r="D73" s="420" t="n"/>
      <c r="E73" s="459" t="n"/>
      <c r="F73" s="439" t="n"/>
      <c r="G73" s="439" t="n"/>
      <c r="H73" s="439" t="n"/>
      <c r="I73" s="439" t="n"/>
      <c r="J73" s="439" t="n"/>
      <c r="K73" s="439" t="n"/>
      <c r="L73" s="439" t="n"/>
      <c r="M73" s="439" t="n"/>
      <c r="N73" s="439" t="n"/>
      <c r="O73" s="439" t="n"/>
      <c r="P73" s="466" t="n"/>
      <c r="Q73" s="468" t="n"/>
      <c r="R73" s="418" t="n"/>
      <c r="S73" s="419" t="n"/>
      <c r="T73" s="420" t="n"/>
      <c r="U73" s="459" t="n"/>
      <c r="V73" s="439" t="n"/>
      <c r="W73" s="439" t="n"/>
      <c r="X73" s="439" t="n"/>
      <c r="Y73" s="439" t="n"/>
      <c r="Z73" s="439" t="n"/>
      <c r="AA73" s="439" t="n"/>
      <c r="AB73" s="439" t="n"/>
      <c r="AC73" s="439" t="n"/>
      <c r="AD73" s="439" t="n"/>
      <c r="AE73" s="439" t="n"/>
      <c r="AF73" s="454" t="n"/>
    </row>
    <row r="74">
      <c r="A74" s="464" t="n"/>
      <c r="B74" s="444" t="inlineStr">
        <is>
          <t>상     호</t>
        </is>
      </c>
      <c r="C74" s="416" t="n"/>
      <c r="D74" s="417" t="n"/>
      <c r="E74" s="445" t="inlineStr">
        <is>
          <t>세림빌딩</t>
        </is>
      </c>
      <c r="F74" s="416" t="n"/>
      <c r="G74" s="416" t="n"/>
      <c r="H74" s="416" t="n"/>
      <c r="I74" s="416" t="n"/>
      <c r="J74" s="417" t="n"/>
      <c r="K74" s="438" t="inlineStr">
        <is>
          <t>성명</t>
        </is>
      </c>
      <c r="L74" s="447" t="inlineStr">
        <is>
          <t>곽순욱 외1인</t>
        </is>
      </c>
      <c r="M74" s="416" t="n"/>
      <c r="N74" s="416" t="n"/>
      <c r="O74" s="417" t="n"/>
      <c r="P74" s="448" t="inlineStr">
        <is>
          <t>인</t>
        </is>
      </c>
      <c r="Q74" s="468" t="n"/>
      <c r="R74" s="444" t="inlineStr">
        <is>
          <t>상     호</t>
        </is>
      </c>
      <c r="S74" s="416" t="n"/>
      <c r="T74" s="417" t="n"/>
      <c r="U74" s="585" t="inlineStr">
        <is>
          <t>㈜지니컵</t>
        </is>
      </c>
      <c r="V74" s="404" t="n"/>
      <c r="W74" s="404" t="n"/>
      <c r="X74" s="404" t="n"/>
      <c r="Y74" s="404" t="n"/>
      <c r="Z74" s="456" t="n"/>
      <c r="AA74" s="457" t="inlineStr">
        <is>
          <t>성명</t>
        </is>
      </c>
      <c r="AB74" s="592" t="inlineStr">
        <is>
          <t>양태양</t>
        </is>
      </c>
      <c r="AC74" s="404" t="n"/>
      <c r="AD74" s="404" t="n"/>
      <c r="AE74" s="404" t="n"/>
      <c r="AF74" s="461" t="inlineStr">
        <is>
          <t>인</t>
        </is>
      </c>
    </row>
    <row customHeight="1" ht="14.25" r="75" s="391" thickBot="1">
      <c r="A75" s="464" t="n"/>
      <c r="B75" s="443" t="inlineStr">
        <is>
          <t>(법인명)</t>
        </is>
      </c>
      <c r="C75" s="419" t="n"/>
      <c r="D75" s="420" t="n"/>
      <c r="E75" s="446" t="n"/>
      <c r="F75" s="436" t="n"/>
      <c r="G75" s="436" t="n"/>
      <c r="H75" s="436" t="n"/>
      <c r="I75" s="436" t="n"/>
      <c r="J75" s="437" t="n"/>
      <c r="K75" s="439" t="n"/>
      <c r="L75" s="418" t="n"/>
      <c r="M75" s="419" t="n"/>
      <c r="N75" s="419" t="n"/>
      <c r="O75" s="420" t="n"/>
      <c r="P75" s="406" t="n"/>
      <c r="Q75" s="468" t="n"/>
      <c r="R75" s="443" t="inlineStr">
        <is>
          <t>(법인명)</t>
        </is>
      </c>
      <c r="S75" s="419" t="n"/>
      <c r="T75" s="420" t="n"/>
      <c r="U75" s="435" t="n"/>
      <c r="V75" s="436" t="n"/>
      <c r="W75" s="436" t="n"/>
      <c r="X75" s="436" t="n"/>
      <c r="Y75" s="436" t="n"/>
      <c r="Z75" s="437" t="n"/>
      <c r="AA75" s="439" t="n"/>
      <c r="AB75" s="418" t="n"/>
      <c r="AC75" s="419" t="n"/>
      <c r="AD75" s="419" t="n"/>
      <c r="AE75" s="419" t="n"/>
      <c r="AF75" s="406" t="n"/>
    </row>
    <row r="76">
      <c r="A76" s="464" t="n"/>
      <c r="B76" s="444" t="inlineStr">
        <is>
          <t>사 업 장</t>
        </is>
      </c>
      <c r="C76" s="416" t="n"/>
      <c r="D76" s="417" t="n"/>
      <c r="E76" s="469" t="inlineStr">
        <is>
          <t>경기도 수원시 영통구 동수원로 514</t>
        </is>
      </c>
      <c r="F76" s="404" t="n"/>
      <c r="G76" s="404" t="n"/>
      <c r="H76" s="404" t="n"/>
      <c r="I76" s="404" t="n"/>
      <c r="J76" s="404" t="n"/>
      <c r="K76" s="404" t="n"/>
      <c r="L76" s="404" t="n"/>
      <c r="M76" s="404" t="n"/>
      <c r="N76" s="404" t="n"/>
      <c r="O76" s="404" t="n"/>
      <c r="P76" s="456" t="n"/>
      <c r="Q76" s="468" t="n"/>
      <c r="R76" s="444" t="inlineStr">
        <is>
          <t>사 업 장</t>
        </is>
      </c>
      <c r="S76" s="416" t="n"/>
      <c r="T76" s="417" t="n"/>
      <c r="U76" s="469">
        <f>U50</f>
        <v/>
      </c>
      <c r="V76" s="404" t="n"/>
      <c r="W76" s="404" t="n"/>
      <c r="X76" s="404" t="n"/>
      <c r="Y76" s="404" t="n"/>
      <c r="Z76" s="404" t="n"/>
      <c r="AA76" s="404" t="n"/>
      <c r="AB76" s="404" t="n"/>
      <c r="AC76" s="404" t="n"/>
      <c r="AD76" s="404" t="n"/>
      <c r="AE76" s="404" t="n"/>
      <c r="AF76" s="456" t="n"/>
      <c r="AH76" s="95" t="inlineStr">
        <is>
          <t>공급가액</t>
        </is>
      </c>
      <c r="AI76" s="95" t="inlineStr">
        <is>
          <t>세액</t>
        </is>
      </c>
      <c r="AJ76" s="95" t="inlineStr">
        <is>
          <t>합계금액</t>
        </is>
      </c>
    </row>
    <row customHeight="1" ht="13.5" r="77" s="391">
      <c r="A77" s="464" t="n"/>
      <c r="B77" s="443" t="inlineStr">
        <is>
          <t>주     소</t>
        </is>
      </c>
      <c r="C77" s="419" t="n"/>
      <c r="D77" s="420" t="n"/>
      <c r="E77" s="418" t="n"/>
      <c r="F77" s="419" t="n"/>
      <c r="G77" s="419" t="n"/>
      <c r="H77" s="419" t="n"/>
      <c r="I77" s="419" t="n"/>
      <c r="J77" s="419" t="n"/>
      <c r="K77" s="419" t="n"/>
      <c r="L77" s="419" t="n"/>
      <c r="M77" s="419" t="n"/>
      <c r="N77" s="419" t="n"/>
      <c r="O77" s="419" t="n"/>
      <c r="P77" s="420" t="n"/>
      <c r="Q77" s="468" t="n"/>
      <c r="R77" s="443" t="inlineStr">
        <is>
          <t>주     소</t>
        </is>
      </c>
      <c r="S77" s="419" t="n"/>
      <c r="T77" s="420" t="n"/>
      <c r="U77" s="418" t="n"/>
      <c r="V77" s="419" t="n"/>
      <c r="W77" s="419" t="n"/>
      <c r="X77" s="419" t="n"/>
      <c r="Y77" s="419" t="n"/>
      <c r="Z77" s="419" t="n"/>
      <c r="AA77" s="419" t="n"/>
      <c r="AB77" s="419" t="n"/>
      <c r="AC77" s="419" t="n"/>
      <c r="AD77" s="419" t="n"/>
      <c r="AE77" s="419" t="n"/>
      <c r="AF77" s="420" t="n"/>
      <c r="AH77" s="698">
        <f>T84</f>
        <v/>
      </c>
      <c r="AI77" s="698">
        <f>Z84</f>
        <v/>
      </c>
    </row>
    <row customHeight="1" ht="14.25" r="78" s="391">
      <c r="A78" s="464" t="n"/>
      <c r="B78" s="433" t="inlineStr">
        <is>
          <t>업     태</t>
        </is>
      </c>
      <c r="C78" s="416" t="n"/>
      <c r="D78" s="417" t="n"/>
      <c r="E78" s="434" t="inlineStr">
        <is>
          <t>부동산업</t>
        </is>
      </c>
      <c r="F78" s="416" t="n"/>
      <c r="G78" s="416" t="n"/>
      <c r="H78" s="416" t="n"/>
      <c r="I78" s="416" t="n"/>
      <c r="J78" s="417" t="n"/>
      <c r="K78" s="438" t="inlineStr">
        <is>
          <t>종목</t>
        </is>
      </c>
      <c r="L78" s="434" t="inlineStr">
        <is>
          <t>비주거용            건물임대업</t>
        </is>
      </c>
      <c r="M78" s="416" t="n"/>
      <c r="N78" s="416" t="n"/>
      <c r="O78" s="416" t="n"/>
      <c r="P78" s="417" t="n"/>
      <c r="Q78" s="468" t="n"/>
      <c r="R78" s="433" t="inlineStr">
        <is>
          <t>업     태</t>
        </is>
      </c>
      <c r="S78" s="416" t="n"/>
      <c r="T78" s="417" t="n"/>
      <c r="U78" s="590" t="inlineStr">
        <is>
          <t>과학 및 기술 서비스업,제조업,도소매업,정보통신업</t>
        </is>
      </c>
      <c r="V78" s="416" t="n"/>
      <c r="W78" s="416" t="n"/>
      <c r="X78" s="416" t="n"/>
      <c r="Y78" s="416" t="n"/>
      <c r="Z78" s="417" t="n"/>
      <c r="AA78" s="438" t="inlineStr">
        <is>
          <t>종목</t>
        </is>
      </c>
      <c r="AB78" s="591" t="inlineStr">
        <is>
          <t>의학 및 약학 연구개발업</t>
        </is>
      </c>
      <c r="AC78" s="416" t="n"/>
      <c r="AD78" s="416" t="n"/>
      <c r="AE78" s="416" t="n"/>
      <c r="AF78" s="450" t="n"/>
      <c r="AH78" s="698">
        <f>T85</f>
        <v/>
      </c>
      <c r="AI78" s="698">
        <f>Z85</f>
        <v/>
      </c>
    </row>
    <row customHeight="1" ht="13.5" r="79" s="391" thickBot="1">
      <c r="A79" s="459" t="n"/>
      <c r="B79" s="418" t="n"/>
      <c r="C79" s="419" t="n"/>
      <c r="D79" s="420" t="n"/>
      <c r="E79" s="435" t="n"/>
      <c r="F79" s="436" t="n"/>
      <c r="G79" s="436" t="n"/>
      <c r="H79" s="436" t="n"/>
      <c r="I79" s="436" t="n"/>
      <c r="J79" s="437" t="n"/>
      <c r="K79" s="439" t="n"/>
      <c r="L79" s="435" t="n"/>
      <c r="M79" s="436" t="n"/>
      <c r="N79" s="436" t="n"/>
      <c r="O79" s="436" t="n"/>
      <c r="P79" s="437" t="n"/>
      <c r="Q79" s="420" t="n"/>
      <c r="R79" s="418" t="n"/>
      <c r="S79" s="419" t="n"/>
      <c r="T79" s="420" t="n"/>
      <c r="U79" s="435" t="n"/>
      <c r="V79" s="436" t="n"/>
      <c r="W79" s="436" t="n"/>
      <c r="X79" s="436" t="n"/>
      <c r="Y79" s="436" t="n"/>
      <c r="Z79" s="437" t="n"/>
      <c r="AA79" s="439" t="n"/>
      <c r="AB79" s="435" t="n"/>
      <c r="AC79" s="436" t="n"/>
      <c r="AD79" s="436" t="n"/>
      <c r="AE79" s="436" t="n"/>
      <c r="AF79" s="451" t="n"/>
      <c r="AH79" s="698">
        <f>T86</f>
        <v/>
      </c>
      <c r="AI79" s="698">
        <f>Z86</f>
        <v/>
      </c>
    </row>
    <row customHeight="1" ht="14.25" r="80" s="391">
      <c r="A80" s="432" t="inlineStr">
        <is>
          <t>작     성</t>
        </is>
      </c>
      <c r="B80" s="430" t="n"/>
      <c r="C80" s="430" t="n"/>
      <c r="D80" s="431" t="n"/>
      <c r="E80" s="429" t="inlineStr">
        <is>
          <t>공      급      가      액</t>
        </is>
      </c>
      <c r="F80" s="430" t="n"/>
      <c r="G80" s="430" t="n"/>
      <c r="H80" s="430" t="n"/>
      <c r="I80" s="430" t="n"/>
      <c r="J80" s="430" t="n"/>
      <c r="K80" s="430" t="n"/>
      <c r="L80" s="430" t="n"/>
      <c r="M80" s="430" t="n"/>
      <c r="N80" s="430" t="n"/>
      <c r="O80" s="430" t="n"/>
      <c r="P80" s="430" t="n"/>
      <c r="Q80" s="431" t="n"/>
      <c r="R80" s="429" t="inlineStr">
        <is>
          <t>세               액</t>
        </is>
      </c>
      <c r="S80" s="430" t="n"/>
      <c r="T80" s="430" t="n"/>
      <c r="U80" s="430" t="n"/>
      <c r="V80" s="430" t="n"/>
      <c r="W80" s="430" t="n"/>
      <c r="X80" s="430" t="n"/>
      <c r="Y80" s="430" t="n"/>
      <c r="Z80" s="430" t="n"/>
      <c r="AA80" s="431" t="n"/>
      <c r="AB80" s="429" t="inlineStr">
        <is>
          <t>비      고</t>
        </is>
      </c>
      <c r="AC80" s="430" t="n"/>
      <c r="AD80" s="430" t="n"/>
      <c r="AE80" s="430" t="n"/>
      <c r="AF80" s="431" t="n"/>
      <c r="AH80" s="699">
        <f>SUM(AH77:AH79)</f>
        <v/>
      </c>
      <c r="AI80" s="699">
        <f>SUM(AI77:AI79)</f>
        <v/>
      </c>
      <c r="AJ80" s="700">
        <f>SUM(AH80:AI80)</f>
        <v/>
      </c>
    </row>
    <row customHeight="1" ht="13.5" r="81" s="391">
      <c r="A81" s="413" t="inlineStr">
        <is>
          <t>년</t>
        </is>
      </c>
      <c r="B81" s="412" t="n"/>
      <c r="C81" s="306" t="inlineStr">
        <is>
          <t>월</t>
        </is>
      </c>
      <c r="D81" s="306" t="inlineStr">
        <is>
          <t>일</t>
        </is>
      </c>
      <c r="E81" s="415" t="inlineStr">
        <is>
          <t>공란수</t>
        </is>
      </c>
      <c r="F81" s="412" t="n"/>
      <c r="G81" s="415" t="inlineStr">
        <is>
          <t>백</t>
        </is>
      </c>
      <c r="H81" s="306" t="inlineStr">
        <is>
          <t>십</t>
        </is>
      </c>
      <c r="I81" s="306" t="inlineStr">
        <is>
          <t>억</t>
        </is>
      </c>
      <c r="J81" s="306" t="inlineStr">
        <is>
          <t>천</t>
        </is>
      </c>
      <c r="K81" s="306" t="inlineStr">
        <is>
          <t>백</t>
        </is>
      </c>
      <c r="L81" s="306" t="inlineStr">
        <is>
          <t>십</t>
        </is>
      </c>
      <c r="M81" s="306" t="inlineStr">
        <is>
          <t>만</t>
        </is>
      </c>
      <c r="N81" s="306" t="inlineStr">
        <is>
          <t>천</t>
        </is>
      </c>
      <c r="O81" s="306" t="inlineStr">
        <is>
          <t>백</t>
        </is>
      </c>
      <c r="P81" s="306" t="inlineStr">
        <is>
          <t>십</t>
        </is>
      </c>
      <c r="Q81" s="306" t="inlineStr">
        <is>
          <t>일</t>
        </is>
      </c>
      <c r="R81" s="306" t="inlineStr">
        <is>
          <t>십</t>
        </is>
      </c>
      <c r="S81" s="306" t="inlineStr">
        <is>
          <t>억</t>
        </is>
      </c>
      <c r="T81" s="306" t="inlineStr">
        <is>
          <t>천</t>
        </is>
      </c>
      <c r="U81" s="306" t="inlineStr">
        <is>
          <t>백</t>
        </is>
      </c>
      <c r="V81" s="306" t="inlineStr">
        <is>
          <t>십</t>
        </is>
      </c>
      <c r="W81" s="306" t="inlineStr">
        <is>
          <t>만</t>
        </is>
      </c>
      <c r="X81" s="306" t="inlineStr">
        <is>
          <t>천</t>
        </is>
      </c>
      <c r="Y81" s="306" t="inlineStr">
        <is>
          <t>백</t>
        </is>
      </c>
      <c r="Z81" s="306" t="inlineStr">
        <is>
          <t>십</t>
        </is>
      </c>
      <c r="AA81" s="306" t="inlineStr">
        <is>
          <t>일</t>
        </is>
      </c>
      <c r="AB81" s="440" t="n"/>
      <c r="AC81" s="416" t="n"/>
      <c r="AD81" s="416" t="n"/>
      <c r="AE81" s="416" t="n"/>
      <c r="AF81" s="417" t="n"/>
    </row>
    <row customHeight="1" ht="14.25" r="82" s="391" thickBot="1">
      <c r="A82" s="441">
        <f>A56</f>
        <v/>
      </c>
      <c r="B82" s="408" t="n"/>
      <c r="C82" s="308">
        <f>C56</f>
        <v/>
      </c>
      <c r="D82" s="309">
        <f>D56</f>
        <v/>
      </c>
      <c r="E82" s="701" t="n"/>
      <c r="F82" s="409" t="n"/>
      <c r="G82" s="702" t="n"/>
      <c r="H82" s="702" t="n"/>
      <c r="I82" s="702" t="n"/>
      <c r="J82" s="702" t="n"/>
      <c r="K82" s="702" t="n"/>
      <c r="L82" s="702" t="n"/>
      <c r="M82" s="702">
        <f>MID(AH80,1,1)</f>
        <v/>
      </c>
      <c r="N82" s="702">
        <f>MID(AH80,2,1)</f>
        <v/>
      </c>
      <c r="O82" s="702">
        <f>MID(AH80,3,1)</f>
        <v/>
      </c>
      <c r="P82" s="702">
        <f>MID(AH80,4,1)</f>
        <v/>
      </c>
      <c r="Q82" s="702">
        <f>MID(AH80,5,1)</f>
        <v/>
      </c>
      <c r="R82" s="702" t="n"/>
      <c r="S82" s="702" t="n"/>
      <c r="T82" s="702" t="n"/>
      <c r="U82" s="702" t="n"/>
      <c r="V82" s="702">
        <f>MID(AI80,1,1)</f>
        <v/>
      </c>
      <c r="W82" s="702">
        <f>MID(AI80,2,1)</f>
        <v/>
      </c>
      <c r="X82" s="702">
        <f>MID(AI80,3,1)</f>
        <v/>
      </c>
      <c r="Y82" s="702">
        <f>MID(AI80,4,1)</f>
        <v/>
      </c>
      <c r="Z82" s="702">
        <f>MID(AI80,5,1)</f>
        <v/>
      </c>
      <c r="AA82" s="702">
        <f>MID(AI80,6,1)</f>
        <v/>
      </c>
      <c r="AB82" s="418" t="n"/>
      <c r="AC82" s="419" t="n"/>
      <c r="AD82" s="419" t="n"/>
      <c r="AE82" s="419" t="n"/>
      <c r="AF82" s="420" t="n"/>
    </row>
    <row customHeight="1" ht="13.5" r="83" s="391">
      <c r="A83" s="36" t="inlineStr">
        <is>
          <t>월</t>
        </is>
      </c>
      <c r="B83" s="37" t="inlineStr">
        <is>
          <t>일</t>
        </is>
      </c>
      <c r="C83" s="428" t="inlineStr">
        <is>
          <t>품          목</t>
        </is>
      </c>
      <c r="D83" s="419" t="n"/>
      <c r="E83" s="419" t="n"/>
      <c r="F83" s="419" t="n"/>
      <c r="G83" s="419" t="n"/>
      <c r="H83" s="420" t="n"/>
      <c r="I83" s="429" t="inlineStr">
        <is>
          <t>규격</t>
        </is>
      </c>
      <c r="J83" s="430" t="n"/>
      <c r="K83" s="431" t="n"/>
      <c r="L83" s="429" t="inlineStr">
        <is>
          <t>수량</t>
        </is>
      </c>
      <c r="M83" s="430" t="n"/>
      <c r="N83" s="431" t="n"/>
      <c r="O83" s="428" t="inlineStr">
        <is>
          <t>단      가</t>
        </is>
      </c>
      <c r="P83" s="419" t="n"/>
      <c r="Q83" s="419" t="n"/>
      <c r="R83" s="419" t="n"/>
      <c r="S83" s="420" t="n"/>
      <c r="T83" s="428" t="inlineStr">
        <is>
          <t>공  급  가  액</t>
        </is>
      </c>
      <c r="U83" s="419" t="n"/>
      <c r="V83" s="419" t="n"/>
      <c r="W83" s="419" t="n"/>
      <c r="X83" s="419" t="n"/>
      <c r="Y83" s="420" t="n"/>
      <c r="Z83" s="428" t="inlineStr">
        <is>
          <t>세        액</t>
        </is>
      </c>
      <c r="AA83" s="419" t="n"/>
      <c r="AB83" s="419" t="n"/>
      <c r="AC83" s="419" t="n"/>
      <c r="AD83" s="420" t="n"/>
      <c r="AE83" s="428" t="inlineStr">
        <is>
          <t>비고</t>
        </is>
      </c>
      <c r="AF83" s="420" t="n"/>
    </row>
    <row r="84">
      <c r="A84" s="311">
        <f>C82</f>
        <v/>
      </c>
      <c r="B84" s="312">
        <f>D82</f>
        <v/>
      </c>
      <c r="C84" s="424" t="inlineStr">
        <is>
          <t>수도요금</t>
        </is>
      </c>
      <c r="D84" s="414" t="n"/>
      <c r="E84" s="414" t="n"/>
      <c r="F84" s="414" t="n"/>
      <c r="G84" s="414" t="n"/>
      <c r="H84" s="412" t="n"/>
      <c r="I84" s="425" t="n"/>
      <c r="J84" s="414" t="n"/>
      <c r="K84" s="412" t="n"/>
      <c r="L84" s="703" t="n"/>
      <c r="M84" s="414" t="n"/>
      <c r="N84" s="412" t="n"/>
      <c r="O84" s="704" t="n"/>
      <c r="P84" s="414" t="n"/>
      <c r="Q84" s="414" t="n"/>
      <c r="R84" s="414" t="n"/>
      <c r="S84" s="412" t="n"/>
      <c r="T84" s="704">
        <f>G8</f>
        <v/>
      </c>
      <c r="U84" s="414" t="n"/>
      <c r="V84" s="414" t="n"/>
      <c r="W84" s="414" t="n"/>
      <c r="X84" s="414" t="n"/>
      <c r="Y84" s="412" t="n"/>
      <c r="Z84" s="704" t="n">
        <v>0</v>
      </c>
      <c r="AA84" s="414" t="n"/>
      <c r="AB84" s="414" t="n"/>
      <c r="AC84" s="414" t="n"/>
      <c r="AD84" s="412" t="n"/>
      <c r="AE84" s="411" t="n"/>
      <c r="AF84" s="412" t="n"/>
    </row>
    <row customHeight="1" ht="13.5" r="85" s="391">
      <c r="A85" s="311" t="n"/>
      <c r="B85" s="312" t="n"/>
      <c r="C85" s="424" t="n"/>
      <c r="D85" s="414" t="n"/>
      <c r="E85" s="414" t="n"/>
      <c r="F85" s="414" t="n"/>
      <c r="G85" s="414" t="n"/>
      <c r="H85" s="412" t="n"/>
      <c r="I85" s="425" t="n"/>
      <c r="J85" s="414" t="n"/>
      <c r="K85" s="412" t="n"/>
      <c r="L85" s="703" t="n"/>
      <c r="M85" s="414" t="n"/>
      <c r="N85" s="412" t="n"/>
      <c r="O85" s="704" t="n"/>
      <c r="P85" s="414" t="n"/>
      <c r="Q85" s="414" t="n"/>
      <c r="R85" s="414" t="n"/>
      <c r="S85" s="412" t="n"/>
      <c r="T85" s="704" t="n"/>
      <c r="U85" s="414" t="n"/>
      <c r="V85" s="414" t="n"/>
      <c r="W85" s="414" t="n"/>
      <c r="X85" s="414" t="n"/>
      <c r="Y85" s="412" t="n"/>
      <c r="Z85" s="704" t="n"/>
      <c r="AA85" s="414" t="n"/>
      <c r="AB85" s="414" t="n"/>
      <c r="AC85" s="414" t="n"/>
      <c r="AD85" s="412" t="n"/>
      <c r="AE85" s="411" t="n"/>
      <c r="AF85" s="412" t="n"/>
    </row>
    <row r="86">
      <c r="A86" s="311" t="n"/>
      <c r="B86" s="312" t="n"/>
      <c r="C86" s="424" t="n"/>
      <c r="D86" s="414" t="n"/>
      <c r="E86" s="414" t="n"/>
      <c r="F86" s="414" t="n"/>
      <c r="G86" s="414" t="n"/>
      <c r="H86" s="412" t="n"/>
      <c r="I86" s="425" t="n"/>
      <c r="J86" s="414" t="n"/>
      <c r="K86" s="412" t="n"/>
      <c r="L86" s="703" t="n"/>
      <c r="M86" s="414" t="n"/>
      <c r="N86" s="412" t="n"/>
      <c r="O86" s="704" t="n"/>
      <c r="P86" s="414" t="n"/>
      <c r="Q86" s="414" t="n"/>
      <c r="R86" s="414" t="n"/>
      <c r="S86" s="412" t="n"/>
      <c r="T86" s="704">
        <f>G58/1.1</f>
        <v/>
      </c>
      <c r="U86" s="414" t="n"/>
      <c r="V86" s="414" t="n"/>
      <c r="W86" s="414" t="n"/>
      <c r="X86" s="414" t="n"/>
      <c r="Y86" s="412" t="n"/>
      <c r="Z86" s="704">
        <f>G58-T86</f>
        <v/>
      </c>
      <c r="AA86" s="414" t="n"/>
      <c r="AB86" s="414" t="n"/>
      <c r="AC86" s="414" t="n"/>
      <c r="AD86" s="412" t="n"/>
      <c r="AE86" s="411" t="n"/>
      <c r="AF86" s="412" t="n"/>
    </row>
    <row r="87">
      <c r="A87" s="311" t="n"/>
      <c r="B87" s="312" t="n"/>
      <c r="C87" s="424" t="n"/>
      <c r="D87" s="414" t="n"/>
      <c r="E87" s="414" t="n"/>
      <c r="F87" s="414" t="n"/>
      <c r="G87" s="414" t="n"/>
      <c r="H87" s="412" t="n"/>
      <c r="I87" s="425" t="n"/>
      <c r="J87" s="414" t="n"/>
      <c r="K87" s="412" t="n"/>
      <c r="L87" s="703" t="n"/>
      <c r="M87" s="414" t="n"/>
      <c r="N87" s="412" t="n"/>
      <c r="O87" s="704" t="n"/>
      <c r="P87" s="414" t="n"/>
      <c r="Q87" s="414" t="n"/>
      <c r="R87" s="414" t="n"/>
      <c r="S87" s="412" t="n"/>
      <c r="T87" s="704" t="n"/>
      <c r="U87" s="414" t="n"/>
      <c r="V87" s="414" t="n"/>
      <c r="W87" s="414" t="n"/>
      <c r="X87" s="414" t="n"/>
      <c r="Y87" s="412" t="n"/>
      <c r="Z87" s="704" t="n"/>
      <c r="AA87" s="414" t="n"/>
      <c r="AB87" s="414" t="n"/>
      <c r="AC87" s="414" t="n"/>
      <c r="AD87" s="412" t="n"/>
      <c r="AE87" s="411" t="n"/>
      <c r="AF87" s="412" t="n"/>
    </row>
    <row r="88">
      <c r="A88" s="413" t="inlineStr">
        <is>
          <t>합계금액</t>
        </is>
      </c>
      <c r="B88" s="414" t="n"/>
      <c r="C88" s="414" t="n"/>
      <c r="D88" s="414" t="n"/>
      <c r="E88" s="412" t="n"/>
      <c r="F88" s="415" t="inlineStr">
        <is>
          <t>현  금</t>
        </is>
      </c>
      <c r="G88" s="414" t="n"/>
      <c r="H88" s="414" t="n"/>
      <c r="I88" s="414" t="n"/>
      <c r="J88" s="412" t="n"/>
      <c r="K88" s="415" t="inlineStr">
        <is>
          <t>수  표</t>
        </is>
      </c>
      <c r="L88" s="414" t="n"/>
      <c r="M88" s="414" t="n"/>
      <c r="N88" s="414" t="n"/>
      <c r="O88" s="412" t="n"/>
      <c r="P88" s="415" t="inlineStr">
        <is>
          <t>어  음</t>
        </is>
      </c>
      <c r="Q88" s="414" t="n"/>
      <c r="R88" s="414" t="n"/>
      <c r="S88" s="414" t="n"/>
      <c r="T88" s="412" t="n"/>
      <c r="U88" s="415" t="inlineStr">
        <is>
          <t>외상미수금</t>
        </is>
      </c>
      <c r="V88" s="414" t="n"/>
      <c r="W88" s="414" t="n"/>
      <c r="X88" s="414" t="n"/>
      <c r="Y88" s="412" t="n"/>
      <c r="Z88" s="415" t="inlineStr">
        <is>
          <t xml:space="preserve">이 금액을 </t>
        </is>
      </c>
      <c r="AA88" s="416" t="n"/>
      <c r="AB88" s="416" t="n"/>
      <c r="AC88" s="417" t="n"/>
      <c r="AD88" s="421" t="inlineStr">
        <is>
          <t>청구</t>
        </is>
      </c>
      <c r="AE88" s="422" t="n"/>
      <c r="AF88" s="405" t="inlineStr">
        <is>
          <t>함</t>
        </is>
      </c>
    </row>
    <row customHeight="1" ht="14.25" r="89" s="391" thickBot="1">
      <c r="A89" s="706">
        <f>SUM(T84:AD86)</f>
        <v/>
      </c>
      <c r="B89" s="408" t="n"/>
      <c r="C89" s="408" t="n"/>
      <c r="D89" s="408" t="n"/>
      <c r="E89" s="409" t="n"/>
      <c r="F89" s="707" t="n"/>
      <c r="G89" s="408" t="n"/>
      <c r="H89" s="408" t="n"/>
      <c r="I89" s="408" t="n"/>
      <c r="J89" s="409" t="n"/>
      <c r="K89" s="707" t="n"/>
      <c r="L89" s="408" t="n"/>
      <c r="M89" s="408" t="n"/>
      <c r="N89" s="408" t="n"/>
      <c r="O89" s="409" t="n"/>
      <c r="P89" s="707" t="n"/>
      <c r="Q89" s="408" t="n"/>
      <c r="R89" s="408" t="n"/>
      <c r="S89" s="408" t="n"/>
      <c r="T89" s="409" t="n"/>
      <c r="U89" s="707" t="n"/>
      <c r="V89" s="408" t="n"/>
      <c r="W89" s="408" t="n"/>
      <c r="X89" s="408" t="n"/>
      <c r="Y89" s="409" t="n"/>
      <c r="Z89" s="418" t="n"/>
      <c r="AA89" s="419" t="n"/>
      <c r="AB89" s="419" t="n"/>
      <c r="AC89" s="420" t="n"/>
      <c r="AD89" s="423" t="n"/>
      <c r="AE89" s="423" t="n"/>
      <c r="AF89" s="406" t="n"/>
    </row>
    <row r="90">
      <c r="A90" s="31" t="inlineStr">
        <is>
          <t>22226-28131일 '96.3.27승인</t>
        </is>
      </c>
      <c r="B90" s="31" t="n"/>
      <c r="C90" s="32" t="n"/>
      <c r="D90" s="32" t="n"/>
      <c r="E90" s="32" t="n"/>
      <c r="F90" s="32" t="n"/>
      <c r="G90" s="32" t="n"/>
      <c r="H90" s="32" t="n"/>
      <c r="I90" s="32" t="n"/>
      <c r="J90" s="32" t="n"/>
      <c r="K90" s="32" t="n"/>
      <c r="L90" s="32" t="n"/>
      <c r="M90" s="32" t="n"/>
      <c r="N90" s="32" t="n"/>
      <c r="O90" s="32" t="n"/>
      <c r="P90" s="32" t="n"/>
      <c r="Q90" s="32" t="n"/>
      <c r="R90" s="32" t="n"/>
      <c r="S90" s="32" t="n"/>
      <c r="T90" s="32" t="n"/>
      <c r="U90" s="32" t="n"/>
      <c r="V90" s="32" t="n"/>
      <c r="W90" s="403" t="inlineStr">
        <is>
          <t>인쇄용지(특급)34g/m2 182mmx128mm</t>
        </is>
      </c>
      <c r="X90" s="404" t="n"/>
      <c r="Y90" s="404" t="n"/>
      <c r="Z90" s="404" t="n"/>
      <c r="AA90" s="404" t="n"/>
      <c r="AB90" s="404" t="n"/>
      <c r="AC90" s="404" t="n"/>
      <c r="AD90" s="404" t="n"/>
      <c r="AE90" s="404" t="n"/>
      <c r="AF90" s="404" t="n"/>
    </row>
    <row customHeight="1" ht="14.25" r="94" s="391" thickBot="1">
      <c r="A94" s="57" t="inlineStr">
        <is>
          <t>[별지 제11호 서식]</t>
        </is>
      </c>
      <c r="B94" s="57" t="n"/>
      <c r="C94" s="58" t="n"/>
      <c r="D94" s="58" t="n"/>
      <c r="E94" s="58" t="n"/>
      <c r="F94" s="58" t="n"/>
      <c r="G94" s="58" t="n"/>
      <c r="H94" s="58" t="n"/>
      <c r="I94" s="58" t="n"/>
      <c r="J94" s="58" t="n"/>
      <c r="K94" s="58" t="n"/>
      <c r="L94" s="58" t="n"/>
      <c r="M94" s="58" t="n"/>
      <c r="N94" s="58" t="n"/>
      <c r="O94" s="58" t="n"/>
      <c r="P94" s="58" t="n"/>
      <c r="Q94" s="58" t="n"/>
      <c r="R94" s="58" t="n"/>
      <c r="S94" s="58" t="n"/>
      <c r="T94" s="58" t="n"/>
      <c r="U94" s="58" t="n"/>
      <c r="V94" s="58" t="n"/>
      <c r="W94" s="58" t="n"/>
      <c r="X94" s="58" t="n"/>
      <c r="Y94" s="58" t="n"/>
      <c r="Z94" s="58" t="n"/>
      <c r="AA94" s="58" t="n"/>
      <c r="AB94" s="58" t="n"/>
      <c r="AC94" s="58" t="n"/>
      <c r="AD94" s="58" t="n"/>
      <c r="AE94" s="58" t="n"/>
      <c r="AF94" s="58" t="n"/>
    </row>
    <row r="95">
      <c r="A95" s="539" t="inlineStr">
        <is>
          <t>세 금 계 산 서</t>
        </is>
      </c>
      <c r="B95" s="475" t="n"/>
      <c r="C95" s="475" t="n"/>
      <c r="D95" s="475" t="n"/>
      <c r="E95" s="475" t="n"/>
      <c r="F95" s="475" t="n"/>
      <c r="G95" s="475" t="n"/>
      <c r="H95" s="475" t="n"/>
      <c r="I95" s="475" t="n"/>
      <c r="J95" s="475" t="n"/>
      <c r="K95" s="475" t="n"/>
      <c r="L95" s="475" t="n"/>
      <c r="M95" s="475" t="n"/>
      <c r="N95" s="475" t="n"/>
      <c r="O95" s="475" t="n"/>
      <c r="P95" s="541" t="inlineStr">
        <is>
          <t>(</t>
        </is>
      </c>
      <c r="Q95" s="474" t="inlineStr">
        <is>
          <t>공  급  자</t>
        </is>
      </c>
      <c r="R95" s="475" t="n"/>
      <c r="S95" s="475" t="n"/>
      <c r="T95" s="475" t="n"/>
      <c r="U95" s="475" t="n"/>
      <c r="V95" s="474" t="inlineStr">
        <is>
          <t>)</t>
        </is>
      </c>
      <c r="W95" s="471" t="inlineStr">
        <is>
          <t>책   번   호</t>
        </is>
      </c>
      <c r="X95" s="472" t="n"/>
      <c r="Y95" s="472" t="n"/>
      <c r="Z95" s="473" t="n"/>
      <c r="AA95" s="535" t="n"/>
      <c r="AB95" s="472" t="n"/>
      <c r="AC95" s="59" t="inlineStr">
        <is>
          <t>권</t>
        </is>
      </c>
      <c r="AD95" s="535" t="n"/>
      <c r="AE95" s="472" t="n"/>
      <c r="AF95" s="60" t="inlineStr">
        <is>
          <t>호</t>
        </is>
      </c>
    </row>
    <row customHeight="1" ht="14.25" r="96" s="391" thickBot="1">
      <c r="A96" s="540" t="n"/>
      <c r="Q96" s="536" t="inlineStr">
        <is>
          <t>보  관  용</t>
        </is>
      </c>
      <c r="R96" s="490" t="n"/>
      <c r="S96" s="490" t="n"/>
      <c r="T96" s="490" t="n"/>
      <c r="U96" s="490" t="n"/>
      <c r="W96" s="484" t="inlineStr">
        <is>
          <t>일 련 번 호</t>
        </is>
      </c>
      <c r="X96" s="537" t="n"/>
      <c r="Y96" s="537" t="n"/>
      <c r="Z96" s="538" t="n"/>
      <c r="AA96" s="313" t="n"/>
      <c r="AB96" s="314" t="n"/>
      <c r="AC96" s="313" t="n"/>
      <c r="AD96" s="313" t="n"/>
      <c r="AE96" s="313" t="n"/>
      <c r="AF96" s="315" t="n"/>
    </row>
    <row r="97">
      <c r="A97" s="517" t="inlineStr">
        <is>
          <t>공 급 자</t>
        </is>
      </c>
      <c r="B97" s="487" t="inlineStr">
        <is>
          <t>등록번호</t>
        </is>
      </c>
      <c r="C97" s="479" t="n"/>
      <c r="D97" s="488" t="n"/>
      <c r="E97" s="494" t="n">
        <v>1</v>
      </c>
      <c r="F97" s="498" t="n">
        <v>2</v>
      </c>
      <c r="G97" s="498" t="n">
        <v>4</v>
      </c>
      <c r="H97" s="498" t="inlineStr">
        <is>
          <t>-</t>
        </is>
      </c>
      <c r="I97" s="498" t="n">
        <v>2</v>
      </c>
      <c r="J97" s="498" t="n">
        <v>0</v>
      </c>
      <c r="K97" s="498" t="inlineStr">
        <is>
          <t>-</t>
        </is>
      </c>
      <c r="L97" s="498" t="n">
        <v>2</v>
      </c>
      <c r="M97" s="498" t="n">
        <v>6</v>
      </c>
      <c r="N97" s="498" t="n">
        <v>4</v>
      </c>
      <c r="O97" s="498" t="n">
        <v>4</v>
      </c>
      <c r="P97" s="529" t="n">
        <v>9</v>
      </c>
      <c r="Q97" s="485" t="inlineStr">
        <is>
          <t>공급받는자</t>
        </is>
      </c>
      <c r="R97" s="487" t="inlineStr">
        <is>
          <t>등록번호</t>
        </is>
      </c>
      <c r="S97" s="479" t="n"/>
      <c r="T97" s="488" t="n"/>
      <c r="U97" s="542" t="n">
        <v>5</v>
      </c>
      <c r="V97" s="507" t="n">
        <v>3</v>
      </c>
      <c r="W97" s="507" t="n">
        <v>6</v>
      </c>
      <c r="X97" s="507" t="inlineStr">
        <is>
          <t>-</t>
        </is>
      </c>
      <c r="Y97" s="507" t="n">
        <v>8</v>
      </c>
      <c r="Z97" s="507" t="n">
        <v>6</v>
      </c>
      <c r="AA97" s="507" t="inlineStr">
        <is>
          <t>-</t>
        </is>
      </c>
      <c r="AB97" s="507" t="n">
        <v>0</v>
      </c>
      <c r="AC97" s="507" t="n">
        <v>1</v>
      </c>
      <c r="AD97" s="507" t="n">
        <v>7</v>
      </c>
      <c r="AE97" s="507" t="n">
        <v>6</v>
      </c>
      <c r="AF97" s="554" t="n">
        <v>3</v>
      </c>
    </row>
    <row customHeight="1" ht="14.25" r="98" s="391" thickBot="1">
      <c r="A98" s="518" t="n"/>
      <c r="B98" s="489" t="n"/>
      <c r="C98" s="490" t="n"/>
      <c r="D98" s="491" t="n"/>
      <c r="E98" s="495" t="n"/>
      <c r="F98" s="499" t="n"/>
      <c r="G98" s="499" t="n"/>
      <c r="H98" s="499" t="n"/>
      <c r="I98" s="499" t="n"/>
      <c r="J98" s="499" t="n"/>
      <c r="K98" s="499" t="n"/>
      <c r="L98" s="499" t="n"/>
      <c r="M98" s="499" t="n"/>
      <c r="N98" s="499" t="n"/>
      <c r="O98" s="499" t="n"/>
      <c r="P98" s="530" t="n"/>
      <c r="Q98" s="486" t="n"/>
      <c r="R98" s="489" t="n"/>
      <c r="S98" s="490" t="n"/>
      <c r="T98" s="491" t="n"/>
      <c r="U98" s="519" t="n"/>
      <c r="V98" s="493" t="n"/>
      <c r="W98" s="493" t="n"/>
      <c r="X98" s="493" t="n"/>
      <c r="Y98" s="493" t="n"/>
      <c r="Z98" s="493" t="n"/>
      <c r="AA98" s="493" t="n"/>
      <c r="AB98" s="493" t="n"/>
      <c r="AC98" s="493" t="n"/>
      <c r="AD98" s="493" t="n"/>
      <c r="AE98" s="493" t="n"/>
      <c r="AF98" s="555" t="n"/>
    </row>
    <row r="99">
      <c r="A99" s="518" t="n"/>
      <c r="B99" s="556" t="inlineStr">
        <is>
          <t>상     호</t>
        </is>
      </c>
      <c r="C99" s="479" t="n"/>
      <c r="D99" s="488" t="n"/>
      <c r="E99" s="557" t="inlineStr">
        <is>
          <t>세림빌딩</t>
        </is>
      </c>
      <c r="F99" s="479" t="n"/>
      <c r="G99" s="479" t="n"/>
      <c r="H99" s="479" t="n"/>
      <c r="I99" s="479" t="n"/>
      <c r="J99" s="480" t="n"/>
      <c r="K99" s="492" t="inlineStr">
        <is>
          <t>성명</t>
        </is>
      </c>
      <c r="L99" s="523" t="inlineStr">
        <is>
          <t>곽순욱 외1인</t>
        </is>
      </c>
      <c r="M99" s="479" t="n"/>
      <c r="N99" s="479" t="n"/>
      <c r="O99" s="479" t="n"/>
      <c r="P99" s="524" t="inlineStr">
        <is>
          <t>인</t>
        </is>
      </c>
      <c r="Q99" s="486" t="n"/>
      <c r="R99" s="526" t="inlineStr">
        <is>
          <t>상     호</t>
        </is>
      </c>
      <c r="S99" s="479" t="n"/>
      <c r="T99" s="480" t="n"/>
      <c r="U99" s="586" t="inlineStr">
        <is>
          <t>㈜지니컵</t>
        </is>
      </c>
      <c r="V99" s="475" t="n"/>
      <c r="W99" s="475" t="n"/>
      <c r="X99" s="475" t="n"/>
      <c r="Y99" s="475" t="n"/>
      <c r="Z99" s="528" t="n"/>
      <c r="AA99" s="543" t="inlineStr">
        <is>
          <t>성명</t>
        </is>
      </c>
      <c r="AB99" s="595" t="inlineStr">
        <is>
          <t>양태양</t>
        </is>
      </c>
      <c r="AC99" s="475" t="n"/>
      <c r="AD99" s="475" t="n"/>
      <c r="AE99" s="475" t="n"/>
      <c r="AF99" s="545" t="inlineStr">
        <is>
          <t>인</t>
        </is>
      </c>
    </row>
    <row customHeight="1" ht="14.25" r="100" s="391" thickBot="1">
      <c r="A100" s="518" t="n"/>
      <c r="B100" s="546" t="inlineStr">
        <is>
          <t>(법인명)</t>
        </is>
      </c>
      <c r="C100" s="490" t="n"/>
      <c r="D100" s="491" t="n"/>
      <c r="E100" s="558" t="n"/>
      <c r="F100" s="482" t="n"/>
      <c r="G100" s="482" t="n"/>
      <c r="H100" s="482" t="n"/>
      <c r="I100" s="482" t="n"/>
      <c r="J100" s="483" t="n"/>
      <c r="K100" s="493" t="n"/>
      <c r="L100" s="481" t="n"/>
      <c r="M100" s="482" t="n"/>
      <c r="N100" s="482" t="n"/>
      <c r="O100" s="482" t="n"/>
      <c r="P100" s="525" t="n"/>
      <c r="Q100" s="486" t="n"/>
      <c r="R100" s="496" t="inlineStr">
        <is>
          <t>(법인명)</t>
        </is>
      </c>
      <c r="S100" s="490" t="n"/>
      <c r="T100" s="497" t="n"/>
      <c r="U100" s="489" t="n"/>
      <c r="V100" s="490" t="n"/>
      <c r="W100" s="490" t="n"/>
      <c r="X100" s="490" t="n"/>
      <c r="Y100" s="490" t="n"/>
      <c r="Z100" s="497" t="n"/>
      <c r="AA100" s="499" t="n"/>
      <c r="AB100" s="489" t="n"/>
      <c r="AC100" s="490" t="n"/>
      <c r="AD100" s="490" t="n"/>
      <c r="AE100" s="490" t="n"/>
      <c r="AF100" s="491" t="n"/>
    </row>
    <row r="101">
      <c r="A101" s="518" t="n"/>
      <c r="B101" s="526" t="inlineStr">
        <is>
          <t>사 업 장</t>
        </is>
      </c>
      <c r="C101" s="479" t="n"/>
      <c r="D101" s="480" t="n"/>
      <c r="E101" s="559">
        <f>E76</f>
        <v/>
      </c>
      <c r="F101" s="475" t="n"/>
      <c r="G101" s="475" t="n"/>
      <c r="H101" s="475" t="n"/>
      <c r="I101" s="475" t="n"/>
      <c r="J101" s="475" t="n"/>
      <c r="K101" s="475" t="n"/>
      <c r="L101" s="475" t="n"/>
      <c r="M101" s="475" t="n"/>
      <c r="N101" s="475" t="n"/>
      <c r="O101" s="475" t="n"/>
      <c r="P101" s="528" t="n"/>
      <c r="Q101" s="486" t="n"/>
      <c r="R101" s="526" t="inlineStr">
        <is>
          <t>사 업 장</t>
        </is>
      </c>
      <c r="S101" s="479" t="n"/>
      <c r="T101" s="480" t="n"/>
      <c r="U101" s="531">
        <f>U76</f>
        <v/>
      </c>
      <c r="V101" s="479" t="n"/>
      <c r="W101" s="479" t="n"/>
      <c r="X101" s="479" t="n"/>
      <c r="Y101" s="479" t="n"/>
      <c r="Z101" s="479" t="n"/>
      <c r="AA101" s="479" t="n"/>
      <c r="AB101" s="479" t="n"/>
      <c r="AC101" s="479" t="n"/>
      <c r="AD101" s="479" t="n"/>
      <c r="AE101" s="479" t="n"/>
      <c r="AF101" s="488" t="n"/>
      <c r="AH101" s="95" t="inlineStr">
        <is>
          <t>공급가액</t>
        </is>
      </c>
      <c r="AI101" s="95" t="inlineStr">
        <is>
          <t>세액</t>
        </is>
      </c>
      <c r="AJ101" s="95" t="inlineStr">
        <is>
          <t>합계금액</t>
        </is>
      </c>
    </row>
    <row r="102">
      <c r="A102" s="518" t="n"/>
      <c r="B102" s="496" t="inlineStr">
        <is>
          <t>주     소</t>
        </is>
      </c>
      <c r="C102" s="490" t="n"/>
      <c r="D102" s="497" t="n"/>
      <c r="E102" s="489" t="n"/>
      <c r="F102" s="490" t="n"/>
      <c r="G102" s="490" t="n"/>
      <c r="H102" s="490" t="n"/>
      <c r="I102" s="490" t="n"/>
      <c r="J102" s="490" t="n"/>
      <c r="K102" s="490" t="n"/>
      <c r="L102" s="490" t="n"/>
      <c r="M102" s="490" t="n"/>
      <c r="N102" s="490" t="n"/>
      <c r="O102" s="490" t="n"/>
      <c r="P102" s="497" t="n"/>
      <c r="Q102" s="486" t="n"/>
      <c r="R102" s="496" t="inlineStr">
        <is>
          <t>주     소</t>
        </is>
      </c>
      <c r="S102" s="490" t="n"/>
      <c r="T102" s="497" t="n"/>
      <c r="U102" s="489" t="n"/>
      <c r="V102" s="490" t="n"/>
      <c r="W102" s="490" t="n"/>
      <c r="X102" s="490" t="n"/>
      <c r="Y102" s="490" t="n"/>
      <c r="Z102" s="490" t="n"/>
      <c r="AA102" s="490" t="n"/>
      <c r="AB102" s="490" t="n"/>
      <c r="AC102" s="490" t="n"/>
      <c r="AD102" s="490" t="n"/>
      <c r="AE102" s="490" t="n"/>
      <c r="AF102" s="491" t="n"/>
      <c r="AH102" s="698">
        <f>T109</f>
        <v/>
      </c>
      <c r="AI102" s="698">
        <f>Z109</f>
        <v/>
      </c>
    </row>
    <row r="103">
      <c r="A103" s="518" t="n"/>
      <c r="B103" s="484" t="inlineStr">
        <is>
          <t>업     태</t>
        </is>
      </c>
      <c r="C103" s="479" t="n"/>
      <c r="D103" s="480" t="n"/>
      <c r="E103" s="478">
        <f>E78</f>
        <v/>
      </c>
      <c r="F103" s="479" t="n"/>
      <c r="G103" s="479" t="n"/>
      <c r="H103" s="479" t="n"/>
      <c r="I103" s="479" t="n"/>
      <c r="J103" s="480" t="n"/>
      <c r="K103" s="492" t="inlineStr">
        <is>
          <t>종목</t>
        </is>
      </c>
      <c r="L103" s="478">
        <f>L78</f>
        <v/>
      </c>
      <c r="M103" s="479" t="n"/>
      <c r="N103" s="479" t="n"/>
      <c r="O103" s="479" t="n"/>
      <c r="P103" s="480" t="n"/>
      <c r="Q103" s="486" t="n"/>
      <c r="R103" s="484" t="inlineStr">
        <is>
          <t>업     태</t>
        </is>
      </c>
      <c r="S103" s="479" t="n"/>
      <c r="T103" s="480" t="n"/>
      <c r="U103" s="593">
        <f>U78</f>
        <v/>
      </c>
      <c r="V103" s="479" t="n"/>
      <c r="W103" s="479" t="n"/>
      <c r="X103" s="479" t="n"/>
      <c r="Y103" s="479" t="n"/>
      <c r="Z103" s="480" t="n"/>
      <c r="AA103" s="492" t="inlineStr">
        <is>
          <t>종목</t>
        </is>
      </c>
      <c r="AB103" s="594">
        <f>AB78</f>
        <v/>
      </c>
      <c r="AC103" s="479" t="n"/>
      <c r="AD103" s="479" t="n"/>
      <c r="AE103" s="479" t="n"/>
      <c r="AF103" s="488" t="n"/>
      <c r="AH103" s="698">
        <f>T110</f>
        <v/>
      </c>
      <c r="AI103" s="698">
        <f>Z110</f>
        <v/>
      </c>
    </row>
    <row customHeight="1" ht="14.25" r="104" s="391" thickBot="1">
      <c r="A104" s="519" t="n"/>
      <c r="B104" s="481" t="n"/>
      <c r="C104" s="482" t="n"/>
      <c r="D104" s="483" t="n"/>
      <c r="E104" s="481" t="n"/>
      <c r="F104" s="482" t="n"/>
      <c r="G104" s="482" t="n"/>
      <c r="H104" s="482" t="n"/>
      <c r="I104" s="482" t="n"/>
      <c r="J104" s="483" t="n"/>
      <c r="K104" s="493" t="n"/>
      <c r="L104" s="481" t="n"/>
      <c r="M104" s="482" t="n"/>
      <c r="N104" s="482" t="n"/>
      <c r="O104" s="482" t="n"/>
      <c r="P104" s="483" t="n"/>
      <c r="Q104" s="483" t="n"/>
      <c r="R104" s="481" t="n"/>
      <c r="S104" s="482" t="n"/>
      <c r="T104" s="483" t="n"/>
      <c r="U104" s="481" t="n"/>
      <c r="V104" s="482" t="n"/>
      <c r="W104" s="482" t="n"/>
      <c r="X104" s="482" t="n"/>
      <c r="Y104" s="482" t="n"/>
      <c r="Z104" s="483" t="n"/>
      <c r="AA104" s="493" t="n"/>
      <c r="AB104" s="481" t="n"/>
      <c r="AC104" s="482" t="n"/>
      <c r="AD104" s="482" t="n"/>
      <c r="AE104" s="482" t="n"/>
      <c r="AF104" s="525" t="n"/>
      <c r="AH104" s="698">
        <f>T111</f>
        <v/>
      </c>
      <c r="AI104" s="698">
        <f>Z111</f>
        <v/>
      </c>
    </row>
    <row r="105">
      <c r="A105" s="565" t="inlineStr">
        <is>
          <t>작     성</t>
        </is>
      </c>
      <c r="B105" s="472" t="n"/>
      <c r="C105" s="472" t="n"/>
      <c r="D105" s="473" t="n"/>
      <c r="E105" s="561" t="inlineStr">
        <is>
          <t>공      급       가      액</t>
        </is>
      </c>
      <c r="F105" s="472" t="n"/>
      <c r="G105" s="472" t="n"/>
      <c r="H105" s="472" t="n"/>
      <c r="I105" s="472" t="n"/>
      <c r="J105" s="472" t="n"/>
      <c r="K105" s="472" t="n"/>
      <c r="L105" s="472" t="n"/>
      <c r="M105" s="472" t="n"/>
      <c r="N105" s="472" t="n"/>
      <c r="O105" s="472" t="n"/>
      <c r="P105" s="472" t="n"/>
      <c r="Q105" s="473" t="n"/>
      <c r="R105" s="561" t="inlineStr">
        <is>
          <t>세                액</t>
        </is>
      </c>
      <c r="S105" s="472" t="n"/>
      <c r="T105" s="472" t="n"/>
      <c r="U105" s="472" t="n"/>
      <c r="V105" s="472" t="n"/>
      <c r="W105" s="472" t="n"/>
      <c r="X105" s="472" t="n"/>
      <c r="Y105" s="472" t="n"/>
      <c r="Z105" s="472" t="n"/>
      <c r="AA105" s="473" t="n"/>
      <c r="AB105" s="532" t="inlineStr">
        <is>
          <t>비     고</t>
        </is>
      </c>
      <c r="AC105" s="472" t="n"/>
      <c r="AD105" s="472" t="n"/>
      <c r="AE105" s="472" t="n"/>
      <c r="AF105" s="533" t="n"/>
      <c r="AH105" s="699">
        <f>SUM(AH102:AH104)</f>
        <v/>
      </c>
      <c r="AI105" s="699">
        <f>SUM(AI102:AI104)</f>
        <v/>
      </c>
      <c r="AJ105" s="700">
        <f>SUM(AH105:AI105)</f>
        <v/>
      </c>
    </row>
    <row r="106">
      <c r="A106" s="560" t="inlineStr">
        <is>
          <t>년</t>
        </is>
      </c>
      <c r="B106" s="549" t="n"/>
      <c r="C106" s="316" t="inlineStr">
        <is>
          <t>월</t>
        </is>
      </c>
      <c r="D106" s="316" t="inlineStr">
        <is>
          <t>일</t>
        </is>
      </c>
      <c r="E106" s="562" t="inlineStr">
        <is>
          <t>공란수</t>
        </is>
      </c>
      <c r="F106" s="549" t="n"/>
      <c r="G106" s="562" t="inlineStr">
        <is>
          <t>백</t>
        </is>
      </c>
      <c r="H106" s="316" t="inlineStr">
        <is>
          <t>십</t>
        </is>
      </c>
      <c r="I106" s="316" t="inlineStr">
        <is>
          <t>억</t>
        </is>
      </c>
      <c r="J106" s="316" t="inlineStr">
        <is>
          <t>천</t>
        </is>
      </c>
      <c r="K106" s="316" t="inlineStr">
        <is>
          <t>백</t>
        </is>
      </c>
      <c r="L106" s="316" t="inlineStr">
        <is>
          <t>십</t>
        </is>
      </c>
      <c r="M106" s="316" t="inlineStr">
        <is>
          <t>만</t>
        </is>
      </c>
      <c r="N106" s="316" t="inlineStr">
        <is>
          <t>천</t>
        </is>
      </c>
      <c r="O106" s="316" t="inlineStr">
        <is>
          <t>백</t>
        </is>
      </c>
      <c r="P106" s="316" t="inlineStr">
        <is>
          <t>십</t>
        </is>
      </c>
      <c r="Q106" s="316" t="inlineStr">
        <is>
          <t>일</t>
        </is>
      </c>
      <c r="R106" s="316" t="inlineStr">
        <is>
          <t>십</t>
        </is>
      </c>
      <c r="S106" s="316" t="inlineStr">
        <is>
          <t>억</t>
        </is>
      </c>
      <c r="T106" s="316" t="inlineStr">
        <is>
          <t>천</t>
        </is>
      </c>
      <c r="U106" s="316" t="inlineStr">
        <is>
          <t>백</t>
        </is>
      </c>
      <c r="V106" s="316" t="inlineStr">
        <is>
          <t>십</t>
        </is>
      </c>
      <c r="W106" s="316" t="inlineStr">
        <is>
          <t>만</t>
        </is>
      </c>
      <c r="X106" s="316" t="inlineStr">
        <is>
          <t>천</t>
        </is>
      </c>
      <c r="Y106" s="316" t="inlineStr">
        <is>
          <t>백</t>
        </is>
      </c>
      <c r="Z106" s="316" t="inlineStr">
        <is>
          <t>십</t>
        </is>
      </c>
      <c r="AA106" s="316" t="inlineStr">
        <is>
          <t>일</t>
        </is>
      </c>
      <c r="AB106" s="566" t="n"/>
      <c r="AC106" s="479" t="n"/>
      <c r="AD106" s="479" t="n"/>
      <c r="AE106" s="479" t="n"/>
      <c r="AF106" s="488" t="n"/>
    </row>
    <row customHeight="1" ht="14.25" r="107" s="391" thickBot="1">
      <c r="A107" s="563">
        <f>A82</f>
        <v/>
      </c>
      <c r="B107" s="538" t="n"/>
      <c r="C107" s="318">
        <f>C82</f>
        <v/>
      </c>
      <c r="D107" s="318">
        <f>D82</f>
        <v/>
      </c>
      <c r="E107" s="708" t="n"/>
      <c r="F107" s="538" t="n"/>
      <c r="G107" s="709" t="n"/>
      <c r="H107" s="709" t="n"/>
      <c r="I107" s="709" t="n"/>
      <c r="J107" s="709" t="n"/>
      <c r="K107" s="709">
        <f>MID(AH105,1,1)</f>
        <v/>
      </c>
      <c r="L107" s="342">
        <f>MID(AH105,2,1)</f>
        <v/>
      </c>
      <c r="M107" s="709">
        <f>MID(AH105,3,1)</f>
        <v/>
      </c>
      <c r="N107" s="709">
        <f>MID(AH105,4,1)</f>
        <v/>
      </c>
      <c r="O107" s="709">
        <f>MID(AH105,5,1)</f>
        <v/>
      </c>
      <c r="P107" s="709">
        <f>MID(AH105,6,1)</f>
        <v/>
      </c>
      <c r="Q107" s="709">
        <f>MID(AH105,7,1)</f>
        <v/>
      </c>
      <c r="R107" s="709" t="n"/>
      <c r="S107" s="709" t="n"/>
      <c r="T107" s="709" t="n"/>
      <c r="U107" s="709" t="n"/>
      <c r="V107" s="709">
        <f>MID(AI105,1,1)</f>
        <v/>
      </c>
      <c r="W107" s="709">
        <f>MID(AI105,2,1)</f>
        <v/>
      </c>
      <c r="X107" s="709">
        <f>MID(AI105,3,1)</f>
        <v/>
      </c>
      <c r="Y107" s="709">
        <f>MID(AI105,4,1)</f>
        <v/>
      </c>
      <c r="Z107" s="709">
        <f>MID(AI105,5,1)</f>
        <v/>
      </c>
      <c r="AA107" s="709">
        <f>MID(AI105,6,1)</f>
        <v/>
      </c>
      <c r="AB107" s="481" t="n"/>
      <c r="AC107" s="482" t="n"/>
      <c r="AD107" s="482" t="n"/>
      <c r="AE107" s="482" t="n"/>
      <c r="AF107" s="525" t="n"/>
    </row>
    <row r="108">
      <c r="A108" s="61" t="inlineStr">
        <is>
          <t>월</t>
        </is>
      </c>
      <c r="B108" s="62" t="inlineStr">
        <is>
          <t>일</t>
        </is>
      </c>
      <c r="C108" s="561" t="inlineStr">
        <is>
          <t>품          목</t>
        </is>
      </c>
      <c r="D108" s="472" t="n"/>
      <c r="E108" s="472" t="n"/>
      <c r="F108" s="472" t="n"/>
      <c r="G108" s="472" t="n"/>
      <c r="H108" s="473" t="n"/>
      <c r="I108" s="561" t="inlineStr">
        <is>
          <t>규격</t>
        </is>
      </c>
      <c r="J108" s="472" t="n"/>
      <c r="K108" s="473" t="n"/>
      <c r="L108" s="561" t="inlineStr">
        <is>
          <t>수량</t>
        </is>
      </c>
      <c r="M108" s="472" t="n"/>
      <c r="N108" s="473" t="n"/>
      <c r="O108" s="561" t="inlineStr">
        <is>
          <t>단      가</t>
        </is>
      </c>
      <c r="P108" s="472" t="n"/>
      <c r="Q108" s="472" t="n"/>
      <c r="R108" s="472" t="n"/>
      <c r="S108" s="473" t="n"/>
      <c r="T108" s="561" t="inlineStr">
        <is>
          <t>공  급  가  액</t>
        </is>
      </c>
      <c r="U108" s="472" t="n"/>
      <c r="V108" s="472" t="n"/>
      <c r="W108" s="472" t="n"/>
      <c r="X108" s="472" t="n"/>
      <c r="Y108" s="473" t="n"/>
      <c r="Z108" s="561" t="inlineStr">
        <is>
          <t>세        액</t>
        </is>
      </c>
      <c r="AA108" s="472" t="n"/>
      <c r="AB108" s="472" t="n"/>
      <c r="AC108" s="472" t="n"/>
      <c r="AD108" s="473" t="n"/>
      <c r="AE108" s="532" t="inlineStr">
        <is>
          <t>비고</t>
        </is>
      </c>
      <c r="AF108" s="533" t="n"/>
    </row>
    <row r="109">
      <c r="A109" s="320">
        <f>C107</f>
        <v/>
      </c>
      <c r="B109" s="320">
        <f>D107</f>
        <v/>
      </c>
      <c r="C109" s="567" t="inlineStr">
        <is>
          <t>월세</t>
        </is>
      </c>
      <c r="D109" s="548" t="n"/>
      <c r="E109" s="548" t="n"/>
      <c r="F109" s="548" t="n"/>
      <c r="G109" s="548" t="n"/>
      <c r="H109" s="549" t="n"/>
      <c r="I109" s="547" t="n"/>
      <c r="J109" s="548" t="n"/>
      <c r="K109" s="549" t="n"/>
      <c r="L109" s="710" t="n"/>
      <c r="M109" s="548" t="n"/>
      <c r="N109" s="549" t="n"/>
      <c r="O109" s="711" t="n"/>
      <c r="P109" s="548" t="n"/>
      <c r="Q109" s="548" t="n"/>
      <c r="R109" s="548" t="n"/>
      <c r="S109" s="549" t="n"/>
      <c r="T109" s="711">
        <f>G4</f>
        <v/>
      </c>
      <c r="U109" s="548" t="n"/>
      <c r="V109" s="548" t="n"/>
      <c r="W109" s="548" t="n"/>
      <c r="X109" s="548" t="n"/>
      <c r="Y109" s="549" t="n"/>
      <c r="Z109" s="711">
        <f>T109*0.1</f>
        <v/>
      </c>
      <c r="AA109" s="548" t="n"/>
      <c r="AB109" s="548" t="n"/>
      <c r="AC109" s="548" t="n"/>
      <c r="AD109" s="549" t="n"/>
      <c r="AE109" s="552" t="n"/>
      <c r="AF109" s="553" t="n"/>
    </row>
    <row r="110">
      <c r="A110" s="320">
        <f>A109</f>
        <v/>
      </c>
      <c r="B110" s="320">
        <f>B109</f>
        <v/>
      </c>
      <c r="C110" s="567" t="inlineStr">
        <is>
          <t>관리비</t>
        </is>
      </c>
      <c r="D110" s="548" t="n"/>
      <c r="E110" s="548" t="n"/>
      <c r="F110" s="548" t="n"/>
      <c r="G110" s="548" t="n"/>
      <c r="H110" s="549" t="n"/>
      <c r="I110" s="547" t="n"/>
      <c r="J110" s="548" t="n"/>
      <c r="K110" s="549" t="n"/>
      <c r="L110" s="710" t="n"/>
      <c r="M110" s="548" t="n"/>
      <c r="N110" s="549" t="n"/>
      <c r="O110" s="711" t="n"/>
      <c r="P110" s="548" t="n"/>
      <c r="Q110" s="548" t="n"/>
      <c r="R110" s="548" t="n"/>
      <c r="S110" s="549" t="n"/>
      <c r="T110" s="711">
        <f>G6/1.1</f>
        <v/>
      </c>
      <c r="U110" s="548" t="n"/>
      <c r="V110" s="548" t="n"/>
      <c r="W110" s="548" t="n"/>
      <c r="X110" s="548" t="n"/>
      <c r="Y110" s="549" t="n"/>
      <c r="Z110" s="711">
        <f>G6-T110</f>
        <v/>
      </c>
      <c r="AA110" s="548" t="n"/>
      <c r="AB110" s="548" t="n"/>
      <c r="AC110" s="548" t="n"/>
      <c r="AD110" s="549" t="n"/>
      <c r="AE110" s="552" t="n"/>
      <c r="AF110" s="553" t="n"/>
    </row>
    <row r="111">
      <c r="A111" s="320">
        <f>A110</f>
        <v/>
      </c>
      <c r="B111" s="320">
        <f>B110</f>
        <v/>
      </c>
      <c r="C111" s="567" t="inlineStr">
        <is>
          <t>전기요금</t>
        </is>
      </c>
      <c r="D111" s="548" t="n"/>
      <c r="E111" s="548" t="n"/>
      <c r="F111" s="548" t="n"/>
      <c r="G111" s="548" t="n"/>
      <c r="H111" s="549" t="n"/>
      <c r="I111" s="547" t="n"/>
      <c r="J111" s="548" t="n"/>
      <c r="K111" s="549" t="n"/>
      <c r="L111" s="710" t="n"/>
      <c r="M111" s="548" t="n"/>
      <c r="N111" s="549" t="n"/>
      <c r="O111" s="711" t="n"/>
      <c r="P111" s="548" t="n"/>
      <c r="Q111" s="548" t="n"/>
      <c r="R111" s="548" t="n"/>
      <c r="S111" s="549" t="n"/>
      <c r="T111" s="711">
        <f>G7/1.1</f>
        <v/>
      </c>
      <c r="U111" s="548" t="n"/>
      <c r="V111" s="548" t="n"/>
      <c r="W111" s="548" t="n"/>
      <c r="X111" s="548" t="n"/>
      <c r="Y111" s="549" t="n"/>
      <c r="Z111" s="711">
        <f>G7-T111</f>
        <v/>
      </c>
      <c r="AA111" s="548" t="n"/>
      <c r="AB111" s="548" t="n"/>
      <c r="AC111" s="548" t="n"/>
      <c r="AD111" s="549" t="n"/>
      <c r="AE111" s="552" t="n"/>
      <c r="AF111" s="553" t="n"/>
    </row>
    <row r="112">
      <c r="A112" s="320" t="n"/>
      <c r="B112" s="320" t="n"/>
      <c r="C112" s="567" t="n"/>
      <c r="D112" s="548" t="n"/>
      <c r="E112" s="548" t="n"/>
      <c r="F112" s="548" t="n"/>
      <c r="G112" s="548" t="n"/>
      <c r="H112" s="549" t="n"/>
      <c r="I112" s="547" t="n"/>
      <c r="J112" s="548" t="n"/>
      <c r="K112" s="549" t="n"/>
      <c r="L112" s="710" t="n"/>
      <c r="M112" s="548" t="n"/>
      <c r="N112" s="549" t="n"/>
      <c r="O112" s="711" t="n"/>
      <c r="P112" s="548" t="n"/>
      <c r="Q112" s="548" t="n"/>
      <c r="R112" s="548" t="n"/>
      <c r="S112" s="549" t="n"/>
      <c r="T112" s="711" t="n"/>
      <c r="U112" s="548" t="n"/>
      <c r="V112" s="548" t="n"/>
      <c r="W112" s="548" t="n"/>
      <c r="X112" s="548" t="n"/>
      <c r="Y112" s="549" t="n"/>
      <c r="Z112" s="711" t="n"/>
      <c r="AA112" s="548" t="n"/>
      <c r="AB112" s="548" t="n"/>
      <c r="AC112" s="548" t="n"/>
      <c r="AD112" s="549" t="n"/>
      <c r="AE112" s="552" t="n"/>
      <c r="AF112" s="553" t="n"/>
    </row>
    <row r="113">
      <c r="A113" s="560" t="inlineStr">
        <is>
          <t>합계금액</t>
        </is>
      </c>
      <c r="B113" s="548" t="n"/>
      <c r="C113" s="548" t="n"/>
      <c r="D113" s="548" t="n"/>
      <c r="E113" s="549" t="n"/>
      <c r="F113" s="562" t="inlineStr">
        <is>
          <t>현  금</t>
        </is>
      </c>
      <c r="G113" s="548" t="n"/>
      <c r="H113" s="548" t="n"/>
      <c r="I113" s="548" t="n"/>
      <c r="J113" s="549" t="n"/>
      <c r="K113" s="562" t="inlineStr">
        <is>
          <t>수  표</t>
        </is>
      </c>
      <c r="L113" s="548" t="n"/>
      <c r="M113" s="548" t="n"/>
      <c r="N113" s="548" t="n"/>
      <c r="O113" s="549" t="n"/>
      <c r="P113" s="562" t="inlineStr">
        <is>
          <t>어  음</t>
        </is>
      </c>
      <c r="Q113" s="548" t="n"/>
      <c r="R113" s="548" t="n"/>
      <c r="S113" s="548" t="n"/>
      <c r="T113" s="549" t="n"/>
      <c r="U113" s="562" t="inlineStr">
        <is>
          <t>외상미수금</t>
        </is>
      </c>
      <c r="V113" s="548" t="n"/>
      <c r="W113" s="548" t="n"/>
      <c r="X113" s="548" t="n"/>
      <c r="Y113" s="549" t="n"/>
      <c r="Z113" s="571" t="inlineStr">
        <is>
          <t xml:space="preserve">이 금액을 </t>
        </is>
      </c>
      <c r="AA113" s="479" t="n"/>
      <c r="AB113" s="479" t="n"/>
      <c r="AC113" s="479" t="n"/>
      <c r="AD113" s="572">
        <f>AD88</f>
        <v/>
      </c>
      <c r="AE113" s="479" t="n"/>
      <c r="AF113" s="573" t="inlineStr">
        <is>
          <t>함</t>
        </is>
      </c>
    </row>
    <row customHeight="1" ht="14.25" r="114" s="391" thickBot="1">
      <c r="A114" s="712">
        <f>SUM(T109:AD111)</f>
        <v/>
      </c>
      <c r="B114" s="537" t="n"/>
      <c r="C114" s="537" t="n"/>
      <c r="D114" s="537" t="n"/>
      <c r="E114" s="538" t="n"/>
      <c r="F114" s="713" t="n"/>
      <c r="G114" s="537" t="n"/>
      <c r="H114" s="537" t="n"/>
      <c r="I114" s="537" t="n"/>
      <c r="J114" s="538" t="n"/>
      <c r="K114" s="713" t="n"/>
      <c r="L114" s="537" t="n"/>
      <c r="M114" s="537" t="n"/>
      <c r="N114" s="537" t="n"/>
      <c r="O114" s="538" t="n"/>
      <c r="P114" s="713" t="n"/>
      <c r="Q114" s="537" t="n"/>
      <c r="R114" s="537" t="n"/>
      <c r="S114" s="537" t="n"/>
      <c r="T114" s="538" t="n"/>
      <c r="U114" s="713" t="n"/>
      <c r="V114" s="537" t="n"/>
      <c r="W114" s="537" t="n"/>
      <c r="X114" s="537" t="n"/>
      <c r="Y114" s="538" t="n"/>
      <c r="Z114" s="481" t="n"/>
      <c r="AA114" s="482" t="n"/>
      <c r="AB114" s="482" t="n"/>
      <c r="AC114" s="482" t="n"/>
      <c r="AD114" s="482" t="n"/>
      <c r="AE114" s="482" t="n"/>
      <c r="AF114" s="525" t="n"/>
    </row>
    <row r="115">
      <c r="A115" s="57" t="inlineStr">
        <is>
          <t>22226-28131일 '96.3.27승인</t>
        </is>
      </c>
      <c r="B115" s="57" t="n"/>
      <c r="C115" s="58" t="n"/>
      <c r="D115" s="58" t="n"/>
      <c r="E115" s="58" t="n"/>
      <c r="F115" s="58" t="n"/>
      <c r="G115" s="58" t="n"/>
      <c r="H115" s="58" t="n"/>
      <c r="I115" s="58" t="n"/>
      <c r="J115" s="58" t="n"/>
      <c r="K115" s="58" t="n"/>
      <c r="L115" s="58" t="n"/>
      <c r="M115" s="58" t="n"/>
      <c r="N115" s="58" t="n"/>
      <c r="O115" s="58" t="n"/>
      <c r="P115" s="58" t="n"/>
      <c r="Q115" s="58" t="n"/>
      <c r="R115" s="58" t="n"/>
      <c r="S115" s="58" t="n"/>
      <c r="T115" s="58" t="n"/>
      <c r="U115" s="570" t="inlineStr">
        <is>
          <t>인쇄용지(특급)34g/m2 182mmx128mm</t>
        </is>
      </c>
      <c r="V115" s="475" t="n"/>
      <c r="W115" s="475" t="n"/>
      <c r="X115" s="475" t="n"/>
      <c r="Y115" s="475" t="n"/>
      <c r="Z115" s="475" t="n"/>
      <c r="AA115" s="475" t="n"/>
      <c r="AB115" s="475" t="n"/>
      <c r="AC115" s="475" t="n"/>
      <c r="AD115" s="475" t="n"/>
      <c r="AE115" s="475" t="n"/>
      <c r="AF115" s="475" t="n"/>
    </row>
  </sheetData>
  <mergeCells count="536">
    <mergeCell ref="W90:AF90"/>
    <mergeCell ref="C85:H85"/>
    <mergeCell ref="I85:K85"/>
    <mergeCell ref="L85:N85"/>
    <mergeCell ref="O85:S85"/>
    <mergeCell ref="T85:Y85"/>
    <mergeCell ref="Z85:AD85"/>
    <mergeCell ref="AE85:AF85"/>
    <mergeCell ref="C86:H86"/>
    <mergeCell ref="I86:K86"/>
    <mergeCell ref="L86:N86"/>
    <mergeCell ref="O86:S86"/>
    <mergeCell ref="T86:Y86"/>
    <mergeCell ref="Z86:AD86"/>
    <mergeCell ref="AE86:AF86"/>
    <mergeCell ref="C87:H87"/>
    <mergeCell ref="I87:K87"/>
    <mergeCell ref="L87:N87"/>
    <mergeCell ref="O87:S87"/>
    <mergeCell ref="A89:E89"/>
    <mergeCell ref="F89:J89"/>
    <mergeCell ref="K89:O89"/>
    <mergeCell ref="P89:T89"/>
    <mergeCell ref="U89:Y89"/>
    <mergeCell ref="T87:Y87"/>
    <mergeCell ref="Z87:AD87"/>
    <mergeCell ref="AE87:AF87"/>
    <mergeCell ref="A88:E88"/>
    <mergeCell ref="F88:J88"/>
    <mergeCell ref="K88:O88"/>
    <mergeCell ref="P88:T88"/>
    <mergeCell ref="U88:Y88"/>
    <mergeCell ref="Z88:AC89"/>
    <mergeCell ref="AD88:AE89"/>
    <mergeCell ref="AF88:AF89"/>
    <mergeCell ref="C83:H83"/>
    <mergeCell ref="I83:K83"/>
    <mergeCell ref="L83:N83"/>
    <mergeCell ref="O83:S83"/>
    <mergeCell ref="T83:Y83"/>
    <mergeCell ref="Z83:AD83"/>
    <mergeCell ref="AE83:AF83"/>
    <mergeCell ref="C84:H84"/>
    <mergeCell ref="I84:K84"/>
    <mergeCell ref="L84:N84"/>
    <mergeCell ref="O84:S84"/>
    <mergeCell ref="T84:Y84"/>
    <mergeCell ref="Z84:AD84"/>
    <mergeCell ref="AE84:AF84"/>
    <mergeCell ref="B76:D76"/>
    <mergeCell ref="E76:P77"/>
    <mergeCell ref="R76:T76"/>
    <mergeCell ref="U76:AF77"/>
    <mergeCell ref="B77:D77"/>
    <mergeCell ref="R77:T77"/>
    <mergeCell ref="B78:D79"/>
    <mergeCell ref="E78:J79"/>
    <mergeCell ref="K78:K79"/>
    <mergeCell ref="L78:P79"/>
    <mergeCell ref="R78:T79"/>
    <mergeCell ref="U78:Z79"/>
    <mergeCell ref="AA78:AA79"/>
    <mergeCell ref="AB78:AF79"/>
    <mergeCell ref="R74:T74"/>
    <mergeCell ref="U74:Z75"/>
    <mergeCell ref="AA74:AA75"/>
    <mergeCell ref="AB74:AE75"/>
    <mergeCell ref="AF74:AF75"/>
    <mergeCell ref="B75:D75"/>
    <mergeCell ref="R75:T75"/>
    <mergeCell ref="R72:T73"/>
    <mergeCell ref="U72:U73"/>
    <mergeCell ref="V72:V73"/>
    <mergeCell ref="W72:W73"/>
    <mergeCell ref="X72:X73"/>
    <mergeCell ref="Y72:Y73"/>
    <mergeCell ref="Z72:Z73"/>
    <mergeCell ref="AA72:AA73"/>
    <mergeCell ref="A55:B55"/>
    <mergeCell ref="E55:F55"/>
    <mergeCell ref="AB55:AF56"/>
    <mergeCell ref="C57:H57"/>
    <mergeCell ref="I57:K57"/>
    <mergeCell ref="L57:N57"/>
    <mergeCell ref="O57:S57"/>
    <mergeCell ref="T57:Y57"/>
    <mergeCell ref="Z57:AD57"/>
    <mergeCell ref="AE57:AF57"/>
    <mergeCell ref="B52:D53"/>
    <mergeCell ref="E52:J53"/>
    <mergeCell ref="K52:K53"/>
    <mergeCell ref="L52:P53"/>
    <mergeCell ref="R52:T53"/>
    <mergeCell ref="U52:Z53"/>
    <mergeCell ref="AA52:AA53"/>
    <mergeCell ref="AB52:AF53"/>
    <mergeCell ref="A54:D54"/>
    <mergeCell ref="E54:Q54"/>
    <mergeCell ref="R54:AA54"/>
    <mergeCell ref="AB54:AF54"/>
    <mergeCell ref="U115:AF115"/>
    <mergeCell ref="V43:AA43"/>
    <mergeCell ref="AB43:AF43"/>
    <mergeCell ref="A44:O45"/>
    <mergeCell ref="P44:P45"/>
    <mergeCell ref="Q44:U44"/>
    <mergeCell ref="V44:V45"/>
    <mergeCell ref="W44:Z44"/>
    <mergeCell ref="AA44:AB44"/>
    <mergeCell ref="AD44:AE44"/>
    <mergeCell ref="A46:A53"/>
    <mergeCell ref="B46:D47"/>
    <mergeCell ref="E46:E47"/>
    <mergeCell ref="F46:F47"/>
    <mergeCell ref="G46:G47"/>
    <mergeCell ref="H46:H47"/>
    <mergeCell ref="I46:I47"/>
    <mergeCell ref="J46:J47"/>
    <mergeCell ref="K46:K47"/>
    <mergeCell ref="L46:L47"/>
    <mergeCell ref="M46:M47"/>
    <mergeCell ref="N46:N47"/>
    <mergeCell ref="O46:O47"/>
    <mergeCell ref="P46:P47"/>
    <mergeCell ref="C112:H112"/>
    <mergeCell ref="I112:K112"/>
    <mergeCell ref="L112:N112"/>
    <mergeCell ref="O112:S112"/>
    <mergeCell ref="T112:Y112"/>
    <mergeCell ref="Z112:AD112"/>
    <mergeCell ref="AE112:AF112"/>
    <mergeCell ref="A113:E113"/>
    <mergeCell ref="F113:J113"/>
    <mergeCell ref="K113:O113"/>
    <mergeCell ref="P113:T113"/>
    <mergeCell ref="U113:Y113"/>
    <mergeCell ref="Z113:AC114"/>
    <mergeCell ref="AD113:AE114"/>
    <mergeCell ref="AF113:AF114"/>
    <mergeCell ref="A114:E114"/>
    <mergeCell ref="F114:J114"/>
    <mergeCell ref="K114:O114"/>
    <mergeCell ref="P114:T114"/>
    <mergeCell ref="U114:Y114"/>
    <mergeCell ref="C110:H110"/>
    <mergeCell ref="I110:K110"/>
    <mergeCell ref="L110:N110"/>
    <mergeCell ref="O110:S110"/>
    <mergeCell ref="T110:Y110"/>
    <mergeCell ref="Z110:AD110"/>
    <mergeCell ref="AE110:AF110"/>
    <mergeCell ref="C111:H111"/>
    <mergeCell ref="I111:K111"/>
    <mergeCell ref="L111:N111"/>
    <mergeCell ref="O111:S111"/>
    <mergeCell ref="T111:Y111"/>
    <mergeCell ref="Z111:AD111"/>
    <mergeCell ref="AE111:AF111"/>
    <mergeCell ref="C108:H108"/>
    <mergeCell ref="I108:K108"/>
    <mergeCell ref="L108:N108"/>
    <mergeCell ref="O108:S108"/>
    <mergeCell ref="T108:Y108"/>
    <mergeCell ref="Z108:AD108"/>
    <mergeCell ref="AE108:AF108"/>
    <mergeCell ref="C109:H109"/>
    <mergeCell ref="I109:K109"/>
    <mergeCell ref="L109:N109"/>
    <mergeCell ref="O109:S109"/>
    <mergeCell ref="T109:Y109"/>
    <mergeCell ref="Z109:AD109"/>
    <mergeCell ref="AE109:AF109"/>
    <mergeCell ref="A105:D105"/>
    <mergeCell ref="E105:Q105"/>
    <mergeCell ref="R105:AA105"/>
    <mergeCell ref="AB105:AF105"/>
    <mergeCell ref="A106:B106"/>
    <mergeCell ref="E106:F106"/>
    <mergeCell ref="AB106:AF107"/>
    <mergeCell ref="A107:B107"/>
    <mergeCell ref="E107:F107"/>
    <mergeCell ref="AD97:AD98"/>
    <mergeCell ref="AE97:AE98"/>
    <mergeCell ref="L97:L98"/>
    <mergeCell ref="M97:M98"/>
    <mergeCell ref="N97:N98"/>
    <mergeCell ref="O97:O98"/>
    <mergeCell ref="P97:P98"/>
    <mergeCell ref="Q97:Q104"/>
    <mergeCell ref="R97:T98"/>
    <mergeCell ref="U97:U98"/>
    <mergeCell ref="V97:V98"/>
    <mergeCell ref="B100:D100"/>
    <mergeCell ref="R100:T100"/>
    <mergeCell ref="W97:W98"/>
    <mergeCell ref="X97:X98"/>
    <mergeCell ref="Y97:Y98"/>
    <mergeCell ref="Z97:Z98"/>
    <mergeCell ref="AA97:AA98"/>
    <mergeCell ref="AB97:AB98"/>
    <mergeCell ref="AC97:AC98"/>
    <mergeCell ref="K103:K104"/>
    <mergeCell ref="L103:P104"/>
    <mergeCell ref="R103:T104"/>
    <mergeCell ref="U103:Z104"/>
    <mergeCell ref="AA103:AA104"/>
    <mergeCell ref="AB103:AF104"/>
    <mergeCell ref="U99:Z100"/>
    <mergeCell ref="AA99:AA100"/>
    <mergeCell ref="AB99:AE100"/>
    <mergeCell ref="AF99:AF100"/>
    <mergeCell ref="AF97:AF98"/>
    <mergeCell ref="E99:J100"/>
    <mergeCell ref="K99:K100"/>
    <mergeCell ref="L99:O100"/>
    <mergeCell ref="P99:P100"/>
    <mergeCell ref="R99:T99"/>
    <mergeCell ref="A97:A104"/>
    <mergeCell ref="B97:D98"/>
    <mergeCell ref="E97:E98"/>
    <mergeCell ref="F97:F98"/>
    <mergeCell ref="G97:G98"/>
    <mergeCell ref="H97:H98"/>
    <mergeCell ref="I97:I98"/>
    <mergeCell ref="J97:J98"/>
    <mergeCell ref="K97:K98"/>
    <mergeCell ref="B101:D101"/>
    <mergeCell ref="B102:D102"/>
    <mergeCell ref="B103:D104"/>
    <mergeCell ref="B99:D99"/>
    <mergeCell ref="E101:P102"/>
    <mergeCell ref="R101:T101"/>
    <mergeCell ref="U101:AF102"/>
    <mergeCell ref="R102:T102"/>
    <mergeCell ref="E103:J104"/>
    <mergeCell ref="A95:O96"/>
    <mergeCell ref="P95:P96"/>
    <mergeCell ref="Q95:U95"/>
    <mergeCell ref="V95:V96"/>
    <mergeCell ref="W95:Z95"/>
    <mergeCell ref="AA95:AB95"/>
    <mergeCell ref="AD95:AE95"/>
    <mergeCell ref="Q96:U96"/>
    <mergeCell ref="W96:Z96"/>
    <mergeCell ref="A38:E38"/>
    <mergeCell ref="F38:J38"/>
    <mergeCell ref="K38:O38"/>
    <mergeCell ref="P38:T38"/>
    <mergeCell ref="U38:Y38"/>
    <mergeCell ref="A37:E37"/>
    <mergeCell ref="F37:J37"/>
    <mergeCell ref="K37:O37"/>
    <mergeCell ref="P37:T37"/>
    <mergeCell ref="U37:Y37"/>
    <mergeCell ref="C36:H36"/>
    <mergeCell ref="I36:K36"/>
    <mergeCell ref="Z36:AD36"/>
    <mergeCell ref="Z35:AD35"/>
    <mergeCell ref="AE35:AF35"/>
    <mergeCell ref="C34:H34"/>
    <mergeCell ref="I34:K34"/>
    <mergeCell ref="L34:N34"/>
    <mergeCell ref="O34:S34"/>
    <mergeCell ref="T34:Y34"/>
    <mergeCell ref="Z34:AD34"/>
    <mergeCell ref="AE34:AF34"/>
    <mergeCell ref="I35:K35"/>
    <mergeCell ref="L35:N35"/>
    <mergeCell ref="O35:S35"/>
    <mergeCell ref="T35:Y35"/>
    <mergeCell ref="L36:N36"/>
    <mergeCell ref="O36:S36"/>
    <mergeCell ref="T36:Y36"/>
    <mergeCell ref="AE36:AF36"/>
    <mergeCell ref="C35:H35"/>
    <mergeCell ref="C33:H33"/>
    <mergeCell ref="I33:K33"/>
    <mergeCell ref="L33:N33"/>
    <mergeCell ref="O33:S33"/>
    <mergeCell ref="T33:Y33"/>
    <mergeCell ref="Z33:AD33"/>
    <mergeCell ref="AE33:AF33"/>
    <mergeCell ref="C32:H32"/>
    <mergeCell ref="I32:K32"/>
    <mergeCell ref="L32:N32"/>
    <mergeCell ref="O32:S32"/>
    <mergeCell ref="T32:Y32"/>
    <mergeCell ref="Z32:AD32"/>
    <mergeCell ref="AE32:AF32"/>
    <mergeCell ref="AB6:AE6"/>
    <mergeCell ref="AB10:AE10"/>
    <mergeCell ref="A6:F6"/>
    <mergeCell ref="A7:F7"/>
    <mergeCell ref="L9:V9"/>
    <mergeCell ref="L10:V10"/>
    <mergeCell ref="L7:V7"/>
    <mergeCell ref="AA23:AA24"/>
    <mergeCell ref="AB23:AE24"/>
    <mergeCell ref="AE21:AE22"/>
    <mergeCell ref="V21:V22"/>
    <mergeCell ref="W21:W22"/>
    <mergeCell ref="X21:X22"/>
    <mergeCell ref="Y21:Y22"/>
    <mergeCell ref="K21:K22"/>
    <mergeCell ref="L21:L22"/>
    <mergeCell ref="M21:M22"/>
    <mergeCell ref="A8:F8"/>
    <mergeCell ref="A9:F9"/>
    <mergeCell ref="AB18:AF18"/>
    <mergeCell ref="A19:O20"/>
    <mergeCell ref="P19:P20"/>
    <mergeCell ref="Q19:U19"/>
    <mergeCell ref="U21:U22"/>
    <mergeCell ref="Q1:S1"/>
    <mergeCell ref="L5:V5"/>
    <mergeCell ref="L6:V6"/>
    <mergeCell ref="L8:V8"/>
    <mergeCell ref="G8:K8"/>
    <mergeCell ref="G9:K9"/>
    <mergeCell ref="G5:K5"/>
    <mergeCell ref="G6:K6"/>
    <mergeCell ref="L3:V3"/>
    <mergeCell ref="L4:V4"/>
    <mergeCell ref="G3:K3"/>
    <mergeCell ref="G4:K4"/>
    <mergeCell ref="G7:K7"/>
    <mergeCell ref="A3:F3"/>
    <mergeCell ref="A4:F4"/>
    <mergeCell ref="G10:K10"/>
    <mergeCell ref="A5:F5"/>
    <mergeCell ref="X13:AA13"/>
    <mergeCell ref="AB13:AE13"/>
    <mergeCell ref="X11:AA11"/>
    <mergeCell ref="AB11:AE11"/>
    <mergeCell ref="AB12:AE12"/>
    <mergeCell ref="AB4:AE4"/>
    <mergeCell ref="X4:AA4"/>
    <mergeCell ref="X5:AA5"/>
    <mergeCell ref="AB5:AE5"/>
    <mergeCell ref="X7:AA7"/>
    <mergeCell ref="AB7:AE7"/>
    <mergeCell ref="X3:AF3"/>
    <mergeCell ref="X8:AA8"/>
    <mergeCell ref="AB8:AE8"/>
    <mergeCell ref="A10:F10"/>
    <mergeCell ref="X9:AA9"/>
    <mergeCell ref="AB9:AE9"/>
    <mergeCell ref="X10:AA10"/>
    <mergeCell ref="X12:AA12"/>
    <mergeCell ref="X6:AA6"/>
    <mergeCell ref="V19:V20"/>
    <mergeCell ref="W19:Z19"/>
    <mergeCell ref="AD19:AE19"/>
    <mergeCell ref="Q20:U20"/>
    <mergeCell ref="W20:Z20"/>
    <mergeCell ref="AA19:AB19"/>
    <mergeCell ref="AC21:AC22"/>
    <mergeCell ref="AD21:AD22"/>
    <mergeCell ref="H21:H22"/>
    <mergeCell ref="I21:I22"/>
    <mergeCell ref="J21:J22"/>
    <mergeCell ref="Z21:Z22"/>
    <mergeCell ref="O21:O22"/>
    <mergeCell ref="AA21:AA22"/>
    <mergeCell ref="AB21:AB22"/>
    <mergeCell ref="N21:N22"/>
    <mergeCell ref="P21:P22"/>
    <mergeCell ref="Q21:Q28"/>
    <mergeCell ref="L27:P28"/>
    <mergeCell ref="U23:Z24"/>
    <mergeCell ref="R24:T24"/>
    <mergeCell ref="U25:AF26"/>
    <mergeCell ref="R21:T22"/>
    <mergeCell ref="R23:T23"/>
    <mergeCell ref="V18:AA18"/>
    <mergeCell ref="AF23:AF24"/>
    <mergeCell ref="A56:B56"/>
    <mergeCell ref="AE58:AF58"/>
    <mergeCell ref="T58:Y58"/>
    <mergeCell ref="Q46:Q53"/>
    <mergeCell ref="R46:T47"/>
    <mergeCell ref="U46:U47"/>
    <mergeCell ref="V46:V47"/>
    <mergeCell ref="W46:W47"/>
    <mergeCell ref="X46:X47"/>
    <mergeCell ref="Y46:Y47"/>
    <mergeCell ref="Z46:Z47"/>
    <mergeCell ref="AA46:AA47"/>
    <mergeCell ref="AF46:AF47"/>
    <mergeCell ref="B48:D48"/>
    <mergeCell ref="E48:J49"/>
    <mergeCell ref="K48:K49"/>
    <mergeCell ref="L48:O49"/>
    <mergeCell ref="P48:P49"/>
    <mergeCell ref="R48:T48"/>
    <mergeCell ref="U48:Z49"/>
    <mergeCell ref="AA48:AA49"/>
    <mergeCell ref="AB48:AE49"/>
    <mergeCell ref="AF48:AF49"/>
    <mergeCell ref="AC46:AC47"/>
    <mergeCell ref="B49:D49"/>
    <mergeCell ref="AB46:AB47"/>
    <mergeCell ref="R49:T49"/>
    <mergeCell ref="Q45:U45"/>
    <mergeCell ref="B24:D24"/>
    <mergeCell ref="B23:D23"/>
    <mergeCell ref="E23:J24"/>
    <mergeCell ref="E25:P26"/>
    <mergeCell ref="B26:D26"/>
    <mergeCell ref="B25:D25"/>
    <mergeCell ref="W39:AF39"/>
    <mergeCell ref="AF37:AF38"/>
    <mergeCell ref="Z37:AC38"/>
    <mergeCell ref="AD37:AE38"/>
    <mergeCell ref="R27:T28"/>
    <mergeCell ref="U27:Z28"/>
    <mergeCell ref="AA27:AA28"/>
    <mergeCell ref="AB27:AF28"/>
    <mergeCell ref="R26:T26"/>
    <mergeCell ref="A30:B30"/>
    <mergeCell ref="E30:F30"/>
    <mergeCell ref="AB30:AF31"/>
    <mergeCell ref="W45:Z45"/>
    <mergeCell ref="AD46:AD47"/>
    <mergeCell ref="AE46:AE47"/>
    <mergeCell ref="A62:E62"/>
    <mergeCell ref="F62:J62"/>
    <mergeCell ref="K62:O62"/>
    <mergeCell ref="L59:N59"/>
    <mergeCell ref="O59:S59"/>
    <mergeCell ref="B50:D50"/>
    <mergeCell ref="R50:T50"/>
    <mergeCell ref="R51:T51"/>
    <mergeCell ref="B51:D51"/>
    <mergeCell ref="E56:F56"/>
    <mergeCell ref="P62:T62"/>
    <mergeCell ref="AE59:AF59"/>
    <mergeCell ref="L58:N58"/>
    <mergeCell ref="O58:S58"/>
    <mergeCell ref="I61:K61"/>
    <mergeCell ref="L61:N61"/>
    <mergeCell ref="O61:S61"/>
    <mergeCell ref="T61:Y61"/>
    <mergeCell ref="Z61:AD61"/>
    <mergeCell ref="AE61:AF61"/>
    <mergeCell ref="T60:Y60"/>
    <mergeCell ref="A31:B31"/>
    <mergeCell ref="E31:F31"/>
    <mergeCell ref="A29:D29"/>
    <mergeCell ref="E29:Q29"/>
    <mergeCell ref="R29:AA29"/>
    <mergeCell ref="AB29:AF29"/>
    <mergeCell ref="B27:D28"/>
    <mergeCell ref="E27:J28"/>
    <mergeCell ref="K27:K28"/>
    <mergeCell ref="A21:A28"/>
    <mergeCell ref="B21:D22"/>
    <mergeCell ref="R25:T25"/>
    <mergeCell ref="AF21:AF22"/>
    <mergeCell ref="G21:G22"/>
    <mergeCell ref="E21:E22"/>
    <mergeCell ref="F21:F22"/>
    <mergeCell ref="K23:K24"/>
    <mergeCell ref="L23:O24"/>
    <mergeCell ref="P23:P24"/>
    <mergeCell ref="Z58:AD58"/>
    <mergeCell ref="AE60:AF60"/>
    <mergeCell ref="U62:Y62"/>
    <mergeCell ref="Z62:AC63"/>
    <mergeCell ref="Z60:AD60"/>
    <mergeCell ref="L60:N60"/>
    <mergeCell ref="O60:S60"/>
    <mergeCell ref="T59:Y59"/>
    <mergeCell ref="Z59:AD59"/>
    <mergeCell ref="U63:Y63"/>
    <mergeCell ref="P63:T63"/>
    <mergeCell ref="AD62:AE63"/>
    <mergeCell ref="AF62:AF63"/>
    <mergeCell ref="A63:E63"/>
    <mergeCell ref="F63:J63"/>
    <mergeCell ref="C58:H58"/>
    <mergeCell ref="I58:K58"/>
    <mergeCell ref="C60:H60"/>
    <mergeCell ref="I60:K60"/>
    <mergeCell ref="C59:H59"/>
    <mergeCell ref="I59:K59"/>
    <mergeCell ref="C61:H61"/>
    <mergeCell ref="K63:O63"/>
    <mergeCell ref="E50:P51"/>
    <mergeCell ref="U50:AF51"/>
    <mergeCell ref="W64:AF64"/>
    <mergeCell ref="V69:AA69"/>
    <mergeCell ref="AB69:AF69"/>
    <mergeCell ref="A72:A79"/>
    <mergeCell ref="B72:D73"/>
    <mergeCell ref="E72:E73"/>
    <mergeCell ref="F72:F73"/>
    <mergeCell ref="G72:G73"/>
    <mergeCell ref="H72:H73"/>
    <mergeCell ref="I72:I73"/>
    <mergeCell ref="J72:J73"/>
    <mergeCell ref="K72:K73"/>
    <mergeCell ref="L72:L73"/>
    <mergeCell ref="M72:M73"/>
    <mergeCell ref="N72:N73"/>
    <mergeCell ref="O72:O73"/>
    <mergeCell ref="P72:P73"/>
    <mergeCell ref="Q72:Q79"/>
    <mergeCell ref="AB72:AB73"/>
    <mergeCell ref="A70:O71"/>
    <mergeCell ref="P70:P71"/>
    <mergeCell ref="Q70:U70"/>
    <mergeCell ref="V70:V71"/>
    <mergeCell ref="W70:Z70"/>
    <mergeCell ref="AB81:AF82"/>
    <mergeCell ref="A80:D80"/>
    <mergeCell ref="E80:Q80"/>
    <mergeCell ref="R80:AA80"/>
    <mergeCell ref="AB80:AF80"/>
    <mergeCell ref="A81:B81"/>
    <mergeCell ref="E81:F81"/>
    <mergeCell ref="A82:B82"/>
    <mergeCell ref="E82:F82"/>
    <mergeCell ref="AA70:AB70"/>
    <mergeCell ref="AD70:AE70"/>
    <mergeCell ref="Q71:U71"/>
    <mergeCell ref="W71:Z71"/>
    <mergeCell ref="AC72:AC73"/>
    <mergeCell ref="AD72:AD73"/>
    <mergeCell ref="AE72:AE73"/>
    <mergeCell ref="AF72:AF73"/>
    <mergeCell ref="B74:D74"/>
    <mergeCell ref="E74:J75"/>
    <mergeCell ref="K74:K75"/>
    <mergeCell ref="L74:O75"/>
    <mergeCell ref="P74:P75"/>
  </mergeCells>
  <pageMargins bottom="0.984251968503937" footer="0.5118110236220472" header="0.5118110236220472" left="0.7480314960629921" right="0.7480314960629921" top="0.984251968503937"/>
  <pageSetup orientation="portrait" paperSize="9"/>
  <rowBreaks count="1" manualBreakCount="1">
    <brk id="41" man="1" max="16383" min="0"/>
  </rowBreaks>
  <drawing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O22" sqref="O22"/>
    </sheetView>
  </sheetViews>
  <sheetFormatPr baseColWidth="8" defaultRowHeight="13.5"/>
  <cols>
    <col customWidth="1" max="1" min="1" style="391" width="13.6640625"/>
    <col customWidth="1" max="8" min="2" style="391" width="8.5546875"/>
  </cols>
  <sheetData>
    <row customFormat="1" customHeight="1" ht="22.5" r="1" s="4">
      <c r="A1" s="329" t="inlineStr">
        <is>
          <t>바른고기정육점 임대료내역</t>
        </is>
      </c>
    </row>
    <row customFormat="1" customHeight="1" ht="10.5" r="2" s="4"/>
    <row customFormat="1" r="3" s="4">
      <c r="A3" s="326" t="inlineStr">
        <is>
          <t>내역</t>
        </is>
      </c>
      <c r="B3" s="340" t="inlineStr">
        <is>
          <t>금액</t>
        </is>
      </c>
      <c r="C3" s="167" t="inlineStr">
        <is>
          <t>비고</t>
        </is>
      </c>
      <c r="D3" s="327" t="n"/>
      <c r="E3" s="327" t="n"/>
      <c r="F3" s="328" t="n"/>
      <c r="G3" s="596" t="inlineStr">
        <is>
          <t>미납임대료</t>
        </is>
      </c>
      <c r="H3" s="350" t="n"/>
    </row>
    <row customFormat="1" r="4" s="4">
      <c r="A4" s="326" t="inlineStr">
        <is>
          <t>월세</t>
        </is>
      </c>
      <c r="B4" s="326" t="n"/>
      <c r="C4" s="167" t="n"/>
      <c r="D4" s="327" t="n"/>
      <c r="E4" s="327" t="n"/>
      <c r="F4" s="328" t="n"/>
      <c r="G4" s="326" t="n"/>
      <c r="H4" s="326" t="n"/>
    </row>
    <row customFormat="1" r="5" s="4">
      <c r="A5" s="326" t="inlineStr">
        <is>
          <t>부가가치세 (10%)</t>
        </is>
      </c>
      <c r="B5" s="326" t="n"/>
      <c r="C5" s="167" t="n"/>
      <c r="D5" s="327" t="n"/>
      <c r="E5" s="327" t="n"/>
      <c r="F5" s="328" t="n"/>
      <c r="G5" s="326" t="n"/>
      <c r="H5" s="326" t="n"/>
    </row>
    <row customFormat="1" r="6" s="4">
      <c r="A6" s="326" t="inlineStr">
        <is>
          <t>관리비 (부가세 포함)</t>
        </is>
      </c>
      <c r="B6" s="326" t="n"/>
      <c r="C6" s="167" t="n"/>
      <c r="D6" s="327" t="n"/>
      <c r="E6" s="327" t="n"/>
      <c r="F6" s="328" t="n"/>
      <c r="G6" s="326" t="n"/>
      <c r="H6" s="326" t="n"/>
    </row>
    <row customFormat="1" r="7" s="4">
      <c r="A7" s="326" t="inlineStr">
        <is>
          <t>전기요금</t>
        </is>
      </c>
      <c r="B7" s="326" t="n"/>
      <c r="C7" s="167" t="n"/>
      <c r="D7" s="327" t="n"/>
      <c r="E7" s="327" t="n"/>
      <c r="F7" s="328" t="n"/>
      <c r="G7" s="326" t="n"/>
      <c r="H7" s="326" t="n"/>
    </row>
    <row customFormat="1" r="8" s="4">
      <c r="A8" s="326" t="inlineStr">
        <is>
          <t>상/하수도 요금</t>
        </is>
      </c>
      <c r="B8" s="326" t="n"/>
      <c r="C8" s="167" t="n"/>
      <c r="D8" s="327" t="n"/>
      <c r="E8" s="327" t="n"/>
      <c r="F8" s="328" t="n"/>
      <c r="G8" s="326" t="n"/>
      <c r="H8" s="326" t="n"/>
    </row>
    <row customFormat="1" r="9" s="4">
      <c r="A9" s="339" t="inlineStr">
        <is>
          <t>임대료 합계</t>
        </is>
      </c>
      <c r="B9" s="339" t="n"/>
      <c r="C9" s="167" t="n"/>
      <c r="D9" s="327" t="n"/>
      <c r="E9" s="327" t="n"/>
      <c r="F9" s="328" t="n"/>
      <c r="G9" s="326" t="n"/>
      <c r="H9" s="326" t="n"/>
    </row>
    <row customFormat="1" r="10" s="4">
      <c r="A10" s="164" t="n"/>
      <c r="B10" s="164" t="n"/>
      <c r="C10" s="164" t="n"/>
    </row>
    <row customFormat="1" r="11" s="4">
      <c r="A11" s="330" t="inlineStr">
        <is>
          <t>매월 말일까지 아래 은행계좌로 입금하여 주십시요.</t>
        </is>
      </c>
      <c r="B11" s="331" t="n"/>
      <c r="C11" s="331" t="n"/>
      <c r="D11" s="332" t="n"/>
    </row>
    <row customFormat="1" r="12" s="4">
      <c r="A12" s="333" t="inlineStr">
        <is>
          <t>신한은행 379-02-099892 (예금주:곽순욱/세림빌딩)</t>
        </is>
      </c>
      <c r="B12" s="332" t="n"/>
      <c r="C12" s="332" t="n"/>
      <c r="D12" s="332" t="n"/>
    </row>
    <row customFormat="1" r="13" s="4">
      <c r="A13" s="333" t="n"/>
      <c r="B13" s="332" t="n"/>
      <c r="C13" s="332" t="n"/>
      <c r="D13" s="332" t="n"/>
    </row>
    <row customFormat="1" r="14" s="4"/>
    <row customFormat="1" customHeight="1" ht="21" r="15" s="4">
      <c r="A15" s="336" t="inlineStr">
        <is>
          <t>전기요금 계산표</t>
        </is>
      </c>
      <c r="B15" s="69" t="n"/>
      <c r="C15" s="69" t="n"/>
      <c r="D15" s="69" t="n"/>
      <c r="E15" s="69" t="n"/>
      <c r="F15" s="69" t="n"/>
    </row>
    <row customFormat="1" r="16" s="4">
      <c r="A16" s="212" t="inlineStr">
        <is>
          <t>내용</t>
        </is>
      </c>
      <c r="B16" s="383" t="inlineStr">
        <is>
          <t>금액</t>
        </is>
      </c>
      <c r="C16" s="383" t="inlineStr">
        <is>
          <t>기본요금</t>
        </is>
      </c>
      <c r="D16" s="383" t="inlineStr">
        <is>
          <t>사용요금</t>
        </is>
      </c>
      <c r="E16" s="383" t="inlineStr">
        <is>
          <t>할인</t>
        </is>
      </c>
      <c r="F16" s="383" t="inlineStr">
        <is>
          <t>부가가치세</t>
        </is>
      </c>
    </row>
    <row customFormat="1" r="17" s="4">
      <c r="A17" s="212" t="inlineStr">
        <is>
          <t>전기요금계</t>
        </is>
      </c>
      <c r="B17" s="324">
        <f>SUM(C17:F17)</f>
        <v/>
      </c>
      <c r="C17" s="324" t="n">
        <v>609840</v>
      </c>
      <c r="D17" s="324">
        <f>1030337+115537</f>
        <v/>
      </c>
      <c r="E17" s="324">
        <f>4878+1000+200</f>
        <v/>
      </c>
      <c r="F17" s="324">
        <f>(C17+D17-E17)*0.1</f>
        <v/>
      </c>
    </row>
    <row customFormat="1" r="18" s="4">
      <c r="A18" s="212" t="inlineStr">
        <is>
          <t>전력기금</t>
        </is>
      </c>
      <c r="B18" s="212" t="n"/>
      <c r="C18" s="69" t="n"/>
      <c r="D18" s="69" t="n"/>
      <c r="E18" s="69" t="n"/>
      <c r="F18" s="69" t="n"/>
    </row>
    <row customFormat="1" r="19" s="4">
      <c r="A19" s="212" t="inlineStr">
        <is>
          <t>TV 수신료 (3대)</t>
        </is>
      </c>
      <c r="B19" s="212" t="n"/>
      <c r="C19" s="69" t="n"/>
      <c r="D19" s="69" t="n"/>
      <c r="E19" s="69" t="n"/>
      <c r="F19" s="69" t="n"/>
    </row>
    <row customFormat="1" r="20" s="4">
      <c r="A20" s="334" t="inlineStr">
        <is>
          <t>합계</t>
        </is>
      </c>
      <c r="B20" s="334" t="n"/>
      <c r="C20" s="69" t="n"/>
      <c r="D20" s="69" t="n"/>
      <c r="E20" s="69" t="n"/>
      <c r="F20" s="69" t="n"/>
    </row>
    <row customHeight="1" ht="21" r="21" s="391">
      <c r="A21" s="337" t="inlineStr">
        <is>
          <t>층수</t>
        </is>
      </c>
      <c r="B21" s="725">
        <f>M29&amp;M30&amp;Q30</f>
        <v/>
      </c>
      <c r="C21" s="725">
        <f>M29&amp;N30&amp;Q30</f>
        <v/>
      </c>
      <c r="D21" s="337" t="inlineStr">
        <is>
          <t>사용량</t>
        </is>
      </c>
      <c r="E21" s="337" t="inlineStr">
        <is>
          <t>사용량       (공용포함)</t>
        </is>
      </c>
      <c r="F21" s="337" t="inlineStr">
        <is>
          <t>기본요금</t>
        </is>
      </c>
      <c r="G21" s="337" t="inlineStr">
        <is>
          <t>사용요금</t>
        </is>
      </c>
      <c r="H21" s="337" t="inlineStr">
        <is>
          <t>층별전기요금</t>
        </is>
      </c>
    </row>
    <row customHeight="1" ht="15" r="22" s="391">
      <c r="A22" s="286" t="inlineStr">
        <is>
          <t>1층(바른고기정육점)</t>
        </is>
      </c>
      <c r="B22" s="641">
        <f>C77</f>
        <v/>
      </c>
      <c r="C22" s="641">
        <f>C78</f>
        <v/>
      </c>
      <c r="D22" s="641">
        <f>C22-B22</f>
        <v/>
      </c>
      <c r="E22" s="642">
        <f>D22+((D30/5)*(37.4/107.4))</f>
        <v/>
      </c>
      <c r="F22" s="643">
        <f>(I18/5)*(37.4/107.4)</f>
        <v/>
      </c>
      <c r="G22" s="643">
        <f>J18*E22/E31</f>
        <v/>
      </c>
      <c r="H22" s="644">
        <f>F22+G22</f>
        <v/>
      </c>
    </row>
    <row r="23">
      <c r="A23" s="286" t="inlineStr">
        <is>
          <t>1층(하모니마트)</t>
        </is>
      </c>
      <c r="B23" s="641">
        <f>D77</f>
        <v/>
      </c>
      <c r="C23" s="641">
        <f>D78</f>
        <v/>
      </c>
      <c r="D23" s="641">
        <f>C23-B23</f>
        <v/>
      </c>
      <c r="E23" s="642">
        <f>D23+((D30/5)*(70/107.4))</f>
        <v/>
      </c>
      <c r="F23" s="643">
        <f>(I18/5)*(70/107.4)</f>
        <v/>
      </c>
      <c r="G23" s="643">
        <f>J18*E23/E31</f>
        <v/>
      </c>
      <c r="H23" s="644">
        <f>F23+G23</f>
        <v/>
      </c>
    </row>
    <row r="24">
      <c r="A24" s="286" t="inlineStr">
        <is>
          <t>2층(김영광치과)</t>
        </is>
      </c>
      <c r="B24" s="641">
        <f>F77</f>
        <v/>
      </c>
      <c r="C24" s="641">
        <f>F78</f>
        <v/>
      </c>
      <c r="D24" s="641">
        <f>C24-B24</f>
        <v/>
      </c>
      <c r="E24" s="642">
        <f>D24+((D30/5)*0.5)</f>
        <v/>
      </c>
      <c r="F24" s="643">
        <f>(I18/5)*0.5</f>
        <v/>
      </c>
      <c r="G24" s="643">
        <f>J18*E24/E31</f>
        <v/>
      </c>
      <c r="H24" s="644">
        <f>F24+G24</f>
        <v/>
      </c>
    </row>
    <row r="25">
      <c r="A25" s="286" t="inlineStr">
        <is>
          <t>2층(백야)</t>
        </is>
      </c>
      <c r="B25" s="641">
        <f>E77</f>
        <v/>
      </c>
      <c r="C25" s="641">
        <f>E78</f>
        <v/>
      </c>
      <c r="D25" s="641">
        <f>C25-B25</f>
        <v/>
      </c>
      <c r="E25" s="642">
        <f>D25+((D30/5)*0.5)</f>
        <v/>
      </c>
      <c r="F25" s="643">
        <f>(I18/5)*0.5</f>
        <v/>
      </c>
      <c r="G25" s="643">
        <f>J18*E25/E31</f>
        <v/>
      </c>
      <c r="H25" s="644">
        <f>F25+G25</f>
        <v/>
      </c>
    </row>
    <row r="26">
      <c r="A26" s="286" t="inlineStr">
        <is>
          <t>3층(주한)</t>
        </is>
      </c>
      <c r="B26" s="641">
        <f>G77</f>
        <v/>
      </c>
      <c r="C26" s="641">
        <f>G78</f>
        <v/>
      </c>
      <c r="D26" s="641">
        <f>C26-B26</f>
        <v/>
      </c>
      <c r="E26" s="642">
        <f>D26+(D30/5)</f>
        <v/>
      </c>
      <c r="F26" s="643">
        <f>(I18/5)</f>
        <v/>
      </c>
      <c r="G26" s="643">
        <f>J18*E26/E31</f>
        <v/>
      </c>
      <c r="H26" s="644">
        <f>F26+G26</f>
        <v/>
      </c>
    </row>
    <row r="27">
      <c r="A27" s="286" t="inlineStr">
        <is>
          <t>4층(사무실)</t>
        </is>
      </c>
      <c r="B27" s="641">
        <f>H77</f>
        <v/>
      </c>
      <c r="C27" s="641">
        <f>H78</f>
        <v/>
      </c>
      <c r="D27" s="641">
        <f>C27-B27</f>
        <v/>
      </c>
      <c r="E27" s="642">
        <f>D27+((D30/5)*0.5)</f>
        <v/>
      </c>
      <c r="F27" s="643">
        <f>(I18/5)*0.5</f>
        <v/>
      </c>
      <c r="G27" s="643">
        <f>J18*E27/E31</f>
        <v/>
      </c>
      <c r="H27" s="644">
        <f>F27+G27</f>
        <v/>
      </c>
    </row>
    <row r="28">
      <c r="A28" s="286" t="inlineStr">
        <is>
          <t>4층(사무실)</t>
        </is>
      </c>
      <c r="B28" s="641">
        <f>I77</f>
        <v/>
      </c>
      <c r="C28" s="641">
        <f>I78</f>
        <v/>
      </c>
      <c r="D28" s="641">
        <f>C28-B28</f>
        <v/>
      </c>
      <c r="E28" s="642">
        <f>D28+((D30/5)*0.5)</f>
        <v/>
      </c>
      <c r="F28" s="643">
        <f>(I18/5)*0.5</f>
        <v/>
      </c>
      <c r="G28" s="643">
        <f>J18*E28/E31</f>
        <v/>
      </c>
      <c r="H28" s="644">
        <f>F28+G28</f>
        <v/>
      </c>
    </row>
    <row r="29">
      <c r="A29" s="286" t="inlineStr">
        <is>
          <t>5층(지니컵)</t>
        </is>
      </c>
      <c r="B29" s="641">
        <f>J77</f>
        <v/>
      </c>
      <c r="C29" s="641">
        <f>J78</f>
        <v/>
      </c>
      <c r="D29" s="641">
        <f>C29-B29</f>
        <v/>
      </c>
      <c r="E29" s="642">
        <f>D29+(D30/5)</f>
        <v/>
      </c>
      <c r="F29" s="643">
        <f>(I18/5)</f>
        <v/>
      </c>
      <c r="G29" s="643">
        <f>J18*E29/E31</f>
        <v/>
      </c>
      <c r="H29" s="644">
        <f>F29+G29</f>
        <v/>
      </c>
    </row>
    <row customHeight="1" ht="14.25" r="30" s="391" thickBot="1">
      <c r="A30" s="291" t="inlineStr">
        <is>
          <t>공용</t>
        </is>
      </c>
      <c r="B30" s="655">
        <f>K77</f>
        <v/>
      </c>
      <c r="C30" s="655">
        <f>K78</f>
        <v/>
      </c>
      <c r="D30" s="655">
        <f>C30-B30</f>
        <v/>
      </c>
      <c r="E30" s="656" t="n"/>
      <c r="F30" s="657" t="n"/>
      <c r="G30" s="657" t="n"/>
      <c r="H30" s="657" t="n"/>
    </row>
    <row customHeight="1" ht="14.25" r="31" s="391" thickTop="1">
      <c r="A31" s="73" t="inlineStr">
        <is>
          <t>합계</t>
        </is>
      </c>
      <c r="B31" s="659">
        <f>SUM(B22:B30)</f>
        <v/>
      </c>
      <c r="C31" s="659">
        <f>SUM(C22:C30)</f>
        <v/>
      </c>
      <c r="D31" s="659">
        <f>SUM(D22:D30)</f>
        <v/>
      </c>
      <c r="E31" s="660">
        <f>SUM(E22:E29)</f>
        <v/>
      </c>
      <c r="F31" s="661">
        <f>SUM(F22:F30)</f>
        <v/>
      </c>
      <c r="G31" s="661">
        <f>SUM(G22:G30)</f>
        <v/>
      </c>
      <c r="H31" s="662">
        <f>SUM(F31:G31)</f>
        <v/>
      </c>
    </row>
    <row customHeight="1" ht="18.75" r="33" s="391">
      <c r="A33" s="336" t="inlineStr">
        <is>
          <t>상하수도 요금계산표</t>
        </is>
      </c>
      <c r="B33" s="69" t="n"/>
    </row>
    <row r="34">
      <c r="A34" s="212" t="inlineStr">
        <is>
          <t>내용</t>
        </is>
      </c>
      <c r="B34" s="383" t="inlineStr">
        <is>
          <t>금액</t>
        </is>
      </c>
    </row>
    <row r="35">
      <c r="A35" s="212" t="inlineStr">
        <is>
          <t>상수도요금</t>
        </is>
      </c>
      <c r="B35" s="324">
        <f>SUM(C35:F35)</f>
        <v/>
      </c>
    </row>
    <row r="36">
      <c r="A36" s="212" t="inlineStr">
        <is>
          <t>하수도요금</t>
        </is>
      </c>
      <c r="B36" s="212" t="n"/>
    </row>
    <row r="37">
      <c r="A37" s="212" t="inlineStr">
        <is>
          <t>물이용분담금</t>
        </is>
      </c>
      <c r="B37" s="212" t="n"/>
    </row>
    <row r="38">
      <c r="A38" s="334" t="inlineStr">
        <is>
          <t>합계</t>
        </is>
      </c>
      <c r="B38" s="335" t="n"/>
    </row>
    <row customHeight="1" ht="21" r="39" s="391">
      <c r="A39" s="337" t="inlineStr">
        <is>
          <t>층수</t>
        </is>
      </c>
      <c r="B39" s="337">
        <f>M27&amp;O28&amp;Q28</f>
        <v/>
      </c>
      <c r="C39" s="337">
        <f>N27&amp;P28&amp;Q28</f>
        <v/>
      </c>
      <c r="D39" s="337" t="inlineStr">
        <is>
          <t>사용량</t>
        </is>
      </c>
      <c r="E39" s="337" t="inlineStr">
        <is>
          <t>사용량       (공용포함)</t>
        </is>
      </c>
      <c r="F39" s="337" t="inlineStr">
        <is>
          <t>층별수도요금</t>
        </is>
      </c>
    </row>
    <row r="40">
      <c r="A40" s="286" t="inlineStr">
        <is>
          <t>1층(바른고기정육점)</t>
        </is>
      </c>
      <c r="B40" s="295">
        <f>C83</f>
        <v/>
      </c>
      <c r="C40" s="295">
        <f>C84</f>
        <v/>
      </c>
      <c r="D40" s="295">
        <f>C40-B40</f>
        <v/>
      </c>
      <c r="E40" s="325" t="n"/>
      <c r="F40" s="325" t="n"/>
    </row>
    <row r="41">
      <c r="A41" s="286" t="inlineStr">
        <is>
          <t>1층(하모니마트)</t>
        </is>
      </c>
      <c r="B41" s="295">
        <f>D83</f>
        <v/>
      </c>
      <c r="C41" s="295">
        <f>D84</f>
        <v/>
      </c>
      <c r="D41" s="295">
        <f>C41-B41</f>
        <v/>
      </c>
      <c r="E41" s="325" t="n"/>
      <c r="F41" s="325" t="n"/>
    </row>
    <row r="42">
      <c r="A42" s="286" t="inlineStr">
        <is>
          <t>2층(김영광치과)</t>
        </is>
      </c>
      <c r="B42" s="295">
        <f>F83</f>
        <v/>
      </c>
      <c r="C42" s="295">
        <f>F84</f>
        <v/>
      </c>
      <c r="D42" s="295">
        <f>C42-B42</f>
        <v/>
      </c>
      <c r="E42" s="325" t="n"/>
      <c r="F42" s="325" t="n"/>
    </row>
    <row r="43">
      <c r="A43" s="286" t="inlineStr">
        <is>
          <t>2층(백야)</t>
        </is>
      </c>
      <c r="B43" s="295">
        <f>E83</f>
        <v/>
      </c>
      <c r="C43" s="295">
        <f>E84</f>
        <v/>
      </c>
      <c r="D43" s="295">
        <f>C43-B43</f>
        <v/>
      </c>
      <c r="E43" s="325" t="n"/>
      <c r="F43" s="325" t="n"/>
    </row>
    <row r="44">
      <c r="A44" s="286" t="inlineStr">
        <is>
          <t>3층(주한)</t>
        </is>
      </c>
      <c r="B44" s="295">
        <f>G83</f>
        <v/>
      </c>
      <c r="C44" s="295">
        <f>G84</f>
        <v/>
      </c>
      <c r="D44" s="295">
        <f>C44-B44</f>
        <v/>
      </c>
      <c r="E44" s="325" t="n"/>
      <c r="F44" s="325" t="n"/>
    </row>
    <row customHeight="1" ht="13.5" r="45" s="391">
      <c r="A45" s="286" t="inlineStr">
        <is>
          <t>4층(사무실)</t>
        </is>
      </c>
      <c r="B45" s="295">
        <f>H83</f>
        <v/>
      </c>
      <c r="C45" s="295">
        <f>H84</f>
        <v/>
      </c>
      <c r="D45" s="295">
        <f>C45-B45</f>
        <v/>
      </c>
      <c r="E45" s="325" t="n"/>
      <c r="F45" s="325" t="n"/>
    </row>
    <row r="46">
      <c r="A46" s="286" t="inlineStr">
        <is>
          <t>5층(지니컵)</t>
        </is>
      </c>
      <c r="B46" s="295">
        <f>K83</f>
        <v/>
      </c>
      <c r="C46" s="295">
        <f>K84</f>
        <v/>
      </c>
      <c r="D46" s="295">
        <f>C46-B46</f>
        <v/>
      </c>
      <c r="E46" s="325" t="n"/>
      <c r="F46" s="325" t="n"/>
    </row>
    <row customHeight="1" ht="14.25" r="47" s="391" thickBot="1">
      <c r="A47" s="291" t="inlineStr">
        <is>
          <t>공용</t>
        </is>
      </c>
      <c r="B47" s="295">
        <f>L83</f>
        <v/>
      </c>
      <c r="C47" s="295">
        <f>L84</f>
        <v/>
      </c>
      <c r="D47" s="295">
        <f>C47-B47</f>
        <v/>
      </c>
      <c r="E47" s="325" t="n"/>
      <c r="F47" s="325" t="n"/>
    </row>
    <row customHeight="1" ht="14.25" r="48" s="391" thickTop="1">
      <c r="A48" s="73" t="inlineStr">
        <is>
          <t>합계</t>
        </is>
      </c>
      <c r="B48" s="295">
        <f>SUM(B40:B47)</f>
        <v/>
      </c>
      <c r="C48" s="295">
        <f>SUM(C40:C47)</f>
        <v/>
      </c>
      <c r="D48" s="295">
        <f>SUM(D40:D47)</f>
        <v/>
      </c>
      <c r="E48" s="325" t="n"/>
      <c r="F48" s="325" t="n"/>
    </row>
  </sheetData>
  <mergeCells count="1">
    <mergeCell ref="G3:H3"/>
  </mergeCells>
  <pageMargins bottom="0.75" footer="0.3" header="0.3" left="0.7" right="0.7" top="0.75"/>
  <pageSetup orientation="portrait" paperSize="9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3"/>
  <sheetViews>
    <sheetView showGridLines="0" workbookViewId="0">
      <selection activeCell="M31" sqref="M31"/>
    </sheetView>
  </sheetViews>
  <sheetFormatPr baseColWidth="8" defaultRowHeight="13.5"/>
  <cols>
    <col customWidth="1" max="1" min="1" style="391" width="13.6640625"/>
    <col customWidth="1" max="6" min="2" style="391" width="8.5546875"/>
    <col customWidth="1" max="7" min="7" style="391" width="10.44140625"/>
    <col customWidth="1" max="8" min="8" style="391" width="8.5546875"/>
  </cols>
  <sheetData>
    <row customFormat="1" customHeight="1" ht="22.5" r="1" s="4">
      <c r="A1" s="329" t="inlineStr">
        <is>
          <t>바른고기정육점 임대료내역</t>
        </is>
      </c>
    </row>
    <row customFormat="1" customHeight="1" ht="10.5" r="2" s="4"/>
    <row customFormat="1" r="3" s="4">
      <c r="A3" s="326" t="inlineStr">
        <is>
          <t>내역</t>
        </is>
      </c>
      <c r="B3" s="340" t="inlineStr">
        <is>
          <t>금액</t>
        </is>
      </c>
      <c r="C3" s="167" t="inlineStr">
        <is>
          <t>비고</t>
        </is>
      </c>
      <c r="D3" s="327" t="n"/>
      <c r="E3" s="327" t="n"/>
      <c r="F3" s="328" t="n"/>
      <c r="G3" s="596" t="inlineStr">
        <is>
          <t>미납임대료</t>
        </is>
      </c>
      <c r="H3" s="350" t="n"/>
    </row>
    <row customFormat="1" r="4" s="4">
      <c r="A4" s="326" t="inlineStr">
        <is>
          <t>월세</t>
        </is>
      </c>
      <c r="B4" s="326" t="n"/>
      <c r="C4" s="167" t="n"/>
      <c r="D4" s="327" t="n"/>
      <c r="E4" s="327" t="n"/>
      <c r="F4" s="328" t="n"/>
      <c r="G4" s="326" t="n"/>
      <c r="H4" s="326" t="n"/>
    </row>
    <row customFormat="1" r="5" s="4">
      <c r="A5" s="326" t="inlineStr">
        <is>
          <t>부가가치세 (10%)</t>
        </is>
      </c>
      <c r="B5" s="326" t="n"/>
      <c r="C5" s="167" t="n"/>
      <c r="D5" s="327" t="n"/>
      <c r="E5" s="327" t="n"/>
      <c r="F5" s="328" t="n"/>
      <c r="G5" s="326" t="n"/>
      <c r="H5" s="326" t="n"/>
    </row>
    <row customFormat="1" r="6" s="4">
      <c r="A6" s="326" t="inlineStr">
        <is>
          <t>관리비 (부가세 포함)</t>
        </is>
      </c>
      <c r="B6" s="326" t="n"/>
      <c r="C6" s="167" t="n"/>
      <c r="D6" s="327" t="n"/>
      <c r="E6" s="327" t="n"/>
      <c r="F6" s="328" t="n"/>
      <c r="G6" s="326" t="n"/>
      <c r="H6" s="326" t="n"/>
    </row>
    <row customFormat="1" r="7" s="4">
      <c r="A7" s="326" t="inlineStr">
        <is>
          <t>전기요금</t>
        </is>
      </c>
      <c r="B7" s="326" t="n"/>
      <c r="C7" s="167" t="n"/>
      <c r="D7" s="327" t="n"/>
      <c r="E7" s="327" t="n"/>
      <c r="F7" s="328" t="n"/>
      <c r="G7" s="326" t="n"/>
      <c r="H7" s="326" t="n"/>
    </row>
    <row customFormat="1" r="8" s="4">
      <c r="A8" s="326" t="inlineStr">
        <is>
          <t>상/하수도 요금</t>
        </is>
      </c>
      <c r="B8" s="326" t="n"/>
      <c r="C8" s="167" t="n"/>
      <c r="D8" s="327" t="n"/>
      <c r="E8" s="327" t="n"/>
      <c r="F8" s="328" t="n"/>
      <c r="G8" s="326" t="n"/>
      <c r="H8" s="326" t="n"/>
    </row>
    <row customFormat="1" r="9" s="4">
      <c r="A9" s="339" t="inlineStr">
        <is>
          <t>임대료 합계</t>
        </is>
      </c>
      <c r="B9" s="339" t="n"/>
      <c r="C9" s="167" t="n"/>
      <c r="D9" s="327" t="n"/>
      <c r="E9" s="327" t="n"/>
      <c r="F9" s="328" t="n"/>
      <c r="G9" s="326" t="n"/>
      <c r="H9" s="326" t="n"/>
    </row>
    <row customFormat="1" r="10" s="4">
      <c r="A10" s="164" t="n"/>
      <c r="B10" s="164" t="n"/>
      <c r="C10" s="164" t="n"/>
    </row>
    <row customFormat="1" r="11" s="4">
      <c r="A11" s="330" t="inlineStr">
        <is>
          <t>매월 말일까지 아래 은행계좌로 입금하여 주십시요.</t>
        </is>
      </c>
      <c r="B11" s="331" t="n"/>
      <c r="C11" s="331" t="n"/>
      <c r="D11" s="332" t="n"/>
    </row>
    <row customFormat="1" r="12" s="4">
      <c r="A12" s="333" t="inlineStr">
        <is>
          <t>신한은행 379-02-099892 (예금주:곽순욱/세림빌딩)</t>
        </is>
      </c>
      <c r="B12" s="332" t="n"/>
      <c r="C12" s="332" t="n"/>
      <c r="D12" s="332" t="n"/>
    </row>
    <row customFormat="1" r="13" s="4">
      <c r="A13" s="333" t="n"/>
      <c r="B13" s="332" t="n"/>
      <c r="C13" s="332" t="n"/>
      <c r="D13" s="332" t="n"/>
    </row>
    <row customFormat="1" r="14" s="4"/>
  </sheetData>
  <mergeCells count="1">
    <mergeCell ref="G3:H3"/>
  </mergeCells>
  <pageMargins bottom="0.75" footer="0.3" header="0.3" left="0.7" right="0.7" top="0.75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곽순욱</dc:creator>
  <dcterms:created xsi:type="dcterms:W3CDTF">2000-07-22T16:15:46Z</dcterms:created>
  <dcterms:modified xsi:type="dcterms:W3CDTF">2023-02-22T07:01:18Z</dcterms:modified>
  <cp:lastModifiedBy>swkwak</cp:lastModifiedBy>
  <cp:lastPrinted>2023-01-20T04:29:16Z</cp:lastPrinted>
</cp:coreProperties>
</file>