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4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drawings/drawing5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drawings/drawing6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drawings/drawing7.xml" ContentType="application/vnd.openxmlformats-officedocument.drawing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drawings/drawing8.xml" ContentType="application/vnd.openxmlformats-officedocument.drawing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drawings/drawing9.xml" ContentType="application/vnd.openxmlformats-officedocument.drawing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ul\Desktop\Northeastern University\Quarter 3\Probability Theory &amp; Statistics\Week 3\"/>
    </mc:Choice>
  </mc:AlternateContent>
  <xr:revisionPtr revIDLastSave="0" documentId="10_ncr:100000_{E734EFE7-85D6-4964-A346-BEDE747E1D61}" xr6:coauthVersionLast="31" xr6:coauthVersionMax="31" xr10:uidLastSave="{00000000-0000-0000-0000-000000000000}"/>
  <bookViews>
    <workbookView xWindow="0" yWindow="0" windowWidth="20490" windowHeight="7095" xr2:uid="{00000000-000D-0000-FFFF-FFFF00000000}"/>
  </bookViews>
  <sheets>
    <sheet name="Sheet1" sheetId="1" r:id="rId1"/>
    <sheet name="Pick 2" sheetId="2" r:id="rId2"/>
    <sheet name="Pick 3" sheetId="4" r:id="rId3"/>
    <sheet name="Pick 4" sheetId="3" r:id="rId4"/>
    <sheet name="Pick 5" sheetId="5" r:id="rId5"/>
    <sheet name="Pick 6" sheetId="6" r:id="rId6"/>
    <sheet name="Pick 7" sheetId="7" r:id="rId7"/>
    <sheet name="Pick 8" sheetId="8" r:id="rId8"/>
    <sheet name="Pick 9" sheetId="9" r:id="rId9"/>
    <sheet name="Pick 10" sheetId="10" r:id="rId10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0" l="1"/>
  <c r="D10" i="10"/>
  <c r="D11" i="10"/>
  <c r="D12" i="10"/>
  <c r="D13" i="10"/>
  <c r="D14" i="10"/>
  <c r="D15" i="10"/>
  <c r="D16" i="10"/>
  <c r="D17" i="10"/>
  <c r="D18" i="10"/>
  <c r="D8" i="10"/>
  <c r="D9" i="9"/>
  <c r="D10" i="9"/>
  <c r="D11" i="9"/>
  <c r="D12" i="9"/>
  <c r="D13" i="9"/>
  <c r="D14" i="9"/>
  <c r="D15" i="9"/>
  <c r="D16" i="9"/>
  <c r="D17" i="9"/>
  <c r="D8" i="9"/>
  <c r="D9" i="8"/>
  <c r="D10" i="8"/>
  <c r="D11" i="8"/>
  <c r="D12" i="8"/>
  <c r="D13" i="8"/>
  <c r="D14" i="8"/>
  <c r="D15" i="8"/>
  <c r="D16" i="8"/>
  <c r="D8" i="8"/>
  <c r="D9" i="7"/>
  <c r="D10" i="7"/>
  <c r="D11" i="7"/>
  <c r="D12" i="7"/>
  <c r="D13" i="7"/>
  <c r="D14" i="7"/>
  <c r="D15" i="7"/>
  <c r="D8" i="7"/>
  <c r="D9" i="6"/>
  <c r="D10" i="6"/>
  <c r="D11" i="6"/>
  <c r="D12" i="6"/>
  <c r="D13" i="6"/>
  <c r="D14" i="6"/>
  <c r="D8" i="6"/>
  <c r="D9" i="5"/>
  <c r="D10" i="5"/>
  <c r="D11" i="5"/>
  <c r="D12" i="5"/>
  <c r="D13" i="5"/>
  <c r="D8" i="5"/>
  <c r="D9" i="3"/>
  <c r="D10" i="3"/>
  <c r="D11" i="3"/>
  <c r="D12" i="3"/>
  <c r="D8" i="3"/>
  <c r="D9" i="2"/>
  <c r="D10" i="2"/>
  <c r="D8" i="2"/>
  <c r="I33" i="9" l="1"/>
  <c r="I30" i="9" l="1"/>
  <c r="I31" i="9"/>
  <c r="I29" i="9"/>
  <c r="I32" i="9"/>
  <c r="I24" i="9"/>
  <c r="I23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" i="9"/>
  <c r="I22" i="9"/>
  <c r="H16" i="9"/>
  <c r="H17" i="9"/>
  <c r="H18" i="9"/>
  <c r="H19" i="9"/>
  <c r="H20" i="9"/>
  <c r="H15" i="9"/>
  <c r="H10" i="9"/>
  <c r="H11" i="9"/>
  <c r="H12" i="9"/>
  <c r="H13" i="9"/>
  <c r="H14" i="9"/>
  <c r="H9" i="9"/>
  <c r="H4" i="9"/>
  <c r="H5" i="9"/>
  <c r="H6" i="9"/>
  <c r="H7" i="9"/>
  <c r="H8" i="9"/>
  <c r="H3" i="9"/>
  <c r="H2" i="9"/>
  <c r="I31" i="8"/>
  <c r="I32" i="8"/>
  <c r="I30" i="8"/>
  <c r="I34" i="8"/>
  <c r="I33" i="8"/>
  <c r="I25" i="8"/>
  <c r="I24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" i="8"/>
  <c r="I23" i="8"/>
  <c r="I15" i="8"/>
  <c r="I16" i="8"/>
  <c r="I17" i="8"/>
  <c r="I18" i="8"/>
  <c r="I19" i="8"/>
  <c r="I20" i="8"/>
  <c r="I10" i="8"/>
  <c r="I11" i="8"/>
  <c r="I12" i="8"/>
  <c r="I13" i="8"/>
  <c r="I14" i="8"/>
  <c r="I9" i="8"/>
  <c r="I4" i="8"/>
  <c r="I5" i="8"/>
  <c r="I6" i="8"/>
  <c r="I7" i="8"/>
  <c r="I8" i="8"/>
  <c r="I3" i="8"/>
  <c r="I2" i="8"/>
  <c r="I29" i="7"/>
  <c r="I28" i="7"/>
  <c r="I27" i="7"/>
  <c r="I31" i="7"/>
  <c r="I30" i="7"/>
  <c r="I22" i="7"/>
  <c r="I21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I20" i="7"/>
  <c r="I14" i="7"/>
  <c r="I15" i="7"/>
  <c r="I16" i="7"/>
  <c r="I17" i="7"/>
  <c r="I13" i="7"/>
  <c r="I9" i="7"/>
  <c r="I10" i="7"/>
  <c r="I11" i="7"/>
  <c r="I12" i="7"/>
  <c r="I8" i="7"/>
  <c r="I4" i="7"/>
  <c r="I5" i="7"/>
  <c r="I6" i="7"/>
  <c r="I7" i="7"/>
  <c r="I3" i="7"/>
  <c r="I2" i="7"/>
  <c r="J26" i="6"/>
  <c r="J25" i="6"/>
  <c r="J24" i="6"/>
  <c r="J28" i="6"/>
  <c r="J27" i="6"/>
  <c r="J19" i="6"/>
  <c r="J18" i="6"/>
  <c r="K3" i="6"/>
  <c r="K4" i="6"/>
  <c r="K5" i="6"/>
  <c r="K6" i="6"/>
  <c r="K7" i="6"/>
  <c r="K8" i="6"/>
  <c r="K9" i="6"/>
  <c r="K10" i="6"/>
  <c r="K11" i="6"/>
  <c r="K12" i="6"/>
  <c r="K13" i="6"/>
  <c r="K14" i="6"/>
  <c r="K2" i="6"/>
  <c r="J17" i="6"/>
  <c r="J12" i="6"/>
  <c r="J13" i="6"/>
  <c r="J14" i="6"/>
  <c r="J11" i="6"/>
  <c r="J10" i="6"/>
  <c r="J9" i="6"/>
  <c r="J8" i="6"/>
  <c r="J7" i="6"/>
  <c r="J6" i="6"/>
  <c r="J5" i="6"/>
  <c r="J4" i="6"/>
  <c r="D41" i="6"/>
  <c r="D42" i="6"/>
  <c r="D43" i="6"/>
  <c r="J3" i="6"/>
  <c r="J2" i="6"/>
  <c r="I25" i="5"/>
  <c r="I24" i="5"/>
  <c r="I23" i="5"/>
  <c r="I27" i="5"/>
  <c r="I26" i="5"/>
  <c r="I18" i="5"/>
  <c r="I17" i="5"/>
  <c r="J3" i="5"/>
  <c r="J4" i="5"/>
  <c r="J5" i="5"/>
  <c r="J6" i="5"/>
  <c r="J7" i="5"/>
  <c r="J8" i="5"/>
  <c r="J9" i="5"/>
  <c r="J10" i="5"/>
  <c r="J11" i="5"/>
  <c r="J12" i="5"/>
  <c r="J13" i="5"/>
  <c r="J14" i="5"/>
  <c r="J2" i="5"/>
  <c r="I16" i="5"/>
  <c r="I12" i="5"/>
  <c r="I13" i="5"/>
  <c r="I14" i="5"/>
  <c r="I11" i="5"/>
  <c r="I8" i="5"/>
  <c r="I9" i="5"/>
  <c r="I10" i="5"/>
  <c r="I7" i="5"/>
  <c r="I6" i="5"/>
  <c r="I5" i="5"/>
  <c r="I4" i="5"/>
  <c r="I3" i="5"/>
  <c r="I2" i="5"/>
  <c r="H21" i="4"/>
  <c r="H20" i="4"/>
  <c r="H19" i="4"/>
  <c r="H23" i="4"/>
  <c r="H22" i="4"/>
  <c r="H14" i="4"/>
  <c r="H13" i="4"/>
  <c r="I4" i="4"/>
  <c r="I5" i="4"/>
  <c r="I6" i="4"/>
  <c r="I7" i="4"/>
  <c r="I8" i="4"/>
  <c r="I9" i="4"/>
  <c r="I3" i="4"/>
  <c r="H12" i="4"/>
  <c r="H5" i="4"/>
  <c r="H9" i="4"/>
  <c r="H8" i="4"/>
  <c r="H7" i="4"/>
  <c r="H6" i="4"/>
  <c r="H4" i="4"/>
  <c r="H3" i="4"/>
  <c r="C49" i="10"/>
  <c r="C50" i="10"/>
  <c r="C51" i="10"/>
  <c r="C52" i="10"/>
  <c r="C53" i="10"/>
  <c r="C54" i="10"/>
  <c r="C48" i="10"/>
  <c r="C47" i="9"/>
  <c r="C48" i="9"/>
  <c r="C49" i="9"/>
  <c r="C50" i="9"/>
  <c r="C51" i="9"/>
  <c r="C46" i="9"/>
  <c r="D46" i="8"/>
  <c r="D47" i="8"/>
  <c r="D48" i="8"/>
  <c r="D49" i="8"/>
  <c r="F49" i="8" s="1"/>
  <c r="D50" i="8"/>
  <c r="D45" i="8"/>
  <c r="F45" i="8" s="1"/>
  <c r="C46" i="8"/>
  <c r="C47" i="8"/>
  <c r="C48" i="8"/>
  <c r="C49" i="8"/>
  <c r="C50" i="8"/>
  <c r="C45" i="8"/>
  <c r="F50" i="8"/>
  <c r="F48" i="8"/>
  <c r="F47" i="8"/>
  <c r="F46" i="8"/>
  <c r="D44" i="7"/>
  <c r="D45" i="7"/>
  <c r="D46" i="7"/>
  <c r="F46" i="7" s="1"/>
  <c r="D47" i="7"/>
  <c r="F47" i="7" s="1"/>
  <c r="D43" i="7"/>
  <c r="F43" i="7" s="1"/>
  <c r="C44" i="7"/>
  <c r="C45" i="7"/>
  <c r="C46" i="7"/>
  <c r="C47" i="7"/>
  <c r="C43" i="7"/>
  <c r="E47" i="7"/>
  <c r="E46" i="7"/>
  <c r="F45" i="7"/>
  <c r="E45" i="7"/>
  <c r="F44" i="7"/>
  <c r="E44" i="7"/>
  <c r="E43" i="7"/>
  <c r="D40" i="6"/>
  <c r="F40" i="6" s="1"/>
  <c r="C41" i="6"/>
  <c r="C42" i="6"/>
  <c r="C43" i="6"/>
  <c r="C40" i="6"/>
  <c r="F43" i="6"/>
  <c r="F42" i="6"/>
  <c r="F41" i="6"/>
  <c r="B45" i="5"/>
  <c r="B44" i="5"/>
  <c r="B43" i="5"/>
  <c r="D39" i="5"/>
  <c r="D40" i="5"/>
  <c r="D41" i="5"/>
  <c r="F41" i="5" s="1"/>
  <c r="D38" i="5"/>
  <c r="F38" i="5" s="1"/>
  <c r="C39" i="5"/>
  <c r="C40" i="5"/>
  <c r="C41" i="5"/>
  <c r="C38" i="5"/>
  <c r="F40" i="5"/>
  <c r="F39" i="5"/>
  <c r="B37" i="8"/>
  <c r="B36" i="8"/>
  <c r="B35" i="8"/>
  <c r="B35" i="7"/>
  <c r="B31" i="6"/>
  <c r="B33" i="7"/>
  <c r="B34" i="7"/>
  <c r="B33" i="6"/>
  <c r="B32" i="6"/>
  <c r="B31" i="5"/>
  <c r="B30" i="5"/>
  <c r="B29" i="5"/>
  <c r="C31" i="10"/>
  <c r="C32" i="10"/>
  <c r="C33" i="10"/>
  <c r="C34" i="10"/>
  <c r="C35" i="10"/>
  <c r="C36" i="10"/>
  <c r="C30" i="10"/>
  <c r="C30" i="9"/>
  <c r="C31" i="9"/>
  <c r="C32" i="9"/>
  <c r="C33" i="9"/>
  <c r="C34" i="9"/>
  <c r="C29" i="9"/>
  <c r="F29" i="8"/>
  <c r="F30" i="8"/>
  <c r="F31" i="8"/>
  <c r="F32" i="8"/>
  <c r="F33" i="8"/>
  <c r="F28" i="8"/>
  <c r="D29" i="8"/>
  <c r="D30" i="8"/>
  <c r="D31" i="8"/>
  <c r="D32" i="8"/>
  <c r="D33" i="8"/>
  <c r="D28" i="8"/>
  <c r="C29" i="8"/>
  <c r="C30" i="8"/>
  <c r="C31" i="8"/>
  <c r="C32" i="8"/>
  <c r="C33" i="8"/>
  <c r="C28" i="8"/>
  <c r="F28" i="7"/>
  <c r="F29" i="7"/>
  <c r="F30" i="7"/>
  <c r="F31" i="7"/>
  <c r="F27" i="7"/>
  <c r="E28" i="7"/>
  <c r="E29" i="7"/>
  <c r="E30" i="7"/>
  <c r="E31" i="7"/>
  <c r="E27" i="7"/>
  <c r="D28" i="7"/>
  <c r="D29" i="7"/>
  <c r="D30" i="7"/>
  <c r="D31" i="7"/>
  <c r="D27" i="7"/>
  <c r="C28" i="7"/>
  <c r="C29" i="7"/>
  <c r="C30" i="7"/>
  <c r="C31" i="7"/>
  <c r="C27" i="7"/>
  <c r="F27" i="6"/>
  <c r="F28" i="6"/>
  <c r="F29" i="6"/>
  <c r="F26" i="6"/>
  <c r="D27" i="6"/>
  <c r="D28" i="6"/>
  <c r="D29" i="6"/>
  <c r="D26" i="6"/>
  <c r="C27" i="6"/>
  <c r="C28" i="6"/>
  <c r="C29" i="6"/>
  <c r="C26" i="6"/>
  <c r="F25" i="5"/>
  <c r="F26" i="5"/>
  <c r="F27" i="5"/>
  <c r="F24" i="5"/>
  <c r="D25" i="5"/>
  <c r="D26" i="5"/>
  <c r="D27" i="5"/>
  <c r="D24" i="5"/>
  <c r="C25" i="5"/>
  <c r="C26" i="5"/>
  <c r="C27" i="5"/>
  <c r="C24" i="5"/>
  <c r="B46" i="6" l="1"/>
  <c r="B47" i="6" s="1"/>
  <c r="B52" i="8"/>
  <c r="B53" i="8"/>
  <c r="B54" i="8" s="1"/>
  <c r="B50" i="7"/>
  <c r="B51" i="7" s="1"/>
  <c r="B49" i="7"/>
  <c r="B45" i="6"/>
  <c r="C38" i="3"/>
  <c r="C39" i="3"/>
  <c r="C37" i="3"/>
  <c r="C24" i="3"/>
  <c r="C25" i="3"/>
  <c r="C23" i="3"/>
  <c r="D35" i="4"/>
  <c r="F35" i="4" s="1"/>
  <c r="D34" i="4"/>
  <c r="F34" i="4" s="1"/>
  <c r="D23" i="4"/>
  <c r="F23" i="4" s="1"/>
  <c r="D22" i="4"/>
  <c r="C35" i="4"/>
  <c r="C34" i="4"/>
  <c r="C23" i="4"/>
  <c r="C22" i="4"/>
  <c r="D9" i="4"/>
  <c r="D10" i="4"/>
  <c r="D11" i="4"/>
  <c r="E11" i="4" s="1"/>
  <c r="D8" i="4"/>
  <c r="E8" i="4" s="1"/>
  <c r="B15" i="5"/>
  <c r="B16" i="6"/>
  <c r="B17" i="7"/>
  <c r="B18" i="8"/>
  <c r="C18" i="10"/>
  <c r="C17" i="10"/>
  <c r="C16" i="10"/>
  <c r="C15" i="10"/>
  <c r="C14" i="10"/>
  <c r="C13" i="10"/>
  <c r="C12" i="10"/>
  <c r="C11" i="10"/>
  <c r="E11" i="10" s="1"/>
  <c r="C10" i="10"/>
  <c r="E10" i="10" s="1"/>
  <c r="C9" i="10"/>
  <c r="E9" i="10" s="1"/>
  <c r="C8" i="10"/>
  <c r="C17" i="9"/>
  <c r="C16" i="9"/>
  <c r="C15" i="9"/>
  <c r="C14" i="9"/>
  <c r="C13" i="9"/>
  <c r="C12" i="9"/>
  <c r="C11" i="9"/>
  <c r="E11" i="9" s="1"/>
  <c r="C10" i="9"/>
  <c r="E10" i="9" s="1"/>
  <c r="C9" i="9"/>
  <c r="E9" i="9" s="1"/>
  <c r="C8" i="9"/>
  <c r="C16" i="8"/>
  <c r="E16" i="8" s="1"/>
  <c r="C15" i="8"/>
  <c r="E15" i="8" s="1"/>
  <c r="C14" i="8"/>
  <c r="E14" i="8" s="1"/>
  <c r="C13" i="8"/>
  <c r="E13" i="8" s="1"/>
  <c r="C12" i="8"/>
  <c r="E12" i="8" s="1"/>
  <c r="C11" i="8"/>
  <c r="E11" i="8" s="1"/>
  <c r="C10" i="8"/>
  <c r="E10" i="8" s="1"/>
  <c r="C9" i="8"/>
  <c r="E9" i="8" s="1"/>
  <c r="C8" i="8"/>
  <c r="E8" i="8" s="1"/>
  <c r="C15" i="7"/>
  <c r="E15" i="7" s="1"/>
  <c r="C14" i="7"/>
  <c r="E14" i="7" s="1"/>
  <c r="C13" i="7"/>
  <c r="E13" i="7" s="1"/>
  <c r="C12" i="7"/>
  <c r="E12" i="7" s="1"/>
  <c r="C11" i="7"/>
  <c r="E11" i="7" s="1"/>
  <c r="C10" i="7"/>
  <c r="E10" i="7" s="1"/>
  <c r="C9" i="7"/>
  <c r="E9" i="7" s="1"/>
  <c r="C8" i="7"/>
  <c r="E8" i="7" s="1"/>
  <c r="C14" i="6"/>
  <c r="E14" i="6" s="1"/>
  <c r="C13" i="6"/>
  <c r="E13" i="6" s="1"/>
  <c r="C12" i="6"/>
  <c r="E12" i="6" s="1"/>
  <c r="C11" i="6"/>
  <c r="E11" i="6" s="1"/>
  <c r="C10" i="6"/>
  <c r="E10" i="6" s="1"/>
  <c r="C9" i="6"/>
  <c r="E9" i="6" s="1"/>
  <c r="C8" i="6"/>
  <c r="E8" i="6" s="1"/>
  <c r="C13" i="5"/>
  <c r="E13" i="5" s="1"/>
  <c r="C12" i="5"/>
  <c r="E12" i="5" s="1"/>
  <c r="C11" i="5"/>
  <c r="E11" i="5" s="1"/>
  <c r="C10" i="5"/>
  <c r="E10" i="5" s="1"/>
  <c r="C9" i="5"/>
  <c r="E9" i="5" s="1"/>
  <c r="C8" i="5"/>
  <c r="E8" i="5" s="1"/>
  <c r="C12" i="3"/>
  <c r="D39" i="3" s="1"/>
  <c r="K12" i="3" s="1"/>
  <c r="C11" i="3"/>
  <c r="C10" i="3"/>
  <c r="D23" i="3" s="1"/>
  <c r="K7" i="3" s="1"/>
  <c r="C9" i="3"/>
  <c r="E9" i="3" s="1"/>
  <c r="C8" i="3"/>
  <c r="B13" i="4"/>
  <c r="E9" i="4"/>
  <c r="E10" i="4"/>
  <c r="C9" i="4"/>
  <c r="C10" i="4"/>
  <c r="C11" i="4"/>
  <c r="C8" i="4"/>
  <c r="B19" i="8" l="1"/>
  <c r="B18" i="7"/>
  <c r="B19" i="7" s="1"/>
  <c r="B17" i="6"/>
  <c r="B16" i="5"/>
  <c r="E8" i="10"/>
  <c r="I2" i="10"/>
  <c r="E15" i="10"/>
  <c r="I6" i="10"/>
  <c r="D51" i="10"/>
  <c r="D33" i="10"/>
  <c r="D49" i="10"/>
  <c r="D31" i="10"/>
  <c r="I4" i="10" s="1"/>
  <c r="E16" i="10"/>
  <c r="D52" i="10"/>
  <c r="D34" i="10"/>
  <c r="E12" i="10"/>
  <c r="D48" i="10"/>
  <c r="D30" i="10"/>
  <c r="I3" i="10" s="1"/>
  <c r="E13" i="10"/>
  <c r="E17" i="10"/>
  <c r="D53" i="10"/>
  <c r="D35" i="10"/>
  <c r="I8" i="10" s="1"/>
  <c r="B20" i="10"/>
  <c r="E14" i="10"/>
  <c r="D32" i="10"/>
  <c r="D50" i="10"/>
  <c r="E18" i="10"/>
  <c r="D54" i="10"/>
  <c r="D36" i="10"/>
  <c r="E11" i="3"/>
  <c r="D24" i="3"/>
  <c r="K8" i="3" s="1"/>
  <c r="E8" i="3"/>
  <c r="K3" i="3"/>
  <c r="E12" i="3"/>
  <c r="D38" i="3"/>
  <c r="E10" i="3"/>
  <c r="D25" i="3"/>
  <c r="D37" i="3"/>
  <c r="K4" i="3" s="1"/>
  <c r="F39" i="3"/>
  <c r="B19" i="9"/>
  <c r="E15" i="9"/>
  <c r="D49" i="9"/>
  <c r="F49" i="9" s="1"/>
  <c r="D32" i="9"/>
  <c r="F32" i="9" s="1"/>
  <c r="E12" i="9"/>
  <c r="D46" i="9"/>
  <c r="D29" i="9"/>
  <c r="E16" i="9"/>
  <c r="D50" i="9"/>
  <c r="F50" i="9" s="1"/>
  <c r="D33" i="9"/>
  <c r="F33" i="9" s="1"/>
  <c r="E14" i="9"/>
  <c r="D48" i="9"/>
  <c r="F48" i="9" s="1"/>
  <c r="D31" i="9"/>
  <c r="F31" i="9" s="1"/>
  <c r="E13" i="9"/>
  <c r="D47" i="9"/>
  <c r="F47" i="9" s="1"/>
  <c r="D30" i="9"/>
  <c r="F30" i="9" s="1"/>
  <c r="E17" i="9"/>
  <c r="D34" i="9"/>
  <c r="F34" i="9" s="1"/>
  <c r="D51" i="9"/>
  <c r="F51" i="9" s="1"/>
  <c r="B38" i="4"/>
  <c r="B39" i="4" s="1"/>
  <c r="B37" i="4"/>
  <c r="B26" i="4"/>
  <c r="B27" i="4" s="1"/>
  <c r="B25" i="4"/>
  <c r="F22" i="4"/>
  <c r="B14" i="4"/>
  <c r="B15" i="4" s="1"/>
  <c r="B14" i="3"/>
  <c r="F23" i="3"/>
  <c r="E8" i="9"/>
  <c r="B20" i="8"/>
  <c r="B18" i="6"/>
  <c r="B17" i="5"/>
  <c r="C28" i="2"/>
  <c r="C19" i="2"/>
  <c r="B20" i="9" l="1"/>
  <c r="I7" i="10"/>
  <c r="F50" i="10"/>
  <c r="I19" i="10"/>
  <c r="F52" i="10"/>
  <c r="I21" i="10"/>
  <c r="I16" i="10"/>
  <c r="F36" i="10"/>
  <c r="I9" i="10"/>
  <c r="I12" i="10"/>
  <c r="F32" i="10"/>
  <c r="I15" i="10"/>
  <c r="F35" i="10"/>
  <c r="I13" i="10"/>
  <c r="F33" i="10"/>
  <c r="F48" i="10"/>
  <c r="I17" i="10"/>
  <c r="B56" i="10"/>
  <c r="I18" i="10"/>
  <c r="F49" i="10"/>
  <c r="F54" i="10"/>
  <c r="I23" i="10"/>
  <c r="I5" i="10"/>
  <c r="J25" i="10" s="1"/>
  <c r="I22" i="10"/>
  <c r="F53" i="10"/>
  <c r="B38" i="10"/>
  <c r="J32" i="10" s="1"/>
  <c r="I10" i="10"/>
  <c r="F30" i="10"/>
  <c r="I14" i="10"/>
  <c r="F34" i="10"/>
  <c r="I11" i="10"/>
  <c r="F31" i="10"/>
  <c r="F51" i="10"/>
  <c r="I20" i="10"/>
  <c r="B21" i="10"/>
  <c r="B22" i="10" s="1"/>
  <c r="B15" i="3"/>
  <c r="B16" i="3" s="1"/>
  <c r="K11" i="3"/>
  <c r="F38" i="3"/>
  <c r="F25" i="3"/>
  <c r="K9" i="3"/>
  <c r="K6" i="3"/>
  <c r="F24" i="3"/>
  <c r="B28" i="3" s="1"/>
  <c r="K5" i="3"/>
  <c r="K10" i="3"/>
  <c r="B41" i="3"/>
  <c r="F37" i="3"/>
  <c r="B42" i="3" s="1"/>
  <c r="B43" i="3" s="1"/>
  <c r="K15" i="3"/>
  <c r="F46" i="9"/>
  <c r="B54" i="9" s="1"/>
  <c r="B55" i="9" s="1"/>
  <c r="B53" i="9"/>
  <c r="B36" i="9"/>
  <c r="F29" i="9"/>
  <c r="B37" i="9" s="1"/>
  <c r="B38" i="9" s="1"/>
  <c r="B27" i="3"/>
  <c r="B21" i="9"/>
  <c r="C9" i="2"/>
  <c r="E9" i="2" s="1"/>
  <c r="C10" i="2"/>
  <c r="C8" i="2"/>
  <c r="B57" i="10" l="1"/>
  <c r="B58" i="10" s="1"/>
  <c r="J4" i="10"/>
  <c r="J8" i="10"/>
  <c r="J12" i="10"/>
  <c r="J16" i="10"/>
  <c r="J20" i="10"/>
  <c r="J2" i="10"/>
  <c r="J5" i="10"/>
  <c r="J9" i="10"/>
  <c r="J13" i="10"/>
  <c r="J17" i="10"/>
  <c r="J21" i="10"/>
  <c r="J6" i="10"/>
  <c r="J10" i="10"/>
  <c r="J14" i="10"/>
  <c r="J18" i="10"/>
  <c r="J22" i="10"/>
  <c r="J3" i="10"/>
  <c r="J7" i="10"/>
  <c r="J11" i="10"/>
  <c r="J15" i="10"/>
  <c r="J19" i="10"/>
  <c r="J23" i="10"/>
  <c r="J36" i="10"/>
  <c r="B39" i="10"/>
  <c r="D28" i="2"/>
  <c r="D19" i="2"/>
  <c r="H4" i="2" s="1"/>
  <c r="B11" i="2"/>
  <c r="H2" i="2"/>
  <c r="L7" i="3"/>
  <c r="L11" i="3"/>
  <c r="L4" i="3"/>
  <c r="L8" i="3"/>
  <c r="L12" i="3"/>
  <c r="L5" i="3"/>
  <c r="L9" i="3"/>
  <c r="L3" i="3"/>
  <c r="K16" i="3" s="1"/>
  <c r="K17" i="3" s="1"/>
  <c r="K25" i="3" s="1"/>
  <c r="L6" i="3"/>
  <c r="L10" i="3"/>
  <c r="K22" i="3"/>
  <c r="B29" i="3"/>
  <c r="K23" i="3"/>
  <c r="K24" i="3" s="1"/>
  <c r="K26" i="3"/>
  <c r="F28" i="2"/>
  <c r="B31" i="2" s="1"/>
  <c r="H5" i="2"/>
  <c r="B30" i="2"/>
  <c r="E10" i="2"/>
  <c r="E8" i="2"/>
  <c r="J33" i="10" l="1"/>
  <c r="B40" i="10"/>
  <c r="J34" i="10" s="1"/>
  <c r="J26" i="10"/>
  <c r="J27" i="10" s="1"/>
  <c r="J35" i="10" s="1"/>
  <c r="H3" i="2"/>
  <c r="B12" i="2"/>
  <c r="B13" i="2" s="1"/>
  <c r="I13" i="2"/>
  <c r="I2" i="2" s="1"/>
  <c r="B32" i="2"/>
  <c r="F19" i="2"/>
  <c r="B21" i="2" s="1"/>
  <c r="B22" i="2" s="1"/>
  <c r="B20" i="2"/>
  <c r="I20" i="2" s="1"/>
  <c r="I3" i="2" l="1"/>
  <c r="I5" i="2"/>
  <c r="I4" i="2"/>
  <c r="I14" i="2" s="1"/>
  <c r="I15" i="2" s="1"/>
  <c r="I23" i="2" s="1"/>
  <c r="I21" i="2"/>
  <c r="I22" i="2" s="1"/>
  <c r="I24" i="2"/>
</calcChain>
</file>

<file path=xl/sharedStrings.xml><?xml version="1.0" encoding="utf-8"?>
<sst xmlns="http://schemas.openxmlformats.org/spreadsheetml/2006/main" count="509" uniqueCount="92">
  <si>
    <t>https://wizardofodds.com/games/keno/appendix/2/</t>
  </si>
  <si>
    <t>Caveman Keno</t>
  </si>
  <si>
    <t>Rules:</t>
  </si>
  <si>
    <t>1. The player chooses from two to ten numbers, ranging from 1 to 80, as in regular keno.</t>
  </si>
  <si>
    <t>3. The computer will then draw 20 numbers, ranging from 1 to 80, as in regular keno.</t>
  </si>
  <si>
    <t xml:space="preserve">     player did not pick. These three numbers will be marked with dinosaur eggs.</t>
  </si>
  <si>
    <t xml:space="preserve">4. The player will win depending in part on the number of the player's picks that </t>
  </si>
  <si>
    <t xml:space="preserve">    match the 20 numbers chosen by the computer, as in regular keno.</t>
  </si>
  <si>
    <t xml:space="preserve">5. The player will get a multiplier according to the number of eggs that match the </t>
  </si>
  <si>
    <t>Catch</t>
  </si>
  <si>
    <t>Pick 2</t>
  </si>
  <si>
    <t>Pick 3</t>
  </si>
  <si>
    <t>Pick 4</t>
  </si>
  <si>
    <t>Pick 5</t>
  </si>
  <si>
    <t>Pick 6</t>
  </si>
  <si>
    <t>Pick 7</t>
  </si>
  <si>
    <t>Pick 8</t>
  </si>
  <si>
    <t>Pick 9</t>
  </si>
  <si>
    <t>Pick 10</t>
  </si>
  <si>
    <t>-</t>
  </si>
  <si>
    <t xml:space="preserve">Pay Table </t>
  </si>
  <si>
    <t>Project:</t>
  </si>
  <si>
    <t>1. Average RTP% (Return to player) of Keno</t>
  </si>
  <si>
    <t>4. Bonus Hit Frequency</t>
  </si>
  <si>
    <t>6. Average RTP% from Bonus</t>
  </si>
  <si>
    <t>5. Bonus Pulls per Hit</t>
  </si>
  <si>
    <t>7. Total RTP% of Game</t>
  </si>
  <si>
    <t xml:space="preserve">    so that any change in the pay table will automatically change the values of the 8 metrics</t>
  </si>
  <si>
    <t>2. Hit Frequency of Keno</t>
  </si>
  <si>
    <t>3. Pulls per Hit of Keno</t>
  </si>
  <si>
    <t xml:space="preserve">6. The player's win will be the sum of the wins of the regular keno pay table and the multiplier wins. </t>
  </si>
  <si>
    <t xml:space="preserve"> </t>
  </si>
  <si>
    <t xml:space="preserve">Part 1:  For each pick and separately, calculate the following in Excel </t>
  </si>
  <si>
    <t>Keno Hit Freq.</t>
  </si>
  <si>
    <t>Keno Pulls / Hit</t>
  </si>
  <si>
    <t>Keno RTP%</t>
  </si>
  <si>
    <t>Bonus RTP%</t>
  </si>
  <si>
    <t>Bonus Hit Freq.</t>
  </si>
  <si>
    <t>Bonus Pulls / Hit</t>
  </si>
  <si>
    <t>Game Total RTP%</t>
  </si>
  <si>
    <t>2. The computer will draw three numbers at random among the numbers the</t>
  </si>
  <si>
    <t xml:space="preserve">9. A Summary table, located below the pay table and including each of the 8 metrics above, </t>
  </si>
  <si>
    <t>8. TheVolatility Index (the standard deviation of the Pays probability distribution)</t>
  </si>
  <si>
    <t>Volatility Index</t>
  </si>
  <si>
    <t xml:space="preserve">    20-ball draw. The usual multipliers are 1x for 0 or 1 match, 3x for two matches, </t>
  </si>
  <si>
    <t xml:space="preserve">    and 6x for three matches.</t>
  </si>
  <si>
    <t>N</t>
  </si>
  <si>
    <t>Eggs</t>
  </si>
  <si>
    <t>KENO RTP%</t>
  </si>
  <si>
    <t>KENO HIT FREQUENCY</t>
  </si>
  <si>
    <t>PULLS/HIT</t>
  </si>
  <si>
    <t>MULTIPLIER</t>
  </si>
  <si>
    <t>PAY</t>
  </si>
  <si>
    <t>MULTIPLIED PAY</t>
  </si>
  <si>
    <t>WIN</t>
  </si>
  <si>
    <t>FREQUENCY</t>
  </si>
  <si>
    <t>PROBABILITY</t>
  </si>
  <si>
    <t>RTP %</t>
  </si>
  <si>
    <t>VARIANCE</t>
  </si>
  <si>
    <t>STANDARD DEVIATION</t>
  </si>
  <si>
    <t>VOLATILITY INDEX</t>
  </si>
  <si>
    <t>GAMES TOTAL RTP%</t>
  </si>
  <si>
    <t>BONUS RTP</t>
  </si>
  <si>
    <t>BONUS HIT FREQUENCY</t>
  </si>
  <si>
    <t>BONUS PULLS/HIT</t>
  </si>
  <si>
    <t>HIT</t>
  </si>
  <si>
    <t>r</t>
  </si>
  <si>
    <t>HIT FREQUENCY</t>
  </si>
  <si>
    <t>RTP%</t>
  </si>
  <si>
    <t>WINNING FREQUENCY</t>
  </si>
  <si>
    <t>EGG HIT</t>
  </si>
  <si>
    <t>WIN FREQUENCY</t>
  </si>
  <si>
    <t>HIT NUMBER</t>
  </si>
  <si>
    <t>Sample-r</t>
  </si>
  <si>
    <t>Population-N</t>
  </si>
  <si>
    <t>HIT- k</t>
  </si>
  <si>
    <t>HIT EGGS (k)</t>
  </si>
  <si>
    <t>TOTAL EGGS (n)</t>
  </si>
  <si>
    <t>TOTAL EGG</t>
  </si>
  <si>
    <t>TOTAL EGGS</t>
  </si>
  <si>
    <t>Total Eggs (n)</t>
  </si>
  <si>
    <t>Hit Eggs (k)</t>
  </si>
  <si>
    <t>MULTILPLIED PAY</t>
  </si>
  <si>
    <t>TOTAL RTP%</t>
  </si>
  <si>
    <t>HIT EGGS</t>
  </si>
  <si>
    <t>Pick (p)</t>
  </si>
  <si>
    <r>
      <t>Variance= ∑(X-µ)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.P(X)</t>
    </r>
  </si>
  <si>
    <t>(X-µ)^2.P(X)</t>
  </si>
  <si>
    <t>PROBABILITY or P(X)</t>
  </si>
  <si>
    <t>PAY or X</t>
  </si>
  <si>
    <t>MEAN (µ)</t>
  </si>
  <si>
    <t>WINNING 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</si>
</sst>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E+00"/>
    <numFmt numFmtId="166" formatCode="0.00000"/>
    <numFmt numFmtId="167" formatCode="0.000%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0"/>
      <name val="Times New Roman"/>
      <family val="1"/>
    </font>
    <font>
      <b/>
      <sz val="12"/>
      <color theme="10"/>
      <name val="Times New Roman"/>
      <family val="1"/>
    </font>
    <font>
      <b/>
      <u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2" fillId="0" borderId="5" xfId="0" applyFont="1" applyBorder="1"/>
    <xf numFmtId="164" fontId="2" fillId="0" borderId="5" xfId="0" applyNumberFormat="1" applyFont="1" applyBorder="1"/>
    <xf numFmtId="0" fontId="2" fillId="0" borderId="0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165" fontId="2" fillId="0" borderId="0" xfId="0" applyNumberFormat="1" applyFont="1" applyBorder="1"/>
    <xf numFmtId="0" fontId="4" fillId="2" borderId="0" xfId="1" applyFont="1" applyFill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4" fillId="2" borderId="4" xfId="1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7" xfId="0" applyFont="1" applyBorder="1"/>
    <xf numFmtId="0" fontId="4" fillId="2" borderId="7" xfId="1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6" xfId="0" applyFont="1" applyBorder="1"/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5" fillId="2" borderId="5" xfId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9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166" fontId="2" fillId="0" borderId="0" xfId="0" applyNumberFormat="1" applyFont="1"/>
    <xf numFmtId="0" fontId="3" fillId="0" borderId="0" xfId="0" applyFont="1" applyBorder="1"/>
    <xf numFmtId="10" fontId="2" fillId="0" borderId="5" xfId="2" applyNumberFormat="1" applyFont="1" applyBorder="1"/>
    <xf numFmtId="167" fontId="2" fillId="0" borderId="5" xfId="2" applyNumberFormat="1" applyFont="1" applyBorder="1"/>
    <xf numFmtId="167" fontId="2" fillId="0" borderId="0" xfId="2" applyNumberFormat="1" applyFont="1"/>
    <xf numFmtId="0" fontId="8" fillId="0" borderId="0" xfId="0" applyFont="1"/>
    <xf numFmtId="0" fontId="8" fillId="0" borderId="0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</cellXfs>
  <cellStyles count="3">
    <cellStyle name="Hyperlink" xfId="1" builtinId="8"/>
    <cellStyle name="Normal" xfId="0" builtinId="0"/>
    <cellStyle name="Percent" xfId="2" builtinId="5"/>
  </cellStyles>
  <dxfs count="2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0</xdr:rowOff>
    </xdr:from>
    <xdr:to>
      <xdr:col>7</xdr:col>
      <xdr:colOff>981075</xdr:colOff>
      <xdr:row>16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079EA0-B10E-43B2-8EA9-162D1BD27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0025" y="3200400"/>
          <a:ext cx="9810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15</xdr:row>
      <xdr:rowOff>0</xdr:rowOff>
    </xdr:from>
    <xdr:to>
      <xdr:col>6</xdr:col>
      <xdr:colOff>981075</xdr:colOff>
      <xdr:row>15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A3B1BB-D85F-411F-A0A1-D06CE8D17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3825" y="3000375"/>
          <a:ext cx="9810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18</xdr:row>
      <xdr:rowOff>0</xdr:rowOff>
    </xdr:from>
    <xdr:to>
      <xdr:col>9</xdr:col>
      <xdr:colOff>981075</xdr:colOff>
      <xdr:row>18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CA034A-CECD-4D07-B78E-E2F1E53AD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63050" y="3600450"/>
          <a:ext cx="9810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19</xdr:row>
      <xdr:rowOff>0</xdr:rowOff>
    </xdr:from>
    <xdr:to>
      <xdr:col>7</xdr:col>
      <xdr:colOff>981075</xdr:colOff>
      <xdr:row>19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EE5851-7250-4CD5-A956-1A9401C53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3850" y="3800475"/>
          <a:ext cx="9810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20</xdr:row>
      <xdr:rowOff>0</xdr:rowOff>
    </xdr:from>
    <xdr:to>
      <xdr:col>8</xdr:col>
      <xdr:colOff>981075</xdr:colOff>
      <xdr:row>20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010EB5-C5E6-4554-A8E1-408A1B9D7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9625" y="4000500"/>
          <a:ext cx="9810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23</xdr:row>
      <xdr:rowOff>0</xdr:rowOff>
    </xdr:from>
    <xdr:to>
      <xdr:col>7</xdr:col>
      <xdr:colOff>981075</xdr:colOff>
      <xdr:row>23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12729C-0B9B-4A92-95CE-067FA8E87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3850" y="4600575"/>
          <a:ext cx="9810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26</xdr:row>
      <xdr:rowOff>0</xdr:rowOff>
    </xdr:from>
    <xdr:to>
      <xdr:col>7</xdr:col>
      <xdr:colOff>981075</xdr:colOff>
      <xdr:row>26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A11DC1-BD70-43D0-A546-8E9C2130E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6675" y="5200650"/>
          <a:ext cx="9810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25</xdr:row>
      <xdr:rowOff>0</xdr:rowOff>
    </xdr:from>
    <xdr:to>
      <xdr:col>7</xdr:col>
      <xdr:colOff>981075</xdr:colOff>
      <xdr:row>25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BF377F-9159-4ECE-955B-D0677A184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3850" y="5000625"/>
          <a:ext cx="9810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28</xdr:row>
      <xdr:rowOff>0</xdr:rowOff>
    </xdr:from>
    <xdr:to>
      <xdr:col>8</xdr:col>
      <xdr:colOff>981075</xdr:colOff>
      <xdr:row>28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51A4BB-0E96-4579-8FCE-32439FE84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0" y="5600700"/>
          <a:ext cx="9810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211501-DA56-4BDE-B293-FA934358BF26}" name="Table1" displayName="Table1" ref="A18:F19" totalsRowShown="0" headerRowDxfId="251" dataDxfId="250">
  <autoFilter ref="A18:F19" xr:uid="{BE95D619-B9F1-47CC-9A26-787E05A889C5}"/>
  <tableColumns count="6">
    <tableColumn id="1" xr3:uid="{8CF2DB33-3EDC-4A4C-82C0-BA83AAFAA17D}" name="HIT NUMBER" dataDxfId="249"/>
    <tableColumn id="2" xr3:uid="{CB1C6E08-6F84-4CBB-8207-4F9D2616A79F}" name="PAY" dataDxfId="248"/>
    <tableColumn id="3" xr3:uid="{D99A031F-E19C-4C4E-8F85-6F763188DAD3}" name="MULTIPLIED PAY" dataDxfId="247">
      <calculatedColumnFormula>B19*$B$16</calculatedColumnFormula>
    </tableColumn>
    <tableColumn id="4" xr3:uid="{8EE86376-A071-41A3-8961-11E409E612C3}" name="PROBABILITY" dataDxfId="246">
      <calculatedColumnFormula>_xlfn.HYPGEOM.DIST($B$15,$B$3,$B$2,$B$1-$B$3,0)*C10</calculatedColumnFormula>
    </tableColumn>
    <tableColumn id="5" xr3:uid="{F3F22B39-E513-48E9-B727-B2EC546333D4}" name="WIN" dataDxfId="245"/>
    <tableColumn id="6" xr3:uid="{D97B3BD2-D0EA-476D-8F7A-34217EC3FA05}" name="FREQUENCY" dataDxfId="244">
      <calculatedColumnFormula>D19*E19</calculatedColumnFormula>
    </tableColumn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6325CE1-AEB7-439D-9DC5-06EB004A7FFE}" name="Table20" displayName="Table20" ref="J2:L12" totalsRowShown="0" headerRowDxfId="195" dataDxfId="194">
  <autoFilter ref="J2:L12" xr:uid="{5F9FC4AB-4FF1-4E8F-A3A6-581802974AF3}"/>
  <tableColumns count="3">
    <tableColumn id="1" xr3:uid="{3CD9AF60-9370-4644-9C27-131DDEFB8B68}" name="PAY or X" dataDxfId="193"/>
    <tableColumn id="2" xr3:uid="{CF277A66-F399-44EE-AE06-F6CA191BBBEB}" name="PROBABILITY or P(X)" dataDxfId="192"/>
    <tableColumn id="3" xr3:uid="{8375C104-7683-4D2F-9B49-EAE41D0639E1}" name="(X-µ)^2.P(X)" dataDxfId="191">
      <calculatedColumnFormula>($K$15-J3)^2*K3</calculatedColumnFormula>
    </tableColumn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19AE9E1-0607-4658-91D6-261E4E2791E8}" name="Table21" displayName="Table21" ref="A22:F25" totalsRowShown="0" headerRowDxfId="190" dataDxfId="189">
  <autoFilter ref="A22:F25" xr:uid="{DCC2012E-ADCA-4A4E-892D-7459091ADDC5}"/>
  <tableColumns count="6">
    <tableColumn id="1" xr3:uid="{CB9D2B41-BAAF-4FF2-9FA8-18862A915F8B}" name="HIT NUMBER" dataDxfId="188"/>
    <tableColumn id="2" xr3:uid="{4E1FC4DD-7B81-4341-9C8B-3B4D2E752A72}" name="PAY" dataDxfId="187"/>
    <tableColumn id="3" xr3:uid="{26BD024F-368D-4A3D-9D04-20D328CE5A83}" name="MULTIPLIED PAY" dataDxfId="186">
      <calculatedColumnFormula>B23*$B$20</calculatedColumnFormula>
    </tableColumn>
    <tableColumn id="4" xr3:uid="{2013E3A8-3BA8-486C-8ED5-48FA6A6C5696}" name="PROBABILITY" dataDxfId="185">
      <calculatedColumnFormula>_xlfn.HYPGEOM.DIST($B$19,$B$18,$B$2,$B$1-$B$5,0)*C10</calculatedColumnFormula>
    </tableColumn>
    <tableColumn id="5" xr3:uid="{D3A656AD-4B61-4AF8-9892-51107A14BE3C}" name="WINNING FLAG" dataDxfId="7"/>
    <tableColumn id="6" xr3:uid="{0B0A5B71-E725-4C81-97F9-BFF7C6868906}" name="WIN FREQUENCY" dataDxfId="184">
      <calculatedColumnFormula>D23*E23</calculatedColumnFormula>
    </tableColumn>
  </tableColumns>
  <tableStyleInfo name="TableStyleLight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06B8298-E658-46F7-99BD-CE3D3E6719F0}" name="Table22" displayName="Table22" ref="A36:F39" totalsRowShown="0" headerRowDxfId="183" dataDxfId="182">
  <autoFilter ref="A36:F39" xr:uid="{8A23F657-792B-4998-9C71-50B5780FB01D}"/>
  <tableColumns count="6">
    <tableColumn id="1" xr3:uid="{575B0597-E9C5-4102-BA39-6EE5ED279A6B}" name="HIT NUMBER" dataDxfId="181"/>
    <tableColumn id="2" xr3:uid="{AACF592C-A4B2-46E4-A8D4-72F4601EF78C}" name="PAY" dataDxfId="180"/>
    <tableColumn id="3" xr3:uid="{26D70231-8C9F-4172-AA1C-32174DEABC7D}" name="MULTIPLIED PAY" dataDxfId="179">
      <calculatedColumnFormula>B37*$B$34</calculatedColumnFormula>
    </tableColumn>
    <tableColumn id="4" xr3:uid="{9C70C7BE-DC28-406E-978E-A54641FCB0CE}" name="PROBABILITY" dataDxfId="178">
      <calculatedColumnFormula>_xlfn.HYPGEOM.DIST($B$32,$B$33,$B$2,$B$1-$B$5,0)*C10</calculatedColumnFormula>
    </tableColumn>
    <tableColumn id="5" xr3:uid="{15D98194-A3A1-4DFC-A78D-5988EB63A7F6}" name="WINNING FLAG" dataDxfId="177"/>
    <tableColumn id="6" xr3:uid="{4FD6C292-24D8-446F-AEC1-B8217D685679}" name="WIN FREQUENCY" dataDxfId="176">
      <calculatedColumnFormula>D37*E37</calculatedColumnFormula>
    </tableColumn>
  </tableColumns>
  <tableStyleInfo name="TableStyleLight1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DB1E9E8-5D66-47F2-B05F-89C208EE8211}" name="Table247" displayName="Table247" ref="A7:E13" totalsRowShown="0" headerRowDxfId="175" dataDxfId="174">
  <autoFilter ref="A7:E13" xr:uid="{6706D846-FBA3-4C80-966C-1C97159CAB54}"/>
  <tableColumns count="5">
    <tableColumn id="1" xr3:uid="{190F0135-7744-4E46-9AAC-6590BCA0F31D}" name="HIT" dataDxfId="173"/>
    <tableColumn id="2" xr3:uid="{6F3CC07A-B4A3-4F73-AE6B-5644BDA00E2E}" name="PAY" dataDxfId="172"/>
    <tableColumn id="3" xr3:uid="{226A058C-B677-44C3-AE19-93C075ACEECB}" name="PROBABILITY" dataDxfId="171">
      <calculatedColumnFormula>_xlfn.HYPGEOM.DIST(A8,$B$5,$B$2,$B$1,0)</calculatedColumnFormula>
    </tableColumn>
    <tableColumn id="4" xr3:uid="{F9E71A6F-2B6E-4541-AD17-8EFCEEAA4411}" name="WINNING FLAG" dataDxfId="170">
      <calculatedColumnFormula>IF(Table247[[#This Row],[PAY]]=0,0,1)</calculatedColumnFormula>
    </tableColumn>
    <tableColumn id="5" xr3:uid="{2AC3B34D-382F-4680-98EB-01CDA06877E7}" name="HIT FREQUENCY" dataDxfId="169">
      <calculatedColumnFormula>C8*D8</calculatedColumnFormula>
    </tableColumn>
  </tableColumns>
  <tableStyleInfo name="TableStyleLight1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380185E-9B7E-431D-B6E5-F8E803D776D8}" name="Table19" displayName="Table19" ref="H1:J14" totalsRowShown="0" headerRowDxfId="168" dataDxfId="167">
  <autoFilter ref="H1:J14" xr:uid="{2E57456A-B848-422C-9F71-EF4644557697}"/>
  <tableColumns count="3">
    <tableColumn id="1" xr3:uid="{D0F03126-5FBC-4F48-8015-7048C9A101A6}" name="PAY or X" dataDxfId="166"/>
    <tableColumn id="2" xr3:uid="{AEA8FD82-E14B-4FE3-A991-36F4D38AFE94}" name="PROBABILITY or P(X)" dataDxfId="165">
      <calculatedColumnFormula>D29</calculatedColumnFormula>
    </tableColumn>
    <tableColumn id="3" xr3:uid="{46D78ED2-22C7-4BD8-A8E5-FDC07B8EE8A5}" name="(X-µ)^2.P(X)" dataDxfId="164">
      <calculatedColumnFormula>($I$16-H2)^2*I2</calculatedColumnFormula>
    </tableColumn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9DD7CD9-06FD-46E0-A3F4-480F22D25F32}" name="Table23" displayName="Table23" ref="A23:F27" totalsRowShown="0" headerRowDxfId="163" dataDxfId="162">
  <autoFilter ref="A23:F27" xr:uid="{6C77CC9C-E5A7-4BE8-92F2-7A6DCC3A66F9}"/>
  <tableColumns count="6">
    <tableColumn id="1" xr3:uid="{2F3FCD93-2322-4357-862A-56EC107ED7A5}" name="HIT NUMBER" dataDxfId="161"/>
    <tableColumn id="2" xr3:uid="{12E1B05F-D2EA-46BF-8C21-CB5C60D74102}" name="PAY" dataDxfId="160"/>
    <tableColumn id="3" xr3:uid="{399B5B10-B682-4231-81BD-DD5CDF117D3B}" name="MULTIPLIED PAY" dataDxfId="159">
      <calculatedColumnFormula>B24*$B$21</calculatedColumnFormula>
    </tableColumn>
    <tableColumn id="4" xr3:uid="{767D785C-1C4D-4295-B1C0-7B9053E1D2F0}" name="PROBABILITY" dataDxfId="158">
      <calculatedColumnFormula>_xlfn.HYPGEOM.DIST($B$20,$B$19,$B$2,$B$1-$B$5,0)*C10</calculatedColumnFormula>
    </tableColumn>
    <tableColumn id="5" xr3:uid="{2785C4BA-2119-4D9F-AF13-BDFBAA24EB59}" name="WINNING FLAG" dataDxfId="157"/>
    <tableColumn id="6" xr3:uid="{6797E2D6-4D81-499C-9E55-9765706B3383}" name="WIN FREQUENCY" dataDxfId="156">
      <calculatedColumnFormula>D24*E24</calculatedColumnFormula>
    </tableColumn>
  </tableColumns>
  <tableStyleInfo name="TableStyleLight10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B8C0F5A-3BC6-4140-908F-F8C120064E6C}" name="Table25" displayName="Table25" ref="A37:F41" totalsRowShown="0" headerRowDxfId="155" dataDxfId="154">
  <autoFilter ref="A37:F41" xr:uid="{B3692770-5884-4502-91E7-949F403E884E}"/>
  <tableColumns count="6">
    <tableColumn id="1" xr3:uid="{F74D84E4-8D8B-4423-8E9B-F9EB68B34296}" name="HIT NUMBER" dataDxfId="153"/>
    <tableColumn id="2" xr3:uid="{B4E32AFD-39DF-40AA-9A79-27198E1F64DE}" name="PAY" dataDxfId="152"/>
    <tableColumn id="3" xr3:uid="{869E18B0-C446-4F88-848A-EDD5C408F2EC}" name="MULTIPLIED PAY" dataDxfId="151">
      <calculatedColumnFormula>B38*$B$35</calculatedColumnFormula>
    </tableColumn>
    <tableColumn id="4" xr3:uid="{E48F9CF2-489D-4769-8D74-81DC7BAF8888}" name="PROBABILITY" dataDxfId="150">
      <calculatedColumnFormula>_xlfn.HYPGEOM.DIST($B$34,$B$33,$B$2,$B$1-$B$5,0)*C10</calculatedColumnFormula>
    </tableColumn>
    <tableColumn id="5" xr3:uid="{84509335-AEA8-4D09-A2C5-C8F39C37B754}" name="WINNING FLAG" dataDxfId="149"/>
    <tableColumn id="6" xr3:uid="{CEB20B85-4A84-456C-9D6A-87F1B67D8F23}" name="WIN FREQUENCY" dataDxfId="148">
      <calculatedColumnFormula>D38*E38</calculatedColumnFormula>
    </tableColumn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52101B8-534C-40F1-911B-F76D0EA091D2}" name="Table2478" displayName="Table2478" ref="A7:E14" totalsRowShown="0" headerRowDxfId="147" dataDxfId="146">
  <autoFilter ref="A7:E14" xr:uid="{93A62E0A-9A39-4D4E-B88D-3580197805DD}"/>
  <tableColumns count="5">
    <tableColumn id="1" xr3:uid="{25ABE22F-7C92-461E-8D33-4A6F9DDB5122}" name="HIT" dataDxfId="145"/>
    <tableColumn id="2" xr3:uid="{6EE7FF9B-136E-4BBF-AE6D-B5CE1E28DC05}" name="PAY" dataDxfId="144"/>
    <tableColumn id="3" xr3:uid="{71FB9B67-9E13-481D-AB61-B0C69AB6AC15}" name="PROBABILITY" dataDxfId="143">
      <calculatedColumnFormula>_xlfn.HYPGEOM.DIST(A8,$B$5,$B$2,$B$1,0)</calculatedColumnFormula>
    </tableColumn>
    <tableColumn id="4" xr3:uid="{4C97DD31-8285-4330-ADFE-DBB4306BB304}" name="WINNING FLAG" dataDxfId="142">
      <calculatedColumnFormula>IF(Table2478[[#This Row],[PAY]]=0,0,1)</calculatedColumnFormula>
    </tableColumn>
    <tableColumn id="5" xr3:uid="{F670AB80-6525-4AF6-A08C-14AFCBD232D9}" name="HIT FREQUENCY" dataDxfId="141">
      <calculatedColumnFormula>C8*D8</calculatedColumnFormula>
    </tableColumn>
  </tableColumns>
  <tableStyleInfo name="TableStyleLight14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24E17EA-43E6-42F9-9DC3-5CAE7265272D}" name="Table18" displayName="Table18" ref="I1:K14" totalsRowShown="0" headerRowDxfId="140" dataDxfId="139">
  <autoFilter ref="I1:K14" xr:uid="{249CCC67-EBE9-4C00-BCBB-B7C178A6789E}"/>
  <tableColumns count="3">
    <tableColumn id="1" xr3:uid="{F0FD60CB-01FE-4295-8DA4-B55D6E2254DC}" name="PAY or X" dataDxfId="138"/>
    <tableColumn id="2" xr3:uid="{62B87E63-D13E-4809-9430-AD0BD0133DF2}" name="PROBABILITY or P(X)" dataDxfId="137">
      <calculatedColumnFormula>D31</calculatedColumnFormula>
    </tableColumn>
    <tableColumn id="3" xr3:uid="{066E58ED-F24E-43C6-8B2B-5813211755C7}" name="(X-µ)^2.P(X)" dataDxfId="136">
      <calculatedColumnFormula>($J$17-I2)^2*J2</calculatedColumnFormula>
    </tableColumn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2E4D139-CA7A-4629-B53E-67D6F69BA8E0}" name="Table26" displayName="Table26" ref="A25:F29" totalsRowShown="0" headerRowDxfId="135" dataDxfId="134">
  <autoFilter ref="A25:F29" xr:uid="{3044BC67-A796-43E2-B251-FF6188CD0D8B}"/>
  <tableColumns count="6">
    <tableColumn id="1" xr3:uid="{03BFB5D2-B87F-4088-9349-F815AF44FD0E}" name="HIT NUMBER" dataDxfId="133"/>
    <tableColumn id="2" xr3:uid="{33E9430E-DC41-481F-ADB3-E26FD89E8825}" name="PAY" dataDxfId="132"/>
    <tableColumn id="3" xr3:uid="{71F915E4-1D36-435B-91E0-7688DB365EBA}" name="MULTIPLIED PAY" dataDxfId="131">
      <calculatedColumnFormula>B26*$B$23</calculatedColumnFormula>
    </tableColumn>
    <tableColumn id="4" xr3:uid="{82E78521-2EFE-436C-B239-BA60FC73D36E}" name="PROBABILITY" dataDxfId="130">
      <calculatedColumnFormula>_xlfn.HYPGEOM.DIST($B$22,$B$21,$B$2,$B$1-$B$5,0)*C11</calculatedColumnFormula>
    </tableColumn>
    <tableColumn id="5" xr3:uid="{9FA84844-031E-4C93-8E49-41F9531D14C7}" name="WINNING FLAG" dataDxfId="129"/>
    <tableColumn id="6" xr3:uid="{CF7F1EAB-BCAF-4AD7-9CF7-10DCC3674D3D}" name="FREQUENCY" dataDxfId="128">
      <calculatedColumnFormula>D26*E26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41C6C7-B593-47C1-AF2C-4FDBA87341CE}" name="Table4" displayName="Table4" ref="A7:E10" totalsRowShown="0" headerRowDxfId="243" dataDxfId="242">
  <autoFilter ref="A7:E10" xr:uid="{A686BA07-A6C1-4980-B69C-87D529F71925}"/>
  <tableColumns count="5">
    <tableColumn id="1" xr3:uid="{233B2D48-F7C2-41B0-9EBD-431411DE3D10}" name="HIT" dataDxfId="241"/>
    <tableColumn id="2" xr3:uid="{0CEAB413-8D99-4F02-A0E0-76A62ADFC30A}" name="PAY" dataDxfId="240"/>
    <tableColumn id="3" xr3:uid="{C46A857F-629A-4422-B30C-5FA0392CFF0A}" name="PROBABILITY">
      <calculatedColumnFormula>_xlfn.HYPGEOM.DIST(A8,$B$2,$B$5,$B$1,0)</calculatedColumnFormula>
    </tableColumn>
    <tableColumn id="4" xr3:uid="{DF80C727-7514-4A4C-AD0C-BF013FE8001C}" name="WINNING FLAG" dataDxfId="239">
      <calculatedColumnFormula>IF(Table4[[#This Row],[PAY]]=0,0,1)</calculatedColumnFormula>
    </tableColumn>
    <tableColumn id="5" xr3:uid="{70AC2E56-0F67-4C8C-9C63-4B4208197981}" name="FREQUENCY">
      <calculatedColumnFormula>C8*D8</calculatedColumnFormula>
    </tableColumn>
  </tableColumns>
  <tableStyleInfo name="TableStyleLight14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48A98291-8B5D-4FED-AD86-65398BE8E9A5}" name="Table27" displayName="Table27" ref="A39:F43" totalsRowShown="0" headerRowDxfId="127" dataDxfId="126">
  <autoFilter ref="A39:F43" xr:uid="{354BE2E6-4FDC-4D29-9769-9B0DB4891381}"/>
  <tableColumns count="6">
    <tableColumn id="1" xr3:uid="{13D22979-5B5D-4FA3-8786-3686C35CD9F3}" name="HIT NUMBER" dataDxfId="125"/>
    <tableColumn id="2" xr3:uid="{90BFB9D2-B220-439E-93FF-AC7BE2CFDED8}" name="PAY" dataDxfId="124"/>
    <tableColumn id="3" xr3:uid="{5931053B-84B7-47E2-9B05-9CC902CC343F}" name="MULTIPLIED PAY" dataDxfId="123">
      <calculatedColumnFormula>B40*$B$37</calculatedColumnFormula>
    </tableColumn>
    <tableColumn id="4" xr3:uid="{F4619331-DDE2-4809-8415-D1F5657C5863}" name="PROBABILITY" dataDxfId="122">
      <calculatedColumnFormula>_xlfn.HYPGEOM.DIST($B$36,$B$35,$B$2,$B$1-$B$5,0)*C11</calculatedColumnFormula>
    </tableColumn>
    <tableColumn id="5" xr3:uid="{09123B08-3A37-4213-97C0-7E4684CACA46}" name="WINNING FLAG" dataDxfId="121"/>
    <tableColumn id="6" xr3:uid="{11B745F2-233B-4746-AE3B-770167C45C83}" name="FREQUENCY" dataDxfId="120">
      <calculatedColumnFormula>D40*E40</calculatedColumnFormula>
    </tableColumn>
  </tableColumns>
  <tableStyleInfo name="TableStyleLight10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0464C0C-E845-4182-9F92-B13970AAA112}" name="Table24789" displayName="Table24789" ref="A7:E15" totalsRowShown="0" headerRowDxfId="119" dataDxfId="118">
  <autoFilter ref="A7:E15" xr:uid="{760A0C79-EADF-41F9-8CB7-37DDE70E7946}"/>
  <tableColumns count="5">
    <tableColumn id="1" xr3:uid="{2D7E91F5-014B-4996-940B-DD502A45905E}" name="HIT" dataDxfId="117"/>
    <tableColumn id="2" xr3:uid="{12975796-9B2E-46EF-91CB-D45019015947}" name="PAY" dataDxfId="116"/>
    <tableColumn id="3" xr3:uid="{5F122016-5C07-4A6C-831C-F7AC6919FE76}" name="PROBABILITY" dataDxfId="115">
      <calculatedColumnFormula>_xlfn.HYPGEOM.DIST(A8,$B$5,$B$2,$B$1,0)</calculatedColumnFormula>
    </tableColumn>
    <tableColumn id="4" xr3:uid="{253BD065-F5BD-4545-BB62-0717022352FF}" name="WINNING FLAG" dataDxfId="114">
      <calculatedColumnFormula>IF(Table24789[[#This Row],[PAY]]=0,0,1)</calculatedColumnFormula>
    </tableColumn>
    <tableColumn id="5" xr3:uid="{57294A93-7D2A-45D6-8131-5F7556EC77D5}" name="HIT FREQUENCY" dataDxfId="113">
      <calculatedColumnFormula>C8*D8</calculatedColumnFormula>
    </tableColumn>
  </tableColumns>
  <tableStyleInfo name="TableStyleLight14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82F4E79-C01F-4876-996F-46DFDEE09C9B}" name="Table17" displayName="Table17" ref="H1:J17" totalsRowShown="0" headerRowDxfId="112" dataDxfId="111">
  <autoFilter ref="H1:J17" xr:uid="{867F6DD2-7BCD-44E8-B448-CBDE797096BB}"/>
  <tableColumns count="3">
    <tableColumn id="1" xr3:uid="{CD19E6DD-26CB-41B5-8665-D5F968F47695}" name="PAY or X" dataDxfId="110"/>
    <tableColumn id="2" xr3:uid="{8A7EFAE8-B479-4CDE-9057-9D55199F60C1}" name="PROBABILITY or P(X)" dataDxfId="109">
      <calculatedColumnFormula>D32</calculatedColumnFormula>
    </tableColumn>
    <tableColumn id="3" xr3:uid="{FFE6F63B-3CA3-463B-B0F3-A32E0FA239AA}" name="(X-µ)^2.P(X)" dataDxfId="108">
      <calculatedColumnFormula>($I$20-H2)^2*I2</calculatedColumnFormula>
    </tableColumn>
  </tableColumns>
  <tableStyleInfo name="TableStyleLight8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4D5CE5F-D416-4F94-842A-467FB5BD3AAE}" name="Table28" displayName="Table28" ref="A26:F31" totalsRowShown="0" headerRowDxfId="107" dataDxfId="106">
  <autoFilter ref="A26:F31" xr:uid="{5F103720-FE84-42BE-A759-FDE24F576FD5}"/>
  <tableColumns count="6">
    <tableColumn id="1" xr3:uid="{C172FCD1-70A4-4B48-AB99-F889535CDB75}" name="HIT NUMBER" dataDxfId="105"/>
    <tableColumn id="2" xr3:uid="{1AD5F301-BCAD-44CF-B96E-8E8EACCD812C}" name="PAY" dataDxfId="104"/>
    <tableColumn id="3" xr3:uid="{D8D9FF79-395D-4D4E-8263-01307CE67EE5}" name="MULTIPLIED PAY" dataDxfId="103">
      <calculatedColumnFormula>B27*$B$24</calculatedColumnFormula>
    </tableColumn>
    <tableColumn id="4" xr3:uid="{689BC834-018B-4B23-BC91-762861C12C6F}" name="PROBABILITY" dataDxfId="102">
      <calculatedColumnFormula>_xlfn.HYPGEOM.DIST($B$23,$B$22,$B$2,$B$1-$B$5,0)*C11</calculatedColumnFormula>
    </tableColumn>
    <tableColumn id="5" xr3:uid="{1B36C93A-EA69-4DFC-A644-38A166E08F3E}" name="WINNING FLAG" dataDxfId="101">
      <calculatedColumnFormula>1</calculatedColumnFormula>
    </tableColumn>
    <tableColumn id="6" xr3:uid="{338B38B5-34ED-4AC7-800F-FFCC77370EF0}" name="WIN FREQUENCY" dataDxfId="100">
      <calculatedColumnFormula>D27*E27</calculatedColumnFormula>
    </tableColumn>
  </tableColumns>
  <tableStyleInfo name="TableStyleLight10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4B321B6A-7940-4327-9B07-030AB1F4F5DD}" name="Table29" displayName="Table29" ref="A42:F47" totalsRowShown="0" headerRowDxfId="99" dataDxfId="98">
  <autoFilter ref="A42:F47" xr:uid="{5330CF3B-494D-4E05-B6F3-EFE1A0D1DD25}"/>
  <tableColumns count="6">
    <tableColumn id="1" xr3:uid="{15A944F2-F4F9-4BA3-99AE-1C313DD6523F}" name="HIT NUMBER" dataDxfId="97"/>
    <tableColumn id="2" xr3:uid="{1E7707C5-DCF0-4A6A-8B7D-9CA23D446B75}" name="PAY" dataDxfId="96"/>
    <tableColumn id="3" xr3:uid="{DAFB8027-1F6A-4D82-A462-11FF01DA9171}" name="MULTIPLIED PAY" dataDxfId="95">
      <calculatedColumnFormula>B43*$B$40</calculatedColumnFormula>
    </tableColumn>
    <tableColumn id="4" xr3:uid="{66227530-3F15-4B21-A621-4F341ACB17A0}" name="PROBABILITY" dataDxfId="94">
      <calculatedColumnFormula>_xlfn.HYPGEOM.DIST($B$39,$B$38,$B$2,$B$1-$B$5,0)*C11</calculatedColumnFormula>
    </tableColumn>
    <tableColumn id="5" xr3:uid="{9C171545-F6C6-445E-A08F-7E289E347C4C}" name="WINNING FLAG" dataDxfId="93">
      <calculatedColumnFormula>1</calculatedColumnFormula>
    </tableColumn>
    <tableColumn id="6" xr3:uid="{5C567138-1776-41BD-B4F5-B2F5117D37ED}" name="WIN FREQUENCY" dataDxfId="92">
      <calculatedColumnFormula>D43*E43</calculatedColumnFormula>
    </tableColumn>
  </tableColumns>
  <tableStyleInfo name="TableStyleLight10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867FC2E-7F3D-42BC-A7E5-F13ACB86C668}" name="Table2478910" displayName="Table2478910" ref="A7:E16" totalsRowShown="0" headerRowDxfId="91" dataDxfId="90">
  <autoFilter ref="A7:E16" xr:uid="{E17CFAA1-E1EC-4BB2-AAD1-C8262B4E8054}"/>
  <tableColumns count="5">
    <tableColumn id="1" xr3:uid="{A222E8EE-6D39-43C2-A78D-79227A30D7AA}" name="HIT" dataDxfId="89"/>
    <tableColumn id="2" xr3:uid="{F30007F9-3568-405A-94C9-0F5F3A8DD0C9}" name="PAY" dataDxfId="88"/>
    <tableColumn id="3" xr3:uid="{59BB5769-50CB-4E49-8EA3-3575AAB66AF4}" name="PROBABILITY" dataDxfId="87">
      <calculatedColumnFormula>_xlfn.HYPGEOM.DIST(A8,$B$5,$B$2,$B$1,0)</calculatedColumnFormula>
    </tableColumn>
    <tableColumn id="4" xr3:uid="{C82AD2ED-6617-4D94-AADE-817AA70A9078}" name="WINNING FLAG" dataDxfId="86">
      <calculatedColumnFormula>IF(Table2478910[[#This Row],[PAY]]=0,0,1)</calculatedColumnFormula>
    </tableColumn>
    <tableColumn id="5" xr3:uid="{3701C3B3-B3E8-484C-B124-47DE3C77C7BF}" name="HIT FREQUENCY" dataDxfId="85">
      <calculatedColumnFormula>C8*D8</calculatedColumnFormula>
    </tableColumn>
  </tableColumns>
  <tableStyleInfo name="TableStyleLight14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E69F720-CFEB-4F6B-A79B-FABCD29B861E}" name="Table16" displayName="Table16" ref="H1:J20" totalsRowShown="0" headerRowDxfId="84" dataDxfId="83">
  <autoFilter ref="H1:J20" xr:uid="{18CDA2CB-D78E-4E95-9DA8-E8427477836B}"/>
  <tableColumns count="3">
    <tableColumn id="1" xr3:uid="{583B113D-D66C-4B46-B975-4E2DF4B76A15}" name="PAY or X" dataDxfId="82"/>
    <tableColumn id="2" xr3:uid="{345742E8-332F-4445-B092-7189FA41C7A1}" name="PROBABILITY or P(X)" dataDxfId="81">
      <calculatedColumnFormula>D32</calculatedColumnFormula>
    </tableColumn>
    <tableColumn id="3" xr3:uid="{914ABA65-CBBB-413D-882E-C3D75B7F2848}" name="(X-µ)^2.P(X)" dataDxfId="80">
      <calculatedColumnFormula>($I$23-H2)^2*I2</calculatedColumnFormula>
    </tableColumn>
  </tableColumns>
  <tableStyleInfo name="TableStyleLight8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D6CA5A3-DA94-496E-84D8-9C8F4D8EDB4B}" name="Table30" displayName="Table30" ref="A27:F33" totalsRowShown="0" headerRowDxfId="79" dataDxfId="78">
  <autoFilter ref="A27:F33" xr:uid="{046060B0-683A-4A9B-9B13-95B53A04580C}"/>
  <tableColumns count="6">
    <tableColumn id="1" xr3:uid="{33C8B2C3-F509-4BFD-BF7E-37B48174600F}" name="HIT NUMBER" dataDxfId="77"/>
    <tableColumn id="2" xr3:uid="{E54582A7-6DA3-48DC-8912-4F992C6E6306}" name="PAY" dataDxfId="76"/>
    <tableColumn id="3" xr3:uid="{E7EBC95C-357B-4694-8740-04F69F46CBDC}" name="MULTILPLIED PAY" dataDxfId="75">
      <calculatedColumnFormula>B28*$B$25</calculatedColumnFormula>
    </tableColumn>
    <tableColumn id="4" xr3:uid="{B863A00D-BABD-47AA-AA6A-D44F6E96C02E}" name="PROBABILITY" dataDxfId="74">
      <calculatedColumnFormula>_xlfn.HYPGEOM.DIST($B$24,$B$23,$B$2,$B$1-$B$5,0)*C11</calculatedColumnFormula>
    </tableColumn>
    <tableColumn id="5" xr3:uid="{BA07CD9C-43A6-4D06-AF09-955E87BDEBE7}" name="WINNING FLAG" dataDxfId="73"/>
    <tableColumn id="6" xr3:uid="{C1936049-9682-48B9-AB6C-3B1C38A92BCF}" name="FREQUENCY" dataDxfId="72">
      <calculatedColumnFormula>D28*E28</calculatedColumnFormula>
    </tableColumn>
  </tableColumns>
  <tableStyleInfo name="TableStyleLight10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7A44BC11-D2A8-4AA9-BD5E-53D8C99DEF93}" name="Table31" displayName="Table31" ref="A44:F50" totalsRowShown="0" headerRowDxfId="71" dataDxfId="70">
  <autoFilter ref="A44:F50" xr:uid="{1A9447BB-1F88-40F5-9FAA-79E3F6AD0C7B}"/>
  <tableColumns count="6">
    <tableColumn id="1" xr3:uid="{8DE621C1-1CC6-4A2D-8D96-4C46B4142141}" name="HIT NUMBER" dataDxfId="69"/>
    <tableColumn id="2" xr3:uid="{67A666A2-53E9-4C15-AA72-BF2DE886BDF1}" name="PAY" dataDxfId="68"/>
    <tableColumn id="3" xr3:uid="{3E52924D-FEB4-4C72-AF6B-7F7CC9E5CEFF}" name="MULTILPLIED PAY" dataDxfId="67">
      <calculatedColumnFormula>B45*$B$42</calculatedColumnFormula>
    </tableColumn>
    <tableColumn id="4" xr3:uid="{C6F402F4-7040-4482-83A4-67C1425092DA}" name="PROBABILITY" dataDxfId="66">
      <calculatedColumnFormula>_xlfn.HYPGEOM.DIST($B$41,$B$40,$B$2,$B$1-$B$5,0)*C11</calculatedColumnFormula>
    </tableColumn>
    <tableColumn id="5" xr3:uid="{DA42C292-FE14-4600-AC18-59FACDB0D706}" name="WINNING FLAG" dataDxfId="65"/>
    <tableColumn id="6" xr3:uid="{6F11E9F8-3EB1-4C25-AC4A-5FB5998DB60B}" name="FREQUENCY" dataDxfId="64">
      <calculatedColumnFormula>D45*E45</calculatedColumnFormula>
    </tableColumn>
  </tableColumns>
  <tableStyleInfo name="TableStyleLight10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B8AB0B7-53F4-471B-82EB-5C2BE62E9D9D}" name="Table247891011" displayName="Table247891011" ref="A7:E17" totalsRowShown="0" headerRowDxfId="63" dataDxfId="62">
  <autoFilter ref="A7:E17" xr:uid="{31544E65-9652-43F6-91F9-551BBAA52E98}"/>
  <tableColumns count="5">
    <tableColumn id="1" xr3:uid="{C944EA9A-78FB-418B-87C7-BD1673896EEF}" name="HIT" dataDxfId="61"/>
    <tableColumn id="2" xr3:uid="{619AF1BD-4FA4-4C0F-B635-94DB3F058513}" name="PAY" dataDxfId="60"/>
    <tableColumn id="3" xr3:uid="{D06C7B93-92AA-44E8-A061-A22CDD9521B3}" name="PROBABILITY" dataDxfId="59">
      <calculatedColumnFormula>_xlfn.HYPGEOM.DIST(A8,$B$5,$B$2,$B$1,0)</calculatedColumnFormula>
    </tableColumn>
    <tableColumn id="4" xr3:uid="{E5BBD899-767A-4D72-86FD-4E2D21D2838E}" name="WINNING FLAG" dataDxfId="58">
      <calculatedColumnFormula>IF(Table247891011[[#This Row],[PAY]]=0,0,1)</calculatedColumnFormula>
    </tableColumn>
    <tableColumn id="5" xr3:uid="{A9DCEED9-6EA4-4D15-8450-E3AD34CF61C0}" name="HIT FREQUENCY" dataDxfId="57">
      <calculatedColumnFormula>C8*D8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464A31-5605-4ABD-9D45-E67FD65A5D0F}" name="Table5" displayName="Table5" ref="A27:F28" totalsRowShown="0" headerRowDxfId="238" dataDxfId="237">
  <autoFilter ref="A27:F28" xr:uid="{C7AC06C9-63EA-4B61-9261-D2890E6529A0}"/>
  <tableColumns count="6">
    <tableColumn id="1" xr3:uid="{A041E932-3EA3-4342-9AB5-D561D2D0B388}" name="HIT NUMBER" dataDxfId="236"/>
    <tableColumn id="2" xr3:uid="{F53C46F8-2EDB-47BE-80B9-A62FAD8ACB32}" name="PAY" dataDxfId="235"/>
    <tableColumn id="3" xr3:uid="{504D6FA5-2290-4346-A120-4BD832B454F9}" name="MULTIPLIED PAY" dataDxfId="234">
      <calculatedColumnFormula>B28*$B$25</calculatedColumnFormula>
    </tableColumn>
    <tableColumn id="4" xr3:uid="{740EECED-C645-48C8-BE8E-0FBD2FF58398}" name="PROBABILITY" dataDxfId="233">
      <calculatedColumnFormula>_xlfn.HYPGEOM.DIST($B$24,$B$3,$B$2,$B$1-$B$3,0)*C10</calculatedColumnFormula>
    </tableColumn>
    <tableColumn id="5" xr3:uid="{2763F775-5355-4E53-97FE-D2DD6880F8A5}" name="WIN" dataDxfId="232"/>
    <tableColumn id="6" xr3:uid="{A913CB0D-7EB5-4763-8AE8-F0B14F91CE9F}" name="FREQUENCY" dataDxfId="231">
      <calculatedColumnFormula>D28*E28</calculatedColumnFormula>
    </tableColumn>
  </tableColumns>
  <tableStyleInfo name="TableStyleLight10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D1758D2-123C-4A3C-BADF-D58D0BE5089C}" name="Table15" displayName="Table15" ref="G1:I20" totalsRowShown="0" headerRowDxfId="56" dataDxfId="55">
  <autoFilter ref="G1:I20" xr:uid="{11DF5B4A-E59A-417F-9293-DB209E0DDA0C}"/>
  <tableColumns count="3">
    <tableColumn id="1" xr3:uid="{BCB4C042-1321-46AE-AB04-C934CE74CC94}" name="MEAN (µ)" dataDxfId="54"/>
    <tableColumn id="2" xr3:uid="{D97A1C58-28F7-4E46-8943-79D7C9060480}" name="PROBABILITY or P(X)" dataDxfId="53">
      <calculatedColumnFormula>D33</calculatedColumnFormula>
    </tableColumn>
    <tableColumn id="3" xr3:uid="{DF3282BD-EE49-447B-BB26-4E68B9B6E10A}" name="(X-µ)^2.P(X)" dataDxfId="52">
      <calculatedColumnFormula>($I$22-G2)^2*H2</calculatedColumnFormula>
    </tableColumn>
  </tableColumns>
  <tableStyleInfo name="TableStyleLight8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FE53ABB-0E5A-4BF0-944E-2777531B281E}" name="Table32" displayName="Table32" ref="A45:F51" totalsRowShown="0" headerRowDxfId="51" dataDxfId="50">
  <autoFilter ref="A45:F51" xr:uid="{CF69E465-656D-47AB-9F31-890A38F30882}"/>
  <tableColumns count="6">
    <tableColumn id="1" xr3:uid="{450D920E-FFFC-49B2-A716-506219B46773}" name="HIT NUMBER" dataDxfId="49"/>
    <tableColumn id="2" xr3:uid="{DA0AD4FC-854B-4BAD-8946-01AC538F0B28}" name="PAY" dataDxfId="48"/>
    <tableColumn id="3" xr3:uid="{79FD0BCC-0D23-4780-AE49-6188AD158E9D}" name="MULTIPLIED PAY" dataDxfId="47">
      <calculatedColumnFormula>B46*$B$43</calculatedColumnFormula>
    </tableColumn>
    <tableColumn id="4" xr3:uid="{929DE4F5-ED7D-4FBF-8A2D-E8D696921472}" name="PROBABILITY" dataDxfId="46">
      <calculatedColumnFormula>_xlfn.HYPGEOM.DIST($B$42,$B$41,$B$2,$B$1-$B$5,0)*C12</calculatedColumnFormula>
    </tableColumn>
    <tableColumn id="5" xr3:uid="{5513D504-9689-4550-9DDB-D3F990808478}" name="WINNING FLAG" dataDxfId="45"/>
    <tableColumn id="6" xr3:uid="{7535DF9D-05BB-4B1C-AD3C-E4DFEC19E0C2}" name="FREQUENCY" dataDxfId="44">
      <calculatedColumnFormula>D46*E46</calculatedColumnFormula>
    </tableColumn>
  </tableColumns>
  <tableStyleInfo name="TableStyleLight10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D66D38F-169C-436C-9D1D-4CBACD3BF1A3}" name="Table33" displayName="Table33" ref="A28:F34" totalsRowShown="0" headerRowDxfId="43" dataDxfId="42">
  <autoFilter ref="A28:F34" xr:uid="{EF3FD2FA-FDC9-4050-A570-9E8ECBCE54F3}"/>
  <tableColumns count="6">
    <tableColumn id="1" xr3:uid="{2F531517-1A94-4C8C-B17F-F9C6EB84B81D}" name="HIT NUMBER" dataDxfId="41"/>
    <tableColumn id="2" xr3:uid="{65FD86C8-86ED-409A-9619-2A0670D19E6E}" name="PAY" dataDxfId="40"/>
    <tableColumn id="3" xr3:uid="{6CC43B79-F6E5-4640-91D7-AFA695098BCE}" name="MULTIPLIED PAY" dataDxfId="39">
      <calculatedColumnFormula>B29*$B$26</calculatedColumnFormula>
    </tableColumn>
    <tableColumn id="4" xr3:uid="{9E8D795E-3997-491E-BEE6-A1E452E02649}" name="PROBABILITY" dataDxfId="38">
      <calculatedColumnFormula>_xlfn.HYPGEOM.DIST($B$25,$B$24,$B$2,$B$1-$B$5,0)*C12</calculatedColumnFormula>
    </tableColumn>
    <tableColumn id="5" xr3:uid="{F98118AE-2534-4DF4-B419-AC73D1623041}" name="WINNING FLAG" dataDxfId="37"/>
    <tableColumn id="6" xr3:uid="{BA36954C-25FC-4BDA-A0BC-3EA57545C0C9}" name="FREQUENCY" dataDxfId="36">
      <calculatedColumnFormula>D29*E29</calculatedColumnFormula>
    </tableColumn>
  </tableColumns>
  <tableStyleInfo name="TableStyleLight10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DB885B4-045B-4AD2-B9B4-6AE7327316FF}" name="Table24789101112" displayName="Table24789101112" ref="A7:E18" totalsRowShown="0" headerRowDxfId="35" dataDxfId="34">
  <autoFilter ref="A7:E18" xr:uid="{9889BCBA-4183-4D0F-89F6-A11DAB448FC5}"/>
  <tableColumns count="5">
    <tableColumn id="1" xr3:uid="{AB33857E-09B1-4D18-8899-B7CEF69947E2}" name="HIT" dataDxfId="33"/>
    <tableColumn id="2" xr3:uid="{6EE38B46-A85B-4AAE-97AD-1A74CEEE5C38}" name="PAY" dataDxfId="32"/>
    <tableColumn id="3" xr3:uid="{ACB7AEE4-E71E-455F-A263-87404C45C799}" name="PROBABILITY" dataDxfId="31">
      <calculatedColumnFormula>_xlfn.HYPGEOM.DIST(A8,$B$5,$B$2,$B$1,0)</calculatedColumnFormula>
    </tableColumn>
    <tableColumn id="4" xr3:uid="{08F58EB7-A18F-4351-AE77-C9482DE6FD84}" name="WINNING FLAG" dataDxfId="30">
      <calculatedColumnFormula>IF(Table24789101112[[#This Row],[PAY]]=0,0,1)</calculatedColumnFormula>
    </tableColumn>
    <tableColumn id="5" xr3:uid="{973649B3-1E34-41B8-97A2-729F12F37C4E}" name="HIT FREQUENCY" dataDxfId="29">
      <calculatedColumnFormula>C8*D8</calculatedColumnFormula>
    </tableColumn>
  </tableColumns>
  <tableStyleInfo name="TableStyleLight14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E8C8D08-80AB-477E-AB91-E2C53DEC73E2}" name="Table14" displayName="Table14" ref="H1:J23" totalsRowShown="0" headerRowDxfId="28" dataDxfId="27">
  <autoFilter ref="H1:J23" xr:uid="{7C0705EE-DE32-4A86-B739-0A80FA26C660}"/>
  <tableColumns count="3">
    <tableColumn id="1" xr3:uid="{42EAE645-C226-4EAF-81AA-0652C5259F23}" name="PAY or X" dataDxfId="26"/>
    <tableColumn id="2" xr3:uid="{F4CB8FE8-FD0D-4A40-83DA-FA56785D81EB}" name="PROBABILITY or P(X)" dataDxfId="25">
      <calculatedColumnFormula>D33</calculatedColumnFormula>
    </tableColumn>
    <tableColumn id="3" xr3:uid="{04DA4E28-0236-4C69-A0D0-96E0D578E617}" name="(X-µ)^2.P(X)" dataDxfId="24">
      <calculatedColumnFormula>($J$25-H2)^2*I2</calculatedColumnFormula>
    </tableColumn>
  </tableColumns>
  <tableStyleInfo name="TableStyleLight8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4ADC457-0D0C-42CC-B33E-6BD02BAD4894}" name="Table34" displayName="Table34" ref="A47:F54" totalsRowShown="0" headerRowDxfId="23" dataDxfId="22">
  <autoFilter ref="A47:F54" xr:uid="{8CF3A753-65BB-45AB-B91F-28D7A360D7BD}"/>
  <tableColumns count="6">
    <tableColumn id="1" xr3:uid="{872D4F8F-97A2-49A8-887A-68DAE47D08D3}" name="HIT NUMBER" dataDxfId="21"/>
    <tableColumn id="2" xr3:uid="{2E844813-0645-4697-AC48-DBAE6D4669DB}" name="PAY" dataDxfId="20"/>
    <tableColumn id="3" xr3:uid="{A78F3728-1709-43B0-A042-FB660B89226C}" name="MULTIPLIED PAY" dataDxfId="19">
      <calculatedColumnFormula>B48*$B$45</calculatedColumnFormula>
    </tableColumn>
    <tableColumn id="4" xr3:uid="{CEF6B75C-C749-4122-A9CC-75437A220A4D}" name="PROBABILITY" dataDxfId="18">
      <calculatedColumnFormula>_xlfn.HYPGEOM.DIST($B$44,$B$43,$B$2,$B$1-$B$5,0)*C12</calculatedColumnFormula>
    </tableColumn>
    <tableColumn id="5" xr3:uid="{B73F3294-893B-434F-A0CB-F99EAD064D6D}" name="WINNING FLAG" dataDxfId="17"/>
    <tableColumn id="6" xr3:uid="{2635EEE9-12DB-49B7-B5BB-4FF29ABF1B88}" name="WIN FREQUENCY" dataDxfId="16">
      <calculatedColumnFormula>D48*E48</calculatedColumnFormula>
    </tableColumn>
  </tableColumns>
  <tableStyleInfo name="TableStyleLight10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8C0A375-D1CB-4605-85AD-3BBE51A129DD}" name="Table36" displayName="Table36" ref="A29:F36" totalsRowShown="0" headerRowDxfId="8" dataDxfId="9">
  <autoFilter ref="A29:F36" xr:uid="{700894DC-E601-4F7A-9375-D853195CB93B}"/>
  <tableColumns count="6">
    <tableColumn id="1" xr3:uid="{C50F2B2C-AD3B-4204-A8FC-501D5F5FEEEF}" name="HIT NUMBER" dataDxfId="15"/>
    <tableColumn id="2" xr3:uid="{95DEEDDF-7C9A-476B-97BE-F7D13570D8F4}" name="PAY" dataDxfId="14"/>
    <tableColumn id="3" xr3:uid="{70CAF369-216E-446A-A2E8-DCF0B4E79A3F}" name="MULTIPLIED PAY" dataDxfId="13">
      <calculatedColumnFormula>B30*$B$27</calculatedColumnFormula>
    </tableColumn>
    <tableColumn id="4" xr3:uid="{F6FBD1A5-73CF-4664-8818-2F9453A66FCB}" name="PROBABILITY" dataDxfId="12">
      <calculatedColumnFormula>_xlfn.HYPGEOM.DIST($B$26,$B$25,$B$2,$B$1-$B$5,0)*C12</calculatedColumnFormula>
    </tableColumn>
    <tableColumn id="5" xr3:uid="{86AAB177-AA9B-4366-B7B3-1061BDA50F16}" name="WINNING FLAG" dataDxfId="11"/>
    <tableColumn id="6" xr3:uid="{67710669-FA0D-475B-ADB7-96E7C1910645}" name="WIN FREQUENCY" dataDxfId="10">
      <calculatedColumnFormula>D30*E30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EB8D346E-530D-4539-8467-845290873AA3}" name="Table37" displayName="Table37" ref="G1:I5" totalsRowShown="0" headerRowDxfId="0" headerRowBorderDxfId="5" tableBorderDxfId="6" totalsRowBorderDxfId="4">
  <autoFilter ref="G1:I5" xr:uid="{4B1A383A-6926-4443-AE11-C1A13838FBEE}"/>
  <tableColumns count="3">
    <tableColumn id="1" xr3:uid="{60C206BA-20A1-4174-97EB-D62B79304E57}" name="PAY or X" dataDxfId="3"/>
    <tableColumn id="2" xr3:uid="{D07E5F37-AB15-4613-A348-9F682A6FE285}" name="PROBABILITY or P(X)" dataDxfId="2"/>
    <tableColumn id="3" xr3:uid="{69EFA1C9-442A-4DAD-BD7C-5834CF48199E}" name="(X-µ)^2.P(X)" dataDxfId="1">
      <calculatedColumnFormula>($I$13-G2)^2*H2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B9173C-3DD9-41F7-9528-BC88FF1EC89D}" name="Table2" displayName="Table2" ref="A7:E11" totalsRowShown="0" headerRowDxfId="230" dataDxfId="229">
  <autoFilter ref="A7:E11" xr:uid="{7B811B4C-7D46-491E-BA90-AFA2749F86D6}"/>
  <tableColumns count="5">
    <tableColumn id="1" xr3:uid="{E812445B-7293-45E9-938E-037D39CD36B0}" name="HIT" dataDxfId="228"/>
    <tableColumn id="2" xr3:uid="{56D0FB33-B9DE-4B93-ABD0-5E9B1B053C9A}" name="PAY" dataDxfId="227"/>
    <tableColumn id="3" xr3:uid="{0F695F88-2A5C-41B9-9501-0493BF62DE5A}" name="PROBABILITY" dataDxfId="226">
      <calculatedColumnFormula>_xlfn.HYPGEOM.DIST(A8,$B$5,$B$2,$B$1,0)</calculatedColumnFormula>
    </tableColumn>
    <tableColumn id="4" xr3:uid="{5AE05615-AD34-4A4C-8694-45C08E0B610D}" name="WINNING FLAG" dataDxfId="225">
      <calculatedColumnFormula>IF(Table2[[#This Row],[PAY]]=0, 0,1)</calculatedColumnFormula>
    </tableColumn>
    <tableColumn id="5" xr3:uid="{9AC80AE9-05B2-4EDE-9D7F-5ADF85E602BF}" name="HIT FREQUENCY" dataDxfId="224">
      <calculatedColumnFormula>C8*D8</calculatedColumnFormula>
    </tableColumn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2D991F5-419A-4C59-BDE1-8554A2A4898E}" name="Table12" displayName="Table12" ref="A21:F23" totalsRowShown="0" headerRowDxfId="223" dataDxfId="222">
  <autoFilter ref="A21:F23" xr:uid="{DCB88178-D6F3-44F5-93B1-DCDDF01373A6}"/>
  <tableColumns count="6">
    <tableColumn id="1" xr3:uid="{8CFD9D2F-1464-43EB-9500-94CDB80851D2}" name="HIT NUMBER" dataDxfId="221"/>
    <tableColumn id="2" xr3:uid="{04956F31-BB02-4180-A68A-B225BA5F4619}" name="PAY" dataDxfId="220"/>
    <tableColumn id="3" xr3:uid="{2101E0BD-02C1-4C1D-980F-46E125D39C29}" name="MULTIPLIED PAY" dataDxfId="219">
      <calculatedColumnFormula>B22*$B$19</calculatedColumnFormula>
    </tableColumn>
    <tableColumn id="4" xr3:uid="{F112BEAD-3459-41BB-B4A0-5ACD0671B612}" name="PROBABILITY" dataDxfId="218">
      <calculatedColumnFormula>_xlfn.HYPGEOM.DIST($B$18,$B$17,$B$2,$B$1-$B$5,0)*C10</calculatedColumnFormula>
    </tableColumn>
    <tableColumn id="5" xr3:uid="{A5242B90-9EA4-4AFE-BEC1-40A253F131FD}" name="WINNING FLAG" dataDxfId="217"/>
    <tableColumn id="6" xr3:uid="{1CEFC9A1-EB22-4FCD-B9D4-7253471D2F68}" name="WINNING FREQUENCY" dataDxfId="216">
      <calculatedColumnFormula>D22*E22</calculatedColumnFormula>
    </tableColumn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A582CB5-11B4-49DA-8D80-396A4F26BEAC}" name="Table13" displayName="Table13" ref="G2:I9" totalsRowShown="0" headerRowDxfId="215" dataDxfId="214">
  <autoFilter ref="G2:I9" xr:uid="{F373E3B5-76FF-4FE5-A366-E0A14D576CF6}"/>
  <tableColumns count="3">
    <tableColumn id="1" xr3:uid="{4E1BF723-B7FD-4B43-A01B-8D5F93485B4A}" name="PAY or X" dataDxfId="213"/>
    <tableColumn id="2" xr3:uid="{0E361B6B-ECA6-4941-8C1C-769C56D27001}" name="PROBABILITY or P(X)" dataDxfId="212"/>
    <tableColumn id="3" xr3:uid="{6B534FE9-FC6F-470F-8559-1143F3BEC788}" name="(X-µ)^2.P(X)" dataDxfId="211">
      <calculatedColumnFormula>($H$12-G3)^2*H3</calculatedColumnFormula>
    </tableColumn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B404A06D-B149-4397-A21F-9DD7BB7A8C9F}" name="Table35" displayName="Table35" ref="A33:F35" totalsRowShown="0" headerRowDxfId="210" dataDxfId="209">
  <autoFilter ref="A33:F35" xr:uid="{00F81356-AF37-492B-A245-F1CEBBFC9F17}"/>
  <tableColumns count="6">
    <tableColumn id="1" xr3:uid="{DAB76E59-CB68-4435-88E7-72B0B10F61C4}" name="HIT NUMBER" dataDxfId="208"/>
    <tableColumn id="2" xr3:uid="{A182786A-7789-49B1-B00D-21D7E7A2DABB}" name="PAY" dataDxfId="207"/>
    <tableColumn id="3" xr3:uid="{7A07F347-48D5-4CB2-8B7B-74C95376D77F}" name="MULTIPLIED PAY" dataDxfId="206">
      <calculatedColumnFormula>$B$31*B34</calculatedColumnFormula>
    </tableColumn>
    <tableColumn id="4" xr3:uid="{8FA25A31-F6F5-4539-A0FB-27C76CA2C8A4}" name="PROBABILITY" dataDxfId="205">
      <calculatedColumnFormula>_xlfn.HYPGEOM.DIST($B$30,$B$29,$B$2,$B$1-$B$5,0)*C10</calculatedColumnFormula>
    </tableColumn>
    <tableColumn id="5" xr3:uid="{C9CF53DE-7EF8-4944-B2C2-3552794685C4}" name="WINNING FLAG" dataDxfId="204"/>
    <tableColumn id="6" xr3:uid="{64C8CB08-9822-4154-9EB5-5D68B6A90770}" name="WIN FREQUENCY" dataDxfId="203">
      <calculatedColumnFormula>D34*E34</calculatedColumnFormula>
    </tableColumn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ABB3B4-F225-49C3-9D33-3E68A84A8489}" name="Table24" displayName="Table24" ref="A7:E12" totalsRowShown="0" headerRowDxfId="202" dataDxfId="201">
  <autoFilter ref="A7:E12" xr:uid="{DF13E868-2641-4FD0-846A-71BF9C7D71BC}"/>
  <tableColumns count="5">
    <tableColumn id="1" xr3:uid="{11E43417-1E91-4815-B345-6B7972C6920B}" name="HIT- k" dataDxfId="200"/>
    <tableColumn id="2" xr3:uid="{D8522103-E944-4C58-8FAB-B3F5B31E1F8E}" name="PAY" dataDxfId="199"/>
    <tableColumn id="3" xr3:uid="{F620E8AD-6ADD-42D9-A195-35CAC0C461AC}" name="PROBABILITY" dataDxfId="198">
      <calculatedColumnFormula>_xlfn.HYPGEOM.DIST(A8,$B$5,$B$2,$B$1,0)</calculatedColumnFormula>
    </tableColumn>
    <tableColumn id="4" xr3:uid="{52B8161A-FE7D-4E1E-8536-3C13D0EEB450}" name="WINNING FLAG" dataDxfId="197">
      <calculatedColumnFormula>IF(Table24[[#This Row],[PAY]]=0,0,1)</calculatedColumnFormula>
    </tableColumn>
    <tableColumn id="5" xr3:uid="{FE6C4E81-C0A6-402E-B362-322943FAAEC4}" name="HIT FREQUENCY" dataDxfId="196">
      <calculatedColumnFormula>C8*D8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izardofodds.com/games/keno/appendix/2/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drawing" Target="../drawings/drawing9.xml"/><Relationship Id="rId5" Type="http://schemas.openxmlformats.org/officeDocument/2006/relationships/table" Target="../tables/table36.xml"/><Relationship Id="rId4" Type="http://schemas.openxmlformats.org/officeDocument/2006/relationships/table" Target="../tables/table3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4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5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drawing" Target="../drawings/drawing6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drawing" Target="../drawings/drawing7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drawing" Target="../drawings/drawing8.xml"/><Relationship Id="rId5" Type="http://schemas.openxmlformats.org/officeDocument/2006/relationships/table" Target="../tables/table32.xml"/><Relationship Id="rId4" Type="http://schemas.openxmlformats.org/officeDocument/2006/relationships/table" Target="../tables/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tabSelected="1" workbookViewId="0"/>
  </sheetViews>
  <sheetFormatPr defaultRowHeight="15.75" x14ac:dyDescent="0.25"/>
  <cols>
    <col min="1" max="1" width="96.7109375" style="21" customWidth="1"/>
    <col min="2" max="2" width="9.140625" style="1"/>
    <col min="3" max="3" width="19.85546875" style="1" bestFit="1" customWidth="1"/>
    <col min="4" max="5" width="9.140625" style="1"/>
    <col min="6" max="12" width="13.7109375" style="1" bestFit="1" customWidth="1"/>
    <col min="13" max="16384" width="9.140625" style="1"/>
  </cols>
  <sheetData>
    <row r="1" spans="1:12" x14ac:dyDescent="0.25">
      <c r="A1" s="12" t="s">
        <v>1</v>
      </c>
    </row>
    <row r="2" spans="1:12" x14ac:dyDescent="0.25">
      <c r="A2" s="12" t="s">
        <v>0</v>
      </c>
      <c r="C2" s="12" t="s">
        <v>20</v>
      </c>
    </row>
    <row r="4" spans="1:12" ht="16.5" thickBot="1" x14ac:dyDescent="0.3">
      <c r="A4" s="12" t="s">
        <v>2</v>
      </c>
      <c r="C4" s="13" t="s">
        <v>9</v>
      </c>
      <c r="D4" s="13" t="s">
        <v>10</v>
      </c>
      <c r="E4" s="13" t="s">
        <v>11</v>
      </c>
      <c r="F4" s="13" t="s">
        <v>12</v>
      </c>
      <c r="G4" s="13" t="s">
        <v>13</v>
      </c>
      <c r="H4" s="13" t="s">
        <v>14</v>
      </c>
      <c r="I4" s="13" t="s">
        <v>15</v>
      </c>
      <c r="J4" s="13" t="s">
        <v>16</v>
      </c>
      <c r="K4" s="13" t="s">
        <v>17</v>
      </c>
      <c r="L4" s="13" t="s">
        <v>18</v>
      </c>
    </row>
    <row r="5" spans="1:12" ht="16.5" thickTop="1" x14ac:dyDescent="0.25">
      <c r="A5" s="14" t="s">
        <v>3</v>
      </c>
      <c r="C5" s="12">
        <v>0</v>
      </c>
      <c r="D5" s="15" t="s">
        <v>19</v>
      </c>
      <c r="E5" s="15" t="s">
        <v>19</v>
      </c>
      <c r="F5" s="15" t="s">
        <v>19</v>
      </c>
      <c r="G5" s="15" t="s">
        <v>19</v>
      </c>
      <c r="H5" s="15" t="s">
        <v>19</v>
      </c>
      <c r="I5" s="15" t="s">
        <v>19</v>
      </c>
      <c r="J5" s="15" t="s">
        <v>19</v>
      </c>
      <c r="K5" s="15" t="s">
        <v>19</v>
      </c>
      <c r="L5" s="15" t="s">
        <v>19</v>
      </c>
    </row>
    <row r="6" spans="1:12" x14ac:dyDescent="0.25">
      <c r="A6" s="14" t="s">
        <v>40</v>
      </c>
      <c r="C6" s="12">
        <v>1</v>
      </c>
      <c r="D6" s="15" t="s">
        <v>19</v>
      </c>
      <c r="E6" s="15" t="s">
        <v>19</v>
      </c>
      <c r="F6" s="15" t="s">
        <v>19</v>
      </c>
      <c r="G6" s="15" t="s">
        <v>19</v>
      </c>
      <c r="H6" s="15" t="s">
        <v>19</v>
      </c>
      <c r="I6" s="15" t="s">
        <v>19</v>
      </c>
      <c r="J6" s="15" t="s">
        <v>19</v>
      </c>
      <c r="K6" s="15" t="s">
        <v>19</v>
      </c>
      <c r="L6" s="15" t="s">
        <v>19</v>
      </c>
    </row>
    <row r="7" spans="1:12" x14ac:dyDescent="0.25">
      <c r="A7" s="14" t="s">
        <v>5</v>
      </c>
      <c r="C7" s="12">
        <v>2</v>
      </c>
      <c r="D7" s="15">
        <v>10</v>
      </c>
      <c r="E7" s="15">
        <v>3</v>
      </c>
      <c r="F7" s="15">
        <v>1</v>
      </c>
      <c r="G7" s="15">
        <v>1</v>
      </c>
      <c r="H7" s="15" t="s">
        <v>19</v>
      </c>
      <c r="I7" s="15" t="s">
        <v>19</v>
      </c>
      <c r="J7" s="15" t="s">
        <v>19</v>
      </c>
      <c r="K7" s="15" t="s">
        <v>19</v>
      </c>
      <c r="L7" s="15" t="s">
        <v>19</v>
      </c>
    </row>
    <row r="8" spans="1:12" x14ac:dyDescent="0.25">
      <c r="A8" s="14" t="s">
        <v>4</v>
      </c>
      <c r="C8" s="12">
        <v>3</v>
      </c>
      <c r="D8" s="15"/>
      <c r="E8" s="15">
        <v>16</v>
      </c>
      <c r="F8" s="15">
        <v>5</v>
      </c>
      <c r="G8" s="15">
        <v>2</v>
      </c>
      <c r="H8" s="15">
        <v>2</v>
      </c>
      <c r="I8" s="15">
        <v>1</v>
      </c>
      <c r="J8" s="15">
        <v>1</v>
      </c>
      <c r="K8" s="15" t="s">
        <v>19</v>
      </c>
      <c r="L8" s="15" t="s">
        <v>19</v>
      </c>
    </row>
    <row r="9" spans="1:12" x14ac:dyDescent="0.25">
      <c r="A9" s="14" t="s">
        <v>6</v>
      </c>
      <c r="C9" s="12">
        <v>4</v>
      </c>
      <c r="D9" s="15"/>
      <c r="E9" s="15"/>
      <c r="F9" s="15">
        <v>74</v>
      </c>
      <c r="G9" s="15">
        <v>13</v>
      </c>
      <c r="H9" s="15">
        <v>6</v>
      </c>
      <c r="I9" s="15">
        <v>3</v>
      </c>
      <c r="J9" s="15">
        <v>2</v>
      </c>
      <c r="K9" s="15">
        <v>1</v>
      </c>
      <c r="L9" s="15">
        <v>1</v>
      </c>
    </row>
    <row r="10" spans="1:12" x14ac:dyDescent="0.25">
      <c r="A10" s="14" t="s">
        <v>7</v>
      </c>
      <c r="C10" s="12">
        <v>5</v>
      </c>
      <c r="D10" s="15"/>
      <c r="E10" s="15"/>
      <c r="F10" s="15"/>
      <c r="G10" s="15">
        <v>80</v>
      </c>
      <c r="H10" s="15">
        <v>70</v>
      </c>
      <c r="I10" s="15">
        <v>14</v>
      </c>
      <c r="J10" s="15">
        <v>5</v>
      </c>
      <c r="K10" s="15">
        <v>6</v>
      </c>
      <c r="L10" s="15">
        <v>5</v>
      </c>
    </row>
    <row r="11" spans="1:12" x14ac:dyDescent="0.25">
      <c r="A11" s="14" t="s">
        <v>8</v>
      </c>
      <c r="C11" s="12">
        <v>6</v>
      </c>
      <c r="D11" s="15"/>
      <c r="E11" s="15"/>
      <c r="F11" s="15"/>
      <c r="G11" s="15"/>
      <c r="H11" s="15">
        <v>150</v>
      </c>
      <c r="I11" s="15">
        <v>270</v>
      </c>
      <c r="J11" s="15">
        <v>68</v>
      </c>
      <c r="K11" s="15">
        <v>50</v>
      </c>
      <c r="L11" s="15">
        <v>10</v>
      </c>
    </row>
    <row r="12" spans="1:12" x14ac:dyDescent="0.25">
      <c r="A12" s="14" t="s">
        <v>44</v>
      </c>
      <c r="C12" s="12">
        <v>7</v>
      </c>
      <c r="D12" s="15"/>
      <c r="E12" s="15"/>
      <c r="F12" s="15"/>
      <c r="G12" s="15"/>
      <c r="H12" s="15"/>
      <c r="I12" s="16">
        <v>1000</v>
      </c>
      <c r="J12" s="15">
        <v>200</v>
      </c>
      <c r="K12" s="15">
        <v>125</v>
      </c>
      <c r="L12" s="15">
        <v>77</v>
      </c>
    </row>
    <row r="13" spans="1:12" x14ac:dyDescent="0.25">
      <c r="A13" s="14" t="s">
        <v>45</v>
      </c>
      <c r="C13" s="12">
        <v>8</v>
      </c>
      <c r="D13" s="15"/>
      <c r="E13" s="15"/>
      <c r="F13" s="15"/>
      <c r="G13" s="15"/>
      <c r="H13" s="15"/>
      <c r="I13" s="15"/>
      <c r="J13" s="16">
        <v>1000</v>
      </c>
      <c r="K13" s="15">
        <v>500</v>
      </c>
      <c r="L13" s="15">
        <v>250</v>
      </c>
    </row>
    <row r="14" spans="1:12" x14ac:dyDescent="0.25">
      <c r="A14" s="14" t="s">
        <v>30</v>
      </c>
      <c r="C14" s="12">
        <v>9</v>
      </c>
      <c r="D14" s="15"/>
      <c r="E14" s="15"/>
      <c r="F14" s="15"/>
      <c r="G14" s="15"/>
      <c r="H14" s="15"/>
      <c r="I14" s="15"/>
      <c r="J14" s="15"/>
      <c r="K14" s="16">
        <v>1000</v>
      </c>
      <c r="L14" s="15">
        <v>500</v>
      </c>
    </row>
    <row r="15" spans="1:12" ht="16.5" thickBot="1" x14ac:dyDescent="0.3">
      <c r="A15" s="17" t="s">
        <v>31</v>
      </c>
      <c r="C15" s="18">
        <v>10</v>
      </c>
      <c r="D15" s="19"/>
      <c r="E15" s="19"/>
      <c r="F15" s="19"/>
      <c r="G15" s="19"/>
      <c r="H15" s="19"/>
      <c r="I15" s="19"/>
      <c r="J15" s="19"/>
      <c r="K15" s="19"/>
      <c r="L15" s="20">
        <v>1000</v>
      </c>
    </row>
    <row r="16" spans="1:12" ht="16.5" thickBot="1" x14ac:dyDescent="0.3">
      <c r="C16" s="22"/>
      <c r="D16" s="23" t="s">
        <v>10</v>
      </c>
      <c r="E16" s="23" t="s">
        <v>11</v>
      </c>
      <c r="F16" s="23" t="s">
        <v>12</v>
      </c>
      <c r="G16" s="23" t="s">
        <v>13</v>
      </c>
      <c r="H16" s="23" t="s">
        <v>14</v>
      </c>
      <c r="I16" s="23" t="s">
        <v>15</v>
      </c>
      <c r="J16" s="23" t="s">
        <v>16</v>
      </c>
      <c r="K16" s="23" t="s">
        <v>17</v>
      </c>
      <c r="L16" s="23" t="s">
        <v>18</v>
      </c>
    </row>
    <row r="17" spans="1:12" ht="16.5" thickTop="1" x14ac:dyDescent="0.25">
      <c r="A17" s="12" t="s">
        <v>21</v>
      </c>
      <c r="C17" s="24" t="s">
        <v>35</v>
      </c>
      <c r="D17" s="39">
        <v>0.60126582278481033</v>
      </c>
      <c r="E17" s="39">
        <v>0.63826679649464479</v>
      </c>
      <c r="F17" s="39">
        <v>0.65556595303430776</v>
      </c>
      <c r="G17" s="38">
        <v>0.64712186547629569</v>
      </c>
      <c r="H17" s="39">
        <v>0.6669090403267619</v>
      </c>
      <c r="I17" s="39">
        <v>0.67456846950517857</v>
      </c>
      <c r="J17" s="39">
        <v>0.66667977793346322</v>
      </c>
      <c r="K17" s="39">
        <v>0.68667227167313916</v>
      </c>
      <c r="L17" s="39">
        <v>0.68033667507727091</v>
      </c>
    </row>
    <row r="18" spans="1:12" ht="16.5" thickBot="1" x14ac:dyDescent="0.3">
      <c r="A18" s="26" t="s">
        <v>32</v>
      </c>
      <c r="C18" s="27" t="s">
        <v>33</v>
      </c>
      <c r="D18" s="4">
        <v>6.0126582278481035E-2</v>
      </c>
      <c r="E18" s="4">
        <v>0.15262901655306718</v>
      </c>
      <c r="F18" s="4">
        <v>0.25894674945307866</v>
      </c>
      <c r="G18" s="4">
        <v>0.36712970573730058</v>
      </c>
      <c r="H18" s="4">
        <v>0.16158208879727867</v>
      </c>
      <c r="I18" s="4">
        <v>0.2365791922753947</v>
      </c>
      <c r="J18" s="4">
        <v>0.31712402669572809</v>
      </c>
      <c r="K18" s="4">
        <v>0.15305121583949408</v>
      </c>
      <c r="L18" s="4">
        <v>0.21197877466814136</v>
      </c>
    </row>
    <row r="19" spans="1:12" ht="16.5" thickTop="1" x14ac:dyDescent="0.25">
      <c r="A19" s="28" t="s">
        <v>22</v>
      </c>
      <c r="C19" s="27" t="s">
        <v>34</v>
      </c>
      <c r="D19" s="4">
        <v>16.631578947368414</v>
      </c>
      <c r="E19" s="4">
        <v>6.5518341307814998</v>
      </c>
      <c r="F19" s="4">
        <v>3.8617978488322393</v>
      </c>
      <c r="G19" s="4">
        <v>2.7238329788424949</v>
      </c>
      <c r="H19" s="4">
        <v>6.188804758271214</v>
      </c>
      <c r="I19" s="4">
        <v>4.2269144229553808</v>
      </c>
      <c r="J19" s="4">
        <v>3.1533403836331608</v>
      </c>
      <c r="K19" s="4">
        <v>6.5337605749483707</v>
      </c>
      <c r="L19" s="4">
        <v>4.7174534411076188</v>
      </c>
    </row>
    <row r="20" spans="1:12" x14ac:dyDescent="0.25">
      <c r="A20" s="28" t="s">
        <v>28</v>
      </c>
      <c r="C20" s="27" t="s">
        <v>36</v>
      </c>
      <c r="D20" s="39">
        <v>0.32327798783494988</v>
      </c>
      <c r="E20" s="39">
        <v>0.34317201785556212</v>
      </c>
      <c r="F20" s="39">
        <v>0.36144717410540211</v>
      </c>
      <c r="G20" s="39">
        <v>0.3659916185492742</v>
      </c>
      <c r="H20" s="39">
        <v>0.38703440233698616</v>
      </c>
      <c r="I20" s="39">
        <v>0.40183873231665795</v>
      </c>
      <c r="J20" s="39">
        <v>0.40778803318264173</v>
      </c>
      <c r="K20" s="39">
        <v>0.43143034337822461</v>
      </c>
      <c r="L20" s="39">
        <v>0.4392235677243469</v>
      </c>
    </row>
    <row r="21" spans="1:12" x14ac:dyDescent="0.25">
      <c r="A21" s="28" t="s">
        <v>29</v>
      </c>
      <c r="C21" s="27" t="s">
        <v>37</v>
      </c>
      <c r="D21" s="4">
        <v>9.8388952819332565E-3</v>
      </c>
      <c r="E21" s="4">
        <v>2.4975657254138261E-2</v>
      </c>
      <c r="F21" s="4">
        <v>4.3391076935380753E-2</v>
      </c>
      <c r="G21" s="4">
        <v>6.3014191625254568E-2</v>
      </c>
      <c r="H21" s="4">
        <v>2.84159541572408E-2</v>
      </c>
      <c r="I21" s="4">
        <v>4.2640246083464756E-2</v>
      </c>
      <c r="J21" s="4">
        <v>5.8596693061484316E-2</v>
      </c>
      <c r="K21" s="4">
        <v>2.9000868997318185E-2</v>
      </c>
      <c r="L21" s="4">
        <v>4.1203035485367613E-2</v>
      </c>
    </row>
    <row r="22" spans="1:12" x14ac:dyDescent="0.25">
      <c r="A22" s="28" t="s">
        <v>23</v>
      </c>
      <c r="C22" s="27" t="s">
        <v>38</v>
      </c>
      <c r="D22" s="4">
        <v>101.6374269005848</v>
      </c>
      <c r="E22" s="4">
        <v>40.038986354775837</v>
      </c>
      <c r="F22" s="4">
        <v>23.046212968837555</v>
      </c>
      <c r="G22" s="4">
        <v>15.869441060943867</v>
      </c>
      <c r="H22" s="4">
        <v>35.191498214927456</v>
      </c>
      <c r="I22" s="4">
        <v>256.71852031707778</v>
      </c>
      <c r="J22" s="4">
        <v>184.00443299313673</v>
      </c>
      <c r="K22" s="4">
        <v>366.11478986389631</v>
      </c>
      <c r="L22" s="4">
        <v>253.70299081594635</v>
      </c>
    </row>
    <row r="23" spans="1:12" x14ac:dyDescent="0.25">
      <c r="A23" s="28" t="s">
        <v>25</v>
      </c>
      <c r="C23" s="29" t="s">
        <v>39</v>
      </c>
      <c r="D23" s="39">
        <v>0.92454381061976021</v>
      </c>
      <c r="E23" s="39">
        <v>0.98143881435020686</v>
      </c>
      <c r="F23" s="39">
        <v>1.0170131271397098</v>
      </c>
      <c r="G23" s="39">
        <v>1.01311348402557</v>
      </c>
      <c r="H23" s="39">
        <v>1.053943442663748</v>
      </c>
      <c r="I23" s="39">
        <v>1.0764072018218365</v>
      </c>
      <c r="J23" s="39">
        <v>1.074467811116105</v>
      </c>
      <c r="K23" s="39">
        <v>1.1181026150513638</v>
      </c>
      <c r="L23" s="39">
        <v>1.1195602428016178</v>
      </c>
    </row>
    <row r="24" spans="1:12" x14ac:dyDescent="0.25">
      <c r="A24" s="28" t="s">
        <v>24</v>
      </c>
      <c r="C24" s="27" t="s">
        <v>43</v>
      </c>
      <c r="D24" s="4">
        <v>7.7737331429594239</v>
      </c>
      <c r="E24" s="4">
        <v>6.8840923040855806</v>
      </c>
      <c r="F24" s="4">
        <v>13.772773152845193</v>
      </c>
      <c r="G24" s="4">
        <v>8.3979455167201085</v>
      </c>
      <c r="H24" s="4">
        <v>14.621703121373132</v>
      </c>
      <c r="I24" s="4">
        <v>30.004115892100415</v>
      </c>
      <c r="J24" s="4">
        <v>16.052974876555897</v>
      </c>
      <c r="K24" s="4">
        <v>19.791743831736287</v>
      </c>
      <c r="L24" s="4">
        <v>16.204053571684526</v>
      </c>
    </row>
    <row r="25" spans="1:12" x14ac:dyDescent="0.25">
      <c r="A25" s="28" t="s">
        <v>26</v>
      </c>
      <c r="C25" s="30"/>
    </row>
    <row r="26" spans="1:12" x14ac:dyDescent="0.25">
      <c r="A26" s="28" t="s">
        <v>42</v>
      </c>
      <c r="C26" s="30"/>
    </row>
    <row r="27" spans="1:12" x14ac:dyDescent="0.25">
      <c r="A27" s="28" t="s">
        <v>41</v>
      </c>
      <c r="C27" s="30"/>
    </row>
    <row r="28" spans="1:12" x14ac:dyDescent="0.25">
      <c r="A28" s="28" t="s">
        <v>27</v>
      </c>
      <c r="C28" s="30"/>
    </row>
    <row r="29" spans="1:12" x14ac:dyDescent="0.25">
      <c r="B29" s="31"/>
      <c r="C29" s="32"/>
    </row>
    <row r="30" spans="1:12" x14ac:dyDescent="0.25">
      <c r="A30" s="33"/>
      <c r="B30" s="6"/>
      <c r="C30" s="32"/>
    </row>
    <row r="31" spans="1:12" x14ac:dyDescent="0.25">
      <c r="A31" s="34"/>
      <c r="B31" s="6"/>
      <c r="C31" s="32"/>
    </row>
    <row r="32" spans="1:12" x14ac:dyDescent="0.25">
      <c r="A32" s="34"/>
      <c r="B32" s="6"/>
      <c r="C32" s="32"/>
    </row>
    <row r="33" spans="1:3" x14ac:dyDescent="0.25">
      <c r="A33" s="34"/>
      <c r="B33" s="6"/>
      <c r="C33" s="32"/>
    </row>
    <row r="34" spans="1:3" x14ac:dyDescent="0.25">
      <c r="A34" s="34"/>
      <c r="B34" s="6"/>
      <c r="C34" s="6"/>
    </row>
    <row r="35" spans="1:3" x14ac:dyDescent="0.25">
      <c r="A35" s="34"/>
      <c r="B35" s="6"/>
      <c r="C35" s="6"/>
    </row>
    <row r="36" spans="1:3" x14ac:dyDescent="0.25">
      <c r="A36" s="34"/>
      <c r="B36" s="6"/>
      <c r="C36" s="6"/>
    </row>
    <row r="37" spans="1:3" x14ac:dyDescent="0.25">
      <c r="A37" s="34"/>
      <c r="B37" s="6"/>
      <c r="C37" s="6"/>
    </row>
    <row r="38" spans="1:3" x14ac:dyDescent="0.25">
      <c r="A38" s="34"/>
      <c r="B38" s="31"/>
      <c r="C38" s="6"/>
    </row>
    <row r="39" spans="1:3" x14ac:dyDescent="0.25">
      <c r="A39" s="34"/>
      <c r="B39" s="6"/>
      <c r="C39" s="6"/>
    </row>
    <row r="40" spans="1:3" x14ac:dyDescent="0.25">
      <c r="A40" s="34"/>
      <c r="B40" s="6"/>
      <c r="C40" s="6"/>
    </row>
    <row r="41" spans="1:3" x14ac:dyDescent="0.25">
      <c r="A41" s="34"/>
      <c r="B41" s="6"/>
      <c r="C41" s="6"/>
    </row>
    <row r="42" spans="1:3" x14ac:dyDescent="0.25">
      <c r="A42" s="35"/>
      <c r="B42" s="31"/>
      <c r="C42" s="6"/>
    </row>
  </sheetData>
  <hyperlinks>
    <hyperlink ref="A2" r:id="rId1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FDAB2-D516-40D5-8A65-4E8C2E0336ED}">
  <dimension ref="A1:J58"/>
  <sheetViews>
    <sheetView zoomScaleNormal="100" workbookViewId="0">
      <selection activeCell="B5" sqref="B5"/>
    </sheetView>
  </sheetViews>
  <sheetFormatPr defaultRowHeight="15.75" x14ac:dyDescent="0.25"/>
  <cols>
    <col min="1" max="1" width="18.85546875" style="1" bestFit="1" customWidth="1"/>
    <col min="2" max="2" width="13.7109375" style="1" bestFit="1" customWidth="1"/>
    <col min="3" max="3" width="22.85546875" style="1" bestFit="1" customWidth="1"/>
    <col min="4" max="4" width="20.85546875" style="1" bestFit="1" customWidth="1"/>
    <col min="5" max="5" width="21.5703125" style="1" customWidth="1"/>
    <col min="6" max="6" width="21.7109375" style="1" customWidth="1"/>
    <col min="7" max="7" width="9.140625" style="1"/>
    <col min="8" max="8" width="13.42578125" style="1" bestFit="1" customWidth="1"/>
    <col min="9" max="9" width="27.42578125" style="1" bestFit="1" customWidth="1"/>
    <col min="10" max="10" width="34.28515625" style="1" customWidth="1"/>
    <col min="11" max="16384" width="9.140625" style="1"/>
  </cols>
  <sheetData>
    <row r="1" spans="1:10" x14ac:dyDescent="0.25">
      <c r="A1" s="4" t="s">
        <v>46</v>
      </c>
      <c r="B1" s="4">
        <v>80</v>
      </c>
      <c r="H1" s="4" t="s">
        <v>89</v>
      </c>
      <c r="I1" s="4" t="s">
        <v>88</v>
      </c>
      <c r="J1" s="1" t="s">
        <v>87</v>
      </c>
    </row>
    <row r="2" spans="1:10" x14ac:dyDescent="0.25">
      <c r="A2" s="4" t="s">
        <v>66</v>
      </c>
      <c r="B2" s="4">
        <v>20</v>
      </c>
      <c r="H2" s="1">
        <v>0</v>
      </c>
      <c r="I2" s="1">
        <f>SUM(C8:C11)</f>
        <v>0.78802122533185903</v>
      </c>
      <c r="J2" s="1">
        <f>($J$25-H2)^2*I2</f>
        <v>0.7681650904593138</v>
      </c>
    </row>
    <row r="3" spans="1:10" x14ac:dyDescent="0.25">
      <c r="A3" s="4" t="s">
        <v>47</v>
      </c>
      <c r="B3" s="4">
        <v>3</v>
      </c>
      <c r="H3" s="1">
        <v>1</v>
      </c>
      <c r="I3" s="1">
        <f>C12-D30-D48</f>
        <v>0.11868402193749307</v>
      </c>
      <c r="J3" s="1">
        <f t="shared" ref="J3:J23" si="0">($J$25-H3)^2*I3</f>
        <v>1.9079626011311888E-5</v>
      </c>
    </row>
    <row r="4" spans="1:10" x14ac:dyDescent="0.25">
      <c r="H4" s="1">
        <v>5</v>
      </c>
      <c r="I4" s="1">
        <f t="shared" ref="I4:I9" si="1">C13-D31-D49</f>
        <v>4.1431513112724853E-2</v>
      </c>
      <c r="J4" s="1">
        <f t="shared" si="0"/>
        <v>0.6671133883309146</v>
      </c>
    </row>
    <row r="5" spans="1:10" x14ac:dyDescent="0.25">
      <c r="A5" s="3" t="s">
        <v>85</v>
      </c>
      <c r="B5" s="3">
        <v>10</v>
      </c>
      <c r="H5" s="1">
        <v>10</v>
      </c>
      <c r="I5" s="1">
        <f t="shared" si="1"/>
        <v>9.2481056055189487E-3</v>
      </c>
      <c r="J5" s="1">
        <f t="shared" si="0"/>
        <v>0.75120868039334654</v>
      </c>
    </row>
    <row r="6" spans="1:10" x14ac:dyDescent="0.25">
      <c r="H6" s="1">
        <v>77</v>
      </c>
      <c r="I6" s="1">
        <f t="shared" si="1"/>
        <v>1.2979797341079228E-3</v>
      </c>
      <c r="J6" s="1">
        <f t="shared" si="0"/>
        <v>7.4996326516818987</v>
      </c>
    </row>
    <row r="7" spans="1:10" x14ac:dyDescent="0.25">
      <c r="A7" s="6" t="s">
        <v>65</v>
      </c>
      <c r="B7" s="6" t="s">
        <v>52</v>
      </c>
      <c r="C7" s="6" t="s">
        <v>56</v>
      </c>
      <c r="D7" s="1" t="s">
        <v>91</v>
      </c>
      <c r="E7" s="6" t="s">
        <v>67</v>
      </c>
      <c r="H7" s="1">
        <v>250</v>
      </c>
      <c r="I7" s="1">
        <f t="shared" si="1"/>
        <v>1.0909743454786418E-4</v>
      </c>
      <c r="J7" s="1">
        <f t="shared" si="0"/>
        <v>6.7648389196606278</v>
      </c>
    </row>
    <row r="8" spans="1:10" x14ac:dyDescent="0.25">
      <c r="A8" s="6">
        <v>0</v>
      </c>
      <c r="B8" s="6">
        <v>0</v>
      </c>
      <c r="C8" s="6">
        <f>_xlfn.HYPGEOM.DIST(A8,$B$5,$B$2,$B$1,0)</f>
        <v>4.5790700789027881E-2</v>
      </c>
      <c r="D8" s="6">
        <f>IF(Table24789101112[[#This Row],[PAY]]=0,0,1)</f>
        <v>0</v>
      </c>
      <c r="E8" s="6">
        <f>C8*D8</f>
        <v>0</v>
      </c>
      <c r="H8" s="1">
        <v>500</v>
      </c>
      <c r="I8" s="1">
        <f t="shared" si="1"/>
        <v>4.9309574936887815E-6</v>
      </c>
      <c r="J8" s="1">
        <f t="shared" si="0"/>
        <v>1.2278757427953997</v>
      </c>
    </row>
    <row r="9" spans="1:10" x14ac:dyDescent="0.25">
      <c r="A9" s="6">
        <v>1</v>
      </c>
      <c r="B9" s="6">
        <v>0</v>
      </c>
      <c r="C9" s="6">
        <f t="shared" ref="C9:C11" si="2">_xlfn.HYPGEOM.DIST(A9,$B$5,$B$2,$B$1,0)</f>
        <v>0.17957137564324649</v>
      </c>
      <c r="D9" s="6">
        <f>IF(Table24789101112[[#This Row],[PAY]]=0,0,1)</f>
        <v>0</v>
      </c>
      <c r="E9" s="6">
        <f t="shared" ref="E9:E11" si="3">C9*D9</f>
        <v>0</v>
      </c>
      <c r="H9" s="1">
        <v>1000</v>
      </c>
      <c r="I9" s="1">
        <f t="shared" si="1"/>
        <v>9.0400887384294326E-8</v>
      </c>
      <c r="J9" s="1">
        <f t="shared" si="0"/>
        <v>9.0222466138297347E-2</v>
      </c>
    </row>
    <row r="10" spans="1:10" x14ac:dyDescent="0.25">
      <c r="A10" s="6">
        <v>2</v>
      </c>
      <c r="B10" s="6">
        <v>0</v>
      </c>
      <c r="C10" s="6">
        <f t="shared" si="2"/>
        <v>0.29525678110572268</v>
      </c>
      <c r="D10" s="6">
        <f>IF(Table24789101112[[#This Row],[PAY]]=0,0,1)</f>
        <v>0</v>
      </c>
      <c r="E10" s="6">
        <f t="shared" si="3"/>
        <v>0</v>
      </c>
      <c r="H10" s="1">
        <v>3</v>
      </c>
      <c r="I10" s="1">
        <f>D30</f>
        <v>2.5566852798326167E-2</v>
      </c>
      <c r="J10" s="1">
        <f t="shared" si="0"/>
        <v>0.10356818116703131</v>
      </c>
    </row>
    <row r="11" spans="1:10" x14ac:dyDescent="0.25">
      <c r="A11" s="6">
        <v>3</v>
      </c>
      <c r="B11" s="6">
        <v>0</v>
      </c>
      <c r="C11" s="6">
        <f t="shared" si="2"/>
        <v>0.26740236779386189</v>
      </c>
      <c r="D11" s="6">
        <f>IF(Table24789101112[[#This Row],[PAY]]=0,0,1)</f>
        <v>0</v>
      </c>
      <c r="E11" s="6">
        <f t="shared" si="3"/>
        <v>0</v>
      </c>
      <c r="H11" s="1">
        <v>15</v>
      </c>
      <c r="I11" s="1">
        <f t="shared" ref="I11:I16" si="4">D31</f>
        <v>8.9251558859611349E-3</v>
      </c>
      <c r="J11" s="1">
        <f t="shared" si="0"/>
        <v>1.7525005536163765</v>
      </c>
    </row>
    <row r="12" spans="1:10" x14ac:dyDescent="0.25">
      <c r="A12" s="6">
        <v>4</v>
      </c>
      <c r="B12" s="6">
        <v>1</v>
      </c>
      <c r="C12" s="6">
        <f t="shared" ref="C12:C18" si="5">_xlfn.HYPGEOM.DIST(A12,$B$5,$B$2,$B$1,0)</f>
        <v>0.14731889707161838</v>
      </c>
      <c r="D12" s="6">
        <f>IF(Table24789101112[[#This Row],[PAY]]=0,0,1)</f>
        <v>1</v>
      </c>
      <c r="E12" s="6">
        <f t="shared" ref="E12:E18" si="6">C12*D12</f>
        <v>0.14731889707161838</v>
      </c>
      <c r="H12" s="1">
        <v>30</v>
      </c>
      <c r="I12" s="1">
        <f t="shared" si="4"/>
        <v>1.9922222959734693E-3</v>
      </c>
      <c r="J12" s="1">
        <f t="shared" si="0"/>
        <v>1.6769243284164064</v>
      </c>
    </row>
    <row r="13" spans="1:10" x14ac:dyDescent="0.25">
      <c r="A13" s="6">
        <v>5</v>
      </c>
      <c r="B13" s="6">
        <v>5</v>
      </c>
      <c r="C13" s="6">
        <f t="shared" si="5"/>
        <v>5.1427687705001328E-2</v>
      </c>
      <c r="D13" s="6">
        <f>IF(Table24789101112[[#This Row],[PAY]]=0,0,1)</f>
        <v>1</v>
      </c>
      <c r="E13" s="6">
        <f t="shared" si="6"/>
        <v>5.1427687705001328E-2</v>
      </c>
      <c r="H13" s="1">
        <v>231</v>
      </c>
      <c r="I13" s="1">
        <f t="shared" si="4"/>
        <v>2.7961014680329398E-4</v>
      </c>
      <c r="J13" s="1">
        <f t="shared" si="0"/>
        <v>14.793007606554786</v>
      </c>
    </row>
    <row r="14" spans="1:10" x14ac:dyDescent="0.25">
      <c r="A14" s="6">
        <v>6</v>
      </c>
      <c r="B14" s="6">
        <v>10</v>
      </c>
      <c r="C14" s="6">
        <f t="shared" si="5"/>
        <v>1.1479394577009234E-2</v>
      </c>
      <c r="D14" s="6">
        <f>IF(Table24789101112[[#This Row],[PAY]]=0,0,1)</f>
        <v>1</v>
      </c>
      <c r="E14" s="6">
        <f t="shared" si="6"/>
        <v>1.1479394577009234E-2</v>
      </c>
      <c r="H14" s="1">
        <v>750</v>
      </c>
      <c r="I14" s="1">
        <f t="shared" si="4"/>
        <v>2.3501714925276857E-5</v>
      </c>
      <c r="J14" s="1">
        <f t="shared" si="0"/>
        <v>13.18493195388726</v>
      </c>
    </row>
    <row r="15" spans="1:10" x14ac:dyDescent="0.25">
      <c r="A15" s="6">
        <v>7</v>
      </c>
      <c r="B15" s="6">
        <v>77</v>
      </c>
      <c r="C15" s="6">
        <f t="shared" si="5"/>
        <v>1.6111430985276121E-3</v>
      </c>
      <c r="D15" s="6">
        <f>IF(Table24789101112[[#This Row],[PAY]]=0,0,1)</f>
        <v>1</v>
      </c>
      <c r="E15" s="6">
        <f t="shared" si="6"/>
        <v>1.6111430985276121E-3</v>
      </c>
      <c r="H15" s="1">
        <v>1500</v>
      </c>
      <c r="I15" s="1">
        <f t="shared" si="4"/>
        <v>1.062224403402345E-6</v>
      </c>
      <c r="J15" s="1">
        <f t="shared" si="0"/>
        <v>2.3868596740872174</v>
      </c>
    </row>
    <row r="16" spans="1:10" x14ac:dyDescent="0.25">
      <c r="A16" s="6">
        <v>8</v>
      </c>
      <c r="B16" s="6">
        <v>250</v>
      </c>
      <c r="C16" s="6">
        <f t="shared" si="5"/>
        <v>1.3541935526417427E-4</v>
      </c>
      <c r="D16" s="6">
        <f>IF(Table24789101112[[#This Row],[PAY]]=0,0,1)</f>
        <v>1</v>
      </c>
      <c r="E16" s="6">
        <f t="shared" si="6"/>
        <v>1.3541935526417427E-4</v>
      </c>
      <c r="H16" s="1">
        <v>3000</v>
      </c>
      <c r="I16" s="1">
        <f t="shared" si="4"/>
        <v>1.9474114062376323E-8</v>
      </c>
      <c r="J16" s="1">
        <f t="shared" si="0"/>
        <v>0.17515168234714229</v>
      </c>
    </row>
    <row r="17" spans="1:10" x14ac:dyDescent="0.25">
      <c r="A17" s="6">
        <v>9</v>
      </c>
      <c r="B17" s="6">
        <v>500</v>
      </c>
      <c r="C17" s="11">
        <f t="shared" si="5"/>
        <v>6.120648825499408E-6</v>
      </c>
      <c r="D17" s="6">
        <f>IF(Table24789101112[[#This Row],[PAY]]=0,0,1)</f>
        <v>1</v>
      </c>
      <c r="E17" s="6">
        <f t="shared" si="6"/>
        <v>6.120648825499408E-6</v>
      </c>
      <c r="H17" s="1">
        <v>6</v>
      </c>
      <c r="I17" s="1">
        <f>D48</f>
        <v>3.0680223357991403E-3</v>
      </c>
      <c r="J17" s="1">
        <f t="shared" si="0"/>
        <v>7.7090049564863386E-2</v>
      </c>
    </row>
    <row r="18" spans="1:10" x14ac:dyDescent="0.25">
      <c r="A18" s="6">
        <v>10</v>
      </c>
      <c r="B18" s="6">
        <v>1000</v>
      </c>
      <c r="C18" s="6">
        <f t="shared" si="5"/>
        <v>1.1221189513415581E-7</v>
      </c>
      <c r="D18" s="6">
        <f>IF(Table24789101112[[#This Row],[PAY]]=0,0,1)</f>
        <v>1</v>
      </c>
      <c r="E18" s="6">
        <f t="shared" si="6"/>
        <v>1.1221189513415581E-7</v>
      </c>
      <c r="H18" s="1">
        <v>30</v>
      </c>
      <c r="I18" s="1">
        <f t="shared" ref="I18:I23" si="7">D49</f>
        <v>1.0710187063153363E-3</v>
      </c>
      <c r="J18" s="1">
        <f t="shared" si="0"/>
        <v>0.90151451895665935</v>
      </c>
    </row>
    <row r="19" spans="1:10" x14ac:dyDescent="0.25">
      <c r="C19" s="6"/>
      <c r="H19" s="1">
        <v>60</v>
      </c>
      <c r="I19" s="1">
        <f t="shared" si="7"/>
        <v>2.390666755168163E-4</v>
      </c>
      <c r="J19" s="1">
        <f t="shared" si="0"/>
        <v>0.83254881194815944</v>
      </c>
    </row>
    <row r="20" spans="1:10" x14ac:dyDescent="0.25">
      <c r="A20" s="4" t="s">
        <v>68</v>
      </c>
      <c r="B20" s="39">
        <f>SUMPRODUCT(Table24789101112[PAY],Table24789101112[PROBABILITY])</f>
        <v>0.68033667507727091</v>
      </c>
      <c r="H20" s="1">
        <v>462</v>
      </c>
      <c r="I20" s="1">
        <f t="shared" si="7"/>
        <v>3.3553217616395277E-5</v>
      </c>
      <c r="J20" s="1">
        <f t="shared" si="0"/>
        <v>7.1311556082683945</v>
      </c>
    </row>
    <row r="21" spans="1:10" x14ac:dyDescent="0.25">
      <c r="A21" s="4" t="s">
        <v>67</v>
      </c>
      <c r="B21" s="4">
        <f>SUM(Table24789101112[HIT FREQUENCY])</f>
        <v>0.21197877466814136</v>
      </c>
      <c r="H21" s="1">
        <v>1500</v>
      </c>
      <c r="I21" s="1">
        <f t="shared" si="7"/>
        <v>2.8202057910332232E-6</v>
      </c>
      <c r="J21" s="1">
        <f t="shared" si="0"/>
        <v>6.3371124347015559</v>
      </c>
    </row>
    <row r="22" spans="1:10" x14ac:dyDescent="0.25">
      <c r="A22" s="4" t="s">
        <v>50</v>
      </c>
      <c r="B22" s="4">
        <f>1/B21</f>
        <v>4.7174534411076188</v>
      </c>
      <c r="H22" s="1">
        <v>3000</v>
      </c>
      <c r="I22" s="1">
        <f t="shared" si="7"/>
        <v>1.2746692840828141E-7</v>
      </c>
      <c r="J22" s="1">
        <f t="shared" si="0"/>
        <v>1.1464473753631135</v>
      </c>
    </row>
    <row r="23" spans="1:10" x14ac:dyDescent="0.25">
      <c r="H23" s="1">
        <v>6000</v>
      </c>
      <c r="I23" s="1">
        <f t="shared" si="7"/>
        <v>2.3368936874851591E-9</v>
      </c>
      <c r="J23" s="1">
        <f t="shared" si="0"/>
        <v>8.4100487860037099E-2</v>
      </c>
    </row>
    <row r="25" spans="1:10" x14ac:dyDescent="0.25">
      <c r="A25" s="37" t="s">
        <v>80</v>
      </c>
      <c r="B25" s="37">
        <v>3</v>
      </c>
      <c r="I25" s="4" t="s">
        <v>90</v>
      </c>
      <c r="J25" s="4">
        <f>SUMPRODUCT(H2:H23,I2:I23)</f>
        <v>0.98732088907815863</v>
      </c>
    </row>
    <row r="26" spans="1:10" x14ac:dyDescent="0.25">
      <c r="A26" s="37" t="s">
        <v>81</v>
      </c>
      <c r="B26" s="37">
        <v>2</v>
      </c>
      <c r="I26" s="4" t="s">
        <v>58</v>
      </c>
      <c r="J26" s="4">
        <f>SUM(J2:J23)</f>
        <v>68.351989285824814</v>
      </c>
    </row>
    <row r="27" spans="1:10" x14ac:dyDescent="0.25">
      <c r="A27" s="37" t="s">
        <v>51</v>
      </c>
      <c r="B27" s="37">
        <v>3</v>
      </c>
      <c r="I27" s="4" t="s">
        <v>59</v>
      </c>
      <c r="J27" s="4">
        <f>J26^0.5</f>
        <v>8.2675261890014493</v>
      </c>
    </row>
    <row r="29" spans="1:10" x14ac:dyDescent="0.25">
      <c r="A29" s="1" t="s">
        <v>72</v>
      </c>
      <c r="B29" s="1" t="s">
        <v>52</v>
      </c>
      <c r="C29" s="1" t="s">
        <v>53</v>
      </c>
      <c r="D29" s="1" t="s">
        <v>56</v>
      </c>
      <c r="E29" s="1" t="s">
        <v>91</v>
      </c>
      <c r="F29" s="1" t="s">
        <v>71</v>
      </c>
      <c r="I29"/>
    </row>
    <row r="30" spans="1:10" ht="18.75" x14ac:dyDescent="0.25">
      <c r="A30" s="7">
        <v>4</v>
      </c>
      <c r="B30" s="8">
        <v>1</v>
      </c>
      <c r="C30" s="1">
        <f>B30*$B$27</f>
        <v>3</v>
      </c>
      <c r="D30" s="1">
        <f>_xlfn.HYPGEOM.DIST($B$26,$B$25,$B$2,$B$1-$B$5,0)*C12</f>
        <v>2.5566852798326167E-2</v>
      </c>
      <c r="E30" s="1">
        <v>1</v>
      </c>
      <c r="F30" s="1">
        <f>D30*E30</f>
        <v>2.5566852798326167E-2</v>
      </c>
      <c r="I30" s="1" t="s">
        <v>86</v>
      </c>
    </row>
    <row r="31" spans="1:10" x14ac:dyDescent="0.25">
      <c r="A31" s="7">
        <v>5</v>
      </c>
      <c r="B31" s="8">
        <v>5</v>
      </c>
      <c r="C31" s="1">
        <f t="shared" ref="C31:C36" si="8">B31*$B$27</f>
        <v>15</v>
      </c>
      <c r="D31" s="1">
        <f t="shared" ref="D31:D36" si="9">_xlfn.HYPGEOM.DIST($B$26,$B$25,$B$2,$B$1-$B$5,0)*C13</f>
        <v>8.9251558859611349E-3</v>
      </c>
      <c r="E31" s="1">
        <v>1</v>
      </c>
      <c r="F31" s="1">
        <f t="shared" ref="F31:F36" si="10">D31*E31</f>
        <v>8.9251558859611349E-3</v>
      </c>
    </row>
    <row r="32" spans="1:10" x14ac:dyDescent="0.25">
      <c r="A32" s="7">
        <v>6</v>
      </c>
      <c r="B32" s="8">
        <v>10</v>
      </c>
      <c r="C32" s="1">
        <f t="shared" si="8"/>
        <v>30</v>
      </c>
      <c r="D32" s="1">
        <f t="shared" si="9"/>
        <v>1.9922222959734693E-3</v>
      </c>
      <c r="E32" s="1">
        <v>1</v>
      </c>
      <c r="F32" s="1">
        <f t="shared" si="10"/>
        <v>1.9922222959734693E-3</v>
      </c>
      <c r="I32" s="4" t="s">
        <v>62</v>
      </c>
      <c r="J32" s="39">
        <f>B38+B56</f>
        <v>0.4392235677243469</v>
      </c>
    </row>
    <row r="33" spans="1:10" x14ac:dyDescent="0.25">
      <c r="A33" s="7">
        <v>7</v>
      </c>
      <c r="B33" s="8">
        <v>77</v>
      </c>
      <c r="C33" s="1">
        <f t="shared" si="8"/>
        <v>231</v>
      </c>
      <c r="D33" s="1">
        <f t="shared" si="9"/>
        <v>2.7961014680329398E-4</v>
      </c>
      <c r="E33" s="1">
        <v>1</v>
      </c>
      <c r="F33" s="1">
        <f t="shared" si="10"/>
        <v>2.7961014680329398E-4</v>
      </c>
      <c r="I33" s="4" t="s">
        <v>63</v>
      </c>
      <c r="J33" s="4">
        <f t="shared" ref="J33:J34" si="11">B39+B57</f>
        <v>4.1203035485367613E-2</v>
      </c>
    </row>
    <row r="34" spans="1:10" x14ac:dyDescent="0.25">
      <c r="A34" s="7">
        <v>8</v>
      </c>
      <c r="B34" s="8">
        <v>250</v>
      </c>
      <c r="C34" s="1">
        <f t="shared" si="8"/>
        <v>750</v>
      </c>
      <c r="D34" s="1">
        <f t="shared" si="9"/>
        <v>2.3501714925276857E-5</v>
      </c>
      <c r="E34" s="1">
        <v>1</v>
      </c>
      <c r="F34" s="1">
        <f t="shared" si="10"/>
        <v>2.3501714925276857E-5</v>
      </c>
      <c r="I34" s="4" t="s">
        <v>64</v>
      </c>
      <c r="J34" s="4">
        <f t="shared" si="11"/>
        <v>253.70299081594635</v>
      </c>
    </row>
    <row r="35" spans="1:10" x14ac:dyDescent="0.25">
      <c r="A35" s="7">
        <v>9</v>
      </c>
      <c r="B35" s="8">
        <v>500</v>
      </c>
      <c r="C35" s="1">
        <f t="shared" si="8"/>
        <v>1500</v>
      </c>
      <c r="D35" s="1">
        <f t="shared" si="9"/>
        <v>1.062224403402345E-6</v>
      </c>
      <c r="E35" s="1">
        <v>1</v>
      </c>
      <c r="F35" s="1">
        <f t="shared" si="10"/>
        <v>1.062224403402345E-6</v>
      </c>
      <c r="I35" s="4" t="s">
        <v>60</v>
      </c>
      <c r="J35" s="4">
        <f>J27*_xlfn.NORM.S.INV(0.975)</f>
        <v>16.204053571684526</v>
      </c>
    </row>
    <row r="36" spans="1:10" x14ac:dyDescent="0.25">
      <c r="A36" s="9">
        <v>10</v>
      </c>
      <c r="B36" s="10">
        <v>1000</v>
      </c>
      <c r="C36" s="1">
        <f t="shared" si="8"/>
        <v>3000</v>
      </c>
      <c r="D36" s="1">
        <f t="shared" si="9"/>
        <v>1.9474114062376323E-8</v>
      </c>
      <c r="E36" s="1">
        <v>1</v>
      </c>
      <c r="F36" s="1">
        <f t="shared" si="10"/>
        <v>1.9474114062376323E-8</v>
      </c>
      <c r="I36" s="4" t="s">
        <v>83</v>
      </c>
      <c r="J36" s="39">
        <f>B20+B38+B56</f>
        <v>1.1195602428016178</v>
      </c>
    </row>
    <row r="38" spans="1:10" x14ac:dyDescent="0.25">
      <c r="A38" s="4" t="s">
        <v>68</v>
      </c>
      <c r="B38" s="39">
        <f>SUMPRODUCT(C30:C36,D30:D36)</f>
        <v>0.35421255461640877</v>
      </c>
    </row>
    <row r="39" spans="1:10" x14ac:dyDescent="0.25">
      <c r="A39" s="4" t="s">
        <v>67</v>
      </c>
      <c r="B39" s="4">
        <f>SUM(F30:F36)</f>
        <v>3.6788424540506799E-2</v>
      </c>
    </row>
    <row r="40" spans="1:10" x14ac:dyDescent="0.25">
      <c r="A40" s="4" t="s">
        <v>50</v>
      </c>
      <c r="B40" s="4">
        <f>1/B39</f>
        <v>27.182463301708541</v>
      </c>
    </row>
    <row r="43" spans="1:10" x14ac:dyDescent="0.25">
      <c r="A43" s="37" t="s">
        <v>80</v>
      </c>
      <c r="B43" s="37">
        <v>3</v>
      </c>
    </row>
    <row r="44" spans="1:10" x14ac:dyDescent="0.25">
      <c r="A44" s="37" t="s">
        <v>81</v>
      </c>
      <c r="B44" s="37">
        <v>3</v>
      </c>
    </row>
    <row r="45" spans="1:10" x14ac:dyDescent="0.25">
      <c r="A45" s="37" t="s">
        <v>51</v>
      </c>
      <c r="B45" s="37">
        <v>6</v>
      </c>
    </row>
    <row r="47" spans="1:10" x14ac:dyDescent="0.25">
      <c r="A47" s="1" t="s">
        <v>72</v>
      </c>
      <c r="B47" s="1" t="s">
        <v>52</v>
      </c>
      <c r="C47" s="1" t="s">
        <v>53</v>
      </c>
      <c r="D47" s="1" t="s">
        <v>56</v>
      </c>
      <c r="E47" s="1" t="s">
        <v>91</v>
      </c>
      <c r="F47" s="1" t="s">
        <v>71</v>
      </c>
    </row>
    <row r="48" spans="1:10" x14ac:dyDescent="0.25">
      <c r="A48" s="7">
        <v>4</v>
      </c>
      <c r="B48" s="8">
        <v>1</v>
      </c>
      <c r="C48" s="1">
        <f>B48*$B$45</f>
        <v>6</v>
      </c>
      <c r="D48" s="1">
        <f>_xlfn.HYPGEOM.DIST($B$44,$B$43,$B$2,$B$1-$B$5,0)*C12</f>
        <v>3.0680223357991403E-3</v>
      </c>
      <c r="E48" s="1">
        <v>1</v>
      </c>
      <c r="F48" s="1">
        <f>D48*E48</f>
        <v>3.0680223357991403E-3</v>
      </c>
    </row>
    <row r="49" spans="1:6" x14ac:dyDescent="0.25">
      <c r="A49" s="7">
        <v>5</v>
      </c>
      <c r="B49" s="8">
        <v>5</v>
      </c>
      <c r="C49" s="1">
        <f t="shared" ref="C49:C54" si="12">B49*$B$45</f>
        <v>30</v>
      </c>
      <c r="D49" s="1">
        <f t="shared" ref="D49:D54" si="13">_xlfn.HYPGEOM.DIST($B$44,$B$43,$B$2,$B$1-$B$5,0)*C13</f>
        <v>1.0710187063153363E-3</v>
      </c>
      <c r="E49" s="1">
        <v>1</v>
      </c>
      <c r="F49" s="1">
        <f t="shared" ref="F49:F54" si="14">D49*E49</f>
        <v>1.0710187063153363E-3</v>
      </c>
    </row>
    <row r="50" spans="1:6" x14ac:dyDescent="0.25">
      <c r="A50" s="7">
        <v>6</v>
      </c>
      <c r="B50" s="8">
        <v>10</v>
      </c>
      <c r="C50" s="1">
        <f t="shared" si="12"/>
        <v>60</v>
      </c>
      <c r="D50" s="1">
        <f t="shared" si="13"/>
        <v>2.390666755168163E-4</v>
      </c>
      <c r="E50" s="1">
        <v>1</v>
      </c>
      <c r="F50" s="1">
        <f t="shared" si="14"/>
        <v>2.390666755168163E-4</v>
      </c>
    </row>
    <row r="51" spans="1:6" x14ac:dyDescent="0.25">
      <c r="A51" s="7">
        <v>7</v>
      </c>
      <c r="B51" s="8">
        <v>77</v>
      </c>
      <c r="C51" s="1">
        <f t="shared" si="12"/>
        <v>462</v>
      </c>
      <c r="D51" s="1">
        <f t="shared" si="13"/>
        <v>3.3553217616395277E-5</v>
      </c>
      <c r="E51" s="1">
        <v>1</v>
      </c>
      <c r="F51" s="1">
        <f t="shared" si="14"/>
        <v>3.3553217616395277E-5</v>
      </c>
    </row>
    <row r="52" spans="1:6" x14ac:dyDescent="0.25">
      <c r="A52" s="7">
        <v>8</v>
      </c>
      <c r="B52" s="8">
        <v>250</v>
      </c>
      <c r="C52" s="1">
        <f t="shared" si="12"/>
        <v>1500</v>
      </c>
      <c r="D52" s="1">
        <f t="shared" si="13"/>
        <v>2.8202057910332232E-6</v>
      </c>
      <c r="E52" s="1">
        <v>1</v>
      </c>
      <c r="F52" s="1">
        <f t="shared" si="14"/>
        <v>2.8202057910332232E-6</v>
      </c>
    </row>
    <row r="53" spans="1:6" x14ac:dyDescent="0.25">
      <c r="A53" s="7">
        <v>9</v>
      </c>
      <c r="B53" s="8">
        <v>500</v>
      </c>
      <c r="C53" s="1">
        <f t="shared" si="12"/>
        <v>3000</v>
      </c>
      <c r="D53" s="1">
        <f t="shared" si="13"/>
        <v>1.2746692840828141E-7</v>
      </c>
      <c r="E53" s="1">
        <v>1</v>
      </c>
      <c r="F53" s="1">
        <f t="shared" si="14"/>
        <v>1.2746692840828141E-7</v>
      </c>
    </row>
    <row r="54" spans="1:6" x14ac:dyDescent="0.25">
      <c r="A54" s="9">
        <v>10</v>
      </c>
      <c r="B54" s="10">
        <v>1000</v>
      </c>
      <c r="C54" s="1">
        <f t="shared" si="12"/>
        <v>6000</v>
      </c>
      <c r="D54" s="1">
        <f t="shared" si="13"/>
        <v>2.3368936874851591E-9</v>
      </c>
      <c r="E54" s="1">
        <v>1</v>
      </c>
      <c r="F54" s="1">
        <f t="shared" si="14"/>
        <v>2.3368936874851591E-9</v>
      </c>
    </row>
    <row r="56" spans="1:6" x14ac:dyDescent="0.25">
      <c r="A56" s="1" t="s">
        <v>68</v>
      </c>
      <c r="B56" s="40">
        <f>SUMPRODUCT(C48:C54,D48:D54)</f>
        <v>8.5011013107938127E-2</v>
      </c>
    </row>
    <row r="57" spans="1:6" x14ac:dyDescent="0.25">
      <c r="A57" s="1" t="s">
        <v>67</v>
      </c>
      <c r="B57" s="1">
        <f>SUM(F48:F54)</f>
        <v>4.4146109448608166E-3</v>
      </c>
    </row>
    <row r="58" spans="1:6" x14ac:dyDescent="0.25">
      <c r="A58" s="1" t="s">
        <v>50</v>
      </c>
      <c r="B58" s="1">
        <f>1/B57</f>
        <v>226.52052751423781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2"/>
  <sheetViews>
    <sheetView zoomScaleNormal="100" workbookViewId="0">
      <selection activeCell="B5" sqref="B5"/>
    </sheetView>
  </sheetViews>
  <sheetFormatPr defaultRowHeight="15.75" x14ac:dyDescent="0.25"/>
  <cols>
    <col min="1" max="1" width="26.140625" style="1" bestFit="1" customWidth="1"/>
    <col min="2" max="2" width="9.140625" style="1"/>
    <col min="3" max="3" width="23" style="1" customWidth="1"/>
    <col min="4" max="4" width="20.85546875" style="1" bestFit="1" customWidth="1"/>
    <col min="5" max="5" width="17.28515625" style="1" bestFit="1" customWidth="1"/>
    <col min="6" max="6" width="17.140625" style="1" customWidth="1"/>
    <col min="7" max="7" width="12.140625" style="1" customWidth="1"/>
    <col min="8" max="8" width="26.28515625" style="1" bestFit="1" customWidth="1"/>
    <col min="9" max="9" width="34.140625" style="1" bestFit="1" customWidth="1"/>
    <col min="10" max="16384" width="9.140625" style="1"/>
  </cols>
  <sheetData>
    <row r="1" spans="1:9" x14ac:dyDescent="0.25">
      <c r="A1" s="4" t="s">
        <v>46</v>
      </c>
      <c r="B1" s="4">
        <v>80</v>
      </c>
      <c r="G1" s="45" t="s">
        <v>89</v>
      </c>
      <c r="H1" s="25" t="s">
        <v>88</v>
      </c>
      <c r="I1" s="46" t="s">
        <v>87</v>
      </c>
    </row>
    <row r="2" spans="1:9" x14ac:dyDescent="0.25">
      <c r="A2" s="4" t="s">
        <v>66</v>
      </c>
      <c r="B2" s="4">
        <v>20</v>
      </c>
      <c r="G2" s="43">
        <v>0</v>
      </c>
      <c r="H2" s="4">
        <f>SUM(C8:C9)</f>
        <v>0.939873417721519</v>
      </c>
      <c r="I2" s="44">
        <f>($I$13-G2)^2*H2</f>
        <v>0.64149354168661943</v>
      </c>
    </row>
    <row r="3" spans="1:9" x14ac:dyDescent="0.25">
      <c r="A3" s="4" t="s">
        <v>47</v>
      </c>
      <c r="B3" s="4">
        <v>3</v>
      </c>
      <c r="G3" s="43">
        <v>10</v>
      </c>
      <c r="H3" s="5">
        <f>C10-Table1[PROBABILITY]-Table5[PROBABILITY]</f>
        <v>5.028768699654778E-2</v>
      </c>
      <c r="I3" s="44">
        <f t="shared" ref="I3:I5" si="0">($I$13-G3)^2*H3</f>
        <v>4.2321833096509405</v>
      </c>
    </row>
    <row r="4" spans="1:9" x14ac:dyDescent="0.25">
      <c r="G4" s="43">
        <v>30</v>
      </c>
      <c r="H4" s="4">
        <f>Table1[PROBABILITY]</f>
        <v>8.9018576360348507E-3</v>
      </c>
      <c r="I4" s="44">
        <f t="shared" si="0"/>
        <v>7.5764888980163407</v>
      </c>
    </row>
    <row r="5" spans="1:9" x14ac:dyDescent="0.25">
      <c r="A5" s="3" t="s">
        <v>85</v>
      </c>
      <c r="B5" s="3">
        <v>2</v>
      </c>
      <c r="G5" s="47">
        <v>60</v>
      </c>
      <c r="H5" s="48">
        <f>Table5[PROBABILITY]</f>
        <v>9.3703764589840621E-4</v>
      </c>
      <c r="I5" s="49">
        <f t="shared" si="0"/>
        <v>3.2810784988992618</v>
      </c>
    </row>
    <row r="7" spans="1:9" x14ac:dyDescent="0.25">
      <c r="A7" s="1" t="s">
        <v>65</v>
      </c>
      <c r="B7" s="1" t="s">
        <v>52</v>
      </c>
      <c r="C7" s="1" t="s">
        <v>56</v>
      </c>
      <c r="D7" s="1" t="s">
        <v>91</v>
      </c>
      <c r="E7" s="1" t="s">
        <v>55</v>
      </c>
    </row>
    <row r="8" spans="1:9" x14ac:dyDescent="0.25">
      <c r="A8" s="1">
        <v>0</v>
      </c>
      <c r="B8" s="1">
        <v>0</v>
      </c>
      <c r="C8" s="1">
        <f>_xlfn.HYPGEOM.DIST(A8,$B$2,$B$5,$B$1,0)</f>
        <v>0.56012658227848111</v>
      </c>
      <c r="D8" s="1">
        <f>IF(Table4[[#This Row],[PAY]]=0,0,1)</f>
        <v>0</v>
      </c>
      <c r="E8" s="1">
        <f>C8*D8</f>
        <v>0</v>
      </c>
    </row>
    <row r="9" spans="1:9" x14ac:dyDescent="0.25">
      <c r="A9" s="1">
        <v>1</v>
      </c>
      <c r="B9" s="1">
        <v>0</v>
      </c>
      <c r="C9" s="1">
        <f t="shared" ref="C9:C10" si="1">_xlfn.HYPGEOM.DIST(A9,$B$2,$B$5,$B$1,0)</f>
        <v>0.37974683544303789</v>
      </c>
      <c r="D9" s="1">
        <f>IF(Table4[[#This Row],[PAY]]=0,0,1)</f>
        <v>0</v>
      </c>
      <c r="E9" s="1">
        <f t="shared" ref="E9:E10" si="2">C9*D9</f>
        <v>0</v>
      </c>
    </row>
    <row r="10" spans="1:9" x14ac:dyDescent="0.25">
      <c r="A10" s="1">
        <v>2</v>
      </c>
      <c r="B10" s="1">
        <v>10</v>
      </c>
      <c r="C10" s="2">
        <f t="shared" si="1"/>
        <v>6.0126582278481035E-2</v>
      </c>
      <c r="D10" s="1">
        <f>IF(Table4[[#This Row],[PAY]]=0,0,1)</f>
        <v>1</v>
      </c>
      <c r="E10" s="2">
        <f t="shared" si="2"/>
        <v>6.0126582278481035E-2</v>
      </c>
    </row>
    <row r="11" spans="1:9" x14ac:dyDescent="0.25">
      <c r="A11" s="4" t="s">
        <v>48</v>
      </c>
      <c r="B11" s="38">
        <f>SUMPRODUCT(B8:B10,C8:C10)</f>
        <v>0.60126582278481033</v>
      </c>
    </row>
    <row r="12" spans="1:9" x14ac:dyDescent="0.25">
      <c r="A12" s="4" t="s">
        <v>49</v>
      </c>
      <c r="B12" s="4">
        <f>SUM(E8:E10)</f>
        <v>6.0126582278481035E-2</v>
      </c>
    </row>
    <row r="13" spans="1:9" x14ac:dyDescent="0.25">
      <c r="A13" s="4" t="s">
        <v>50</v>
      </c>
      <c r="B13" s="4">
        <f>1/B12</f>
        <v>16.631578947368414</v>
      </c>
      <c r="H13" s="4" t="s">
        <v>90</v>
      </c>
      <c r="I13" s="4">
        <f>SUMPRODUCT(G2:G5,H2:H5)</f>
        <v>0.82615485780042774</v>
      </c>
    </row>
    <row r="14" spans="1:9" x14ac:dyDescent="0.25">
      <c r="H14" s="4" t="s">
        <v>58</v>
      </c>
      <c r="I14" s="4">
        <f>SUM(I2:I5)</f>
        <v>15.731244248253162</v>
      </c>
    </row>
    <row r="15" spans="1:9" x14ac:dyDescent="0.25">
      <c r="A15" s="41" t="s">
        <v>84</v>
      </c>
      <c r="B15" s="41">
        <v>2</v>
      </c>
      <c r="H15" s="4" t="s">
        <v>59</v>
      </c>
      <c r="I15" s="4">
        <f>I14^0.5</f>
        <v>3.9662632600790837</v>
      </c>
    </row>
    <row r="16" spans="1:9" x14ac:dyDescent="0.25">
      <c r="A16" s="41" t="s">
        <v>51</v>
      </c>
      <c r="B16" s="41">
        <v>3</v>
      </c>
    </row>
    <row r="18" spans="1:9" ht="18.75" x14ac:dyDescent="0.25">
      <c r="A18" s="1" t="s">
        <v>72</v>
      </c>
      <c r="B18" s="1" t="s">
        <v>52</v>
      </c>
      <c r="C18" s="1" t="s">
        <v>53</v>
      </c>
      <c r="D18" s="1" t="s">
        <v>56</v>
      </c>
      <c r="E18" s="1" t="s">
        <v>54</v>
      </c>
      <c r="F18" s="1" t="s">
        <v>55</v>
      </c>
      <c r="H18" s="1" t="s">
        <v>86</v>
      </c>
    </row>
    <row r="19" spans="1:9" x14ac:dyDescent="0.25">
      <c r="A19" s="1">
        <v>2</v>
      </c>
      <c r="B19" s="1">
        <v>10</v>
      </c>
      <c r="C19" s="1">
        <f>B19*$B$16</f>
        <v>30</v>
      </c>
      <c r="D19" s="1">
        <f>_xlfn.HYPGEOM.DIST($B$15,$B$3,$B$2,$B$1-$B$3,0)*C10</f>
        <v>8.9018576360348507E-3</v>
      </c>
      <c r="E19" s="1">
        <v>1</v>
      </c>
      <c r="F19" s="1">
        <f>D19*E19</f>
        <v>8.9018576360348507E-3</v>
      </c>
    </row>
    <row r="20" spans="1:9" x14ac:dyDescent="0.25">
      <c r="A20" s="4" t="s">
        <v>48</v>
      </c>
      <c r="B20" s="38">
        <f>SUMPRODUCT(Table1[MULTIPLIED PAY],Table1[PROBABILITY])</f>
        <v>0.26705572908104552</v>
      </c>
      <c r="H20" s="4" t="s">
        <v>62</v>
      </c>
      <c r="I20" s="39">
        <f>B20+B30</f>
        <v>0.32327798783494988</v>
      </c>
    </row>
    <row r="21" spans="1:9" x14ac:dyDescent="0.25">
      <c r="A21" s="4" t="s">
        <v>49</v>
      </c>
      <c r="B21" s="4">
        <f>Table1[FREQUENCY]</f>
        <v>8.9018576360348507E-3</v>
      </c>
      <c r="H21" s="4" t="s">
        <v>63</v>
      </c>
      <c r="I21" s="4">
        <f>B21+B31</f>
        <v>9.8388952819332565E-3</v>
      </c>
    </row>
    <row r="22" spans="1:9" x14ac:dyDescent="0.25">
      <c r="A22" s="4" t="s">
        <v>50</v>
      </c>
      <c r="B22" s="4">
        <f>1/B21</f>
        <v>112.33610341643583</v>
      </c>
      <c r="H22" s="4" t="s">
        <v>64</v>
      </c>
      <c r="I22" s="4">
        <f>1/I21</f>
        <v>101.6374269005848</v>
      </c>
    </row>
    <row r="23" spans="1:9" x14ac:dyDescent="0.25">
      <c r="H23" s="4" t="s">
        <v>60</v>
      </c>
      <c r="I23" s="4">
        <f>I15*_xlfn.NORM.S.INV(0.975)</f>
        <v>7.7737331429594239</v>
      </c>
    </row>
    <row r="24" spans="1:9" x14ac:dyDescent="0.25">
      <c r="A24" s="41" t="s">
        <v>84</v>
      </c>
      <c r="B24" s="41">
        <v>3</v>
      </c>
      <c r="H24" s="4" t="s">
        <v>61</v>
      </c>
      <c r="I24" s="39">
        <f>B11+B20+B30</f>
        <v>0.92454381061976021</v>
      </c>
    </row>
    <row r="25" spans="1:9" x14ac:dyDescent="0.25">
      <c r="A25" s="41" t="s">
        <v>51</v>
      </c>
      <c r="B25" s="41">
        <v>6</v>
      </c>
    </row>
    <row r="27" spans="1:9" x14ac:dyDescent="0.25">
      <c r="A27" s="1" t="s">
        <v>72</v>
      </c>
      <c r="B27" s="1" t="s">
        <v>52</v>
      </c>
      <c r="C27" s="1" t="s">
        <v>53</v>
      </c>
      <c r="D27" s="1" t="s">
        <v>56</v>
      </c>
      <c r="E27" s="1" t="s">
        <v>54</v>
      </c>
      <c r="F27" s="1" t="s">
        <v>55</v>
      </c>
    </row>
    <row r="28" spans="1:9" x14ac:dyDescent="0.25">
      <c r="A28" s="1">
        <v>3</v>
      </c>
      <c r="B28" s="1">
        <v>10</v>
      </c>
      <c r="C28" s="1">
        <f>B28*$B$25</f>
        <v>60</v>
      </c>
      <c r="D28" s="1">
        <f>_xlfn.HYPGEOM.DIST($B$24,$B$3,$B$2,$B$1-$B$3,0)*C10</f>
        <v>9.3703764589840621E-4</v>
      </c>
      <c r="E28" s="1">
        <v>1</v>
      </c>
      <c r="F28" s="1">
        <f>D28*E28</f>
        <v>9.3703764589840621E-4</v>
      </c>
    </row>
    <row r="30" spans="1:9" x14ac:dyDescent="0.25">
      <c r="A30" s="4" t="s">
        <v>57</v>
      </c>
      <c r="B30" s="39">
        <f>SUMPRODUCT(Table5[MULTIPLIED PAY],Table5[PROBABILITY])</f>
        <v>5.6222258753904374E-2</v>
      </c>
    </row>
    <row r="31" spans="1:9" x14ac:dyDescent="0.25">
      <c r="A31" s="4" t="s">
        <v>49</v>
      </c>
      <c r="B31" s="4">
        <f>Table5[FREQUENCY]</f>
        <v>9.3703764589840621E-4</v>
      </c>
    </row>
    <row r="32" spans="1:9" x14ac:dyDescent="0.25">
      <c r="A32" s="4" t="s">
        <v>50</v>
      </c>
      <c r="B32" s="4">
        <f>1/B31</f>
        <v>1067.1929824561394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5E7C3-E226-438C-800E-002D29384E99}">
  <dimension ref="A1:I39"/>
  <sheetViews>
    <sheetView zoomScaleNormal="100" workbookViewId="0">
      <selection activeCell="B5" sqref="B5"/>
    </sheetView>
  </sheetViews>
  <sheetFormatPr defaultRowHeight="15.75" x14ac:dyDescent="0.25"/>
  <cols>
    <col min="1" max="1" width="18.85546875" style="1" bestFit="1" customWidth="1"/>
    <col min="2" max="2" width="9.140625" style="1"/>
    <col min="3" max="3" width="21.140625" style="1" customWidth="1"/>
    <col min="4" max="4" width="20.85546875" style="1" bestFit="1" customWidth="1"/>
    <col min="5" max="5" width="22" style="1" bestFit="1" customWidth="1"/>
    <col min="6" max="6" width="27.42578125" style="1" customWidth="1"/>
    <col min="7" max="7" width="27.7109375" style="1" bestFit="1" customWidth="1"/>
    <col min="8" max="8" width="26.5703125" style="1" bestFit="1" customWidth="1"/>
    <col min="9" max="9" width="34.28515625" style="1" customWidth="1"/>
    <col min="10" max="16384" width="9.140625" style="1"/>
  </cols>
  <sheetData>
    <row r="1" spans="1:9" x14ac:dyDescent="0.25">
      <c r="A1" s="4" t="s">
        <v>46</v>
      </c>
      <c r="B1" s="4">
        <v>80</v>
      </c>
    </row>
    <row r="2" spans="1:9" x14ac:dyDescent="0.25">
      <c r="A2" s="4" t="s">
        <v>66</v>
      </c>
      <c r="B2" s="4">
        <v>20</v>
      </c>
      <c r="G2" s="4" t="s">
        <v>89</v>
      </c>
      <c r="H2" s="4" t="s">
        <v>88</v>
      </c>
      <c r="I2" s="1" t="s">
        <v>87</v>
      </c>
    </row>
    <row r="3" spans="1:9" x14ac:dyDescent="0.25">
      <c r="A3" s="4" t="s">
        <v>47</v>
      </c>
      <c r="B3" s="4">
        <v>3</v>
      </c>
      <c r="G3" s="1">
        <v>0</v>
      </c>
      <c r="H3" s="1">
        <f>SUM(C8:C9)</f>
        <v>0.84737098344693296</v>
      </c>
      <c r="I3" s="1">
        <f>($H$12-G3)^2*H3</f>
        <v>0.65173039866776095</v>
      </c>
    </row>
    <row r="4" spans="1:9" x14ac:dyDescent="0.25">
      <c r="G4" s="1">
        <v>3</v>
      </c>
      <c r="H4" s="1">
        <f>C10-D22-D34</f>
        <v>0.11604850845357176</v>
      </c>
      <c r="I4" s="1">
        <f t="shared" ref="I4:I9" si="0">($H$12-G4)^2*H4</f>
        <v>0.52304798433703747</v>
      </c>
    </row>
    <row r="5" spans="1:9" x14ac:dyDescent="0.25">
      <c r="A5" s="3" t="s">
        <v>85</v>
      </c>
      <c r="B5" s="3">
        <v>3</v>
      </c>
      <c r="G5" s="1">
        <v>16</v>
      </c>
      <c r="H5" s="1">
        <f>C11-D23-D35</f>
        <v>1.1604850845357183E-2</v>
      </c>
      <c r="I5" s="1">
        <f t="shared" si="0"/>
        <v>2.6540906095985499</v>
      </c>
    </row>
    <row r="6" spans="1:9" x14ac:dyDescent="0.25">
      <c r="G6" s="1">
        <v>9</v>
      </c>
      <c r="H6" s="1">
        <f>D22</f>
        <v>2.0542748390849647E-2</v>
      </c>
      <c r="I6" s="1">
        <f t="shared" si="0"/>
        <v>1.3554764334652292</v>
      </c>
    </row>
    <row r="7" spans="1:9" x14ac:dyDescent="0.25">
      <c r="A7" s="6" t="s">
        <v>65</v>
      </c>
      <c r="B7" s="6" t="s">
        <v>52</v>
      </c>
      <c r="C7" s="6" t="s">
        <v>56</v>
      </c>
      <c r="D7" s="1" t="s">
        <v>91</v>
      </c>
      <c r="E7" s="6" t="s">
        <v>67</v>
      </c>
      <c r="G7" s="1">
        <v>48</v>
      </c>
      <c r="H7" s="1">
        <f>D23</f>
        <v>2.054274839084966E-3</v>
      </c>
      <c r="I7" s="1">
        <f t="shared" si="0"/>
        <v>4.5616766620418359</v>
      </c>
    </row>
    <row r="8" spans="1:9" x14ac:dyDescent="0.25">
      <c r="A8" s="6">
        <v>0</v>
      </c>
      <c r="B8" s="6">
        <v>0</v>
      </c>
      <c r="C8" s="6">
        <f>_xlfn.HYPGEOM.DIST(A8,$B$5,$B$2,$B$1,0)</f>
        <v>0.41650438169425513</v>
      </c>
      <c r="D8" s="6">
        <f>IF(Table2[[#This Row],[PAY]]=0, 0,1)</f>
        <v>0</v>
      </c>
      <c r="E8" s="6">
        <f>C8*D8</f>
        <v>0</v>
      </c>
      <c r="G8" s="1">
        <v>18</v>
      </c>
      <c r="H8" s="1">
        <f>D34</f>
        <v>2.16239456745786E-3</v>
      </c>
      <c r="I8" s="1">
        <f t="shared" si="0"/>
        <v>0.63400823760344216</v>
      </c>
    </row>
    <row r="9" spans="1:9" x14ac:dyDescent="0.25">
      <c r="A9" s="6">
        <v>1</v>
      </c>
      <c r="B9" s="6">
        <v>0</v>
      </c>
      <c r="C9" s="6">
        <f t="shared" ref="C9:C11" si="1">_xlfn.HYPGEOM.DIST(A9,$B$5,$B$2,$B$1,0)</f>
        <v>0.43086660175267782</v>
      </c>
      <c r="D9" s="6">
        <f>IF(Table2[[#This Row],[PAY]]=0, 0,1)</f>
        <v>0</v>
      </c>
      <c r="E9" s="6">
        <f t="shared" ref="E9:E11" si="2">C9*D9</f>
        <v>0</v>
      </c>
      <c r="G9" s="1">
        <v>96</v>
      </c>
      <c r="H9" s="1">
        <f>D35</f>
        <v>2.1623945674578612E-4</v>
      </c>
      <c r="I9" s="1">
        <f t="shared" si="0"/>
        <v>1.9566180839669125</v>
      </c>
    </row>
    <row r="10" spans="1:9" x14ac:dyDescent="0.25">
      <c r="A10" s="6">
        <v>2</v>
      </c>
      <c r="B10" s="6">
        <v>3</v>
      </c>
      <c r="C10" s="6">
        <f t="shared" si="1"/>
        <v>0.13875365141187926</v>
      </c>
      <c r="D10" s="6">
        <f>IF(Table2[[#This Row],[PAY]]=0, 0,1)</f>
        <v>1</v>
      </c>
      <c r="E10" s="6">
        <f t="shared" si="2"/>
        <v>0.13875365141187926</v>
      </c>
    </row>
    <row r="11" spans="1:9" x14ac:dyDescent="0.25">
      <c r="A11" s="6">
        <v>3</v>
      </c>
      <c r="B11" s="6">
        <v>16</v>
      </c>
      <c r="C11" s="6">
        <f t="shared" si="1"/>
        <v>1.3875365141187935E-2</v>
      </c>
      <c r="D11" s="6">
        <f>IF(Table2[[#This Row],[PAY]]=0, 0,1)</f>
        <v>1</v>
      </c>
      <c r="E11" s="6">
        <f t="shared" si="2"/>
        <v>1.3875365141187935E-2</v>
      </c>
    </row>
    <row r="12" spans="1:9" x14ac:dyDescent="0.25">
      <c r="G12" s="4" t="s">
        <v>90</v>
      </c>
      <c r="H12" s="4">
        <f>SUMPRODUCT(G3:G9,H3:H9)</f>
        <v>0.87699515674199235</v>
      </c>
    </row>
    <row r="13" spans="1:9" x14ac:dyDescent="0.25">
      <c r="A13" s="4" t="s">
        <v>68</v>
      </c>
      <c r="B13" s="39">
        <f>SUMPRODUCT(B8:B11,C8:C11)</f>
        <v>0.63826679649464479</v>
      </c>
      <c r="G13" s="4" t="s">
        <v>58</v>
      </c>
      <c r="H13" s="4">
        <f>SUM(I3:I9)</f>
        <v>12.336648409680768</v>
      </c>
    </row>
    <row r="14" spans="1:9" x14ac:dyDescent="0.25">
      <c r="A14" s="4" t="s">
        <v>67</v>
      </c>
      <c r="B14" s="4">
        <f>SUM(E8:E11)</f>
        <v>0.15262901655306718</v>
      </c>
      <c r="G14" s="4" t="s">
        <v>59</v>
      </c>
      <c r="H14" s="4">
        <f>H13^0.5</f>
        <v>3.5123565322559109</v>
      </c>
    </row>
    <row r="15" spans="1:9" x14ac:dyDescent="0.25">
      <c r="A15" s="4" t="s">
        <v>50</v>
      </c>
      <c r="B15" s="4">
        <f>1/B14</f>
        <v>6.5518341307814998</v>
      </c>
    </row>
    <row r="17" spans="1:8" ht="18.75" x14ac:dyDescent="0.25">
      <c r="A17" s="42" t="s">
        <v>79</v>
      </c>
      <c r="B17" s="42">
        <v>3</v>
      </c>
      <c r="G17" s="1" t="s">
        <v>86</v>
      </c>
    </row>
    <row r="18" spans="1:8" x14ac:dyDescent="0.25">
      <c r="A18" s="42" t="s">
        <v>70</v>
      </c>
      <c r="B18" s="42">
        <v>2</v>
      </c>
      <c r="E18"/>
    </row>
    <row r="19" spans="1:8" x14ac:dyDescent="0.25">
      <c r="A19" s="42" t="s">
        <v>51</v>
      </c>
      <c r="B19" s="42">
        <v>3</v>
      </c>
      <c r="G19" s="4" t="s">
        <v>62</v>
      </c>
      <c r="H19" s="38">
        <f>B25+B37</f>
        <v>0.34317201785556212</v>
      </c>
    </row>
    <row r="20" spans="1:8" x14ac:dyDescent="0.25">
      <c r="G20" s="4" t="s">
        <v>63</v>
      </c>
      <c r="H20" s="4">
        <f>B26+B38</f>
        <v>2.4975657254138261E-2</v>
      </c>
    </row>
    <row r="21" spans="1:8" x14ac:dyDescent="0.25">
      <c r="A21" s="1" t="s">
        <v>72</v>
      </c>
      <c r="B21" s="1" t="s">
        <v>52</v>
      </c>
      <c r="C21" s="1" t="s">
        <v>53</v>
      </c>
      <c r="D21" s="1" t="s">
        <v>56</v>
      </c>
      <c r="E21" s="1" t="s">
        <v>91</v>
      </c>
      <c r="F21" s="1" t="s">
        <v>69</v>
      </c>
      <c r="G21" s="4" t="s">
        <v>64</v>
      </c>
      <c r="H21" s="4">
        <f>1/H20</f>
        <v>40.038986354775837</v>
      </c>
    </row>
    <row r="22" spans="1:8" x14ac:dyDescent="0.25">
      <c r="A22" s="1">
        <v>2</v>
      </c>
      <c r="B22" s="1">
        <v>3</v>
      </c>
      <c r="C22" s="1">
        <f>B22*$B$19</f>
        <v>9</v>
      </c>
      <c r="D22" s="1">
        <f t="shared" ref="D22:D23" si="3">_xlfn.HYPGEOM.DIST($B$18,$B$17,$B$2,$B$1-$B$5,0)*C10</f>
        <v>2.0542748390849647E-2</v>
      </c>
      <c r="E22" s="1">
        <v>1</v>
      </c>
      <c r="F22" s="1">
        <f>D22*E22</f>
        <v>2.0542748390849647E-2</v>
      </c>
      <c r="G22" s="4" t="s">
        <v>60</v>
      </c>
      <c r="H22" s="4">
        <f>H14*_xlfn.NORM.S.INV(0.975)</f>
        <v>6.8840923040855806</v>
      </c>
    </row>
    <row r="23" spans="1:8" x14ac:dyDescent="0.25">
      <c r="A23" s="1">
        <v>3</v>
      </c>
      <c r="B23" s="1">
        <v>16</v>
      </c>
      <c r="C23" s="1">
        <f>B23*$B$19</f>
        <v>48</v>
      </c>
      <c r="D23" s="1">
        <f t="shared" si="3"/>
        <v>2.054274839084966E-3</v>
      </c>
      <c r="E23" s="1">
        <v>1</v>
      </c>
      <c r="F23" s="1">
        <f>D23*E23</f>
        <v>2.054274839084966E-3</v>
      </c>
      <c r="G23" s="4" t="s">
        <v>83</v>
      </c>
      <c r="H23" s="39">
        <f>B13+B25+B37</f>
        <v>0.98143881435020686</v>
      </c>
    </row>
    <row r="25" spans="1:8" x14ac:dyDescent="0.25">
      <c r="A25" s="4" t="s">
        <v>68</v>
      </c>
      <c r="B25" s="38">
        <f>SUMPRODUCT(C22:C23,D22:D23)</f>
        <v>0.28348992779372517</v>
      </c>
    </row>
    <row r="26" spans="1:8" x14ac:dyDescent="0.25">
      <c r="A26" s="4" t="s">
        <v>67</v>
      </c>
      <c r="B26" s="4">
        <f>SUM(D22:D23)</f>
        <v>2.2597023229934614E-2</v>
      </c>
    </row>
    <row r="27" spans="1:8" x14ac:dyDescent="0.25">
      <c r="A27" s="4" t="s">
        <v>50</v>
      </c>
      <c r="B27" s="4">
        <f>1/B26</f>
        <v>44.253616497383824</v>
      </c>
    </row>
    <row r="29" spans="1:8" x14ac:dyDescent="0.25">
      <c r="A29" s="42" t="s">
        <v>78</v>
      </c>
      <c r="B29" s="42">
        <v>3</v>
      </c>
    </row>
    <row r="30" spans="1:8" x14ac:dyDescent="0.25">
      <c r="A30" s="42" t="s">
        <v>70</v>
      </c>
      <c r="B30" s="42">
        <v>3</v>
      </c>
    </row>
    <row r="31" spans="1:8" x14ac:dyDescent="0.25">
      <c r="A31" s="42" t="s">
        <v>51</v>
      </c>
      <c r="B31" s="42">
        <v>6</v>
      </c>
    </row>
    <row r="33" spans="1:6" x14ac:dyDescent="0.25">
      <c r="A33" s="1" t="s">
        <v>72</v>
      </c>
      <c r="B33" s="1" t="s">
        <v>52</v>
      </c>
      <c r="C33" s="1" t="s">
        <v>53</v>
      </c>
      <c r="D33" s="1" t="s">
        <v>56</v>
      </c>
      <c r="E33" s="1" t="s">
        <v>91</v>
      </c>
      <c r="F33" s="1" t="s">
        <v>71</v>
      </c>
    </row>
    <row r="34" spans="1:6" x14ac:dyDescent="0.25">
      <c r="A34" s="1">
        <v>2</v>
      </c>
      <c r="B34" s="1">
        <v>3</v>
      </c>
      <c r="C34" s="1">
        <f>$B$31*B34</f>
        <v>18</v>
      </c>
      <c r="D34" s="1">
        <f>_xlfn.HYPGEOM.DIST($B$30,$B$29,$B$2,$B$1-$B$5,0)*C10</f>
        <v>2.16239456745786E-3</v>
      </c>
      <c r="E34" s="1">
        <v>1</v>
      </c>
      <c r="F34" s="1">
        <f>D34*E34</f>
        <v>2.16239456745786E-3</v>
      </c>
    </row>
    <row r="35" spans="1:6" x14ac:dyDescent="0.25">
      <c r="A35" s="1">
        <v>3</v>
      </c>
      <c r="B35" s="1">
        <v>16</v>
      </c>
      <c r="C35" s="1">
        <f>$B$31*B35</f>
        <v>96</v>
      </c>
      <c r="D35" s="1">
        <f>_xlfn.HYPGEOM.DIST($B$30,$B$29,$B$2,$B$1-$B$5,0)*C11</f>
        <v>2.1623945674578612E-4</v>
      </c>
      <c r="E35" s="1">
        <v>1</v>
      </c>
      <c r="F35" s="1">
        <f>D35*E35</f>
        <v>2.1623945674578612E-4</v>
      </c>
    </row>
    <row r="37" spans="1:6" x14ac:dyDescent="0.25">
      <c r="A37" s="4" t="s">
        <v>68</v>
      </c>
      <c r="B37" s="4">
        <f>SUMPRODUCT(D34:D35,C34:C35)</f>
        <v>5.9682090061836945E-2</v>
      </c>
    </row>
    <row r="38" spans="1:6" x14ac:dyDescent="0.25">
      <c r="A38" s="4" t="s">
        <v>67</v>
      </c>
      <c r="B38" s="4">
        <f>SUM(F34:F35)</f>
        <v>2.3786340242036462E-3</v>
      </c>
    </row>
    <row r="39" spans="1:6" x14ac:dyDescent="0.25">
      <c r="A39" s="4" t="s">
        <v>50</v>
      </c>
      <c r="B39" s="4">
        <f>1/B38</f>
        <v>420.40935672514587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3"/>
  <sheetViews>
    <sheetView workbookViewId="0">
      <selection activeCell="B5" sqref="B5"/>
    </sheetView>
  </sheetViews>
  <sheetFormatPr defaultRowHeight="15.75" x14ac:dyDescent="0.25"/>
  <cols>
    <col min="1" max="1" width="18.85546875" style="1" bestFit="1" customWidth="1"/>
    <col min="2" max="2" width="9.140625" style="1"/>
    <col min="3" max="3" width="21.140625" style="1" customWidth="1"/>
    <col min="4" max="4" width="20.85546875" style="1" bestFit="1" customWidth="1"/>
    <col min="5" max="5" width="21.5703125" style="1" customWidth="1"/>
    <col min="6" max="6" width="21.7109375" style="1" customWidth="1"/>
    <col min="7" max="9" width="9.140625" style="1"/>
    <col min="10" max="10" width="27.42578125" style="1" bestFit="1" customWidth="1"/>
    <col min="11" max="11" width="26.5703125" style="1" bestFit="1" customWidth="1"/>
    <col min="12" max="12" width="34.28515625" style="1" customWidth="1"/>
    <col min="13" max="16384" width="9.140625" style="1"/>
  </cols>
  <sheetData>
    <row r="1" spans="1:12" x14ac:dyDescent="0.25">
      <c r="A1" s="4" t="s">
        <v>74</v>
      </c>
      <c r="B1" s="4">
        <v>80</v>
      </c>
    </row>
    <row r="2" spans="1:12" x14ac:dyDescent="0.25">
      <c r="A2" s="4" t="s">
        <v>73</v>
      </c>
      <c r="B2" s="4">
        <v>20</v>
      </c>
      <c r="J2" s="4" t="s">
        <v>89</v>
      </c>
      <c r="K2" s="4" t="s">
        <v>88</v>
      </c>
      <c r="L2" s="1" t="s">
        <v>87</v>
      </c>
    </row>
    <row r="3" spans="1:12" x14ac:dyDescent="0.25">
      <c r="A3" s="4" t="s">
        <v>47</v>
      </c>
      <c r="B3" s="4">
        <v>3</v>
      </c>
      <c r="J3" s="1">
        <v>0</v>
      </c>
      <c r="K3" s="36">
        <f>SUM(C8:C9)</f>
        <v>0.74105325054692139</v>
      </c>
      <c r="L3" s="1">
        <f>($K$15-J3)^2*K3</f>
        <v>0.60984388160964964</v>
      </c>
    </row>
    <row r="4" spans="1:12" x14ac:dyDescent="0.25">
      <c r="J4" s="1">
        <v>1</v>
      </c>
      <c r="K4" s="1">
        <f>C10-D23-D37</f>
        <v>0.17700465801731632</v>
      </c>
      <c r="L4" s="1">
        <f t="shared" ref="L4:L12" si="0">($K$15-J4)^2*K4</f>
        <v>1.5255997103335499E-3</v>
      </c>
    </row>
    <row r="5" spans="1:12" x14ac:dyDescent="0.25">
      <c r="A5" s="3" t="s">
        <v>85</v>
      </c>
      <c r="B5" s="3">
        <v>4</v>
      </c>
      <c r="J5" s="1">
        <v>5</v>
      </c>
      <c r="K5" s="1">
        <f>C11-D24-D38</f>
        <v>3.6000947393352467E-2</v>
      </c>
      <c r="L5" s="1">
        <f t="shared" si="0"/>
        <v>0.6030636313137292</v>
      </c>
    </row>
    <row r="6" spans="1:12" x14ac:dyDescent="0.25">
      <c r="J6" s="1">
        <v>74</v>
      </c>
      <c r="K6" s="1">
        <f>C12-D25-D39</f>
        <v>2.5500671070291339E-3</v>
      </c>
      <c r="L6" s="1">
        <f t="shared" si="0"/>
        <v>13.623894262449626</v>
      </c>
    </row>
    <row r="7" spans="1:12" x14ac:dyDescent="0.25">
      <c r="A7" s="6" t="s">
        <v>75</v>
      </c>
      <c r="B7" s="6" t="s">
        <v>52</v>
      </c>
      <c r="C7" s="6" t="s">
        <v>56</v>
      </c>
      <c r="D7" s="1" t="s">
        <v>91</v>
      </c>
      <c r="E7" s="6" t="s">
        <v>67</v>
      </c>
      <c r="J7" s="1">
        <v>3</v>
      </c>
      <c r="K7" s="1">
        <f>D23</f>
        <v>3.2182665094057511E-2</v>
      </c>
      <c r="L7" s="1">
        <f t="shared" si="0"/>
        <v>0.14095919904827026</v>
      </c>
    </row>
    <row r="8" spans="1:12" x14ac:dyDescent="0.25">
      <c r="A8" s="6">
        <v>0</v>
      </c>
      <c r="B8" s="6">
        <v>0</v>
      </c>
      <c r="C8" s="6">
        <f>_xlfn.HYPGEOM.DIST(A8,$B$5,$B$2,$B$1,0)</f>
        <v>0.30832142541003293</v>
      </c>
      <c r="D8" s="6">
        <f>IF(Table24[[#This Row],[PAY]]=0,0,1)</f>
        <v>0</v>
      </c>
      <c r="E8" s="6">
        <f>C8*D8</f>
        <v>0</v>
      </c>
      <c r="J8" s="1">
        <v>15</v>
      </c>
      <c r="K8" s="1">
        <f t="shared" ref="K8:K9" si="1">D24</f>
        <v>6.5456267987913574E-3</v>
      </c>
      <c r="L8" s="1">
        <f t="shared" si="0"/>
        <v>1.3000144756365686</v>
      </c>
    </row>
    <row r="9" spans="1:12" x14ac:dyDescent="0.25">
      <c r="A9" s="6">
        <v>1</v>
      </c>
      <c r="B9" s="6">
        <v>0</v>
      </c>
      <c r="C9" s="6">
        <f t="shared" ref="C9:C11" si="2">_xlfn.HYPGEOM.DIST(A9,$B$5,$B$2,$B$1,0)</f>
        <v>0.4327318251368884</v>
      </c>
      <c r="D9" s="6">
        <f>IF(Table24[[#This Row],[PAY]]=0,0,1)</f>
        <v>0</v>
      </c>
      <c r="E9" s="6">
        <f t="shared" ref="E9:E11" si="3">C9*D9</f>
        <v>0</v>
      </c>
      <c r="J9" s="1">
        <v>222</v>
      </c>
      <c r="K9" s="1">
        <f t="shared" si="1"/>
        <v>4.6364856491438794E-4</v>
      </c>
      <c r="L9" s="1">
        <f t="shared" si="0"/>
        <v>22.664089189270843</v>
      </c>
    </row>
    <row r="10" spans="1:12" x14ac:dyDescent="0.25">
      <c r="A10" s="6">
        <v>2</v>
      </c>
      <c r="B10" s="6">
        <v>1</v>
      </c>
      <c r="C10" s="6">
        <f t="shared" si="2"/>
        <v>0.21263546580002285</v>
      </c>
      <c r="D10" s="6">
        <f>IF(Table24[[#This Row],[PAY]]=0,0,1)</f>
        <v>1</v>
      </c>
      <c r="E10" s="6">
        <f t="shared" si="3"/>
        <v>0.21263546580002285</v>
      </c>
      <c r="J10" s="1">
        <v>6</v>
      </c>
      <c r="K10" s="1">
        <f>D37</f>
        <v>3.4481426886490188E-3</v>
      </c>
      <c r="L10" s="1">
        <f t="shared" si="0"/>
        <v>8.943448943392128E-2</v>
      </c>
    </row>
    <row r="11" spans="1:12" x14ac:dyDescent="0.25">
      <c r="A11" s="6">
        <v>3</v>
      </c>
      <c r="B11" s="6">
        <v>5</v>
      </c>
      <c r="C11" s="6">
        <f t="shared" si="2"/>
        <v>4.3247891349157186E-2</v>
      </c>
      <c r="D11" s="6">
        <f>IF(Table24[[#This Row],[PAY]]=0,0,1)</f>
        <v>1</v>
      </c>
      <c r="E11" s="6">
        <f t="shared" si="3"/>
        <v>4.3247891349157186E-2</v>
      </c>
      <c r="J11" s="1">
        <v>30</v>
      </c>
      <c r="K11" s="1">
        <f t="shared" ref="K11:K12" si="4">D38</f>
        <v>7.0131715701335969E-4</v>
      </c>
      <c r="L11" s="1">
        <f t="shared" si="0"/>
        <v>0.59359010777024801</v>
      </c>
    </row>
    <row r="12" spans="1:12" x14ac:dyDescent="0.25">
      <c r="A12" s="6">
        <v>4</v>
      </c>
      <c r="B12" s="6">
        <v>74</v>
      </c>
      <c r="C12" s="6">
        <f>_xlfn.HYPGEOM.DIST(A12,$B$5,$B$2,$B$1,0)</f>
        <v>3.0633923038986348E-3</v>
      </c>
      <c r="D12" s="6">
        <f>IF(Table24[[#This Row],[PAY]]=0,0,1)</f>
        <v>1</v>
      </c>
      <c r="E12" s="6">
        <f>C12*D12</f>
        <v>3.0633923038986348E-3</v>
      </c>
      <c r="J12" s="1">
        <v>444</v>
      </c>
      <c r="K12" s="1">
        <f t="shared" si="4"/>
        <v>4.9676631955112992E-5</v>
      </c>
      <c r="L12" s="1">
        <f t="shared" si="0"/>
        <v>9.7530759181202455</v>
      </c>
    </row>
    <row r="14" spans="1:12" x14ac:dyDescent="0.25">
      <c r="A14" s="4" t="s">
        <v>68</v>
      </c>
      <c r="B14" s="39">
        <f>SUMPRODUCT(Table24[PAY],Table24[PROBABILITY])</f>
        <v>0.65556595303430776</v>
      </c>
    </row>
    <row r="15" spans="1:12" x14ac:dyDescent="0.25">
      <c r="A15" s="4" t="s">
        <v>67</v>
      </c>
      <c r="B15" s="4">
        <f>SUM(E8:E12)</f>
        <v>0.25894674945307866</v>
      </c>
      <c r="J15" s="4" t="s">
        <v>90</v>
      </c>
      <c r="K15" s="4">
        <f>SUMPRODUCT(J3:J12,K3:K12)</f>
        <v>0.90716153500963648</v>
      </c>
    </row>
    <row r="16" spans="1:12" x14ac:dyDescent="0.25">
      <c r="A16" s="4" t="s">
        <v>50</v>
      </c>
      <c r="B16" s="4">
        <f>1/B15</f>
        <v>3.8617978488322393</v>
      </c>
      <c r="J16" s="4" t="s">
        <v>58</v>
      </c>
      <c r="K16" s="4">
        <f>SUM(L3:L12)</f>
        <v>49.379490754363431</v>
      </c>
    </row>
    <row r="17" spans="1:11" x14ac:dyDescent="0.25">
      <c r="J17" s="4" t="s">
        <v>59</v>
      </c>
      <c r="K17" s="4">
        <f>K16^0.5</f>
        <v>7.0270542017522128</v>
      </c>
    </row>
    <row r="18" spans="1:11" x14ac:dyDescent="0.25">
      <c r="A18" s="3" t="s">
        <v>77</v>
      </c>
      <c r="B18" s="3">
        <v>3</v>
      </c>
    </row>
    <row r="19" spans="1:11" x14ac:dyDescent="0.25">
      <c r="A19" s="3" t="s">
        <v>76</v>
      </c>
      <c r="B19" s="3">
        <v>2</v>
      </c>
      <c r="J19"/>
    </row>
    <row r="20" spans="1:11" ht="18.75" x14ac:dyDescent="0.25">
      <c r="A20" s="3" t="s">
        <v>51</v>
      </c>
      <c r="B20" s="3">
        <v>3</v>
      </c>
      <c r="J20" s="1" t="s">
        <v>86</v>
      </c>
    </row>
    <row r="22" spans="1:11" x14ac:dyDescent="0.25">
      <c r="A22" s="1" t="s">
        <v>72</v>
      </c>
      <c r="B22" s="1" t="s">
        <v>52</v>
      </c>
      <c r="C22" s="1" t="s">
        <v>53</v>
      </c>
      <c r="D22" s="1" t="s">
        <v>56</v>
      </c>
      <c r="E22" s="1" t="s">
        <v>91</v>
      </c>
      <c r="F22" s="1" t="s">
        <v>71</v>
      </c>
      <c r="J22" s="4" t="s">
        <v>62</v>
      </c>
      <c r="K22" s="39">
        <f>B27+B41</f>
        <v>0.36144717410540211</v>
      </c>
    </row>
    <row r="23" spans="1:11" x14ac:dyDescent="0.25">
      <c r="A23" s="7">
        <v>2</v>
      </c>
      <c r="B23" s="8">
        <v>1</v>
      </c>
      <c r="C23" s="1">
        <f>B23*$B$20</f>
        <v>3</v>
      </c>
      <c r="D23" s="1">
        <f>_xlfn.HYPGEOM.DIST($B$19,$B$18,$B$2,$B$1-$B$5,0)*C10</f>
        <v>3.2182665094057511E-2</v>
      </c>
      <c r="E23" s="1">
        <v>1</v>
      </c>
      <c r="F23" s="1">
        <f>D23*E23</f>
        <v>3.2182665094057511E-2</v>
      </c>
      <c r="J23" s="4" t="s">
        <v>63</v>
      </c>
      <c r="K23" s="4">
        <f>B28+B42</f>
        <v>4.3391076935380753E-2</v>
      </c>
    </row>
    <row r="24" spans="1:11" x14ac:dyDescent="0.25">
      <c r="A24" s="7">
        <v>3</v>
      </c>
      <c r="B24" s="8">
        <v>5</v>
      </c>
      <c r="C24" s="1">
        <f t="shared" ref="C24:C25" si="5">B24*$B$20</f>
        <v>15</v>
      </c>
      <c r="D24" s="1">
        <f t="shared" ref="D24:D25" si="6">_xlfn.HYPGEOM.DIST($B$19,$B$18,$B$2,$B$1-$B$5,0)*C11</f>
        <v>6.5456267987913574E-3</v>
      </c>
      <c r="E24" s="1">
        <v>1</v>
      </c>
      <c r="F24" s="1">
        <f>D24*E24</f>
        <v>6.5456267987913574E-3</v>
      </c>
      <c r="J24" s="4" t="s">
        <v>64</v>
      </c>
      <c r="K24" s="4">
        <f>1/K23</f>
        <v>23.046212968837555</v>
      </c>
    </row>
    <row r="25" spans="1:11" x14ac:dyDescent="0.25">
      <c r="A25" s="9">
        <v>4</v>
      </c>
      <c r="B25" s="10">
        <v>74</v>
      </c>
      <c r="C25" s="1">
        <f t="shared" si="5"/>
        <v>222</v>
      </c>
      <c r="D25" s="1">
        <f t="shared" si="6"/>
        <v>4.6364856491438794E-4</v>
      </c>
      <c r="E25" s="1">
        <v>1</v>
      </c>
      <c r="F25" s="1">
        <f>D25*E25</f>
        <v>4.6364856491438794E-4</v>
      </c>
      <c r="J25" s="4" t="s">
        <v>60</v>
      </c>
      <c r="K25" s="4">
        <f>K17*_xlfn.NORM.S.INV(0.975)</f>
        <v>13.772773152845193</v>
      </c>
    </row>
    <row r="26" spans="1:11" x14ac:dyDescent="0.25">
      <c r="J26" s="4" t="s">
        <v>83</v>
      </c>
      <c r="K26" s="39">
        <f>B14+B27+B41</f>
        <v>1.0170131271397098</v>
      </c>
    </row>
    <row r="27" spans="1:11" x14ac:dyDescent="0.25">
      <c r="A27" s="4" t="s">
        <v>68</v>
      </c>
      <c r="B27" s="4">
        <f>SUMPRODUCT(C23:C25,D23:D25)</f>
        <v>0.29766237867503703</v>
      </c>
    </row>
    <row r="28" spans="1:11" x14ac:dyDescent="0.25">
      <c r="A28" s="4" t="s">
        <v>67</v>
      </c>
      <c r="B28" s="4">
        <f>SUM(F23:F25)</f>
        <v>3.9191940457763259E-2</v>
      </c>
    </row>
    <row r="29" spans="1:11" x14ac:dyDescent="0.25">
      <c r="A29" s="4" t="s">
        <v>50</v>
      </c>
      <c r="B29" s="4">
        <f>1/B28</f>
        <v>25.515450072641578</v>
      </c>
    </row>
    <row r="32" spans="1:11" x14ac:dyDescent="0.25">
      <c r="A32" s="37" t="s">
        <v>79</v>
      </c>
      <c r="B32" s="37">
        <v>3</v>
      </c>
    </row>
    <row r="33" spans="1:6" x14ac:dyDescent="0.25">
      <c r="A33" s="37" t="s">
        <v>76</v>
      </c>
      <c r="B33" s="37">
        <v>3</v>
      </c>
    </row>
    <row r="34" spans="1:6" x14ac:dyDescent="0.25">
      <c r="A34" s="37" t="s">
        <v>51</v>
      </c>
      <c r="B34" s="37">
        <v>6</v>
      </c>
    </row>
    <row r="36" spans="1:6" x14ac:dyDescent="0.25">
      <c r="A36" s="1" t="s">
        <v>72</v>
      </c>
      <c r="B36" s="1" t="s">
        <v>52</v>
      </c>
      <c r="C36" s="1" t="s">
        <v>53</v>
      </c>
      <c r="D36" s="1" t="s">
        <v>56</v>
      </c>
      <c r="E36" s="1" t="s">
        <v>91</v>
      </c>
      <c r="F36" s="1" t="s">
        <v>71</v>
      </c>
    </row>
    <row r="37" spans="1:6" x14ac:dyDescent="0.25">
      <c r="A37" s="7">
        <v>2</v>
      </c>
      <c r="B37" s="8">
        <v>1</v>
      </c>
      <c r="C37" s="1">
        <f>B37*$B$34</f>
        <v>6</v>
      </c>
      <c r="D37" s="1">
        <f>_xlfn.HYPGEOM.DIST($B$32,$B$33,$B$2,$B$1-$B$5,0)*C10</f>
        <v>3.4481426886490188E-3</v>
      </c>
      <c r="E37" s="1">
        <v>1</v>
      </c>
      <c r="F37" s="1">
        <f>D37*E37</f>
        <v>3.4481426886490188E-3</v>
      </c>
    </row>
    <row r="38" spans="1:6" x14ac:dyDescent="0.25">
      <c r="A38" s="7">
        <v>3</v>
      </c>
      <c r="B38" s="8">
        <v>5</v>
      </c>
      <c r="C38" s="1">
        <f t="shared" ref="C38:C39" si="7">B38*$B$34</f>
        <v>30</v>
      </c>
      <c r="D38" s="1">
        <f t="shared" ref="D38:D39" si="8">_xlfn.HYPGEOM.DIST($B$32,$B$33,$B$2,$B$1-$B$5,0)*C11</f>
        <v>7.0131715701335969E-4</v>
      </c>
      <c r="E38" s="1">
        <v>1</v>
      </c>
      <c r="F38" s="1">
        <f t="shared" ref="F38:F39" si="9">D38*E38</f>
        <v>7.0131715701335969E-4</v>
      </c>
    </row>
    <row r="39" spans="1:6" x14ac:dyDescent="0.25">
      <c r="A39" s="9">
        <v>4</v>
      </c>
      <c r="B39" s="10">
        <v>74</v>
      </c>
      <c r="C39" s="1">
        <f t="shared" si="7"/>
        <v>444</v>
      </c>
      <c r="D39" s="1">
        <f t="shared" si="8"/>
        <v>4.9676631955112992E-5</v>
      </c>
      <c r="E39" s="1">
        <v>1</v>
      </c>
      <c r="F39" s="1">
        <f t="shared" si="9"/>
        <v>4.9676631955112992E-5</v>
      </c>
    </row>
    <row r="41" spans="1:6" x14ac:dyDescent="0.25">
      <c r="A41" s="4" t="s">
        <v>68</v>
      </c>
      <c r="B41" s="4">
        <f>SUMPRODUCT(C37:C39,D37:D39)</f>
        <v>6.3784795430365068E-2</v>
      </c>
    </row>
    <row r="42" spans="1:6" x14ac:dyDescent="0.25">
      <c r="A42" s="4" t="s">
        <v>67</v>
      </c>
      <c r="B42" s="4">
        <f>SUM(F37:F39)</f>
        <v>4.1991364776174907E-3</v>
      </c>
    </row>
    <row r="43" spans="1:6" x14ac:dyDescent="0.25">
      <c r="A43" s="4" t="s">
        <v>50</v>
      </c>
      <c r="B43" s="4">
        <f>1/B42</f>
        <v>238.14420067798815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9B52B-FF11-4B23-8ABB-593959EEB58E}">
  <dimension ref="A1:J45"/>
  <sheetViews>
    <sheetView workbookViewId="0">
      <selection activeCell="B5" sqref="B5"/>
    </sheetView>
  </sheetViews>
  <sheetFormatPr defaultRowHeight="15.75" x14ac:dyDescent="0.25"/>
  <cols>
    <col min="1" max="1" width="18.85546875" style="1" bestFit="1" customWidth="1"/>
    <col min="2" max="2" width="9.140625" style="1"/>
    <col min="3" max="3" width="21.140625" style="1" customWidth="1"/>
    <col min="4" max="4" width="20.85546875" style="1" bestFit="1" customWidth="1"/>
    <col min="5" max="5" width="21.5703125" style="1" customWidth="1"/>
    <col min="6" max="6" width="21.7109375" style="1" customWidth="1"/>
    <col min="7" max="7" width="9.140625" style="1"/>
    <col min="8" max="8" width="27.42578125" style="1" bestFit="1" customWidth="1"/>
    <col min="9" max="9" width="26.5703125" style="1" bestFit="1" customWidth="1"/>
    <col min="10" max="10" width="34.28515625" style="1" customWidth="1"/>
    <col min="11" max="16384" width="9.140625" style="1"/>
  </cols>
  <sheetData>
    <row r="1" spans="1:10" x14ac:dyDescent="0.25">
      <c r="A1" s="4" t="s">
        <v>46</v>
      </c>
      <c r="B1" s="4">
        <v>80</v>
      </c>
      <c r="H1" s="4" t="s">
        <v>89</v>
      </c>
      <c r="I1" s="4" t="s">
        <v>88</v>
      </c>
      <c r="J1" s="1" t="s">
        <v>87</v>
      </c>
    </row>
    <row r="2" spans="1:10" x14ac:dyDescent="0.25">
      <c r="A2" s="4" t="s">
        <v>66</v>
      </c>
      <c r="B2" s="4">
        <v>20</v>
      </c>
      <c r="H2" s="1">
        <v>0</v>
      </c>
      <c r="I2" s="1">
        <f>SUM(C8:C9)</f>
        <v>0.63287029426269914</v>
      </c>
      <c r="J2" s="1">
        <f>($I$16-H2)^2*I2</f>
        <v>0.51495307117108813</v>
      </c>
    </row>
    <row r="3" spans="1:10" x14ac:dyDescent="0.25">
      <c r="A3" s="4" t="s">
        <v>47</v>
      </c>
      <c r="B3" s="4">
        <v>3</v>
      </c>
      <c r="H3" s="1">
        <v>1</v>
      </c>
      <c r="I3" s="1">
        <f>C10-D24-D38</f>
        <v>0.22403604812136102</v>
      </c>
      <c r="J3" s="1">
        <f t="shared" ref="J3:J14" si="0">($I$16-H3)^2*I3</f>
        <v>2.1498246376148835E-3</v>
      </c>
    </row>
    <row r="4" spans="1:10" x14ac:dyDescent="0.25">
      <c r="H4" s="1">
        <v>2</v>
      </c>
      <c r="I4" s="1">
        <f>C11-D25-D39</f>
        <v>6.9528428727318972E-2</v>
      </c>
      <c r="J4" s="1">
        <f t="shared" si="0"/>
        <v>8.3817430651420957E-2</v>
      </c>
    </row>
    <row r="5" spans="1:10" x14ac:dyDescent="0.25">
      <c r="A5" s="3" t="s">
        <v>85</v>
      </c>
      <c r="B5" s="3">
        <v>5</v>
      </c>
      <c r="H5" s="1">
        <v>13</v>
      </c>
      <c r="I5" s="1">
        <f>C12-D26-D40</f>
        <v>1.0016807528512049E-2</v>
      </c>
      <c r="J5" s="1">
        <f t="shared" si="0"/>
        <v>1.4660659826790494</v>
      </c>
    </row>
    <row r="6" spans="1:10" x14ac:dyDescent="0.25">
      <c r="H6" s="1">
        <v>80</v>
      </c>
      <c r="I6" s="1">
        <f>C13-D27-D41</f>
        <v>5.3422973485397671E-4</v>
      </c>
      <c r="J6" s="1">
        <f t="shared" si="0"/>
        <v>3.342401420276663</v>
      </c>
    </row>
    <row r="7" spans="1:10" x14ac:dyDescent="0.25">
      <c r="A7" s="6" t="s">
        <v>65</v>
      </c>
      <c r="B7" s="6" t="s">
        <v>52</v>
      </c>
      <c r="C7" s="6" t="s">
        <v>56</v>
      </c>
      <c r="D7" s="1" t="s">
        <v>91</v>
      </c>
      <c r="E7" s="6" t="s">
        <v>67</v>
      </c>
      <c r="H7" s="1">
        <v>3</v>
      </c>
      <c r="I7" s="1">
        <f>D24</f>
        <v>4.1855308891896363E-2</v>
      </c>
      <c r="J7" s="1">
        <f t="shared" si="0"/>
        <v>0.18422322410394321</v>
      </c>
    </row>
    <row r="8" spans="1:10" x14ac:dyDescent="0.25">
      <c r="A8" s="6">
        <v>0</v>
      </c>
      <c r="B8" s="6">
        <v>0</v>
      </c>
      <c r="C8" s="6">
        <f>_xlfn.HYPGEOM.DIST(A8,$B$5,$B$2,$B$1,0)</f>
        <v>0.22718420819686647</v>
      </c>
      <c r="D8" s="6">
        <f>IF(Table247[[#This Row],[PAY]]=0,0,1)</f>
        <v>0</v>
      </c>
      <c r="E8" s="6">
        <f>C8*D8</f>
        <v>0</v>
      </c>
      <c r="H8" s="1">
        <v>6</v>
      </c>
      <c r="I8" s="1">
        <f t="shared" ref="I8:I10" si="1">D25</f>
        <v>1.2989578621623015E-2</v>
      </c>
      <c r="J8" s="1">
        <f t="shared" si="0"/>
        <v>0.33758852133305911</v>
      </c>
    </row>
    <row r="9" spans="1:10" x14ac:dyDescent="0.25">
      <c r="A9" s="6">
        <v>1</v>
      </c>
      <c r="B9" s="6">
        <v>0</v>
      </c>
      <c r="C9" s="6">
        <f t="shared" ref="C9:C11" si="2">_xlfn.HYPGEOM.DIST(A9,$B$5,$B$2,$B$1,0)</f>
        <v>0.40568608606583267</v>
      </c>
      <c r="D9" s="6">
        <f>IF(Table247[[#This Row],[PAY]]=0,0,1)</f>
        <v>0</v>
      </c>
      <c r="E9" s="6">
        <f t="shared" ref="E9:E11" si="3">C9*D9</f>
        <v>0</v>
      </c>
      <c r="H9" s="1">
        <v>39</v>
      </c>
      <c r="I9" s="1">
        <f t="shared" si="1"/>
        <v>1.8713799709117892E-3</v>
      </c>
      <c r="J9" s="1">
        <f t="shared" si="0"/>
        <v>2.7162227853495291</v>
      </c>
    </row>
    <row r="10" spans="1:10" x14ac:dyDescent="0.25">
      <c r="A10" s="6">
        <v>2</v>
      </c>
      <c r="B10" s="6">
        <v>1</v>
      </c>
      <c r="C10" s="6">
        <f t="shared" si="2"/>
        <v>0.27045739071055519</v>
      </c>
      <c r="D10" s="6">
        <f>IF(Table247[[#This Row],[PAY]]=0,0,1)</f>
        <v>1</v>
      </c>
      <c r="E10" s="6">
        <f t="shared" si="3"/>
        <v>0.27045739071055519</v>
      </c>
      <c r="H10" s="1">
        <v>240</v>
      </c>
      <c r="I10" s="1">
        <f t="shared" si="1"/>
        <v>9.9806931781962216E-5</v>
      </c>
      <c r="J10" s="1">
        <f t="shared" si="0"/>
        <v>5.7057460888291649</v>
      </c>
    </row>
    <row r="11" spans="1:10" x14ac:dyDescent="0.25">
      <c r="A11" s="6">
        <v>3</v>
      </c>
      <c r="B11" s="6">
        <v>2</v>
      </c>
      <c r="C11" s="6">
        <f t="shared" si="2"/>
        <v>8.3935052289482684E-2</v>
      </c>
      <c r="D11" s="6">
        <f>IF(Table247[[#This Row],[PAY]]=0,0,1)</f>
        <v>1</v>
      </c>
      <c r="E11" s="6">
        <f t="shared" si="3"/>
        <v>8.3935052289482684E-2</v>
      </c>
      <c r="H11" s="1">
        <v>6</v>
      </c>
      <c r="I11" s="1">
        <f>D38</f>
        <v>4.5660336972977869E-3</v>
      </c>
      <c r="J11" s="1">
        <f t="shared" si="0"/>
        <v>0.11866748022616623</v>
      </c>
    </row>
    <row r="12" spans="1:10" x14ac:dyDescent="0.25">
      <c r="A12" s="6">
        <v>4</v>
      </c>
      <c r="B12" s="6">
        <v>13</v>
      </c>
      <c r="C12" s="6">
        <f>_xlfn.HYPGEOM.DIST(A12,$B$5,$B$2,$B$1,0)</f>
        <v>1.2092338041705125E-2</v>
      </c>
      <c r="D12" s="6">
        <f>IF(Table247[[#This Row],[PAY]]=0,0,1)</f>
        <v>1</v>
      </c>
      <c r="E12" s="6">
        <f>C12*D12</f>
        <v>1.2092338041705125E-2</v>
      </c>
      <c r="H12" s="1">
        <v>12</v>
      </c>
      <c r="I12" s="1">
        <f t="shared" ref="I12:I14" si="4">D39</f>
        <v>1.4170449405406932E-3</v>
      </c>
      <c r="J12" s="1">
        <f t="shared" si="0"/>
        <v>0.17452989383159939</v>
      </c>
    </row>
    <row r="13" spans="1:10" x14ac:dyDescent="0.25">
      <c r="A13" s="6">
        <v>5</v>
      </c>
      <c r="B13" s="6">
        <v>80</v>
      </c>
      <c r="C13" s="6">
        <f>_xlfn.HYPGEOM.DIST(A13,$B$5,$B$2,$B$1,0)</f>
        <v>6.4492469555760745E-4</v>
      </c>
      <c r="D13" s="6">
        <f>IF(Table247[[#This Row],[PAY]]=0,0,1)</f>
        <v>1</v>
      </c>
      <c r="E13" s="6">
        <f>C13*D13</f>
        <v>6.4492469555760745E-4</v>
      </c>
      <c r="H13" s="1">
        <v>78</v>
      </c>
      <c r="I13" s="1">
        <f t="shared" si="4"/>
        <v>2.0415054228128618E-4</v>
      </c>
      <c r="J13" s="1">
        <f t="shared" si="0"/>
        <v>1.2134902625685691</v>
      </c>
    </row>
    <row r="14" spans="1:10" x14ac:dyDescent="0.25">
      <c r="C14" s="6"/>
      <c r="H14" s="1">
        <v>480</v>
      </c>
      <c r="I14" s="1">
        <f t="shared" si="4"/>
        <v>1.0888028921668608E-5</v>
      </c>
      <c r="J14" s="1">
        <f t="shared" si="0"/>
        <v>2.4991821281636732</v>
      </c>
    </row>
    <row r="15" spans="1:10" x14ac:dyDescent="0.25">
      <c r="A15" s="4" t="s">
        <v>68</v>
      </c>
      <c r="B15" s="39">
        <f>SUMPRODUCT(Table247[PAY],Table247[PROBABILITY])</f>
        <v>0.64712186547629569</v>
      </c>
    </row>
    <row r="16" spans="1:10" x14ac:dyDescent="0.25">
      <c r="A16" s="4" t="s">
        <v>67</v>
      </c>
      <c r="B16" s="4">
        <f>SUM(E8:E13)</f>
        <v>0.36712970573730058</v>
      </c>
      <c r="H16" s="4" t="s">
        <v>90</v>
      </c>
      <c r="I16" s="4">
        <f>SUMPRODUCT(H2:H14,I2:I14)</f>
        <v>0.90204140078424799</v>
      </c>
    </row>
    <row r="17" spans="1:9" x14ac:dyDescent="0.25">
      <c r="A17" s="4" t="s">
        <v>50</v>
      </c>
      <c r="B17" s="4">
        <f>1/B16</f>
        <v>2.7238329788424949</v>
      </c>
      <c r="H17" s="4" t="s">
        <v>58</v>
      </c>
      <c r="I17" s="4">
        <f>SUM(J2:J14)</f>
        <v>18.359038113821544</v>
      </c>
    </row>
    <row r="18" spans="1:9" x14ac:dyDescent="0.25">
      <c r="H18" s="4" t="s">
        <v>59</v>
      </c>
      <c r="I18" s="4">
        <f>I17^0.5</f>
        <v>4.2847448131506667</v>
      </c>
    </row>
    <row r="19" spans="1:9" x14ac:dyDescent="0.25">
      <c r="A19" s="37" t="s">
        <v>80</v>
      </c>
      <c r="B19" s="37">
        <v>3</v>
      </c>
    </row>
    <row r="20" spans="1:9" x14ac:dyDescent="0.25">
      <c r="A20" s="37" t="s">
        <v>81</v>
      </c>
      <c r="B20" s="37">
        <v>2</v>
      </c>
      <c r="H20"/>
    </row>
    <row r="21" spans="1:9" ht="18.75" x14ac:dyDescent="0.25">
      <c r="A21" s="37" t="s">
        <v>51</v>
      </c>
      <c r="B21" s="37">
        <v>3</v>
      </c>
      <c r="H21" s="1" t="s">
        <v>86</v>
      </c>
    </row>
    <row r="23" spans="1:9" x14ac:dyDescent="0.25">
      <c r="A23" s="1" t="s">
        <v>72</v>
      </c>
      <c r="B23" s="1" t="s">
        <v>52</v>
      </c>
      <c r="C23" s="1" t="s">
        <v>53</v>
      </c>
      <c r="D23" s="1" t="s">
        <v>56</v>
      </c>
      <c r="E23" s="1" t="s">
        <v>91</v>
      </c>
      <c r="F23" s="1" t="s">
        <v>71</v>
      </c>
      <c r="H23" s="4" t="s">
        <v>62</v>
      </c>
      <c r="I23" s="39">
        <f>B29+B43</f>
        <v>0.3659916185492742</v>
      </c>
    </row>
    <row r="24" spans="1:9" x14ac:dyDescent="0.25">
      <c r="A24" s="7">
        <v>2</v>
      </c>
      <c r="B24" s="8">
        <v>1</v>
      </c>
      <c r="C24" s="1">
        <f>B24*$B$21</f>
        <v>3</v>
      </c>
      <c r="D24" s="1">
        <f>_xlfn.HYPGEOM.DIST($B$20,$B$19,$B$2,$B$1-$B$5,0)*C10</f>
        <v>4.1855308891896363E-2</v>
      </c>
      <c r="E24" s="1">
        <v>1</v>
      </c>
      <c r="F24" s="1">
        <f>D24*E24</f>
        <v>4.1855308891896363E-2</v>
      </c>
      <c r="H24" s="4" t="s">
        <v>63</v>
      </c>
      <c r="I24" s="4">
        <f>B30+B44</f>
        <v>6.3014191625254568E-2</v>
      </c>
    </row>
    <row r="25" spans="1:9" x14ac:dyDescent="0.25">
      <c r="A25" s="7">
        <v>3</v>
      </c>
      <c r="B25" s="8">
        <v>2</v>
      </c>
      <c r="C25" s="1">
        <f t="shared" ref="C25:C27" si="5">B25*$B$21</f>
        <v>6</v>
      </c>
      <c r="D25" s="1">
        <f t="shared" ref="D25:D27" si="6">_xlfn.HYPGEOM.DIST($B$20,$B$19,$B$2,$B$1-$B$5,0)*C11</f>
        <v>1.2989578621623015E-2</v>
      </c>
      <c r="E25" s="1">
        <v>1</v>
      </c>
      <c r="F25" s="1">
        <f t="shared" ref="F25:F27" si="7">D25*E25</f>
        <v>1.2989578621623015E-2</v>
      </c>
      <c r="H25" s="4" t="s">
        <v>64</v>
      </c>
      <c r="I25" s="4">
        <f>1/I24</f>
        <v>15.869441060943867</v>
      </c>
    </row>
    <row r="26" spans="1:9" x14ac:dyDescent="0.25">
      <c r="A26" s="7">
        <v>4</v>
      </c>
      <c r="B26" s="8">
        <v>13</v>
      </c>
      <c r="C26" s="1">
        <f t="shared" si="5"/>
        <v>39</v>
      </c>
      <c r="D26" s="1">
        <f t="shared" si="6"/>
        <v>1.8713799709117892E-3</v>
      </c>
      <c r="E26" s="1">
        <v>1</v>
      </c>
      <c r="F26" s="1">
        <f t="shared" si="7"/>
        <v>1.8713799709117892E-3</v>
      </c>
      <c r="H26" s="4" t="s">
        <v>60</v>
      </c>
      <c r="I26" s="4">
        <f>I18*_xlfn.NORM.S.INV(0.975)</f>
        <v>8.3979455167201085</v>
      </c>
    </row>
    <row r="27" spans="1:9" x14ac:dyDescent="0.25">
      <c r="A27" s="9">
        <v>5</v>
      </c>
      <c r="B27" s="10">
        <v>80</v>
      </c>
      <c r="C27" s="1">
        <f t="shared" si="5"/>
        <v>240</v>
      </c>
      <c r="D27" s="1">
        <f t="shared" si="6"/>
        <v>9.9806931781962216E-5</v>
      </c>
      <c r="E27" s="1">
        <v>1</v>
      </c>
      <c r="F27" s="1">
        <f t="shared" si="7"/>
        <v>9.9806931781962216E-5</v>
      </c>
      <c r="H27" s="4" t="s">
        <v>83</v>
      </c>
      <c r="I27" s="39">
        <f>B15+B29+B43</f>
        <v>1.01311348402557</v>
      </c>
    </row>
    <row r="29" spans="1:9" x14ac:dyDescent="0.25">
      <c r="A29" s="4" t="s">
        <v>68</v>
      </c>
      <c r="B29" s="4">
        <f>SUMPRODUCT(C24:C27,D24:D27)</f>
        <v>0.30044088089865789</v>
      </c>
    </row>
    <row r="30" spans="1:9" x14ac:dyDescent="0.25">
      <c r="A30" s="4" t="s">
        <v>67</v>
      </c>
      <c r="B30" s="4">
        <f>SUM(F24:F27)</f>
        <v>5.6816074416213128E-2</v>
      </c>
    </row>
    <row r="31" spans="1:9" x14ac:dyDescent="0.25">
      <c r="A31" s="4" t="s">
        <v>50</v>
      </c>
      <c r="B31" s="4">
        <f>1/B30</f>
        <v>17.600652813046835</v>
      </c>
    </row>
    <row r="33" spans="1:6" x14ac:dyDescent="0.25">
      <c r="A33" s="3" t="s">
        <v>77</v>
      </c>
      <c r="B33" s="3">
        <v>3</v>
      </c>
    </row>
    <row r="34" spans="1:6" x14ac:dyDescent="0.25">
      <c r="A34" s="3" t="s">
        <v>76</v>
      </c>
      <c r="B34" s="3">
        <v>3</v>
      </c>
    </row>
    <row r="35" spans="1:6" x14ac:dyDescent="0.25">
      <c r="A35" s="3" t="s">
        <v>51</v>
      </c>
      <c r="B35" s="3">
        <v>6</v>
      </c>
    </row>
    <row r="37" spans="1:6" x14ac:dyDescent="0.25">
      <c r="A37" s="1" t="s">
        <v>72</v>
      </c>
      <c r="B37" s="1" t="s">
        <v>52</v>
      </c>
      <c r="C37" s="1" t="s">
        <v>53</v>
      </c>
      <c r="D37" s="1" t="s">
        <v>56</v>
      </c>
      <c r="E37" s="1" t="s">
        <v>91</v>
      </c>
      <c r="F37" s="1" t="s">
        <v>71</v>
      </c>
    </row>
    <row r="38" spans="1:6" x14ac:dyDescent="0.25">
      <c r="A38" s="7">
        <v>2</v>
      </c>
      <c r="B38" s="8">
        <v>1</v>
      </c>
      <c r="C38" s="1">
        <f>B38*$B$35</f>
        <v>6</v>
      </c>
      <c r="D38" s="1">
        <f>_xlfn.HYPGEOM.DIST($B$34,$B$33,$B$2,$B$1-$B$5,0)*C10</f>
        <v>4.5660336972977869E-3</v>
      </c>
      <c r="E38" s="1">
        <v>1</v>
      </c>
      <c r="F38" s="1">
        <f>D38*E38</f>
        <v>4.5660336972977869E-3</v>
      </c>
    </row>
    <row r="39" spans="1:6" x14ac:dyDescent="0.25">
      <c r="A39" s="7">
        <v>3</v>
      </c>
      <c r="B39" s="8">
        <v>2</v>
      </c>
      <c r="C39" s="1">
        <f t="shared" ref="C39:C41" si="8">B39*$B$35</f>
        <v>12</v>
      </c>
      <c r="D39" s="1">
        <f t="shared" ref="D39:D41" si="9">_xlfn.HYPGEOM.DIST($B$34,$B$33,$B$2,$B$1-$B$5,0)*C11</f>
        <v>1.4170449405406932E-3</v>
      </c>
      <c r="E39" s="1">
        <v>1</v>
      </c>
      <c r="F39" s="1">
        <f t="shared" ref="F39:F41" si="10">D39*E39</f>
        <v>1.4170449405406932E-3</v>
      </c>
    </row>
    <row r="40" spans="1:6" x14ac:dyDescent="0.25">
      <c r="A40" s="7">
        <v>4</v>
      </c>
      <c r="B40" s="8">
        <v>13</v>
      </c>
      <c r="C40" s="1">
        <f t="shared" si="8"/>
        <v>78</v>
      </c>
      <c r="D40" s="1">
        <f t="shared" si="9"/>
        <v>2.0415054228128618E-4</v>
      </c>
      <c r="E40" s="1">
        <v>1</v>
      </c>
      <c r="F40" s="1">
        <f t="shared" si="10"/>
        <v>2.0415054228128618E-4</v>
      </c>
    </row>
    <row r="41" spans="1:6" x14ac:dyDescent="0.25">
      <c r="A41" s="9">
        <v>5</v>
      </c>
      <c r="B41" s="10">
        <v>80</v>
      </c>
      <c r="C41" s="1">
        <f t="shared" si="8"/>
        <v>480</v>
      </c>
      <c r="D41" s="1">
        <f t="shared" si="9"/>
        <v>1.0888028921668608E-5</v>
      </c>
      <c r="E41" s="1">
        <v>1</v>
      </c>
      <c r="F41" s="1">
        <f t="shared" si="10"/>
        <v>1.0888028921668608E-5</v>
      </c>
    </row>
    <row r="43" spans="1:6" x14ac:dyDescent="0.25">
      <c r="A43" s="4" t="s">
        <v>68</v>
      </c>
      <c r="B43" s="4">
        <f>SUMPRODUCT(C38:C41,D38:D41)</f>
        <v>6.5550737650616295E-2</v>
      </c>
    </row>
    <row r="44" spans="1:6" x14ac:dyDescent="0.25">
      <c r="A44" s="4" t="s">
        <v>67</v>
      </c>
      <c r="B44" s="4">
        <f>SUM(F38:F41)</f>
        <v>6.1981172090414347E-3</v>
      </c>
    </row>
    <row r="45" spans="1:6" x14ac:dyDescent="0.25">
      <c r="A45" s="4" t="s">
        <v>50</v>
      </c>
      <c r="B45" s="4">
        <f>1/B44</f>
        <v>161.33931745292927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38832-270B-476C-9D18-C706FB491628}">
  <dimension ref="A1:K47"/>
  <sheetViews>
    <sheetView zoomScaleNormal="100" workbookViewId="0">
      <selection activeCell="B5" sqref="B5"/>
    </sheetView>
  </sheetViews>
  <sheetFormatPr defaultRowHeight="15.75" x14ac:dyDescent="0.25"/>
  <cols>
    <col min="1" max="1" width="18.85546875" style="1" bestFit="1" customWidth="1"/>
    <col min="2" max="2" width="9.5703125" style="1" bestFit="1" customWidth="1"/>
    <col min="3" max="3" width="22.85546875" style="1" customWidth="1"/>
    <col min="4" max="4" width="18.5703125" style="1" customWidth="1"/>
    <col min="5" max="5" width="21.5703125" style="1" customWidth="1"/>
    <col min="6" max="6" width="16.7109375" style="1" customWidth="1"/>
    <col min="7" max="8" width="9.140625" style="1"/>
    <col min="9" max="9" width="28.140625" style="1" bestFit="1" customWidth="1"/>
    <col min="10" max="10" width="26.5703125" style="1" bestFit="1" customWidth="1"/>
    <col min="11" max="11" width="35.85546875" style="1" customWidth="1"/>
    <col min="12" max="16384" width="9.140625" style="1"/>
  </cols>
  <sheetData>
    <row r="1" spans="1:11" x14ac:dyDescent="0.25">
      <c r="A1" s="4" t="s">
        <v>46</v>
      </c>
      <c r="B1" s="4">
        <v>80</v>
      </c>
      <c r="I1" s="4" t="s">
        <v>89</v>
      </c>
      <c r="J1" s="4" t="s">
        <v>88</v>
      </c>
      <c r="K1" s="1" t="s">
        <v>87</v>
      </c>
    </row>
    <row r="2" spans="1:11" x14ac:dyDescent="0.25">
      <c r="A2" s="4" t="s">
        <v>66</v>
      </c>
      <c r="B2" s="4">
        <v>20</v>
      </c>
      <c r="I2" s="1">
        <v>0</v>
      </c>
      <c r="J2" s="1">
        <f>SUM(C8:C10)</f>
        <v>0.83841791120272136</v>
      </c>
      <c r="K2" s="1">
        <f>($J$17-I2)^2*J2</f>
        <v>0.73557128181861653</v>
      </c>
    </row>
    <row r="3" spans="1:11" x14ac:dyDescent="0.25">
      <c r="A3" s="4" t="s">
        <v>47</v>
      </c>
      <c r="B3" s="4">
        <v>3</v>
      </c>
      <c r="I3" s="1">
        <v>2</v>
      </c>
      <c r="J3" s="1">
        <f>C11-D26-D40</f>
        <v>0.1069893790545776</v>
      </c>
      <c r="K3" s="1">
        <f t="shared" ref="K3:K14" si="0">($J$17-I3)^2*J3</f>
        <v>0.12097196414711948</v>
      </c>
    </row>
    <row r="4" spans="1:11" x14ac:dyDescent="0.25">
      <c r="I4" s="1">
        <v>6</v>
      </c>
      <c r="J4" s="1">
        <f>C12-D27-D41</f>
        <v>2.3519216947342499E-2</v>
      </c>
      <c r="K4" s="1">
        <f t="shared" si="0"/>
        <v>0.60297178457749612</v>
      </c>
    </row>
    <row r="5" spans="1:11" x14ac:dyDescent="0.25">
      <c r="A5" s="3" t="s">
        <v>85</v>
      </c>
      <c r="B5" s="3">
        <v>6</v>
      </c>
      <c r="I5" s="1">
        <v>70</v>
      </c>
      <c r="J5" s="1">
        <f>C13-D28-D42</f>
        <v>2.5512370925930838E-3</v>
      </c>
      <c r="K5" s="1">
        <f t="shared" si="0"/>
        <v>12.168750090263568</v>
      </c>
    </row>
    <row r="6" spans="1:11" x14ac:dyDescent="0.25">
      <c r="I6" s="1">
        <v>150</v>
      </c>
      <c r="J6" s="1">
        <f>C14-D29-D43</f>
        <v>1.0630154552471192E-4</v>
      </c>
      <c r="K6" s="1">
        <f t="shared" si="0"/>
        <v>2.3620075051550415</v>
      </c>
    </row>
    <row r="7" spans="1:11" x14ac:dyDescent="0.25">
      <c r="A7" s="6" t="s">
        <v>65</v>
      </c>
      <c r="B7" s="6" t="s">
        <v>52</v>
      </c>
      <c r="C7" s="6" t="s">
        <v>56</v>
      </c>
      <c r="D7" s="1" t="s">
        <v>91</v>
      </c>
      <c r="E7" s="6" t="s">
        <v>67</v>
      </c>
      <c r="I7" s="1">
        <v>6</v>
      </c>
      <c r="J7" s="1">
        <f>D26</f>
        <v>2.0547151637840044E-2</v>
      </c>
      <c r="K7" s="1">
        <f t="shared" si="0"/>
        <v>0.52677573062026373</v>
      </c>
    </row>
    <row r="8" spans="1:11" x14ac:dyDescent="0.25">
      <c r="A8" s="6">
        <v>0</v>
      </c>
      <c r="B8" s="6">
        <v>0</v>
      </c>
      <c r="C8" s="6">
        <f>_xlfn.HYPGEOM.DIST(A8,$B$5,$B$2,$B$1,0)</f>
        <v>0.16660175267770208</v>
      </c>
      <c r="D8" s="6">
        <f>IF(Table2478[[#This Row],[PAY]]=0,0,1)</f>
        <v>0</v>
      </c>
      <c r="E8" s="6">
        <f>C8*D8</f>
        <v>0</v>
      </c>
      <c r="I8" s="1">
        <v>18</v>
      </c>
      <c r="J8" s="1">
        <f>D27</f>
        <v>4.5168307479734587E-3</v>
      </c>
      <c r="K8" s="1">
        <f t="shared" si="0"/>
        <v>1.3151094287445741</v>
      </c>
    </row>
    <row r="9" spans="1:11" x14ac:dyDescent="0.25">
      <c r="A9" s="6">
        <v>1</v>
      </c>
      <c r="B9" s="6">
        <v>0</v>
      </c>
      <c r="C9" s="6">
        <f t="shared" ref="C9:C11" si="1">_xlfn.HYPGEOM.DIST(A9,$B$5,$B$2,$B$1,0)</f>
        <v>0.36349473311498637</v>
      </c>
      <c r="D9" s="6">
        <f>IF(Table2478[[#This Row],[PAY]]=0,0,1)</f>
        <v>0</v>
      </c>
      <c r="E9" s="6">
        <f t="shared" ref="E9:E11" si="2">C9*D9</f>
        <v>0</v>
      </c>
      <c r="I9" s="1">
        <v>210</v>
      </c>
      <c r="J9" s="1">
        <f>D28</f>
        <v>4.8996130147508699E-4</v>
      </c>
      <c r="K9" s="1">
        <f t="shared" si="0"/>
        <v>21.414973790148139</v>
      </c>
    </row>
    <row r="10" spans="1:11" x14ac:dyDescent="0.25">
      <c r="A10" s="6">
        <v>2</v>
      </c>
      <c r="B10" s="6">
        <v>0</v>
      </c>
      <c r="C10" s="6">
        <f t="shared" si="1"/>
        <v>0.30832142541003293</v>
      </c>
      <c r="D10" s="6">
        <f>IF(Table2478[[#This Row],[PAY]]=0,0,1)</f>
        <v>0</v>
      </c>
      <c r="E10" s="6">
        <f t="shared" si="2"/>
        <v>0</v>
      </c>
      <c r="I10" s="1">
        <v>450</v>
      </c>
      <c r="J10" s="1">
        <f>D29</f>
        <v>2.0415054228128644E-5</v>
      </c>
      <c r="K10" s="1">
        <f t="shared" si="0"/>
        <v>4.1168566184261985</v>
      </c>
    </row>
    <row r="11" spans="1:11" x14ac:dyDescent="0.25">
      <c r="A11" s="6">
        <v>3</v>
      </c>
      <c r="B11" s="6">
        <v>2</v>
      </c>
      <c r="C11" s="6">
        <f t="shared" si="1"/>
        <v>0.12981954754106653</v>
      </c>
      <c r="D11" s="6">
        <f>IF(Table2478[[#This Row],[PAY]]=0,0,1)</f>
        <v>1</v>
      </c>
      <c r="E11" s="6">
        <f t="shared" si="2"/>
        <v>0.12981954754106653</v>
      </c>
      <c r="I11" s="1">
        <v>12</v>
      </c>
      <c r="J11" s="1">
        <f>D40</f>
        <v>2.2830168486488922E-3</v>
      </c>
      <c r="K11" s="1">
        <f t="shared" si="0"/>
        <v>0.27943552169523511</v>
      </c>
    </row>
    <row r="12" spans="1:11" x14ac:dyDescent="0.25">
      <c r="A12" s="6">
        <v>4</v>
      </c>
      <c r="B12" s="6">
        <v>6</v>
      </c>
      <c r="C12" s="6">
        <f>_xlfn.HYPGEOM.DIST(A12,$B$5,$B$2,$B$1,0)</f>
        <v>2.8537917778424116E-2</v>
      </c>
      <c r="D12" s="6">
        <f>IF(Table2478[[#This Row],[PAY]]=0,0,1)</f>
        <v>1</v>
      </c>
      <c r="E12" s="6">
        <f>C12*D12</f>
        <v>2.8537917778424116E-2</v>
      </c>
      <c r="I12" s="1">
        <v>36</v>
      </c>
      <c r="J12" s="1">
        <f t="shared" ref="J12:J14" si="3">D41</f>
        <v>5.018700831081617E-4</v>
      </c>
      <c r="K12" s="1">
        <f t="shared" si="0"/>
        <v>0.61701804664057303</v>
      </c>
    </row>
    <row r="13" spans="1:11" x14ac:dyDescent="0.25">
      <c r="A13" s="6">
        <v>5</v>
      </c>
      <c r="B13" s="6">
        <v>70</v>
      </c>
      <c r="C13" s="6">
        <f>_xlfn.HYPGEOM.DIST(A13,$B$5,$B$2,$B$1,0)</f>
        <v>3.0956385386765139E-3</v>
      </c>
      <c r="D13" s="6">
        <f>IF(Table2478[[#This Row],[PAY]]=0,0,1)</f>
        <v>1</v>
      </c>
      <c r="E13" s="6">
        <f>C13*D13</f>
        <v>3.0956385386765139E-3</v>
      </c>
      <c r="I13" s="1">
        <v>420</v>
      </c>
      <c r="J13" s="1">
        <f t="shared" si="3"/>
        <v>5.444014460834296E-5</v>
      </c>
      <c r="K13" s="1">
        <f t="shared" si="0"/>
        <v>9.5604560568250552</v>
      </c>
    </row>
    <row r="14" spans="1:11" x14ac:dyDescent="0.25">
      <c r="A14" s="6">
        <v>6</v>
      </c>
      <c r="B14" s="6">
        <v>150</v>
      </c>
      <c r="C14" s="6">
        <f>_xlfn.HYPGEOM.DIST(A14,$B$5,$B$2,$B$1,0)</f>
        <v>1.2898493911152152E-4</v>
      </c>
      <c r="D14" s="6">
        <f>IF(Table2478[[#This Row],[PAY]]=0,0,1)</f>
        <v>1</v>
      </c>
      <c r="E14" s="6">
        <f>C14*D14</f>
        <v>1.2898493911152152E-4</v>
      </c>
      <c r="I14" s="1">
        <v>900</v>
      </c>
      <c r="J14" s="1">
        <f t="shared" si="3"/>
        <v>2.2683393586809588E-6</v>
      </c>
      <c r="K14" s="1">
        <f t="shared" si="0"/>
        <v>1.8335324764948813</v>
      </c>
    </row>
    <row r="15" spans="1:11" x14ac:dyDescent="0.25">
      <c r="C15" s="6"/>
    </row>
    <row r="16" spans="1:11" x14ac:dyDescent="0.25">
      <c r="A16" s="4" t="s">
        <v>68</v>
      </c>
      <c r="B16" s="38">
        <f>SUMPRODUCT(Table2478[PAY],Table2478[PROBABILITY])</f>
        <v>0.6669090403267619</v>
      </c>
    </row>
    <row r="17" spans="1:10" x14ac:dyDescent="0.25">
      <c r="A17" s="4" t="s">
        <v>67</v>
      </c>
      <c r="B17" s="4">
        <f>SUM(E8:E14)</f>
        <v>0.16158208879727867</v>
      </c>
      <c r="I17" s="4" t="s">
        <v>90</v>
      </c>
      <c r="J17" s="4">
        <f>SUMPRODUCT(I2:I14,J2:J14)</f>
        <v>0.93666029044041899</v>
      </c>
    </row>
    <row r="18" spans="1:10" x14ac:dyDescent="0.25">
      <c r="A18" s="4" t="s">
        <v>50</v>
      </c>
      <c r="B18" s="4">
        <f>1/B17</f>
        <v>6.188804758271214</v>
      </c>
      <c r="I18" s="4" t="s">
        <v>58</v>
      </c>
      <c r="J18" s="4">
        <f>SUM(K2:K14)</f>
        <v>55.654430295556757</v>
      </c>
    </row>
    <row r="19" spans="1:10" x14ac:dyDescent="0.25">
      <c r="I19" s="4" t="s">
        <v>59</v>
      </c>
      <c r="J19" s="4">
        <f>J18^0.5</f>
        <v>7.4601896956817901</v>
      </c>
    </row>
    <row r="21" spans="1:10" x14ac:dyDescent="0.25">
      <c r="A21" s="37" t="s">
        <v>80</v>
      </c>
      <c r="B21" s="37">
        <v>3</v>
      </c>
      <c r="I21"/>
    </row>
    <row r="22" spans="1:10" ht="18.75" x14ac:dyDescent="0.25">
      <c r="A22" s="37" t="s">
        <v>81</v>
      </c>
      <c r="B22" s="37">
        <v>2</v>
      </c>
      <c r="I22" s="1" t="s">
        <v>86</v>
      </c>
    </row>
    <row r="23" spans="1:10" x14ac:dyDescent="0.25">
      <c r="A23" s="37" t="s">
        <v>51</v>
      </c>
      <c r="B23" s="37">
        <v>3</v>
      </c>
    </row>
    <row r="24" spans="1:10" x14ac:dyDescent="0.25">
      <c r="I24" s="4" t="s">
        <v>62</v>
      </c>
      <c r="J24" s="39">
        <f>B31+B45</f>
        <v>0.38703440233698616</v>
      </c>
    </row>
    <row r="25" spans="1:10" x14ac:dyDescent="0.25">
      <c r="A25" s="1" t="s">
        <v>72</v>
      </c>
      <c r="B25" s="1" t="s">
        <v>52</v>
      </c>
      <c r="C25" s="1" t="s">
        <v>53</v>
      </c>
      <c r="D25" s="1" t="s">
        <v>56</v>
      </c>
      <c r="E25" s="1" t="s">
        <v>91</v>
      </c>
      <c r="F25" s="1" t="s">
        <v>55</v>
      </c>
      <c r="I25" s="4" t="s">
        <v>63</v>
      </c>
      <c r="J25" s="4">
        <f>B32+B46</f>
        <v>2.84159541572408E-2</v>
      </c>
    </row>
    <row r="26" spans="1:10" x14ac:dyDescent="0.25">
      <c r="A26" s="7">
        <v>3</v>
      </c>
      <c r="B26" s="8">
        <v>2</v>
      </c>
      <c r="C26" s="1">
        <f>B26*$B$23</f>
        <v>6</v>
      </c>
      <c r="D26" s="1">
        <f>_xlfn.HYPGEOM.DIST($B$22,$B$21,$B$2,$B$1-$B$5,0)*C11</f>
        <v>2.0547151637840044E-2</v>
      </c>
      <c r="E26" s="1">
        <v>1</v>
      </c>
      <c r="F26" s="1">
        <f>D26*E26</f>
        <v>2.0547151637840044E-2</v>
      </c>
      <c r="I26" s="4" t="s">
        <v>64</v>
      </c>
      <c r="J26" s="4">
        <f>1/J25</f>
        <v>35.191498214927456</v>
      </c>
    </row>
    <row r="27" spans="1:10" x14ac:dyDescent="0.25">
      <c r="A27" s="7">
        <v>4</v>
      </c>
      <c r="B27" s="8">
        <v>6</v>
      </c>
      <c r="C27" s="1">
        <f t="shared" ref="C27:C29" si="4">B27*$B$23</f>
        <v>18</v>
      </c>
      <c r="D27" s="1">
        <f t="shared" ref="D27:D29" si="5">_xlfn.HYPGEOM.DIST($B$22,$B$21,$B$2,$B$1-$B$5,0)*C12</f>
        <v>4.5168307479734587E-3</v>
      </c>
      <c r="E27" s="1">
        <v>1</v>
      </c>
      <c r="F27" s="1">
        <f t="shared" ref="F27:F29" si="6">D27*E27</f>
        <v>4.5168307479734587E-3</v>
      </c>
      <c r="I27" s="4" t="s">
        <v>60</v>
      </c>
      <c r="J27" s="4">
        <f>J19*_xlfn.NORM.S.INV(0.975)</f>
        <v>14.621703121373132</v>
      </c>
    </row>
    <row r="28" spans="1:10" x14ac:dyDescent="0.25">
      <c r="A28" s="7">
        <v>5</v>
      </c>
      <c r="B28" s="8">
        <v>70</v>
      </c>
      <c r="C28" s="1">
        <f t="shared" si="4"/>
        <v>210</v>
      </c>
      <c r="D28" s="1">
        <f t="shared" si="5"/>
        <v>4.8996130147508699E-4</v>
      </c>
      <c r="E28" s="1">
        <v>1</v>
      </c>
      <c r="F28" s="1">
        <f t="shared" si="6"/>
        <v>4.8996130147508699E-4</v>
      </c>
      <c r="I28" s="4" t="s">
        <v>83</v>
      </c>
      <c r="J28" s="39">
        <f>B16+B31+B45</f>
        <v>1.053943442663748</v>
      </c>
    </row>
    <row r="29" spans="1:10" x14ac:dyDescent="0.25">
      <c r="A29" s="9">
        <v>6</v>
      </c>
      <c r="B29" s="10">
        <v>150</v>
      </c>
      <c r="C29" s="1">
        <f t="shared" si="4"/>
        <v>450</v>
      </c>
      <c r="D29" s="1">
        <f t="shared" si="5"/>
        <v>2.0415054228128644E-5</v>
      </c>
      <c r="E29" s="1">
        <v>1</v>
      </c>
      <c r="F29" s="1">
        <f t="shared" si="6"/>
        <v>2.0415054228128644E-5</v>
      </c>
    </row>
    <row r="31" spans="1:10" x14ac:dyDescent="0.25">
      <c r="A31" s="4" t="s">
        <v>68</v>
      </c>
      <c r="B31" s="39">
        <f>SUMPRODUCT(C26:C29,D26:D29)</f>
        <v>0.3166645110029887</v>
      </c>
    </row>
    <row r="32" spans="1:10" x14ac:dyDescent="0.25">
      <c r="A32" s="4" t="s">
        <v>67</v>
      </c>
      <c r="B32" s="4">
        <f>SUM(F26:F29)</f>
        <v>2.5574358741516721E-2</v>
      </c>
    </row>
    <row r="33" spans="1:6" x14ac:dyDescent="0.25">
      <c r="A33" s="4" t="s">
        <v>50</v>
      </c>
      <c r="B33" s="4">
        <f>1/B32</f>
        <v>39.101664683252729</v>
      </c>
    </row>
    <row r="35" spans="1:6" x14ac:dyDescent="0.25">
      <c r="A35" s="37" t="s">
        <v>80</v>
      </c>
      <c r="B35" s="37">
        <v>3</v>
      </c>
    </row>
    <row r="36" spans="1:6" x14ac:dyDescent="0.25">
      <c r="A36" s="37" t="s">
        <v>81</v>
      </c>
      <c r="B36" s="37">
        <v>3</v>
      </c>
    </row>
    <row r="37" spans="1:6" x14ac:dyDescent="0.25">
      <c r="A37" s="37" t="s">
        <v>51</v>
      </c>
      <c r="B37" s="37">
        <v>6</v>
      </c>
    </row>
    <row r="39" spans="1:6" x14ac:dyDescent="0.25">
      <c r="A39" s="1" t="s">
        <v>72</v>
      </c>
      <c r="B39" s="1" t="s">
        <v>52</v>
      </c>
      <c r="C39" s="1" t="s">
        <v>53</v>
      </c>
      <c r="D39" s="1" t="s">
        <v>56</v>
      </c>
      <c r="E39" s="1" t="s">
        <v>91</v>
      </c>
      <c r="F39" s="1" t="s">
        <v>55</v>
      </c>
    </row>
    <row r="40" spans="1:6" x14ac:dyDescent="0.25">
      <c r="A40" s="7">
        <v>3</v>
      </c>
      <c r="B40" s="8">
        <v>2</v>
      </c>
      <c r="C40" s="1">
        <f>B40*$B$37</f>
        <v>12</v>
      </c>
      <c r="D40" s="1">
        <f>_xlfn.HYPGEOM.DIST($B$36,$B$35,$B$2,$B$1-$B$5,0)*C11</f>
        <v>2.2830168486488922E-3</v>
      </c>
      <c r="E40" s="1">
        <v>1</v>
      </c>
      <c r="F40" s="1">
        <f>D40*E40</f>
        <v>2.2830168486488922E-3</v>
      </c>
    </row>
    <row r="41" spans="1:6" x14ac:dyDescent="0.25">
      <c r="A41" s="7">
        <v>4</v>
      </c>
      <c r="B41" s="8">
        <v>6</v>
      </c>
      <c r="C41" s="1">
        <f t="shared" ref="C41:C43" si="7">B41*$B$37</f>
        <v>36</v>
      </c>
      <c r="D41" s="1">
        <f t="shared" ref="D41:D43" si="8">_xlfn.HYPGEOM.DIST($B$36,$B$35,$B$2,$B$1-$B$5,0)*C12</f>
        <v>5.018700831081617E-4</v>
      </c>
      <c r="E41" s="1">
        <v>1</v>
      </c>
      <c r="F41" s="1">
        <f t="shared" ref="F41:F43" si="9">D41*E41</f>
        <v>5.018700831081617E-4</v>
      </c>
    </row>
    <row r="42" spans="1:6" x14ac:dyDescent="0.25">
      <c r="A42" s="7">
        <v>5</v>
      </c>
      <c r="B42" s="8">
        <v>70</v>
      </c>
      <c r="C42" s="1">
        <f t="shared" si="7"/>
        <v>420</v>
      </c>
      <c r="D42" s="1">
        <f t="shared" si="8"/>
        <v>5.444014460834296E-5</v>
      </c>
      <c r="E42" s="1">
        <v>1</v>
      </c>
      <c r="F42" s="1">
        <f t="shared" si="9"/>
        <v>5.444014460834296E-5</v>
      </c>
    </row>
    <row r="43" spans="1:6" x14ac:dyDescent="0.25">
      <c r="A43" s="9">
        <v>6</v>
      </c>
      <c r="B43" s="10">
        <v>150</v>
      </c>
      <c r="C43" s="1">
        <f t="shared" si="7"/>
        <v>900</v>
      </c>
      <c r="D43" s="1">
        <f t="shared" si="8"/>
        <v>2.2683393586809588E-6</v>
      </c>
      <c r="E43" s="1">
        <v>1</v>
      </c>
      <c r="F43" s="1">
        <f t="shared" si="9"/>
        <v>2.2683393586809588E-6</v>
      </c>
    </row>
    <row r="45" spans="1:6" x14ac:dyDescent="0.25">
      <c r="A45" s="4" t="s">
        <v>68</v>
      </c>
      <c r="B45" s="39">
        <f>SUMPRODUCT(C40:C43,D40:D43)</f>
        <v>7.0369891333997445E-2</v>
      </c>
    </row>
    <row r="46" spans="1:6" x14ac:dyDescent="0.25">
      <c r="A46" s="4" t="s">
        <v>67</v>
      </c>
      <c r="B46" s="4">
        <f>SUM(F40:F43)</f>
        <v>2.8415954157240777E-3</v>
      </c>
    </row>
    <row r="47" spans="1:6" x14ac:dyDescent="0.25">
      <c r="A47" s="4" t="s">
        <v>50</v>
      </c>
      <c r="B47" s="4">
        <f>1/B46</f>
        <v>351.91498214927481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D04A-E098-4886-8BF0-EEF0CE8E5423}">
  <dimension ref="A1:J51"/>
  <sheetViews>
    <sheetView workbookViewId="0">
      <selection activeCell="B5" sqref="B5"/>
    </sheetView>
  </sheetViews>
  <sheetFormatPr defaultRowHeight="15.75" x14ac:dyDescent="0.25"/>
  <cols>
    <col min="1" max="1" width="18.85546875" style="1" bestFit="1" customWidth="1"/>
    <col min="2" max="2" width="9.140625" style="1"/>
    <col min="3" max="3" width="21.140625" style="1" customWidth="1"/>
    <col min="4" max="4" width="20.85546875" style="1" bestFit="1" customWidth="1"/>
    <col min="5" max="5" width="21.5703125" style="1" customWidth="1"/>
    <col min="6" max="6" width="21.7109375" style="1" customWidth="1"/>
    <col min="7" max="7" width="9.140625" style="1"/>
    <col min="8" max="8" width="27.42578125" style="1" bestFit="1" customWidth="1"/>
    <col min="9" max="9" width="26.5703125" style="1" bestFit="1" customWidth="1"/>
    <col min="10" max="10" width="34.28515625" style="1" customWidth="1"/>
    <col min="11" max="16384" width="9.140625" style="1"/>
  </cols>
  <sheetData>
    <row r="1" spans="1:10" x14ac:dyDescent="0.25">
      <c r="A1" s="4" t="s">
        <v>46</v>
      </c>
      <c r="B1" s="4">
        <v>80</v>
      </c>
      <c r="H1" s="4" t="s">
        <v>89</v>
      </c>
      <c r="I1" s="4" t="s">
        <v>88</v>
      </c>
      <c r="J1" s="1" t="s">
        <v>87</v>
      </c>
    </row>
    <row r="2" spans="1:10" x14ac:dyDescent="0.25">
      <c r="A2" s="4" t="s">
        <v>66</v>
      </c>
      <c r="B2" s="4">
        <v>20</v>
      </c>
      <c r="H2" s="1">
        <v>0</v>
      </c>
      <c r="I2" s="1">
        <f>SUM(C8:C10)</f>
        <v>0.76342080772460519</v>
      </c>
      <c r="J2" s="1">
        <f>($I$20-H2)^2*I2</f>
        <v>0.69600404220513956</v>
      </c>
    </row>
    <row r="3" spans="1:10" x14ac:dyDescent="0.25">
      <c r="A3" s="4" t="s">
        <v>47</v>
      </c>
      <c r="B3" s="4">
        <v>3</v>
      </c>
      <c r="H3" s="1">
        <v>1</v>
      </c>
      <c r="I3" s="1">
        <f>C11-D27-D43</f>
        <v>0.1434530421331843</v>
      </c>
      <c r="J3" s="1">
        <f t="shared" ref="J3:J17" si="0">($I$20-H3)^2*I3</f>
        <v>2.9275325458541984E-4</v>
      </c>
    </row>
    <row r="4" spans="1:10" x14ac:dyDescent="0.25">
      <c r="H4" s="1">
        <v>3</v>
      </c>
      <c r="I4" s="1">
        <f t="shared" ref="I4:I7" si="1">C12-D28-D44</f>
        <v>4.2784240636212903E-2</v>
      </c>
      <c r="J4" s="1">
        <f t="shared" si="0"/>
        <v>0.17895534845607669</v>
      </c>
    </row>
    <row r="5" spans="1:10" x14ac:dyDescent="0.25">
      <c r="A5" s="3" t="s">
        <v>85</v>
      </c>
      <c r="B5" s="3">
        <v>7</v>
      </c>
      <c r="H5" s="1">
        <v>14</v>
      </c>
      <c r="I5" s="1">
        <f t="shared" si="1"/>
        <v>7.0815294846145529E-3</v>
      </c>
      <c r="J5" s="1">
        <f t="shared" si="0"/>
        <v>1.2051105033740666</v>
      </c>
    </row>
    <row r="6" spans="1:10" x14ac:dyDescent="0.25">
      <c r="H6" s="1">
        <v>270</v>
      </c>
      <c r="I6" s="1">
        <f t="shared" si="1"/>
        <v>6.0012961734021619E-4</v>
      </c>
      <c r="J6" s="1">
        <f t="shared" si="0"/>
        <v>43.44056603221663</v>
      </c>
    </row>
    <row r="7" spans="1:10" x14ac:dyDescent="0.25">
      <c r="A7" s="6" t="s">
        <v>65</v>
      </c>
      <c r="B7" s="6" t="s">
        <v>52</v>
      </c>
      <c r="C7" s="6" t="s">
        <v>56</v>
      </c>
      <c r="D7" s="1" t="s">
        <v>91</v>
      </c>
      <c r="E7" s="6" t="s">
        <v>67</v>
      </c>
      <c r="H7" s="1">
        <v>1000</v>
      </c>
      <c r="I7" s="1">
        <f t="shared" si="1"/>
        <v>2.0004320578007225E-5</v>
      </c>
      <c r="J7" s="1">
        <f t="shared" si="0"/>
        <v>19.966137555920653</v>
      </c>
    </row>
    <row r="8" spans="1:10" x14ac:dyDescent="0.25">
      <c r="A8" s="6">
        <v>0</v>
      </c>
      <c r="B8" s="6">
        <v>0</v>
      </c>
      <c r="C8" s="6">
        <f>_xlfn.HYPGEOM.DIST(A8,$B$5,$B$2,$B$1,0)</f>
        <v>0.12157425195399879</v>
      </c>
      <c r="D8" s="6">
        <f>IF(Table24789[[#This Row],[PAY]]=0,0,1)</f>
        <v>0</v>
      </c>
      <c r="E8" s="6">
        <f>C8*D8</f>
        <v>0</v>
      </c>
      <c r="H8" s="1">
        <v>3</v>
      </c>
      <c r="I8" s="1">
        <f>D27</f>
        <v>2.8332721419235967E-2</v>
      </c>
      <c r="J8" s="1">
        <f t="shared" si="0"/>
        <v>0.11850840306832014</v>
      </c>
    </row>
    <row r="9" spans="1:10" x14ac:dyDescent="0.25">
      <c r="A9" s="6">
        <v>1</v>
      </c>
      <c r="B9" s="6">
        <v>0</v>
      </c>
      <c r="C9" s="6">
        <f t="shared" ref="C9:C11" si="2">_xlfn.HYPGEOM.DIST(A9,$B$5,$B$2,$B$1,0)</f>
        <v>0.31519250506592278</v>
      </c>
      <c r="D9" s="6">
        <f>IF(Table24789[[#This Row],[PAY]]=0,0,1)</f>
        <v>0</v>
      </c>
      <c r="E9" s="6">
        <f t="shared" ref="E9:E11" si="3">C9*D9</f>
        <v>0</v>
      </c>
      <c r="H9" s="1">
        <v>9</v>
      </c>
      <c r="I9" s="1">
        <f t="shared" ref="I9:I12" si="4">D28</f>
        <v>8.4501098969651193E-3</v>
      </c>
      <c r="J9" s="1">
        <f t="shared" si="0"/>
        <v>0.54693198687692302</v>
      </c>
    </row>
    <row r="10" spans="1:10" x14ac:dyDescent="0.25">
      <c r="A10" s="6">
        <v>2</v>
      </c>
      <c r="B10" s="6">
        <v>0</v>
      </c>
      <c r="C10" s="6">
        <f t="shared" si="2"/>
        <v>0.32665405070468367</v>
      </c>
      <c r="D10" s="6">
        <f>IF(Table24789[[#This Row],[PAY]]=0,0,1)</f>
        <v>0</v>
      </c>
      <c r="E10" s="6">
        <f t="shared" si="3"/>
        <v>0</v>
      </c>
      <c r="H10" s="1">
        <v>42</v>
      </c>
      <c r="I10" s="1">
        <f t="shared" si="4"/>
        <v>1.3986388794976759E-3</v>
      </c>
      <c r="J10" s="1">
        <f t="shared" si="0"/>
        <v>2.3562958326895873</v>
      </c>
    </row>
    <row r="11" spans="1:10" x14ac:dyDescent="0.25">
      <c r="A11" s="6">
        <v>3</v>
      </c>
      <c r="B11" s="6">
        <v>1</v>
      </c>
      <c r="C11" s="6">
        <f t="shared" si="2"/>
        <v>0.17499324144893755</v>
      </c>
      <c r="D11" s="6">
        <f>IF(Table24789[[#This Row],[PAY]]=0,0,1)</f>
        <v>1</v>
      </c>
      <c r="E11" s="6">
        <f t="shared" si="3"/>
        <v>0.17499324144893755</v>
      </c>
      <c r="H11" s="1">
        <v>810</v>
      </c>
      <c r="I11" s="1">
        <f t="shared" si="4"/>
        <v>1.1852871860149793E-4</v>
      </c>
      <c r="J11" s="1">
        <f t="shared" si="0"/>
        <v>77.583458114904261</v>
      </c>
    </row>
    <row r="12" spans="1:10" x14ac:dyDescent="0.25">
      <c r="A12" s="6">
        <v>4</v>
      </c>
      <c r="B12" s="6">
        <v>3</v>
      </c>
      <c r="C12" s="6">
        <f>_xlfn.HYPGEOM.DIST(A12,$B$5,$B$2,$B$1,0)</f>
        <v>5.2190966747928787E-2</v>
      </c>
      <c r="D12" s="6">
        <f>IF(Table24789[[#This Row],[PAY]]=0,0,1)</f>
        <v>1</v>
      </c>
      <c r="E12" s="6">
        <f>C12*D12</f>
        <v>5.2190966747928787E-2</v>
      </c>
      <c r="H12" s="1">
        <v>3000</v>
      </c>
      <c r="I12" s="1">
        <f t="shared" si="4"/>
        <v>3.9509572867166011E-6</v>
      </c>
      <c r="J12" s="1">
        <f t="shared" si="0"/>
        <v>35.535984340387664</v>
      </c>
    </row>
    <row r="13" spans="1:10" x14ac:dyDescent="0.25">
      <c r="A13" s="6">
        <v>5</v>
      </c>
      <c r="B13" s="6">
        <v>14</v>
      </c>
      <c r="C13" s="6">
        <f>_xlfn.HYPGEOM.DIST(A13,$B$5,$B$2,$B$1,0)</f>
        <v>8.6385048410364939E-3</v>
      </c>
      <c r="D13" s="6">
        <f>IF(Table24789[[#This Row],[PAY]]=0,0,1)</f>
        <v>1</v>
      </c>
      <c r="E13" s="6">
        <f>C13*D13</f>
        <v>8.6385048410364939E-3</v>
      </c>
      <c r="H13" s="1">
        <v>6</v>
      </c>
      <c r="I13" s="1">
        <f>D43</f>
        <v>3.2074778965172799E-3</v>
      </c>
      <c r="J13" s="1">
        <f t="shared" si="0"/>
        <v>8.1642463983994995E-2</v>
      </c>
    </row>
    <row r="14" spans="1:10" x14ac:dyDescent="0.25">
      <c r="A14" s="6">
        <v>6</v>
      </c>
      <c r="B14" s="6">
        <v>270</v>
      </c>
      <c r="C14" s="6">
        <f>_xlfn.HYPGEOM.DIST(A14,$B$5,$B$2,$B$1,0)</f>
        <v>7.3207668144377046E-4</v>
      </c>
      <c r="D14" s="6">
        <f>IF(Table24789[[#This Row],[PAY]]=0,0,1)</f>
        <v>1</v>
      </c>
      <c r="E14" s="6">
        <f>C14*D14</f>
        <v>7.3207668144377046E-4</v>
      </c>
      <c r="H14" s="1">
        <v>18</v>
      </c>
      <c r="I14" s="1">
        <f t="shared" ref="I14:I17" si="5">D44</f>
        <v>9.5661621475076858E-4</v>
      </c>
      <c r="J14" s="1">
        <f t="shared" si="0"/>
        <v>0.27793334559854227</v>
      </c>
    </row>
    <row r="15" spans="1:10" x14ac:dyDescent="0.25">
      <c r="A15" s="6">
        <v>7</v>
      </c>
      <c r="B15" s="6">
        <v>1000</v>
      </c>
      <c r="C15" s="6">
        <f>_xlfn.HYPGEOM.DIST(A15,$B$5,$B$2,$B$1,0)</f>
        <v>2.4402556048125704E-5</v>
      </c>
      <c r="D15" s="6">
        <f>IF(Table24789[[#This Row],[PAY]]=0,0,1)</f>
        <v>1</v>
      </c>
      <c r="E15" s="6">
        <f>C15*D15</f>
        <v>2.4402556048125704E-5</v>
      </c>
      <c r="H15" s="1">
        <v>84</v>
      </c>
      <c r="I15" s="1">
        <f t="shared" si="5"/>
        <v>1.5833647692426524E-4</v>
      </c>
      <c r="J15" s="1">
        <f t="shared" si="0"/>
        <v>1.0919676798645754</v>
      </c>
    </row>
    <row r="16" spans="1:10" x14ac:dyDescent="0.25">
      <c r="C16" s="6"/>
      <c r="H16" s="1">
        <v>1620</v>
      </c>
      <c r="I16" s="1">
        <f t="shared" si="5"/>
        <v>1.3418345502056372E-5</v>
      </c>
      <c r="J16" s="1">
        <f t="shared" si="0"/>
        <v>35.173606722690892</v>
      </c>
    </row>
    <row r="17" spans="1:10" x14ac:dyDescent="0.25">
      <c r="A17" s="4" t="s">
        <v>68</v>
      </c>
      <c r="B17" s="39">
        <f>SUMPRODUCT(Table24789[PAY],Table24789[PROBABILITY])</f>
        <v>0.67456846950517857</v>
      </c>
      <c r="H17" s="1">
        <v>6000</v>
      </c>
      <c r="I17" s="1">
        <f t="shared" si="5"/>
        <v>4.4727818340187943E-7</v>
      </c>
      <c r="J17" s="1">
        <f t="shared" si="0"/>
        <v>16.096890140334466</v>
      </c>
    </row>
    <row r="18" spans="1:10" x14ac:dyDescent="0.25">
      <c r="A18" s="4" t="s">
        <v>67</v>
      </c>
      <c r="B18" s="4">
        <f>SUM(E8:E15)</f>
        <v>0.2365791922753947</v>
      </c>
    </row>
    <row r="19" spans="1:10" x14ac:dyDescent="0.25">
      <c r="A19" s="4" t="s">
        <v>50</v>
      </c>
      <c r="B19" s="4">
        <f>1/B18</f>
        <v>4.2269144229553808</v>
      </c>
    </row>
    <row r="20" spans="1:10" x14ac:dyDescent="0.25">
      <c r="H20" s="4" t="s">
        <v>90</v>
      </c>
      <c r="I20" s="4">
        <f>SUMPRODUCT(H2:H17,I2:I17)</f>
        <v>0.95482522640295031</v>
      </c>
    </row>
    <row r="21" spans="1:10" x14ac:dyDescent="0.25">
      <c r="H21" s="4" t="s">
        <v>58</v>
      </c>
      <c r="I21" s="4">
        <f>SUM(J2:J17)</f>
        <v>234.35028526582639</v>
      </c>
    </row>
    <row r="22" spans="1:10" x14ac:dyDescent="0.25">
      <c r="A22" s="37" t="s">
        <v>80</v>
      </c>
      <c r="B22" s="37">
        <v>3</v>
      </c>
      <c r="H22" s="4" t="s">
        <v>59</v>
      </c>
      <c r="I22" s="4">
        <f>I21^0.5</f>
        <v>15.308503691276504</v>
      </c>
    </row>
    <row r="23" spans="1:10" x14ac:dyDescent="0.25">
      <c r="A23" s="37" t="s">
        <v>81</v>
      </c>
      <c r="B23" s="37">
        <v>2</v>
      </c>
    </row>
    <row r="24" spans="1:10" x14ac:dyDescent="0.25">
      <c r="A24" s="37" t="s">
        <v>51</v>
      </c>
      <c r="B24" s="37">
        <v>3</v>
      </c>
      <c r="H24"/>
    </row>
    <row r="25" spans="1:10" ht="18.75" x14ac:dyDescent="0.25">
      <c r="H25" s="1" t="s">
        <v>86</v>
      </c>
    </row>
    <row r="26" spans="1:10" x14ac:dyDescent="0.25">
      <c r="A26" s="1" t="s">
        <v>72</v>
      </c>
      <c r="B26" s="1" t="s">
        <v>52</v>
      </c>
      <c r="C26" s="1" t="s">
        <v>53</v>
      </c>
      <c r="D26" s="1" t="s">
        <v>56</v>
      </c>
      <c r="E26" s="1" t="s">
        <v>91</v>
      </c>
      <c r="F26" s="1" t="s">
        <v>71</v>
      </c>
    </row>
    <row r="27" spans="1:10" x14ac:dyDescent="0.25">
      <c r="A27" s="7">
        <v>3</v>
      </c>
      <c r="B27" s="8">
        <v>1</v>
      </c>
      <c r="C27" s="1">
        <f>B27*$B$24</f>
        <v>3</v>
      </c>
      <c r="D27" s="1">
        <f>_xlfn.HYPGEOM.DIST($B$23,$B$22,$B$2,$B$1-$B$5,0)*C11</f>
        <v>2.8332721419235967E-2</v>
      </c>
      <c r="E27" s="1">
        <f>1</f>
        <v>1</v>
      </c>
      <c r="F27" s="1">
        <f>D27*E27</f>
        <v>2.8332721419235967E-2</v>
      </c>
      <c r="H27" s="4" t="s">
        <v>62</v>
      </c>
      <c r="I27" s="39">
        <f>B33+B49</f>
        <v>0.40183873231665795</v>
      </c>
    </row>
    <row r="28" spans="1:10" x14ac:dyDescent="0.25">
      <c r="A28" s="7">
        <v>4</v>
      </c>
      <c r="B28" s="8">
        <v>3</v>
      </c>
      <c r="C28" s="1">
        <f t="shared" ref="C28:C31" si="6">B28*$B$24</f>
        <v>9</v>
      </c>
      <c r="D28" s="1">
        <f t="shared" ref="D28:D31" si="7">_xlfn.HYPGEOM.DIST($B$23,$B$22,$B$2,$B$1-$B$5,0)*C12</f>
        <v>8.4501098969651193E-3</v>
      </c>
      <c r="E28" s="1">
        <f>1</f>
        <v>1</v>
      </c>
      <c r="F28" s="1">
        <f t="shared" ref="F28:F31" si="8">D28*E28</f>
        <v>8.4501098969651193E-3</v>
      </c>
      <c r="H28" s="4" t="s">
        <v>63</v>
      </c>
      <c r="I28" s="4">
        <f>B34+B50</f>
        <v>4.2640246083464756E-2</v>
      </c>
    </row>
    <row r="29" spans="1:10" x14ac:dyDescent="0.25">
      <c r="A29" s="7">
        <v>5</v>
      </c>
      <c r="B29" s="8">
        <v>14</v>
      </c>
      <c r="C29" s="1">
        <f t="shared" si="6"/>
        <v>42</v>
      </c>
      <c r="D29" s="1">
        <f t="shared" si="7"/>
        <v>1.3986388794976759E-3</v>
      </c>
      <c r="E29" s="1">
        <f>1</f>
        <v>1</v>
      </c>
      <c r="F29" s="1">
        <f t="shared" si="8"/>
        <v>1.3986388794976759E-3</v>
      </c>
      <c r="H29" s="4" t="s">
        <v>64</v>
      </c>
      <c r="I29" s="4">
        <f>B35+B51</f>
        <v>256.71852031707778</v>
      </c>
    </row>
    <row r="30" spans="1:10" x14ac:dyDescent="0.25">
      <c r="A30" s="7">
        <v>6</v>
      </c>
      <c r="B30" s="8">
        <v>270</v>
      </c>
      <c r="C30" s="1">
        <f t="shared" si="6"/>
        <v>810</v>
      </c>
      <c r="D30" s="1">
        <f t="shared" si="7"/>
        <v>1.1852871860149793E-4</v>
      </c>
      <c r="E30" s="1">
        <f>1</f>
        <v>1</v>
      </c>
      <c r="F30" s="1">
        <f t="shared" si="8"/>
        <v>1.1852871860149793E-4</v>
      </c>
      <c r="H30" s="4" t="s">
        <v>60</v>
      </c>
      <c r="I30" s="4">
        <f>I22*_xlfn.NORM.S.INV(0.975)</f>
        <v>30.004115892100415</v>
      </c>
    </row>
    <row r="31" spans="1:10" x14ac:dyDescent="0.25">
      <c r="A31" s="9">
        <v>7</v>
      </c>
      <c r="B31" s="10">
        <v>1000</v>
      </c>
      <c r="C31" s="1">
        <f t="shared" si="6"/>
        <v>3000</v>
      </c>
      <c r="D31" s="1">
        <f t="shared" si="7"/>
        <v>3.9509572867166011E-6</v>
      </c>
      <c r="E31" s="1">
        <f>1</f>
        <v>1</v>
      </c>
      <c r="F31" s="1">
        <f t="shared" si="8"/>
        <v>3.9509572867166011E-6</v>
      </c>
      <c r="H31" s="4" t="s">
        <v>83</v>
      </c>
      <c r="I31" s="39">
        <f>B17+B33+B49</f>
        <v>1.0764072018218365</v>
      </c>
    </row>
    <row r="33" spans="1:6" x14ac:dyDescent="0.25">
      <c r="A33" s="4" t="s">
        <v>68</v>
      </c>
      <c r="B33" s="39">
        <f>SUMPRODUCT(C27:C31,D27:D31)</f>
        <v>0.32765312019665954</v>
      </c>
    </row>
    <row r="34" spans="1:6" x14ac:dyDescent="0.25">
      <c r="A34" s="4" t="s">
        <v>67</v>
      </c>
      <c r="B34" s="4">
        <f>SUM(F27:F31)</f>
        <v>3.830394987158698E-2</v>
      </c>
    </row>
    <row r="35" spans="1:6" x14ac:dyDescent="0.25">
      <c r="A35" s="4" t="s">
        <v>50</v>
      </c>
      <c r="B35" s="4">
        <f>1/B34</f>
        <v>26.106968167838424</v>
      </c>
    </row>
    <row r="38" spans="1:6" x14ac:dyDescent="0.25">
      <c r="A38" s="37" t="s">
        <v>80</v>
      </c>
      <c r="B38" s="37">
        <v>3</v>
      </c>
    </row>
    <row r="39" spans="1:6" x14ac:dyDescent="0.25">
      <c r="A39" s="37" t="s">
        <v>81</v>
      </c>
      <c r="B39" s="37">
        <v>3</v>
      </c>
    </row>
    <row r="40" spans="1:6" x14ac:dyDescent="0.25">
      <c r="A40" s="37" t="s">
        <v>51</v>
      </c>
      <c r="B40" s="37">
        <v>6</v>
      </c>
    </row>
    <row r="42" spans="1:6" x14ac:dyDescent="0.25">
      <c r="A42" s="1" t="s">
        <v>72</v>
      </c>
      <c r="B42" s="1" t="s">
        <v>52</v>
      </c>
      <c r="C42" s="1" t="s">
        <v>53</v>
      </c>
      <c r="D42" s="1" t="s">
        <v>56</v>
      </c>
      <c r="E42" s="1" t="s">
        <v>91</v>
      </c>
      <c r="F42" s="1" t="s">
        <v>71</v>
      </c>
    </row>
    <row r="43" spans="1:6" x14ac:dyDescent="0.25">
      <c r="A43" s="7">
        <v>3</v>
      </c>
      <c r="B43" s="8">
        <v>1</v>
      </c>
      <c r="C43" s="1">
        <f>B43*$B$40</f>
        <v>6</v>
      </c>
      <c r="D43" s="1">
        <f>_xlfn.HYPGEOM.DIST($B$39,$B$38,$B$2,$B$1-$B$5,0)*C11</f>
        <v>3.2074778965172799E-3</v>
      </c>
      <c r="E43" s="1">
        <f>1</f>
        <v>1</v>
      </c>
      <c r="F43" s="1">
        <f>D43*E43</f>
        <v>3.2074778965172799E-3</v>
      </c>
    </row>
    <row r="44" spans="1:6" x14ac:dyDescent="0.25">
      <c r="A44" s="7">
        <v>4</v>
      </c>
      <c r="B44" s="8">
        <v>3</v>
      </c>
      <c r="C44" s="1">
        <f t="shared" ref="C44:C47" si="9">B44*$B$40</f>
        <v>18</v>
      </c>
      <c r="D44" s="1">
        <f t="shared" ref="D44:D47" si="10">_xlfn.HYPGEOM.DIST($B$39,$B$38,$B$2,$B$1-$B$5,0)*C12</f>
        <v>9.5661621475076858E-4</v>
      </c>
      <c r="E44" s="1">
        <f>1</f>
        <v>1</v>
      </c>
      <c r="F44" s="1">
        <f t="shared" ref="F44:F47" si="11">D44*E44</f>
        <v>9.5661621475076858E-4</v>
      </c>
    </row>
    <row r="45" spans="1:6" x14ac:dyDescent="0.25">
      <c r="A45" s="7">
        <v>5</v>
      </c>
      <c r="B45" s="8">
        <v>14</v>
      </c>
      <c r="C45" s="1">
        <f t="shared" si="9"/>
        <v>84</v>
      </c>
      <c r="D45" s="1">
        <f t="shared" si="10"/>
        <v>1.5833647692426524E-4</v>
      </c>
      <c r="E45" s="1">
        <f>1</f>
        <v>1</v>
      </c>
      <c r="F45" s="1">
        <f t="shared" si="11"/>
        <v>1.5833647692426524E-4</v>
      </c>
    </row>
    <row r="46" spans="1:6" x14ac:dyDescent="0.25">
      <c r="A46" s="7">
        <v>6</v>
      </c>
      <c r="B46" s="8">
        <v>270</v>
      </c>
      <c r="C46" s="1">
        <f t="shared" si="9"/>
        <v>1620</v>
      </c>
      <c r="D46" s="1">
        <f t="shared" si="10"/>
        <v>1.3418345502056372E-5</v>
      </c>
      <c r="E46" s="1">
        <f>1</f>
        <v>1</v>
      </c>
      <c r="F46" s="1">
        <f t="shared" si="11"/>
        <v>1.3418345502056372E-5</v>
      </c>
    </row>
    <row r="47" spans="1:6" x14ac:dyDescent="0.25">
      <c r="A47" s="9">
        <v>7</v>
      </c>
      <c r="B47" s="10">
        <v>1000</v>
      </c>
      <c r="C47" s="1">
        <f t="shared" si="9"/>
        <v>6000</v>
      </c>
      <c r="D47" s="1">
        <f t="shared" si="10"/>
        <v>4.4727818340187943E-7</v>
      </c>
      <c r="E47" s="1">
        <f>1</f>
        <v>1</v>
      </c>
      <c r="F47" s="1">
        <f t="shared" si="11"/>
        <v>4.4727818340187943E-7</v>
      </c>
    </row>
    <row r="49" spans="1:2" x14ac:dyDescent="0.25">
      <c r="A49" s="4" t="s">
        <v>68</v>
      </c>
      <c r="B49" s="39">
        <f>SUMPRODUCT(C43:C47,D43:D47)</f>
        <v>7.4185612119998398E-2</v>
      </c>
    </row>
    <row r="50" spans="1:2" x14ac:dyDescent="0.25">
      <c r="A50" s="4" t="s">
        <v>67</v>
      </c>
      <c r="B50" s="4">
        <f>SUM(F43:F47)</f>
        <v>4.3362962118777722E-3</v>
      </c>
    </row>
    <row r="51" spans="1:2" x14ac:dyDescent="0.25">
      <c r="A51" s="4" t="s">
        <v>50</v>
      </c>
      <c r="B51" s="4">
        <f>1/B50</f>
        <v>230.61155214923937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FD5DB-7ECB-422D-B3E4-B1ACEFEC942F}">
  <dimension ref="A1:J54"/>
  <sheetViews>
    <sheetView workbookViewId="0">
      <selection activeCell="B5" sqref="B5"/>
    </sheetView>
  </sheetViews>
  <sheetFormatPr defaultRowHeight="15.75" x14ac:dyDescent="0.25"/>
  <cols>
    <col min="1" max="1" width="18.85546875" style="1" bestFit="1" customWidth="1"/>
    <col min="2" max="2" width="9.140625" style="1"/>
    <col min="3" max="3" width="22.42578125" style="1" customWidth="1"/>
    <col min="4" max="4" width="20.85546875" style="1" bestFit="1" customWidth="1"/>
    <col min="5" max="5" width="21.5703125" style="1" customWidth="1"/>
    <col min="6" max="6" width="16.5703125" style="1" customWidth="1"/>
    <col min="7" max="7" width="9.140625" style="1"/>
    <col min="8" max="8" width="27.42578125" style="1" bestFit="1" customWidth="1"/>
    <col min="9" max="9" width="26.5703125" style="1" bestFit="1" customWidth="1"/>
    <col min="10" max="10" width="34.28515625" style="1" customWidth="1"/>
    <col min="11" max="16384" width="9.140625" style="1"/>
  </cols>
  <sheetData>
    <row r="1" spans="1:10" x14ac:dyDescent="0.25">
      <c r="A1" s="4" t="s">
        <v>46</v>
      </c>
      <c r="B1" s="4">
        <v>80</v>
      </c>
      <c r="H1" s="4" t="s">
        <v>89</v>
      </c>
      <c r="I1" s="4" t="s">
        <v>88</v>
      </c>
      <c r="J1" s="1" t="s">
        <v>87</v>
      </c>
    </row>
    <row r="2" spans="1:10" x14ac:dyDescent="0.25">
      <c r="A2" s="4" t="s">
        <v>66</v>
      </c>
      <c r="B2" s="4">
        <v>20</v>
      </c>
      <c r="H2" s="1">
        <v>0</v>
      </c>
      <c r="I2" s="1">
        <f>SUM(C8:C10)</f>
        <v>0.68287597330427219</v>
      </c>
      <c r="J2" s="1">
        <f>($I$23-H2)^2*I2</f>
        <v>0.61795983323584769</v>
      </c>
    </row>
    <row r="3" spans="1:10" x14ac:dyDescent="0.25">
      <c r="A3" s="4" t="s">
        <v>47</v>
      </c>
      <c r="B3" s="4">
        <v>3</v>
      </c>
      <c r="H3" s="1">
        <v>1</v>
      </c>
      <c r="I3" s="1">
        <f>C11-D28-D45</f>
        <v>0.17509903194798085</v>
      </c>
      <c r="J3" s="1">
        <f t="shared" ref="J3:J20" si="0">($I$23-H3)^2*I3</f>
        <v>4.1559034612323925E-4</v>
      </c>
    </row>
    <row r="4" spans="1:10" x14ac:dyDescent="0.25">
      <c r="H4" s="1">
        <v>2</v>
      </c>
      <c r="I4" s="1">
        <f t="shared" ref="I4:I8" si="1">C12-D29-D46</f>
        <v>6.6443829087403386E-2</v>
      </c>
      <c r="J4" s="1">
        <f t="shared" si="0"/>
        <v>7.3075572607613382E-2</v>
      </c>
    </row>
    <row r="5" spans="1:10" x14ac:dyDescent="0.25">
      <c r="A5" s="3" t="s">
        <v>85</v>
      </c>
      <c r="B5" s="3">
        <v>8</v>
      </c>
      <c r="H5" s="1">
        <v>5</v>
      </c>
      <c r="I5" s="1">
        <f t="shared" si="1"/>
        <v>1.4920719514364274E-2</v>
      </c>
      <c r="J5" s="1">
        <f t="shared" si="0"/>
        <v>0.2445822056191484</v>
      </c>
    </row>
    <row r="6" spans="1:10" x14ac:dyDescent="0.25">
      <c r="H6" s="1">
        <v>68</v>
      </c>
      <c r="I6" s="1">
        <f t="shared" si="1"/>
        <v>1.9294033854781393E-3</v>
      </c>
      <c r="J6" s="1">
        <f t="shared" si="0"/>
        <v>8.6736919717579539</v>
      </c>
    </row>
    <row r="7" spans="1:10" x14ac:dyDescent="0.25">
      <c r="A7" s="6" t="s">
        <v>65</v>
      </c>
      <c r="B7" s="6" t="s">
        <v>52</v>
      </c>
      <c r="C7" s="6" t="s">
        <v>56</v>
      </c>
      <c r="D7" s="1" t="s">
        <v>91</v>
      </c>
      <c r="E7" s="6" t="s">
        <v>67</v>
      </c>
      <c r="H7" s="1">
        <v>200</v>
      </c>
      <c r="I7" s="1">
        <f t="shared" si="1"/>
        <v>1.3080700918495863E-4</v>
      </c>
      <c r="J7" s="1">
        <f t="shared" si="0"/>
        <v>5.1826250064224038</v>
      </c>
    </row>
    <row r="8" spans="1:10" x14ac:dyDescent="0.25">
      <c r="A8" s="6">
        <v>0</v>
      </c>
      <c r="B8" s="6">
        <v>0</v>
      </c>
      <c r="C8" s="6">
        <f>_xlfn.HYPGEOM.DIST(A8,$B$5,$B$2,$B$1,0)</f>
        <v>8.8266237720026508E-2</v>
      </c>
      <c r="D8" s="6">
        <f>IF(Table2478910[[#This Row],[PAY]]=0,0,1)</f>
        <v>0</v>
      </c>
      <c r="E8" s="6">
        <f>C8*D8</f>
        <v>0</v>
      </c>
      <c r="H8" s="1">
        <v>1000</v>
      </c>
      <c r="I8" s="1">
        <f t="shared" si="1"/>
        <v>3.5426898320926247E-6</v>
      </c>
      <c r="J8" s="1">
        <f t="shared" si="0"/>
        <v>3.5359528449806525</v>
      </c>
    </row>
    <row r="9" spans="1:10" x14ac:dyDescent="0.25">
      <c r="A9" s="6">
        <v>1</v>
      </c>
      <c r="B9" s="6">
        <v>0</v>
      </c>
      <c r="C9" s="6">
        <f t="shared" ref="C9:C11" si="2">_xlfn.HYPGEOM.DIST(A9,$B$5,$B$2,$B$1,0)</f>
        <v>0.26646411387177815</v>
      </c>
      <c r="D9" s="6">
        <f>IF(Table2478910[[#This Row],[PAY]]=0,0,1)</f>
        <v>0</v>
      </c>
      <c r="E9" s="6">
        <f t="shared" ref="E9:E11" si="3">C9*D9</f>
        <v>0</v>
      </c>
      <c r="H9" s="1">
        <v>3</v>
      </c>
      <c r="I9" s="1">
        <f>D28</f>
        <v>3.5581621465365122E-2</v>
      </c>
      <c r="J9" s="1">
        <f t="shared" si="0"/>
        <v>0.1493448214934251</v>
      </c>
    </row>
    <row r="10" spans="1:10" x14ac:dyDescent="0.25">
      <c r="A10" s="6">
        <v>2</v>
      </c>
      <c r="B10" s="6">
        <v>0</v>
      </c>
      <c r="C10" s="6">
        <f t="shared" si="2"/>
        <v>0.32814562171246758</v>
      </c>
      <c r="D10" s="6">
        <f>IF(Table2478910[[#This Row],[PAY]]=0,0,1)</f>
        <v>0</v>
      </c>
      <c r="E10" s="6">
        <f t="shared" si="3"/>
        <v>0</v>
      </c>
      <c r="H10" s="1">
        <v>6</v>
      </c>
      <c r="I10" s="1">
        <f t="shared" ref="I10:I14" si="4">D29</f>
        <v>1.3501954573910862E-2</v>
      </c>
      <c r="J10" s="1">
        <f t="shared" si="0"/>
        <v>0.34415881414122607</v>
      </c>
    </row>
    <row r="11" spans="1:10" x14ac:dyDescent="0.25">
      <c r="A11" s="6">
        <v>3</v>
      </c>
      <c r="B11" s="6">
        <v>1</v>
      </c>
      <c r="C11" s="6">
        <f t="shared" si="2"/>
        <v>0.2147862251208881</v>
      </c>
      <c r="D11" s="6">
        <f>IF(Table2478910[[#This Row],[PAY]]=0,0,1)</f>
        <v>1</v>
      </c>
      <c r="E11" s="6">
        <f t="shared" si="3"/>
        <v>0.2147862251208881</v>
      </c>
      <c r="H11" s="1">
        <v>15</v>
      </c>
      <c r="I11" s="1">
        <f t="shared" si="4"/>
        <v>3.0320178692291064E-3</v>
      </c>
      <c r="J11" s="1">
        <f t="shared" si="0"/>
        <v>0.59841869979124507</v>
      </c>
    </row>
    <row r="12" spans="1:10" x14ac:dyDescent="0.25">
      <c r="A12" s="6">
        <v>4</v>
      </c>
      <c r="B12" s="6">
        <v>2</v>
      </c>
      <c r="C12" s="6">
        <f>_xlfn.HYPGEOM.DIST(A12,$B$5,$B$2,$B$1,0)</f>
        <v>8.1503701496765502E-2</v>
      </c>
      <c r="D12" s="6">
        <f>IF(Table2478910[[#This Row],[PAY]]=0,0,1)</f>
        <v>1</v>
      </c>
      <c r="E12" s="6">
        <f>C12*D12</f>
        <v>8.1503701496765502E-2</v>
      </c>
      <c r="H12" s="1">
        <v>204</v>
      </c>
      <c r="I12" s="1">
        <f t="shared" si="4"/>
        <v>3.9207127619341907E-4</v>
      </c>
      <c r="J12" s="1">
        <f t="shared" si="0"/>
        <v>16.164621153193476</v>
      </c>
    </row>
    <row r="13" spans="1:10" x14ac:dyDescent="0.25">
      <c r="A13" s="6">
        <v>5</v>
      </c>
      <c r="B13" s="6">
        <v>5</v>
      </c>
      <c r="C13" s="6">
        <f>_xlfn.HYPGEOM.DIST(A13,$B$5,$B$2,$B$1,0)</f>
        <v>1.8302585599273662E-2</v>
      </c>
      <c r="D13" s="6">
        <f>IF(Table2478910[[#This Row],[PAY]]=0,0,1)</f>
        <v>1</v>
      </c>
      <c r="E13" s="6">
        <f>C13*D13</f>
        <v>1.8302585599273662E-2</v>
      </c>
      <c r="H13" s="1">
        <v>600</v>
      </c>
      <c r="I13" s="1">
        <f t="shared" si="4"/>
        <v>2.6581103470740278E-5</v>
      </c>
      <c r="J13" s="1">
        <f t="shared" si="0"/>
        <v>9.5388779583837184</v>
      </c>
    </row>
    <row r="14" spans="1:10" x14ac:dyDescent="0.25">
      <c r="A14" s="6">
        <v>6</v>
      </c>
      <c r="B14" s="6">
        <v>68</v>
      </c>
      <c r="C14" s="6">
        <f>_xlfn.HYPGEOM.DIST(A14,$B$5,$B$2,$B$1,0)</f>
        <v>2.3667136550784913E-3</v>
      </c>
      <c r="D14" s="6">
        <f>IF(Table2478910[[#This Row],[PAY]]=0,0,1)</f>
        <v>1</v>
      </c>
      <c r="E14" s="6">
        <f>C14*D14</f>
        <v>2.3667136550784913E-3</v>
      </c>
      <c r="H14" s="1">
        <v>3000</v>
      </c>
      <c r="I14" s="1">
        <f t="shared" si="4"/>
        <v>7.1990488566588163E-7</v>
      </c>
      <c r="J14" s="1">
        <f t="shared" si="0"/>
        <v>6.4750356277841217</v>
      </c>
    </row>
    <row r="15" spans="1:10" x14ac:dyDescent="0.25">
      <c r="A15" s="6">
        <v>7</v>
      </c>
      <c r="B15" s="6">
        <v>200</v>
      </c>
      <c r="C15" s="6">
        <f>_xlfn.HYPGEOM.DIST(A15,$B$5,$B$2,$B$1,0)</f>
        <v>1.6045516305616893E-4</v>
      </c>
      <c r="D15" s="6">
        <f>IF(Table2478910[[#This Row],[PAY]]=0,0,1)</f>
        <v>1</v>
      </c>
      <c r="E15" s="6">
        <f>C15*D15</f>
        <v>1.6045516305616893E-4</v>
      </c>
      <c r="H15" s="1">
        <v>6</v>
      </c>
      <c r="I15" s="1">
        <f>D45</f>
        <v>4.1055717075421253E-3</v>
      </c>
      <c r="J15" s="1">
        <f t="shared" si="0"/>
        <v>0.10464919597416465</v>
      </c>
    </row>
    <row r="16" spans="1:10" x14ac:dyDescent="0.25">
      <c r="A16" s="6">
        <v>8</v>
      </c>
      <c r="B16" s="6">
        <v>1000</v>
      </c>
      <c r="C16" s="6">
        <f>_xlfn.HYPGEOM.DIST(A16,$B$5,$B$2,$B$1,0)</f>
        <v>4.3456606661045696E-6</v>
      </c>
      <c r="D16" s="6">
        <f>IF(Table2478910[[#This Row],[PAY]]=0,0,1)</f>
        <v>1</v>
      </c>
      <c r="E16" s="6">
        <f>C16*D16</f>
        <v>4.3456606661045696E-6</v>
      </c>
      <c r="H16" s="1">
        <v>12</v>
      </c>
      <c r="I16" s="1">
        <f t="shared" ref="I16:I20" si="5">D46</f>
        <v>1.5579178354512516E-3</v>
      </c>
      <c r="J16" s="1">
        <f t="shared" si="0"/>
        <v>0.19018153123714651</v>
      </c>
    </row>
    <row r="17" spans="1:10" x14ac:dyDescent="0.25">
      <c r="C17" s="6"/>
      <c r="H17" s="1">
        <v>30</v>
      </c>
      <c r="I17" s="1">
        <f t="shared" si="5"/>
        <v>3.4984821568028113E-4</v>
      </c>
      <c r="J17" s="1">
        <f t="shared" si="0"/>
        <v>0.2952117294396171</v>
      </c>
    </row>
    <row r="18" spans="1:10" x14ac:dyDescent="0.25">
      <c r="A18" s="4" t="s">
        <v>68</v>
      </c>
      <c r="B18" s="39">
        <f>SUMPRODUCT(Table2478910[PAY],Table2478910[PROBABILITY])</f>
        <v>0.66667977793346322</v>
      </c>
      <c r="H18" s="1">
        <v>408</v>
      </c>
      <c r="I18" s="1">
        <f t="shared" si="5"/>
        <v>4.5238993406932916E-5</v>
      </c>
      <c r="J18" s="1">
        <f t="shared" si="0"/>
        <v>7.4955881499988219</v>
      </c>
    </row>
    <row r="19" spans="1:10" x14ac:dyDescent="0.25">
      <c r="A19" s="4" t="s">
        <v>67</v>
      </c>
      <c r="B19" s="4">
        <f>SUM(E8:E16)</f>
        <v>0.31712402669572809</v>
      </c>
      <c r="H19" s="1">
        <v>1200</v>
      </c>
      <c r="I19" s="1">
        <f t="shared" si="5"/>
        <v>3.0670504004700286E-6</v>
      </c>
      <c r="J19" s="1">
        <f t="shared" si="0"/>
        <v>4.4095530417083681</v>
      </c>
    </row>
    <row r="20" spans="1:10" x14ac:dyDescent="0.25">
      <c r="A20" s="4" t="s">
        <v>50</v>
      </c>
      <c r="B20" s="4">
        <f>1/B19</f>
        <v>3.1533403836331608</v>
      </c>
      <c r="H20" s="1">
        <v>6000</v>
      </c>
      <c r="I20" s="1">
        <f t="shared" si="5"/>
        <v>8.3065948346063166E-8</v>
      </c>
      <c r="J20" s="1">
        <f t="shared" si="0"/>
        <v>2.9894259860867778</v>
      </c>
    </row>
    <row r="23" spans="1:10" x14ac:dyDescent="0.25">
      <c r="A23" s="37" t="s">
        <v>80</v>
      </c>
      <c r="B23" s="37">
        <v>3</v>
      </c>
      <c r="H23" s="4" t="s">
        <v>90</v>
      </c>
      <c r="I23" s="4">
        <f>SUMPRODUCT(H2:H20,I2:I20)</f>
        <v>0.95128184275884875</v>
      </c>
    </row>
    <row r="24" spans="1:10" x14ac:dyDescent="0.25">
      <c r="A24" s="37" t="s">
        <v>81</v>
      </c>
      <c r="B24" s="37">
        <v>2</v>
      </c>
      <c r="H24" s="4" t="s">
        <v>58</v>
      </c>
      <c r="I24" s="4">
        <f>SUM(J2:J20)</f>
        <v>67.083369734201838</v>
      </c>
    </row>
    <row r="25" spans="1:10" x14ac:dyDescent="0.25">
      <c r="A25" s="37" t="s">
        <v>51</v>
      </c>
      <c r="B25" s="37">
        <v>3</v>
      </c>
      <c r="H25" s="4" t="s">
        <v>59</v>
      </c>
      <c r="I25" s="4">
        <f>I24^0.5</f>
        <v>8.1904438056922064</v>
      </c>
    </row>
    <row r="27" spans="1:10" x14ac:dyDescent="0.25">
      <c r="A27" s="1" t="s">
        <v>72</v>
      </c>
      <c r="B27" s="1" t="s">
        <v>52</v>
      </c>
      <c r="C27" s="1" t="s">
        <v>82</v>
      </c>
      <c r="D27" s="1" t="s">
        <v>56</v>
      </c>
      <c r="E27" s="1" t="s">
        <v>91</v>
      </c>
      <c r="F27" s="1" t="s">
        <v>55</v>
      </c>
      <c r="H27"/>
    </row>
    <row r="28" spans="1:10" ht="18.75" x14ac:dyDescent="0.25">
      <c r="A28" s="7">
        <v>3</v>
      </c>
      <c r="B28" s="8">
        <v>1</v>
      </c>
      <c r="C28" s="1">
        <f>B28*$B$25</f>
        <v>3</v>
      </c>
      <c r="D28" s="1">
        <f>_xlfn.HYPGEOM.DIST($B$24,$B$23,$B$2,$B$1-$B$5,0)*C11</f>
        <v>3.5581621465365122E-2</v>
      </c>
      <c r="E28" s="1">
        <v>1</v>
      </c>
      <c r="F28" s="1">
        <f>D28*E28</f>
        <v>3.5581621465365122E-2</v>
      </c>
      <c r="H28" s="1" t="s">
        <v>86</v>
      </c>
    </row>
    <row r="29" spans="1:10" x14ac:dyDescent="0.25">
      <c r="A29" s="7">
        <v>4</v>
      </c>
      <c r="B29" s="8">
        <v>2</v>
      </c>
      <c r="C29" s="1">
        <f t="shared" ref="C29:C33" si="6">B29*$B$25</f>
        <v>6</v>
      </c>
      <c r="D29" s="1">
        <f t="shared" ref="D29:D33" si="7">_xlfn.HYPGEOM.DIST($B$24,$B$23,$B$2,$B$1-$B$5,0)*C12</f>
        <v>1.3501954573910862E-2</v>
      </c>
      <c r="E29" s="1">
        <v>1</v>
      </c>
      <c r="F29" s="1">
        <f t="shared" ref="F29:F33" si="8">D29*E29</f>
        <v>1.3501954573910862E-2</v>
      </c>
    </row>
    <row r="30" spans="1:10" x14ac:dyDescent="0.25">
      <c r="A30" s="7">
        <v>5</v>
      </c>
      <c r="B30" s="8">
        <v>5</v>
      </c>
      <c r="C30" s="1">
        <f t="shared" si="6"/>
        <v>15</v>
      </c>
      <c r="D30" s="1">
        <f t="shared" si="7"/>
        <v>3.0320178692291064E-3</v>
      </c>
      <c r="E30" s="1">
        <v>1</v>
      </c>
      <c r="F30" s="1">
        <f t="shared" si="8"/>
        <v>3.0320178692291064E-3</v>
      </c>
      <c r="H30" s="4" t="s">
        <v>62</v>
      </c>
      <c r="I30" s="39">
        <f>B35+B52</f>
        <v>0.40778803318264173</v>
      </c>
    </row>
    <row r="31" spans="1:10" x14ac:dyDescent="0.25">
      <c r="A31" s="7">
        <v>6</v>
      </c>
      <c r="B31" s="8">
        <v>68</v>
      </c>
      <c r="C31" s="1">
        <f t="shared" si="6"/>
        <v>204</v>
      </c>
      <c r="D31" s="1">
        <f t="shared" si="7"/>
        <v>3.9207127619341907E-4</v>
      </c>
      <c r="E31" s="1">
        <v>1</v>
      </c>
      <c r="F31" s="1">
        <f t="shared" si="8"/>
        <v>3.9207127619341907E-4</v>
      </c>
      <c r="H31" s="4" t="s">
        <v>63</v>
      </c>
      <c r="I31" s="4">
        <f t="shared" ref="I31:I32" si="9">B36+B53</f>
        <v>5.8596693061484316E-2</v>
      </c>
    </row>
    <row r="32" spans="1:10" x14ac:dyDescent="0.25">
      <c r="A32" s="7">
        <v>7</v>
      </c>
      <c r="B32" s="8">
        <v>200</v>
      </c>
      <c r="C32" s="1">
        <f t="shared" si="6"/>
        <v>600</v>
      </c>
      <c r="D32" s="1">
        <f t="shared" si="7"/>
        <v>2.6581103470740278E-5</v>
      </c>
      <c r="E32" s="1">
        <v>1</v>
      </c>
      <c r="F32" s="1">
        <f t="shared" si="8"/>
        <v>2.6581103470740278E-5</v>
      </c>
      <c r="H32" s="4" t="s">
        <v>64</v>
      </c>
      <c r="I32" s="4">
        <f t="shared" si="9"/>
        <v>184.00443299313673</v>
      </c>
    </row>
    <row r="33" spans="1:9" x14ac:dyDescent="0.25">
      <c r="A33" s="9">
        <v>8</v>
      </c>
      <c r="B33" s="10">
        <v>1000</v>
      </c>
      <c r="C33" s="1">
        <f t="shared" si="6"/>
        <v>3000</v>
      </c>
      <c r="D33" s="1">
        <f t="shared" si="7"/>
        <v>7.1990488566588163E-7</v>
      </c>
      <c r="E33" s="1">
        <v>1</v>
      </c>
      <c r="F33" s="1">
        <f t="shared" si="8"/>
        <v>7.1990488566588163E-7</v>
      </c>
      <c r="H33" s="4" t="s">
        <v>60</v>
      </c>
      <c r="I33" s="4">
        <f>I25*_xlfn.NORM.S.INV(0.975)</f>
        <v>16.052974876555897</v>
      </c>
    </row>
    <row r="34" spans="1:9" x14ac:dyDescent="0.25">
      <c r="H34" s="4" t="s">
        <v>83</v>
      </c>
      <c r="I34" s="39">
        <f>B18+B35+B52</f>
        <v>1.074467811116105</v>
      </c>
    </row>
    <row r="35" spans="1:9" x14ac:dyDescent="0.25">
      <c r="A35" s="4" t="s">
        <v>68</v>
      </c>
      <c r="B35" s="39">
        <f>SUMPRODUCT(C28:C33,D28:D33)</f>
        <v>0.33132777696089649</v>
      </c>
    </row>
    <row r="36" spans="1:9" x14ac:dyDescent="0.25">
      <c r="A36" s="4" t="s">
        <v>67</v>
      </c>
      <c r="B36" s="4">
        <f>SUM(F28:F33)</f>
        <v>5.2534966193054908E-2</v>
      </c>
    </row>
    <row r="37" spans="1:9" x14ac:dyDescent="0.25">
      <c r="A37" s="4" t="s">
        <v>50</v>
      </c>
      <c r="B37" s="4">
        <f>1/B36</f>
        <v>19.034941344117577</v>
      </c>
    </row>
    <row r="40" spans="1:9" x14ac:dyDescent="0.25">
      <c r="A40" s="37" t="s">
        <v>80</v>
      </c>
      <c r="B40" s="37">
        <v>3</v>
      </c>
    </row>
    <row r="41" spans="1:9" x14ac:dyDescent="0.25">
      <c r="A41" s="37" t="s">
        <v>81</v>
      </c>
      <c r="B41" s="37">
        <v>3</v>
      </c>
    </row>
    <row r="42" spans="1:9" x14ac:dyDescent="0.25">
      <c r="A42" s="37" t="s">
        <v>51</v>
      </c>
      <c r="B42" s="37">
        <v>6</v>
      </c>
    </row>
    <row r="44" spans="1:9" x14ac:dyDescent="0.25">
      <c r="A44" s="1" t="s">
        <v>72</v>
      </c>
      <c r="B44" s="1" t="s">
        <v>52</v>
      </c>
      <c r="C44" s="1" t="s">
        <v>82</v>
      </c>
      <c r="D44" s="1" t="s">
        <v>56</v>
      </c>
      <c r="E44" s="1" t="s">
        <v>91</v>
      </c>
      <c r="F44" s="1" t="s">
        <v>55</v>
      </c>
    </row>
    <row r="45" spans="1:9" x14ac:dyDescent="0.25">
      <c r="A45" s="7">
        <v>3</v>
      </c>
      <c r="B45" s="8">
        <v>1</v>
      </c>
      <c r="C45" s="1">
        <f>B45*$B$42</f>
        <v>6</v>
      </c>
      <c r="D45" s="1">
        <f>_xlfn.HYPGEOM.DIST($B$41,$B$40,$B$2,$B$1-$B$5,0)*C11</f>
        <v>4.1055717075421253E-3</v>
      </c>
      <c r="E45" s="1">
        <v>1</v>
      </c>
      <c r="F45" s="1">
        <f>D45*E45</f>
        <v>4.1055717075421253E-3</v>
      </c>
    </row>
    <row r="46" spans="1:9" x14ac:dyDescent="0.25">
      <c r="A46" s="7">
        <v>4</v>
      </c>
      <c r="B46" s="8">
        <v>2</v>
      </c>
      <c r="C46" s="1">
        <f t="shared" ref="C46:C50" si="10">B46*$B$42</f>
        <v>12</v>
      </c>
      <c r="D46" s="1">
        <f t="shared" ref="D46:D50" si="11">_xlfn.HYPGEOM.DIST($B$41,$B$40,$B$2,$B$1-$B$5,0)*C12</f>
        <v>1.5579178354512516E-3</v>
      </c>
      <c r="E46" s="1">
        <v>1</v>
      </c>
      <c r="F46" s="1">
        <f t="shared" ref="F46:F50" si="12">D46*E46</f>
        <v>1.5579178354512516E-3</v>
      </c>
    </row>
    <row r="47" spans="1:9" x14ac:dyDescent="0.25">
      <c r="A47" s="7">
        <v>5</v>
      </c>
      <c r="B47" s="8">
        <v>5</v>
      </c>
      <c r="C47" s="1">
        <f t="shared" si="10"/>
        <v>30</v>
      </c>
      <c r="D47" s="1">
        <f t="shared" si="11"/>
        <v>3.4984821568028113E-4</v>
      </c>
      <c r="E47" s="1">
        <v>1</v>
      </c>
      <c r="F47" s="1">
        <f t="shared" si="12"/>
        <v>3.4984821568028113E-4</v>
      </c>
    </row>
    <row r="48" spans="1:9" x14ac:dyDescent="0.25">
      <c r="A48" s="7">
        <v>6</v>
      </c>
      <c r="B48" s="8">
        <v>68</v>
      </c>
      <c r="C48" s="1">
        <f t="shared" si="10"/>
        <v>408</v>
      </c>
      <c r="D48" s="1">
        <f t="shared" si="11"/>
        <v>4.5238993406932916E-5</v>
      </c>
      <c r="E48" s="1">
        <v>1</v>
      </c>
      <c r="F48" s="1">
        <f t="shared" si="12"/>
        <v>4.5238993406932916E-5</v>
      </c>
    </row>
    <row r="49" spans="1:6" x14ac:dyDescent="0.25">
      <c r="A49" s="7">
        <v>7</v>
      </c>
      <c r="B49" s="8">
        <v>200</v>
      </c>
      <c r="C49" s="1">
        <f t="shared" si="10"/>
        <v>1200</v>
      </c>
      <c r="D49" s="1">
        <f t="shared" si="11"/>
        <v>3.0670504004700286E-6</v>
      </c>
      <c r="E49" s="1">
        <v>1</v>
      </c>
      <c r="F49" s="1">
        <f t="shared" si="12"/>
        <v>3.0670504004700286E-6</v>
      </c>
    </row>
    <row r="50" spans="1:6" x14ac:dyDescent="0.25">
      <c r="A50" s="9">
        <v>8</v>
      </c>
      <c r="B50" s="10">
        <v>1000</v>
      </c>
      <c r="C50" s="1">
        <f t="shared" si="10"/>
        <v>6000</v>
      </c>
      <c r="D50" s="1">
        <f t="shared" si="11"/>
        <v>8.3065948346063166E-8</v>
      </c>
      <c r="E50" s="1">
        <v>1</v>
      </c>
      <c r="F50" s="1">
        <f t="shared" si="12"/>
        <v>8.3065948346063166E-8</v>
      </c>
    </row>
    <row r="52" spans="1:6" x14ac:dyDescent="0.25">
      <c r="A52" s="4" t="s">
        <v>68</v>
      </c>
      <c r="B52" s="39">
        <f>SUMPRODUCT(C45:C50,D45:D50)</f>
        <v>7.6460256221745251E-2</v>
      </c>
    </row>
    <row r="53" spans="1:6" x14ac:dyDescent="0.25">
      <c r="A53" s="4" t="s">
        <v>67</v>
      </c>
      <c r="B53" s="4">
        <f>SUM(F45:F50)</f>
        <v>6.0617268684294064E-3</v>
      </c>
    </row>
    <row r="54" spans="1:6" x14ac:dyDescent="0.25">
      <c r="A54" s="4" t="s">
        <v>50</v>
      </c>
      <c r="B54" s="4">
        <f>1/B53</f>
        <v>164.96949164901915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355B-12A5-4DE7-B4E5-55B0A8D02CF2}">
  <dimension ref="A1:I55"/>
  <sheetViews>
    <sheetView zoomScaleNormal="100" workbookViewId="0">
      <selection activeCell="B5" sqref="B5"/>
    </sheetView>
  </sheetViews>
  <sheetFormatPr defaultRowHeight="15.75" x14ac:dyDescent="0.25"/>
  <cols>
    <col min="1" max="1" width="18.85546875" style="1" bestFit="1" customWidth="1"/>
    <col min="2" max="2" width="14.28515625" style="1" bestFit="1" customWidth="1"/>
    <col min="3" max="3" width="21.140625" style="1" customWidth="1"/>
    <col min="4" max="4" width="20.85546875" style="1" bestFit="1" customWidth="1"/>
    <col min="5" max="5" width="21.5703125" style="1" customWidth="1"/>
    <col min="6" max="6" width="16.5703125" style="1" customWidth="1"/>
    <col min="7" max="7" width="13" style="1" bestFit="1" customWidth="1"/>
    <col min="8" max="8" width="27.42578125" style="1" bestFit="1" customWidth="1"/>
    <col min="9" max="9" width="34.28515625" style="1" customWidth="1"/>
    <col min="10" max="16384" width="9.140625" style="1"/>
  </cols>
  <sheetData>
    <row r="1" spans="1:9" x14ac:dyDescent="0.25">
      <c r="A1" s="4" t="s">
        <v>46</v>
      </c>
      <c r="B1" s="4">
        <v>80</v>
      </c>
      <c r="G1" s="4" t="s">
        <v>90</v>
      </c>
      <c r="H1" s="4" t="s">
        <v>88</v>
      </c>
      <c r="I1" s="1" t="s">
        <v>87</v>
      </c>
    </row>
    <row r="2" spans="1:9" x14ac:dyDescent="0.25">
      <c r="A2" s="4" t="s">
        <v>66</v>
      </c>
      <c r="B2" s="4">
        <v>20</v>
      </c>
      <c r="G2" s="1">
        <v>0</v>
      </c>
      <c r="H2" s="1">
        <f>SUM(C8:C11)</f>
        <v>0.84694878416050634</v>
      </c>
      <c r="I2" s="1">
        <f>($I$22-G2)^2*H2</f>
        <v>0.82672506601900231</v>
      </c>
    </row>
    <row r="3" spans="1:9" x14ac:dyDescent="0.25">
      <c r="A3" s="4" t="s">
        <v>47</v>
      </c>
      <c r="B3" s="4">
        <v>3</v>
      </c>
      <c r="G3" s="1">
        <v>1</v>
      </c>
      <c r="H3" s="1">
        <f>C12-D29-D46</f>
        <v>9.2483991961730877E-2</v>
      </c>
      <c r="I3" s="1">
        <f t="shared" ref="I3:I20" si="0">($I$22-G3)^2*H3</f>
        <v>1.3342783935757789E-5</v>
      </c>
    </row>
    <row r="4" spans="1:9" x14ac:dyDescent="0.25">
      <c r="G4" s="1">
        <v>6</v>
      </c>
      <c r="H4" s="1">
        <f t="shared" ref="H4:H8" si="1">C13-D30-D47</f>
        <v>2.642399770335168E-2</v>
      </c>
      <c r="I4" s="1">
        <f t="shared" si="0"/>
        <v>0.6637776199236165</v>
      </c>
    </row>
    <row r="5" spans="1:9" x14ac:dyDescent="0.25">
      <c r="A5" s="3" t="s">
        <v>85</v>
      </c>
      <c r="B5" s="3">
        <v>9</v>
      </c>
      <c r="G5" s="1">
        <v>50</v>
      </c>
      <c r="H5" s="1">
        <f t="shared" si="1"/>
        <v>4.6357890707634545E-3</v>
      </c>
      <c r="I5" s="1">
        <f t="shared" si="0"/>
        <v>11.135987048439764</v>
      </c>
    </row>
    <row r="6" spans="1:9" x14ac:dyDescent="0.25">
      <c r="G6" s="1">
        <v>125</v>
      </c>
      <c r="H6" s="1">
        <f t="shared" si="1"/>
        <v>4.7956438663070226E-4</v>
      </c>
      <c r="I6" s="1">
        <f t="shared" si="0"/>
        <v>7.3752106053327138</v>
      </c>
    </row>
    <row r="7" spans="1:9" x14ac:dyDescent="0.25">
      <c r="A7" s="6" t="s">
        <v>65</v>
      </c>
      <c r="B7" s="6" t="s">
        <v>52</v>
      </c>
      <c r="C7" s="6" t="s">
        <v>56</v>
      </c>
      <c r="D7" s="1" t="s">
        <v>91</v>
      </c>
      <c r="E7" s="6" t="s">
        <v>67</v>
      </c>
      <c r="G7" s="1">
        <v>500</v>
      </c>
      <c r="H7" s="1">
        <f t="shared" si="1"/>
        <v>2.6416682314403039E-5</v>
      </c>
      <c r="I7" s="1">
        <f t="shared" si="0"/>
        <v>6.5780969808268202</v>
      </c>
    </row>
    <row r="8" spans="1:9" x14ac:dyDescent="0.25">
      <c r="A8" s="6">
        <v>0</v>
      </c>
      <c r="B8" s="6">
        <v>0</v>
      </c>
      <c r="C8" s="6">
        <f>_xlfn.HYPGEOM.DIST(A8,$B$5,$B$2,$B$1,0)</f>
        <v>6.3747838353352487E-2</v>
      </c>
      <c r="D8" s="6">
        <f>IF(Table247891011[[#This Row],[PAY]]=0,0,1)</f>
        <v>0</v>
      </c>
      <c r="E8" s="6">
        <f>C8*D8</f>
        <v>0</v>
      </c>
      <c r="G8" s="1">
        <v>1000</v>
      </c>
      <c r="H8" s="1">
        <f t="shared" si="1"/>
        <v>5.8703738476451249E-7</v>
      </c>
      <c r="I8" s="1">
        <f t="shared" si="0"/>
        <v>0.5858779851768664</v>
      </c>
    </row>
    <row r="9" spans="1:9" x14ac:dyDescent="0.25">
      <c r="A9" s="6">
        <v>1</v>
      </c>
      <c r="B9" s="6">
        <v>0</v>
      </c>
      <c r="C9" s="6">
        <f t="shared" ref="C9:C11" si="2">_xlfn.HYPGEOM.DIST(A9,$B$5,$B$2,$B$1,0)</f>
        <v>0.22066559430006646</v>
      </c>
      <c r="D9" s="6">
        <f>IF(Table247891011[[#This Row],[PAY]]=0,0,1)</f>
        <v>0</v>
      </c>
      <c r="E9" s="6">
        <f t="shared" ref="E9:E11" si="3">C9*D9</f>
        <v>0</v>
      </c>
      <c r="G9" s="1">
        <v>3</v>
      </c>
      <c r="H9" s="1">
        <f>D29</f>
        <v>1.9345275382820774E-2</v>
      </c>
      <c r="I9" s="1">
        <f t="shared" si="0"/>
        <v>7.8313339971388091E-2</v>
      </c>
    </row>
    <row r="10" spans="1:9" x14ac:dyDescent="0.25">
      <c r="A10" s="6">
        <v>2</v>
      </c>
      <c r="B10" s="6">
        <v>0</v>
      </c>
      <c r="C10" s="6">
        <f t="shared" si="2"/>
        <v>0.31642613522273666</v>
      </c>
      <c r="D10" s="6">
        <f>IF(Table247891011[[#This Row],[PAY]]=0,0,1)</f>
        <v>0</v>
      </c>
      <c r="E10" s="6">
        <f t="shared" si="3"/>
        <v>0</v>
      </c>
      <c r="G10" s="1">
        <v>18</v>
      </c>
      <c r="H10" s="1">
        <f t="shared" ref="H10:H14" si="4">D30</f>
        <v>5.5272215379487928E-3</v>
      </c>
      <c r="I10" s="1">
        <f t="shared" si="0"/>
        <v>1.5996250514624946</v>
      </c>
    </row>
    <row r="11" spans="1:9" x14ac:dyDescent="0.25">
      <c r="A11" s="6">
        <v>3</v>
      </c>
      <c r="B11" s="6">
        <v>0</v>
      </c>
      <c r="C11" s="6">
        <f t="shared" si="2"/>
        <v>0.24610921628435076</v>
      </c>
      <c r="D11" s="6">
        <f>IF(Table247891011[[#This Row],[PAY]]=0,0,1)</f>
        <v>0</v>
      </c>
      <c r="E11" s="6">
        <f t="shared" si="3"/>
        <v>0</v>
      </c>
      <c r="G11" s="1">
        <v>150</v>
      </c>
      <c r="H11" s="1">
        <f t="shared" si="4"/>
        <v>9.6968798911382351E-4</v>
      </c>
      <c r="I11" s="1">
        <f t="shared" si="0"/>
        <v>21.531514055221542</v>
      </c>
    </row>
    <row r="12" spans="1:9" x14ac:dyDescent="0.25">
      <c r="A12" s="6">
        <v>4</v>
      </c>
      <c r="B12" s="6">
        <v>1</v>
      </c>
      <c r="C12" s="6">
        <f t="shared" ref="C12:C17" si="5">_xlfn.HYPGEOM.DIST(A12,$B$5,$B$2,$B$1,0)</f>
        <v>0.11410518209547174</v>
      </c>
      <c r="D12" s="6">
        <f>IF(Table247891011[[#This Row],[PAY]]=0,0,1)</f>
        <v>1</v>
      </c>
      <c r="E12" s="6">
        <f t="shared" ref="E12:E17" si="6">C12*D12</f>
        <v>0.11410518209547174</v>
      </c>
      <c r="G12" s="1">
        <v>375</v>
      </c>
      <c r="H12" s="1">
        <f t="shared" si="4"/>
        <v>1.0031255059798177E-4</v>
      </c>
      <c r="I12" s="1">
        <f t="shared" si="0"/>
        <v>14.032219595103745</v>
      </c>
    </row>
    <row r="13" spans="1:9" x14ac:dyDescent="0.25">
      <c r="A13" s="6">
        <v>5</v>
      </c>
      <c r="B13" s="6">
        <v>6</v>
      </c>
      <c r="C13" s="6">
        <f t="shared" si="5"/>
        <v>3.2601480598706212E-2</v>
      </c>
      <c r="D13" s="6">
        <f>IF(Table247891011[[#This Row],[PAY]]=0,0,1)</f>
        <v>1</v>
      </c>
      <c r="E13" s="6">
        <f t="shared" si="6"/>
        <v>3.2601480598706212E-2</v>
      </c>
      <c r="G13" s="1">
        <v>1500</v>
      </c>
      <c r="H13" s="1">
        <f t="shared" si="4"/>
        <v>5.5256913464989855E-6</v>
      </c>
      <c r="I13" s="1">
        <f t="shared" si="0"/>
        <v>12.416432961507084</v>
      </c>
    </row>
    <row r="14" spans="1:9" x14ac:dyDescent="0.25">
      <c r="A14" s="6">
        <v>6</v>
      </c>
      <c r="B14" s="6">
        <v>50</v>
      </c>
      <c r="C14" s="6">
        <f t="shared" si="5"/>
        <v>5.7195579997730214E-3</v>
      </c>
      <c r="D14" s="6">
        <f>IF(Table247891011[[#This Row],[PAY]]=0,0,1)</f>
        <v>1</v>
      </c>
      <c r="E14" s="6">
        <f t="shared" si="6"/>
        <v>5.7195579997730214E-3</v>
      </c>
      <c r="G14" s="1">
        <v>3000</v>
      </c>
      <c r="H14" s="1">
        <f t="shared" si="4"/>
        <v>1.2279314103331088E-7</v>
      </c>
      <c r="I14" s="1">
        <f t="shared" si="0"/>
        <v>1.104410479744723</v>
      </c>
    </row>
    <row r="15" spans="1:9" x14ac:dyDescent="0.25">
      <c r="A15" s="6">
        <v>7</v>
      </c>
      <c r="B15" s="6">
        <v>125</v>
      </c>
      <c r="C15" s="6">
        <f t="shared" si="5"/>
        <v>5.9167841376962305E-4</v>
      </c>
      <c r="D15" s="6">
        <f>IF(Table247891011[[#This Row],[PAY]]=0,0,1)</f>
        <v>1</v>
      </c>
      <c r="E15" s="6">
        <f t="shared" si="6"/>
        <v>5.9167841376962305E-4</v>
      </c>
      <c r="G15" s="1">
        <v>6</v>
      </c>
      <c r="H15" s="1">
        <f>D46</f>
        <v>2.27591475092009E-3</v>
      </c>
      <c r="I15" s="1">
        <f t="shared" si="0"/>
        <v>5.7171564025800953E-2</v>
      </c>
    </row>
    <row r="16" spans="1:9" x14ac:dyDescent="0.25">
      <c r="A16" s="6">
        <v>8</v>
      </c>
      <c r="B16" s="6">
        <v>500</v>
      </c>
      <c r="C16" s="6">
        <f t="shared" si="5"/>
        <v>3.2592454995784256E-5</v>
      </c>
      <c r="D16" s="6">
        <f>IF(Table247891011[[#This Row],[PAY]]=0,0,1)</f>
        <v>1</v>
      </c>
      <c r="E16" s="6">
        <f t="shared" si="6"/>
        <v>3.2592454995784256E-5</v>
      </c>
      <c r="G16" s="1">
        <v>36</v>
      </c>
      <c r="H16" s="1">
        <f t="shared" ref="H16:H20" si="7">D47</f>
        <v>6.5026135740573995E-4</v>
      </c>
      <c r="I16" s="1">
        <f t="shared" si="0"/>
        <v>0.79711699044339712</v>
      </c>
    </row>
    <row r="17" spans="1:9" x14ac:dyDescent="0.25">
      <c r="A17" s="6">
        <v>9</v>
      </c>
      <c r="B17" s="6">
        <v>1000</v>
      </c>
      <c r="C17" s="6">
        <f t="shared" si="5"/>
        <v>7.2427677768409518E-7</v>
      </c>
      <c r="D17" s="6">
        <f>IF(Table247891011[[#This Row],[PAY]]=0,0,1)</f>
        <v>1</v>
      </c>
      <c r="E17" s="6">
        <f t="shared" si="6"/>
        <v>7.2427677768409518E-7</v>
      </c>
      <c r="G17" s="1">
        <v>300</v>
      </c>
      <c r="H17" s="1">
        <f t="shared" si="7"/>
        <v>1.140809398957439E-4</v>
      </c>
      <c r="I17" s="1">
        <f t="shared" si="0"/>
        <v>10.199769539658911</v>
      </c>
    </row>
    <row r="18" spans="1:9" x14ac:dyDescent="0.25">
      <c r="C18" s="6"/>
      <c r="G18" s="1">
        <v>750</v>
      </c>
      <c r="H18" s="1">
        <f t="shared" si="7"/>
        <v>1.1801476540939026E-5</v>
      </c>
      <c r="I18" s="1">
        <f t="shared" si="0"/>
        <v>6.6208524857217537</v>
      </c>
    </row>
    <row r="19" spans="1:9" x14ac:dyDescent="0.25">
      <c r="A19" s="4" t="s">
        <v>68</v>
      </c>
      <c r="B19" s="38">
        <f>SUMPRODUCT(Table247891011[PAY],Table247891011[PROBABILITY])</f>
        <v>0.68667227167313916</v>
      </c>
      <c r="G19" s="1">
        <v>3000</v>
      </c>
      <c r="H19" s="1">
        <f t="shared" si="7"/>
        <v>6.5008133488223318E-7</v>
      </c>
      <c r="I19" s="1">
        <f t="shared" si="0"/>
        <v>5.8468790104132315</v>
      </c>
    </row>
    <row r="20" spans="1:9" x14ac:dyDescent="0.25">
      <c r="A20" s="4" t="s">
        <v>67</v>
      </c>
      <c r="B20" s="4">
        <f>SUM(E8:E17)</f>
        <v>0.15305121583949408</v>
      </c>
      <c r="G20" s="1">
        <v>6000</v>
      </c>
      <c r="H20" s="1">
        <f t="shared" si="7"/>
        <v>1.4446251886271861E-8</v>
      </c>
      <c r="I20" s="1">
        <f t="shared" si="0"/>
        <v>0.51989380920329331</v>
      </c>
    </row>
    <row r="21" spans="1:9" x14ac:dyDescent="0.25">
      <c r="A21" s="4" t="s">
        <v>50</v>
      </c>
      <c r="B21" s="4">
        <f>1/B20</f>
        <v>6.5337605749483707</v>
      </c>
    </row>
    <row r="22" spans="1:9" x14ac:dyDescent="0.25">
      <c r="H22" s="4" t="s">
        <v>90</v>
      </c>
      <c r="I22" s="4">
        <f>SUMPRODUCT(G2:G20,H2:H20)</f>
        <v>0.9879887019690422</v>
      </c>
    </row>
    <row r="23" spans="1:9" x14ac:dyDescent="0.25">
      <c r="H23" s="4" t="s">
        <v>58</v>
      </c>
      <c r="I23" s="4">
        <f>SUM(I2:I20)</f>
        <v>101.96988753098012</v>
      </c>
    </row>
    <row r="24" spans="1:9" x14ac:dyDescent="0.25">
      <c r="A24" s="37" t="s">
        <v>80</v>
      </c>
      <c r="B24" s="37">
        <v>3</v>
      </c>
      <c r="H24" s="4" t="s">
        <v>59</v>
      </c>
      <c r="I24" s="4">
        <f>I23^0.5</f>
        <v>10.09801403895737</v>
      </c>
    </row>
    <row r="25" spans="1:9" x14ac:dyDescent="0.25">
      <c r="A25" s="37" t="s">
        <v>81</v>
      </c>
      <c r="B25" s="37">
        <v>2</v>
      </c>
    </row>
    <row r="26" spans="1:9" x14ac:dyDescent="0.25">
      <c r="A26" s="37" t="s">
        <v>51</v>
      </c>
      <c r="B26" s="37">
        <v>3</v>
      </c>
      <c r="H26"/>
    </row>
    <row r="27" spans="1:9" ht="18.75" x14ac:dyDescent="0.25">
      <c r="H27" s="1" t="s">
        <v>86</v>
      </c>
    </row>
    <row r="28" spans="1:9" x14ac:dyDescent="0.25">
      <c r="A28" s="1" t="s">
        <v>72</v>
      </c>
      <c r="B28" s="1" t="s">
        <v>52</v>
      </c>
      <c r="C28" s="1" t="s">
        <v>53</v>
      </c>
      <c r="D28" s="1" t="s">
        <v>56</v>
      </c>
      <c r="E28" s="1" t="s">
        <v>91</v>
      </c>
      <c r="F28" s="1" t="s">
        <v>55</v>
      </c>
    </row>
    <row r="29" spans="1:9" x14ac:dyDescent="0.25">
      <c r="A29" s="7">
        <v>4</v>
      </c>
      <c r="B29" s="8">
        <v>1</v>
      </c>
      <c r="C29" s="1">
        <f>B29*$B$26</f>
        <v>3</v>
      </c>
      <c r="D29" s="1">
        <f>_xlfn.HYPGEOM.DIST($B$25,$B$24,$B$2,$B$1-$B$5,0)*C12</f>
        <v>1.9345275382820774E-2</v>
      </c>
      <c r="E29" s="1">
        <v>1</v>
      </c>
      <c r="F29" s="1">
        <f>D29*E29</f>
        <v>1.9345275382820774E-2</v>
      </c>
      <c r="H29" s="4" t="s">
        <v>62</v>
      </c>
      <c r="I29" s="38">
        <f>B36+B53</f>
        <v>0.43143034337822461</v>
      </c>
    </row>
    <row r="30" spans="1:9" x14ac:dyDescent="0.25">
      <c r="A30" s="7">
        <v>5</v>
      </c>
      <c r="B30" s="8">
        <v>6</v>
      </c>
      <c r="C30" s="1">
        <f t="shared" ref="C30:C34" si="8">B30*$B$26</f>
        <v>18</v>
      </c>
      <c r="D30" s="1">
        <f t="shared" ref="D30:D34" si="9">_xlfn.HYPGEOM.DIST($B$25,$B$24,$B$2,$B$1-$B$5,0)*C13</f>
        <v>5.5272215379487928E-3</v>
      </c>
      <c r="E30" s="1">
        <v>1</v>
      </c>
      <c r="F30" s="1">
        <f t="shared" ref="F30:F34" si="10">D30*E30</f>
        <v>5.5272215379487928E-3</v>
      </c>
      <c r="H30" s="4" t="s">
        <v>63</v>
      </c>
      <c r="I30" s="4">
        <f t="shared" ref="I30:I31" si="11">B37+B54</f>
        <v>2.9000868997318185E-2</v>
      </c>
    </row>
    <row r="31" spans="1:9" x14ac:dyDescent="0.25">
      <c r="A31" s="7">
        <v>6</v>
      </c>
      <c r="B31" s="8">
        <v>50</v>
      </c>
      <c r="C31" s="1">
        <f t="shared" si="8"/>
        <v>150</v>
      </c>
      <c r="D31" s="1">
        <f t="shared" si="9"/>
        <v>9.6968798911382351E-4</v>
      </c>
      <c r="E31" s="1">
        <v>1</v>
      </c>
      <c r="F31" s="1">
        <f t="shared" si="10"/>
        <v>9.6968798911382351E-4</v>
      </c>
      <c r="H31" s="4" t="s">
        <v>64</v>
      </c>
      <c r="I31" s="4">
        <f t="shared" si="11"/>
        <v>366.11478986389631</v>
      </c>
    </row>
    <row r="32" spans="1:9" x14ac:dyDescent="0.25">
      <c r="A32" s="7">
        <v>7</v>
      </c>
      <c r="B32" s="8">
        <v>125</v>
      </c>
      <c r="C32" s="1">
        <f t="shared" si="8"/>
        <v>375</v>
      </c>
      <c r="D32" s="1">
        <f t="shared" si="9"/>
        <v>1.0031255059798177E-4</v>
      </c>
      <c r="E32" s="1">
        <v>1</v>
      </c>
      <c r="F32" s="1">
        <f t="shared" si="10"/>
        <v>1.0031255059798177E-4</v>
      </c>
      <c r="H32" s="4" t="s">
        <v>60</v>
      </c>
      <c r="I32" s="4">
        <f>I24*_xlfn.NORM.S.INV(0.975)</f>
        <v>19.791743831736287</v>
      </c>
    </row>
    <row r="33" spans="1:9" x14ac:dyDescent="0.25">
      <c r="A33" s="7">
        <v>8</v>
      </c>
      <c r="B33" s="8">
        <v>500</v>
      </c>
      <c r="C33" s="1">
        <f t="shared" si="8"/>
        <v>1500</v>
      </c>
      <c r="D33" s="1">
        <f t="shared" si="9"/>
        <v>5.5256913464989855E-6</v>
      </c>
      <c r="E33" s="1">
        <v>1</v>
      </c>
      <c r="F33" s="1">
        <f t="shared" si="10"/>
        <v>5.5256913464989855E-6</v>
      </c>
      <c r="H33" s="4" t="s">
        <v>83</v>
      </c>
      <c r="I33" s="38">
        <f>B19+B36+B53</f>
        <v>1.1181026150513638</v>
      </c>
    </row>
    <row r="34" spans="1:9" x14ac:dyDescent="0.25">
      <c r="A34" s="9">
        <v>9</v>
      </c>
      <c r="B34" s="10">
        <v>1000</v>
      </c>
      <c r="C34" s="1">
        <f t="shared" si="8"/>
        <v>3000</v>
      </c>
      <c r="D34" s="1">
        <f t="shared" si="9"/>
        <v>1.2279314103331088E-7</v>
      </c>
      <c r="E34" s="1">
        <v>1</v>
      </c>
      <c r="F34" s="1">
        <f t="shared" si="10"/>
        <v>1.2279314103331088E-7</v>
      </c>
    </row>
    <row r="36" spans="1:9" x14ac:dyDescent="0.25">
      <c r="A36" s="4" t="s">
        <v>68</v>
      </c>
      <c r="B36" s="38">
        <f>SUMPRODUCT(C29:C34,D29:D34)</f>
        <v>0.34925313511570566</v>
      </c>
    </row>
    <row r="37" spans="1:9" x14ac:dyDescent="0.25">
      <c r="A37" s="4" t="s">
        <v>67</v>
      </c>
      <c r="B37" s="4">
        <f>SUM(F29:F34)</f>
        <v>2.5948145944968904E-2</v>
      </c>
    </row>
    <row r="38" spans="1:9" x14ac:dyDescent="0.25">
      <c r="A38" s="4" t="s">
        <v>50</v>
      </c>
      <c r="B38" s="4">
        <f>1/B37</f>
        <v>38.538398933041705</v>
      </c>
    </row>
    <row r="41" spans="1:9" x14ac:dyDescent="0.25">
      <c r="A41" s="37" t="s">
        <v>80</v>
      </c>
      <c r="B41" s="37">
        <v>3</v>
      </c>
    </row>
    <row r="42" spans="1:9" x14ac:dyDescent="0.25">
      <c r="A42" s="37" t="s">
        <v>81</v>
      </c>
      <c r="B42" s="37">
        <v>3</v>
      </c>
    </row>
    <row r="43" spans="1:9" x14ac:dyDescent="0.25">
      <c r="A43" s="37" t="s">
        <v>51</v>
      </c>
      <c r="B43" s="37">
        <v>6</v>
      </c>
    </row>
    <row r="45" spans="1:9" x14ac:dyDescent="0.25">
      <c r="A45" s="1" t="s">
        <v>72</v>
      </c>
      <c r="B45" s="1" t="s">
        <v>52</v>
      </c>
      <c r="C45" s="1" t="s">
        <v>53</v>
      </c>
      <c r="D45" s="1" t="s">
        <v>56</v>
      </c>
      <c r="E45" s="1" t="s">
        <v>91</v>
      </c>
      <c r="F45" s="1" t="s">
        <v>55</v>
      </c>
    </row>
    <row r="46" spans="1:9" x14ac:dyDescent="0.25">
      <c r="A46" s="7">
        <v>4</v>
      </c>
      <c r="B46" s="8">
        <v>1</v>
      </c>
      <c r="C46" s="1">
        <f>B46*$B$43</f>
        <v>6</v>
      </c>
      <c r="D46" s="1">
        <f>_xlfn.HYPGEOM.DIST($B$42,$B$41,$B$2,$B$1-$B$5,0)*C12</f>
        <v>2.27591475092009E-3</v>
      </c>
      <c r="E46" s="1">
        <v>1</v>
      </c>
      <c r="F46" s="1">
        <f>D46*E46</f>
        <v>2.27591475092009E-3</v>
      </c>
    </row>
    <row r="47" spans="1:9" x14ac:dyDescent="0.25">
      <c r="A47" s="7">
        <v>5</v>
      </c>
      <c r="B47" s="8">
        <v>6</v>
      </c>
      <c r="C47" s="1">
        <f t="shared" ref="C47:C51" si="12">B47*$B$43</f>
        <v>36</v>
      </c>
      <c r="D47" s="1">
        <f t="shared" ref="D47:D51" si="13">_xlfn.HYPGEOM.DIST($B$42,$B$41,$B$2,$B$1-$B$5,0)*C13</f>
        <v>6.5026135740573995E-4</v>
      </c>
      <c r="E47" s="1">
        <v>1</v>
      </c>
      <c r="F47" s="1">
        <f t="shared" ref="F47:F51" si="14">D47*E47</f>
        <v>6.5026135740573995E-4</v>
      </c>
    </row>
    <row r="48" spans="1:9" x14ac:dyDescent="0.25">
      <c r="A48" s="7">
        <v>6</v>
      </c>
      <c r="B48" s="8">
        <v>50</v>
      </c>
      <c r="C48" s="1">
        <f t="shared" si="12"/>
        <v>300</v>
      </c>
      <c r="D48" s="1">
        <f t="shared" si="13"/>
        <v>1.140809398957439E-4</v>
      </c>
      <c r="E48" s="1">
        <v>1</v>
      </c>
      <c r="F48" s="1">
        <f t="shared" si="14"/>
        <v>1.140809398957439E-4</v>
      </c>
    </row>
    <row r="49" spans="1:6" x14ac:dyDescent="0.25">
      <c r="A49" s="7">
        <v>7</v>
      </c>
      <c r="B49" s="8">
        <v>125</v>
      </c>
      <c r="C49" s="1">
        <f t="shared" si="12"/>
        <v>750</v>
      </c>
      <c r="D49" s="1">
        <f t="shared" si="13"/>
        <v>1.1801476540939026E-5</v>
      </c>
      <c r="E49" s="1">
        <v>1</v>
      </c>
      <c r="F49" s="1">
        <f t="shared" si="14"/>
        <v>1.1801476540939026E-5</v>
      </c>
    </row>
    <row r="50" spans="1:6" x14ac:dyDescent="0.25">
      <c r="A50" s="7">
        <v>8</v>
      </c>
      <c r="B50" s="8">
        <v>500</v>
      </c>
      <c r="C50" s="1">
        <f t="shared" si="12"/>
        <v>3000</v>
      </c>
      <c r="D50" s="1">
        <f t="shared" si="13"/>
        <v>6.5008133488223318E-7</v>
      </c>
      <c r="E50" s="1">
        <v>1</v>
      </c>
      <c r="F50" s="1">
        <f t="shared" si="14"/>
        <v>6.5008133488223318E-7</v>
      </c>
    </row>
    <row r="51" spans="1:6" x14ac:dyDescent="0.25">
      <c r="A51" s="9">
        <v>9</v>
      </c>
      <c r="B51" s="10">
        <v>1000</v>
      </c>
      <c r="C51" s="1">
        <f t="shared" si="12"/>
        <v>6000</v>
      </c>
      <c r="D51" s="1">
        <f t="shared" si="13"/>
        <v>1.4446251886271861E-8</v>
      </c>
      <c r="E51" s="1">
        <v>1</v>
      </c>
      <c r="F51" s="1">
        <f t="shared" si="14"/>
        <v>1.4446251886271861E-8</v>
      </c>
    </row>
    <row r="53" spans="1:6" x14ac:dyDescent="0.25">
      <c r="A53" s="4" t="s">
        <v>68</v>
      </c>
      <c r="B53" s="39">
        <f>SUMPRODUCT(C46:C51,D46:D51)</f>
        <v>8.2177208262518953E-2</v>
      </c>
    </row>
    <row r="54" spans="1:6" x14ac:dyDescent="0.25">
      <c r="A54" s="4" t="s">
        <v>67</v>
      </c>
      <c r="B54" s="4">
        <f>SUM(F46:F51)</f>
        <v>3.0527230523492818E-3</v>
      </c>
    </row>
    <row r="55" spans="1:6" x14ac:dyDescent="0.25">
      <c r="A55" s="4" t="s">
        <v>50</v>
      </c>
      <c r="B55" s="4">
        <f>1/B54</f>
        <v>327.57639093085459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Pick 2</vt:lpstr>
      <vt:lpstr>Pick 3</vt:lpstr>
      <vt:lpstr>Pick 4</vt:lpstr>
      <vt:lpstr>Pick 5</vt:lpstr>
      <vt:lpstr>Pick 6</vt:lpstr>
      <vt:lpstr>Pick 7</vt:lpstr>
      <vt:lpstr>Pick 8</vt:lpstr>
      <vt:lpstr>Pick 9</vt:lpstr>
      <vt:lpstr>Pick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Rasoul Behboudi</dc:creator>
  <cp:lastModifiedBy>Rahul</cp:lastModifiedBy>
  <dcterms:created xsi:type="dcterms:W3CDTF">2017-01-26T20:45:21Z</dcterms:created>
  <dcterms:modified xsi:type="dcterms:W3CDTF">2018-11-20T21:24:08Z</dcterms:modified>
</cp:coreProperties>
</file>