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\Documents\"/>
    </mc:Choice>
  </mc:AlternateContent>
  <bookViews>
    <workbookView xWindow="0" yWindow="0" windowWidth="16380" windowHeight="8190" tabRatio="873"/>
  </bookViews>
  <sheets>
    <sheet name="Cell Numbers" sheetId="1" r:id="rId1"/>
    <sheet name="Neurogliaform Family Cells" sheetId="2" r:id="rId2"/>
    <sheet name="SOM+ and Projection Cells" sheetId="3" r:id="rId3"/>
    <sheet name="PV Cells" sheetId="4" r:id="rId4"/>
    <sheet name="CCK Cells" sheetId="5" r:id="rId5"/>
    <sheet name="IS Cells" sheetId="6" r:id="rId6"/>
    <sheet name="Divergence" sheetId="7" r:id="rId7"/>
    <sheet name="Div. Table" sheetId="8" r:id="rId8"/>
    <sheet name="Input Synapses" sheetId="9" r:id="rId9"/>
    <sheet name="Glutamatergic Boutons" sheetId="10" r:id="rId10"/>
    <sheet name="Local Inhibitory Boutons" sheetId="11" r:id="rId11"/>
    <sheet name="Inh. Conv. - Pyramidal Cell" sheetId="12" r:id="rId12"/>
    <sheet name="Inh. Conv. - Avg. Interneuron" sheetId="13" r:id="rId13"/>
    <sheet name="Rat Types" sheetId="14" r:id="rId14"/>
    <sheet name="Expression Detection" sheetId="15" r:id="rId15"/>
  </sheets>
  <definedNames>
    <definedName name="Another_Area">'Inh. Conv. - Pyramidal Cell'!$A$2:$H$14</definedName>
    <definedName name="grrarea">'Inh. Conv. - Avg. Interneuron'!$A$1:$G$14</definedName>
    <definedName name="newprint2">'Inh. Conv. - Pyramidal Cell'!$A$2:$H$14</definedName>
    <definedName name="newprint3">'Glutamatergic Boutons'!$A$36:$K$51</definedName>
    <definedName name="newprintarea">'Inh. Conv. - Avg. Interneuron'!$A$1:$G$14</definedName>
    <definedName name="_xlnm.Print_Area" localSheetId="0">'Cell Numbers'!$A$7:$G$32</definedName>
    <definedName name="_xlnm.Print_Area" localSheetId="9">'Glutamatergic Boutons'!$A$36:$K$51</definedName>
    <definedName name="_xlnm.Print_Area" localSheetId="12">'Inh. Conv. - Avg. Interneuron'!$A$1:$G$14</definedName>
    <definedName name="_xlnm.Print_Area" localSheetId="11">'Inh. Conv. - Pyramidal Cell'!$A$2:$H$14</definedName>
    <definedName name="_xlnm.Print_Area">'Glutamatergic Boutons'!$A$36:$K$51</definedName>
    <definedName name="Print_Area_1">'Inh. Conv. - Avg. Interneuron'!$A$1:$G$14</definedName>
    <definedName name="Print_Area_2">'Inh. Conv. - Pyramidal Cell'!$A$2:$H$14</definedName>
    <definedName name="Print_Area_3">'Glutamatergic Boutons'!$A$36:$K$51</definedName>
  </definedNames>
  <calcPr calcId="152511" iterateDelta="1E-4"/>
</workbook>
</file>

<file path=xl/calcChain.xml><?xml version="1.0" encoding="utf-8"?>
<calcChain xmlns="http://schemas.openxmlformats.org/spreadsheetml/2006/main">
  <c r="N27" i="10" l="1"/>
  <c r="M26" i="10"/>
  <c r="M27" i="10" s="1"/>
  <c r="L26" i="10"/>
  <c r="L27" i="10" s="1"/>
  <c r="G32" i="10"/>
  <c r="B9" i="7"/>
  <c r="C18" i="7" s="1"/>
  <c r="A13" i="13"/>
  <c r="A12" i="13"/>
  <c r="A11" i="13"/>
  <c r="A10" i="13"/>
  <c r="A9" i="13"/>
  <c r="A8" i="13"/>
  <c r="A6" i="13"/>
  <c r="A5" i="13"/>
  <c r="A4" i="13"/>
  <c r="A3" i="13"/>
  <c r="A2" i="13"/>
  <c r="F1" i="13"/>
  <c r="D1" i="13"/>
  <c r="C1" i="13"/>
  <c r="B1" i="13"/>
  <c r="A1" i="13"/>
  <c r="P17" i="12"/>
  <c r="P18" i="12" s="1"/>
  <c r="S16" i="12"/>
  <c r="S17" i="12" s="1"/>
  <c r="S18" i="12" s="1"/>
  <c r="P16" i="12"/>
  <c r="O15" i="12"/>
  <c r="N15" i="12"/>
  <c r="M15" i="12"/>
  <c r="A13" i="12"/>
  <c r="A12" i="12"/>
  <c r="A11" i="12"/>
  <c r="A10" i="12"/>
  <c r="A9" i="12"/>
  <c r="L8" i="12"/>
  <c r="K8" i="12"/>
  <c r="J8" i="12"/>
  <c r="I8" i="12"/>
  <c r="A8" i="12"/>
  <c r="A7" i="12"/>
  <c r="A6" i="12"/>
  <c r="A5" i="12"/>
  <c r="A4" i="12"/>
  <c r="A3" i="12"/>
  <c r="G2" i="12"/>
  <c r="E2" i="12"/>
  <c r="C2" i="12"/>
  <c r="B2" i="12"/>
  <c r="A2" i="12"/>
  <c r="A42" i="10"/>
  <c r="E33" i="10"/>
  <c r="A14" i="10"/>
  <c r="A15" i="10" s="1"/>
  <c r="E7" i="10"/>
  <c r="E50" i="10" s="1"/>
  <c r="E23" i="9"/>
  <c r="D23" i="9" s="1"/>
  <c r="D15" i="9"/>
  <c r="U26" i="8"/>
  <c r="N26" i="8"/>
  <c r="L13" i="12" s="1"/>
  <c r="M26" i="8"/>
  <c r="K13" i="12" s="1"/>
  <c r="L26" i="8"/>
  <c r="J13" i="12" s="1"/>
  <c r="K26" i="8"/>
  <c r="I13" i="12" s="1"/>
  <c r="I26" i="8"/>
  <c r="H12" i="11" s="1"/>
  <c r="G26" i="8"/>
  <c r="C12" i="11" s="1"/>
  <c r="U25" i="8"/>
  <c r="I25" i="8"/>
  <c r="H11" i="11" s="1"/>
  <c r="G25" i="8"/>
  <c r="C11" i="11" s="1"/>
  <c r="U23" i="8"/>
  <c r="N23" i="8"/>
  <c r="L11" i="12" s="1"/>
  <c r="M23" i="8"/>
  <c r="K11" i="12" s="1"/>
  <c r="L23" i="8"/>
  <c r="J11" i="12" s="1"/>
  <c r="K23" i="8"/>
  <c r="I11" i="12" s="1"/>
  <c r="I23" i="8"/>
  <c r="H10" i="11" s="1"/>
  <c r="G23" i="8"/>
  <c r="C10" i="11" s="1"/>
  <c r="S21" i="8"/>
  <c r="J9" i="11" s="1"/>
  <c r="Q21" i="8"/>
  <c r="P21" i="8"/>
  <c r="E9" i="11" s="1"/>
  <c r="N21" i="8"/>
  <c r="L10" i="12" s="1"/>
  <c r="M21" i="8"/>
  <c r="K10" i="12" s="1"/>
  <c r="L21" i="8"/>
  <c r="J10" i="12" s="1"/>
  <c r="K21" i="8"/>
  <c r="I10" i="12" s="1"/>
  <c r="I19" i="8"/>
  <c r="H8" i="11" s="1"/>
  <c r="E19" i="8"/>
  <c r="I18" i="8"/>
  <c r="I17" i="8"/>
  <c r="E17" i="8"/>
  <c r="N15" i="8"/>
  <c r="M15" i="8"/>
  <c r="L15" i="8"/>
  <c r="K15" i="8"/>
  <c r="I15" i="8"/>
  <c r="E15" i="8"/>
  <c r="Q13" i="8"/>
  <c r="P13" i="8"/>
  <c r="I13" i="8"/>
  <c r="E13" i="8"/>
  <c r="Q12" i="8"/>
  <c r="P12" i="8"/>
  <c r="E6" i="11" s="1"/>
  <c r="N12" i="8"/>
  <c r="L7" i="12" s="1"/>
  <c r="M12" i="8"/>
  <c r="K7" i="12" s="1"/>
  <c r="L12" i="8"/>
  <c r="J7" i="12" s="1"/>
  <c r="K12" i="8"/>
  <c r="I7" i="12" s="1"/>
  <c r="I12" i="8"/>
  <c r="H6" i="11" s="1"/>
  <c r="G12" i="8"/>
  <c r="C6" i="11" s="1"/>
  <c r="N10" i="8"/>
  <c r="L6" i="12" s="1"/>
  <c r="M10" i="8"/>
  <c r="K6" i="12" s="1"/>
  <c r="L10" i="8"/>
  <c r="J6" i="12" s="1"/>
  <c r="K10" i="8"/>
  <c r="I6" i="12" s="1"/>
  <c r="I10" i="8"/>
  <c r="H5" i="11" s="1"/>
  <c r="G10" i="8"/>
  <c r="C5" i="11" s="1"/>
  <c r="Q8" i="8"/>
  <c r="P8" i="8"/>
  <c r="E4" i="11" s="1"/>
  <c r="M8" i="8"/>
  <c r="K5" i="12" s="1"/>
  <c r="L8" i="8"/>
  <c r="J5" i="12" s="1"/>
  <c r="I8" i="8"/>
  <c r="H4" i="11" s="1"/>
  <c r="E8" i="8"/>
  <c r="L6" i="8"/>
  <c r="J4" i="12" s="1"/>
  <c r="K6" i="8"/>
  <c r="I4" i="12" s="1"/>
  <c r="I6" i="8"/>
  <c r="H3" i="11" s="1"/>
  <c r="N4" i="8"/>
  <c r="L3" i="12" s="1"/>
  <c r="M4" i="8"/>
  <c r="K3" i="12" s="1"/>
  <c r="L4" i="8"/>
  <c r="J3" i="12" s="1"/>
  <c r="K4" i="8"/>
  <c r="I3" i="12" s="1"/>
  <c r="I4" i="8"/>
  <c r="H2" i="11" s="1"/>
  <c r="B220" i="7"/>
  <c r="S26" i="8" s="1"/>
  <c r="J12" i="11" s="1"/>
  <c r="J204" i="7"/>
  <c r="N25" i="8" s="1"/>
  <c r="L12" i="12" s="1"/>
  <c r="I204" i="7"/>
  <c r="M25" i="8" s="1"/>
  <c r="K12" i="12" s="1"/>
  <c r="H204" i="7"/>
  <c r="L25" i="8" s="1"/>
  <c r="J12" i="12" s="1"/>
  <c r="G204" i="7"/>
  <c r="K25" i="8" s="1"/>
  <c r="I12" i="12" s="1"/>
  <c r="B203" i="7"/>
  <c r="S25" i="8" s="1"/>
  <c r="J11" i="11" s="1"/>
  <c r="B192" i="7"/>
  <c r="S23" i="8" s="1"/>
  <c r="J10" i="11" s="1"/>
  <c r="C179" i="7"/>
  <c r="U21" i="8" s="1"/>
  <c r="C178" i="7"/>
  <c r="T21" i="8" s="1"/>
  <c r="B174" i="7"/>
  <c r="J165" i="7"/>
  <c r="N19" i="8" s="1"/>
  <c r="L9" i="12" s="1"/>
  <c r="I165" i="7"/>
  <c r="M19" i="8" s="1"/>
  <c r="K9" i="12" s="1"/>
  <c r="H165" i="7"/>
  <c r="L19" i="8" s="1"/>
  <c r="J9" i="12" s="1"/>
  <c r="G165" i="7"/>
  <c r="K19" i="8" s="1"/>
  <c r="I9" i="12" s="1"/>
  <c r="B160" i="7"/>
  <c r="C19" i="8" s="1"/>
  <c r="J150" i="7"/>
  <c r="B152" i="7" s="1"/>
  <c r="S17" i="8" s="1"/>
  <c r="J7" i="11" s="1"/>
  <c r="B143" i="7"/>
  <c r="C17" i="8" s="1"/>
  <c r="I128" i="7"/>
  <c r="N13" i="8" s="1"/>
  <c r="H128" i="7"/>
  <c r="M13" i="8" s="1"/>
  <c r="G128" i="7"/>
  <c r="L13" i="8" s="1"/>
  <c r="F128" i="7"/>
  <c r="K13" i="8" s="1"/>
  <c r="B123" i="7"/>
  <c r="B112" i="7"/>
  <c r="C15" i="8" s="1"/>
  <c r="B106" i="7"/>
  <c r="B118" i="7" s="1"/>
  <c r="B96" i="7"/>
  <c r="C97" i="7" s="1"/>
  <c r="T12" i="8" s="1"/>
  <c r="B86" i="7"/>
  <c r="Q10" i="8" s="1"/>
  <c r="B85" i="7"/>
  <c r="P10" i="8" s="1"/>
  <c r="E5" i="11" s="1"/>
  <c r="B84" i="7"/>
  <c r="S10" i="8" s="1"/>
  <c r="J5" i="11" s="1"/>
  <c r="J66" i="7"/>
  <c r="N8" i="8" s="1"/>
  <c r="L5" i="12" s="1"/>
  <c r="G66" i="7"/>
  <c r="K8" i="8" s="1"/>
  <c r="I5" i="12" s="1"/>
  <c r="B64" i="7"/>
  <c r="B67" i="7" s="1"/>
  <c r="B73" i="7" s="1"/>
  <c r="B49" i="7"/>
  <c r="B50" i="7" s="1"/>
  <c r="B37" i="7"/>
  <c r="B40" i="7" s="1"/>
  <c r="B41" i="7" s="1"/>
  <c r="B44" i="7" s="1"/>
  <c r="B35" i="7"/>
  <c r="B26" i="7"/>
  <c r="E4" i="8" s="1"/>
  <c r="B25" i="7"/>
  <c r="H36" i="6"/>
  <c r="G36" i="6"/>
  <c r="G46" i="6" s="1"/>
  <c r="F36" i="6"/>
  <c r="F46" i="6" s="1"/>
  <c r="E36" i="6"/>
  <c r="E46" i="6" s="1"/>
  <c r="D36" i="6"/>
  <c r="H35" i="6"/>
  <c r="H41" i="6" s="1"/>
  <c r="G35" i="6"/>
  <c r="F35" i="6"/>
  <c r="E35" i="6"/>
  <c r="D35" i="6"/>
  <c r="H34" i="6"/>
  <c r="H44" i="6" s="1"/>
  <c r="G34" i="6"/>
  <c r="G40" i="6" s="1"/>
  <c r="F34" i="6"/>
  <c r="E34" i="6"/>
  <c r="E40" i="6" s="1"/>
  <c r="D34" i="6"/>
  <c r="H32" i="6"/>
  <c r="G32" i="6"/>
  <c r="F32" i="6"/>
  <c r="E32" i="6"/>
  <c r="D32" i="6"/>
  <c r="H31" i="6"/>
  <c r="G31" i="6"/>
  <c r="F31" i="6"/>
  <c r="E31" i="6"/>
  <c r="D31" i="6"/>
  <c r="H30" i="6"/>
  <c r="G30" i="6"/>
  <c r="F30" i="6"/>
  <c r="E30" i="6"/>
  <c r="D30" i="6"/>
  <c r="H29" i="6"/>
  <c r="G29" i="6"/>
  <c r="F29" i="6"/>
  <c r="E29" i="6"/>
  <c r="D29" i="6"/>
  <c r="H8" i="6"/>
  <c r="H47" i="5"/>
  <c r="H43" i="5"/>
  <c r="H39" i="5"/>
  <c r="H26" i="5"/>
  <c r="G26" i="5"/>
  <c r="F26" i="5"/>
  <c r="E26" i="5"/>
  <c r="D26" i="5"/>
  <c r="K22" i="5"/>
  <c r="H19" i="5"/>
  <c r="I12" i="5"/>
  <c r="C6" i="5"/>
  <c r="F20" i="5" s="1"/>
  <c r="F6" i="4"/>
  <c r="E6" i="4"/>
  <c r="D6" i="4"/>
  <c r="H6" i="3"/>
  <c r="H8" i="2"/>
  <c r="C30" i="1"/>
  <c r="B30" i="1" s="1"/>
  <c r="C29" i="1"/>
  <c r="B29" i="1" s="1"/>
  <c r="C28" i="1"/>
  <c r="B28" i="1" s="1"/>
  <c r="G27" i="1"/>
  <c r="F27" i="1"/>
  <c r="E27" i="1"/>
  <c r="D27" i="1"/>
  <c r="G26" i="1"/>
  <c r="F26" i="1"/>
  <c r="F25" i="1"/>
  <c r="E25" i="1"/>
  <c r="D25" i="1"/>
  <c r="G24" i="1"/>
  <c r="E24" i="1"/>
  <c r="D24" i="1"/>
  <c r="G23" i="1"/>
  <c r="E23" i="1"/>
  <c r="D23" i="1"/>
  <c r="G17" i="1"/>
  <c r="C15" i="1"/>
  <c r="B6" i="11" s="1"/>
  <c r="C14" i="1"/>
  <c r="B7" i="13" s="1"/>
  <c r="C13" i="1"/>
  <c r="B5" i="11" s="1"/>
  <c r="C12" i="1"/>
  <c r="B4" i="11" s="1"/>
  <c r="G11" i="1"/>
  <c r="F11" i="1"/>
  <c r="E11" i="1"/>
  <c r="C10" i="1"/>
  <c r="B10" i="1" s="1"/>
  <c r="C9" i="1"/>
  <c r="B2" i="11" s="1"/>
  <c r="G8" i="1"/>
  <c r="F8" i="1"/>
  <c r="E8" i="1"/>
  <c r="D8" i="1"/>
  <c r="A4" i="1"/>
  <c r="C1" i="5" s="1"/>
  <c r="F44" i="6" l="1"/>
  <c r="D42" i="6"/>
  <c r="C19" i="7"/>
  <c r="D41" i="6"/>
  <c r="B163" i="7"/>
  <c r="B169" i="7" s="1"/>
  <c r="E45" i="6"/>
  <c r="H46" i="6"/>
  <c r="F41" i="6"/>
  <c r="D44" i="6"/>
  <c r="G45" i="6"/>
  <c r="C17" i="7"/>
  <c r="J152" i="7"/>
  <c r="C154" i="7" s="1"/>
  <c r="U17" i="8" s="1"/>
  <c r="L7" i="11" s="1"/>
  <c r="B53" i="7"/>
  <c r="C6" i="8" s="1"/>
  <c r="B146" i="7"/>
  <c r="G17" i="8" s="1"/>
  <c r="J151" i="7"/>
  <c r="C153" i="7" s="1"/>
  <c r="G15" i="8"/>
  <c r="C8" i="1"/>
  <c r="C27" i="1"/>
  <c r="B9" i="1"/>
  <c r="B8" i="1" s="1"/>
  <c r="B12" i="1"/>
  <c r="B13" i="1"/>
  <c r="B14" i="1"/>
  <c r="B27" i="1"/>
  <c r="F31" i="5"/>
  <c r="F29" i="5"/>
  <c r="F34" i="5" s="1"/>
  <c r="F30" i="5"/>
  <c r="F35" i="5" s="1"/>
  <c r="F28" i="5"/>
  <c r="C74" i="7"/>
  <c r="T8" i="8" s="1"/>
  <c r="S8" i="8"/>
  <c r="J4" i="11" s="1"/>
  <c r="K4" i="11" s="1"/>
  <c r="C75" i="7"/>
  <c r="U8" i="8" s="1"/>
  <c r="T17" i="8"/>
  <c r="K7" i="11" s="1"/>
  <c r="B6" i="13"/>
  <c r="B7" i="12"/>
  <c r="K5" i="11"/>
  <c r="E6" i="12"/>
  <c r="F5" i="11"/>
  <c r="D5" i="13" s="1"/>
  <c r="C13" i="8"/>
  <c r="B129" i="7"/>
  <c r="I21" i="8"/>
  <c r="H9" i="11" s="1"/>
  <c r="B182" i="7"/>
  <c r="G21" i="8" s="1"/>
  <c r="C9" i="11" s="1"/>
  <c r="F3" i="13"/>
  <c r="G4" i="12"/>
  <c r="F5" i="13"/>
  <c r="F7" i="13" s="1"/>
  <c r="G6" i="12"/>
  <c r="F6" i="13"/>
  <c r="G7" i="12"/>
  <c r="F9" i="11"/>
  <c r="D10" i="13" s="1"/>
  <c r="E10" i="12"/>
  <c r="K9" i="11"/>
  <c r="F11" i="13"/>
  <c r="G11" i="12"/>
  <c r="C12" i="13"/>
  <c r="C12" i="12"/>
  <c r="F13" i="13"/>
  <c r="G13" i="12"/>
  <c r="C1" i="2"/>
  <c r="C4" i="2" s="1"/>
  <c r="C5" i="2" s="1"/>
  <c r="H6" i="4"/>
  <c r="E20" i="5"/>
  <c r="G20" i="5"/>
  <c r="C1" i="6"/>
  <c r="C3" i="6" s="1"/>
  <c r="C5" i="6" s="1"/>
  <c r="D40" i="6"/>
  <c r="F40" i="6"/>
  <c r="H40" i="6"/>
  <c r="E41" i="6"/>
  <c r="G41" i="6"/>
  <c r="F42" i="6"/>
  <c r="H42" i="6"/>
  <c r="E44" i="6"/>
  <c r="G44" i="6"/>
  <c r="D45" i="6"/>
  <c r="F45" i="6"/>
  <c r="H45" i="6"/>
  <c r="G4" i="8"/>
  <c r="C2" i="11" s="1"/>
  <c r="C8" i="8"/>
  <c r="G8" i="8"/>
  <c r="C4" i="11" s="1"/>
  <c r="B2" i="13"/>
  <c r="B3" i="12"/>
  <c r="B3" i="11"/>
  <c r="I55" i="7"/>
  <c r="M6" i="8" s="1"/>
  <c r="K4" i="12" s="1"/>
  <c r="B4" i="13"/>
  <c r="B5" i="12"/>
  <c r="B6" i="12"/>
  <c r="B5" i="13"/>
  <c r="G6" i="8"/>
  <c r="C3" i="11" s="1"/>
  <c r="B56" i="7"/>
  <c r="F2" i="13"/>
  <c r="G3" i="12"/>
  <c r="F4" i="13"/>
  <c r="G5" i="12"/>
  <c r="E5" i="12"/>
  <c r="F4" i="11"/>
  <c r="D4" i="13" s="1"/>
  <c r="C5" i="13"/>
  <c r="C6" i="12"/>
  <c r="C6" i="13"/>
  <c r="C7" i="12"/>
  <c r="E7" i="12"/>
  <c r="F6" i="11"/>
  <c r="D6" i="13" s="1"/>
  <c r="F9" i="13"/>
  <c r="G9" i="12"/>
  <c r="C11" i="12"/>
  <c r="C11" i="13"/>
  <c r="F12" i="13"/>
  <c r="G12" i="12"/>
  <c r="C13" i="12"/>
  <c r="C13" i="13"/>
  <c r="H24" i="10"/>
  <c r="H22" i="10"/>
  <c r="H23" i="10"/>
  <c r="H21" i="10"/>
  <c r="A5" i="1"/>
  <c r="E7" i="13"/>
  <c r="B15" i="1"/>
  <c r="C1" i="3"/>
  <c r="C3" i="3" s="1"/>
  <c r="C1" i="4"/>
  <c r="C3" i="4" s="1"/>
  <c r="F7" i="4" s="1"/>
  <c r="F12" i="4" s="1"/>
  <c r="D20" i="5"/>
  <c r="E42" i="6"/>
  <c r="G42" i="6"/>
  <c r="J55" i="7"/>
  <c r="N6" i="8" s="1"/>
  <c r="L4" i="12" s="1"/>
  <c r="L5" i="11"/>
  <c r="C98" i="7"/>
  <c r="U12" i="8" s="1"/>
  <c r="C4" i="8"/>
  <c r="S4" i="8"/>
  <c r="J2" i="11" s="1"/>
  <c r="E6" i="8"/>
  <c r="S12" i="8"/>
  <c r="J6" i="11" s="1"/>
  <c r="L6" i="11" s="1"/>
  <c r="S15" i="8"/>
  <c r="C85" i="7"/>
  <c r="T10" i="8" s="1"/>
  <c r="C86" i="7"/>
  <c r="U10" i="8" s="1"/>
  <c r="H36" i="10"/>
  <c r="F50" i="10" s="1"/>
  <c r="U15" i="12"/>
  <c r="G19" i="8" l="1"/>
  <c r="C8" i="11" s="1"/>
  <c r="B154" i="7"/>
  <c r="Q17" i="8" s="1"/>
  <c r="G7" i="13"/>
  <c r="I21" i="10"/>
  <c r="L9" i="11"/>
  <c r="B153" i="7"/>
  <c r="P17" i="8" s="1"/>
  <c r="E7" i="11" s="1"/>
  <c r="F7" i="11" s="1"/>
  <c r="D8" i="13" s="1"/>
  <c r="C7" i="11"/>
  <c r="D9" i="5"/>
  <c r="F17" i="4"/>
  <c r="F20" i="1" s="1"/>
  <c r="F16" i="4"/>
  <c r="F19" i="1" s="1"/>
  <c r="F15" i="4"/>
  <c r="F18" i="1" s="1"/>
  <c r="D31" i="5"/>
  <c r="D36" i="5" s="1"/>
  <c r="H36" i="5" s="1"/>
  <c r="D29" i="5"/>
  <c r="D34" i="5" s="1"/>
  <c r="H20" i="5"/>
  <c r="D30" i="5"/>
  <c r="D35" i="5" s="1"/>
  <c r="D28" i="5"/>
  <c r="D50" i="5" s="1"/>
  <c r="E8" i="10"/>
  <c r="E27" i="9"/>
  <c r="I23" i="10"/>
  <c r="J23" i="10"/>
  <c r="J24" i="10"/>
  <c r="I24" i="10"/>
  <c r="C9" i="13"/>
  <c r="C9" i="12"/>
  <c r="C3" i="13"/>
  <c r="C4" i="12"/>
  <c r="F6" i="12"/>
  <c r="D6" i="12"/>
  <c r="B4" i="12"/>
  <c r="B3" i="13"/>
  <c r="C3" i="12"/>
  <c r="D3" i="12" s="1"/>
  <c r="C2" i="13"/>
  <c r="G30" i="5"/>
  <c r="G35" i="5" s="1"/>
  <c r="G28" i="5"/>
  <c r="G46" i="5" s="1"/>
  <c r="G31" i="5"/>
  <c r="G48" i="5" s="1"/>
  <c r="H48" i="5" s="1"/>
  <c r="G29" i="5"/>
  <c r="G34" i="5" s="1"/>
  <c r="F10" i="13"/>
  <c r="G10" i="12"/>
  <c r="F7" i="12"/>
  <c r="D7" i="12"/>
  <c r="F40" i="5"/>
  <c r="H40" i="5" s="1"/>
  <c r="F44" i="5"/>
  <c r="H44" i="5" s="1"/>
  <c r="H38" i="10"/>
  <c r="D7" i="4"/>
  <c r="E7" i="4"/>
  <c r="E12" i="4" s="1"/>
  <c r="E7" i="3"/>
  <c r="F7" i="3"/>
  <c r="D7" i="3"/>
  <c r="J21" i="10"/>
  <c r="J22" i="10"/>
  <c r="I22" i="10"/>
  <c r="S19" i="8"/>
  <c r="J8" i="11" s="1"/>
  <c r="S6" i="8"/>
  <c r="J3" i="11" s="1"/>
  <c r="C4" i="13"/>
  <c r="E4" i="13" s="1"/>
  <c r="G4" i="13" s="1"/>
  <c r="C5" i="12"/>
  <c r="F5" i="12" s="1"/>
  <c r="G9" i="6"/>
  <c r="G48" i="6" s="1"/>
  <c r="E9" i="6"/>
  <c r="F9" i="6"/>
  <c r="D9" i="6"/>
  <c r="E30" i="5"/>
  <c r="E35" i="5" s="1"/>
  <c r="E28" i="5"/>
  <c r="E50" i="5" s="1"/>
  <c r="E49" i="5" s="1"/>
  <c r="E26" i="1" s="1"/>
  <c r="E31" i="5"/>
  <c r="E36" i="5" s="1"/>
  <c r="E29" i="5"/>
  <c r="E34" i="5" s="1"/>
  <c r="G9" i="2"/>
  <c r="G28" i="2" s="1"/>
  <c r="G33" i="2" s="1"/>
  <c r="G35" i="2" s="1"/>
  <c r="E9" i="2"/>
  <c r="F9" i="2"/>
  <c r="F14" i="2" s="1"/>
  <c r="D9" i="2"/>
  <c r="D14" i="2" s="1"/>
  <c r="C10" i="13"/>
  <c r="C10" i="12"/>
  <c r="G13" i="8"/>
  <c r="B135" i="7"/>
  <c r="F42" i="5"/>
  <c r="F38" i="5"/>
  <c r="F54" i="6"/>
  <c r="F33" i="5"/>
  <c r="K6" i="11"/>
  <c r="E5" i="13"/>
  <c r="G5" i="13" s="1"/>
  <c r="A45" i="10"/>
  <c r="E6" i="13"/>
  <c r="L4" i="11"/>
  <c r="D12" i="3" l="1"/>
  <c r="D17" i="3"/>
  <c r="F17" i="1"/>
  <c r="C8" i="13"/>
  <c r="C8" i="12"/>
  <c r="J25" i="10"/>
  <c r="E38" i="10" s="1"/>
  <c r="E51" i="10" s="1"/>
  <c r="E14" i="2"/>
  <c r="E23" i="2" s="1"/>
  <c r="R5" i="12"/>
  <c r="H5" i="12"/>
  <c r="M5" i="12"/>
  <c r="F22" i="1"/>
  <c r="H38" i="5"/>
  <c r="F37" i="5"/>
  <c r="S13" i="8"/>
  <c r="C136" i="7"/>
  <c r="T13" i="8" s="1"/>
  <c r="C137" i="7"/>
  <c r="U13" i="8" s="1"/>
  <c r="D23" i="2"/>
  <c r="H9" i="2"/>
  <c r="E54" i="6"/>
  <c r="E33" i="5"/>
  <c r="D48" i="6"/>
  <c r="D49" i="6"/>
  <c r="H9" i="6"/>
  <c r="E50" i="6"/>
  <c r="E49" i="6"/>
  <c r="E48" i="6"/>
  <c r="E57" i="6" s="1"/>
  <c r="D23" i="3"/>
  <c r="D18" i="3"/>
  <c r="D27" i="3" s="1"/>
  <c r="H7" i="3"/>
  <c r="H7" i="4"/>
  <c r="G54" i="6"/>
  <c r="G33" i="5"/>
  <c r="H46" i="5"/>
  <c r="G45" i="5"/>
  <c r="D49" i="5"/>
  <c r="H50" i="5"/>
  <c r="H31" i="5"/>
  <c r="H29" i="5"/>
  <c r="H30" i="5"/>
  <c r="H28" i="5"/>
  <c r="F41" i="5"/>
  <c r="H42" i="5"/>
  <c r="F20" i="2"/>
  <c r="F23" i="2" s="1"/>
  <c r="F19" i="2"/>
  <c r="F35" i="2" s="1"/>
  <c r="H35" i="2" s="1"/>
  <c r="F48" i="6"/>
  <c r="F57" i="6" s="1"/>
  <c r="F50" i="6"/>
  <c r="F49" i="6"/>
  <c r="G50" i="6"/>
  <c r="G49" i="6"/>
  <c r="G57" i="6"/>
  <c r="E17" i="4"/>
  <c r="E20" i="1" s="1"/>
  <c r="E16" i="4"/>
  <c r="E19" i="1" s="1"/>
  <c r="E15" i="4"/>
  <c r="E18" i="1" s="1"/>
  <c r="Q7" i="12"/>
  <c r="H7" i="12"/>
  <c r="M7" i="12"/>
  <c r="D4" i="12"/>
  <c r="Q6" i="12"/>
  <c r="M6" i="12" s="1"/>
  <c r="H6" i="12"/>
  <c r="H34" i="5"/>
  <c r="D54" i="6"/>
  <c r="D33" i="5"/>
  <c r="D5" i="12"/>
  <c r="F51" i="10"/>
  <c r="I25" i="10"/>
  <c r="H35" i="5"/>
  <c r="E17" i="1" l="1"/>
  <c r="G58" i="6"/>
  <c r="F58" i="6"/>
  <c r="E59" i="6"/>
  <c r="E36" i="10"/>
  <c r="J34" i="10"/>
  <c r="D51" i="5"/>
  <c r="D22" i="1"/>
  <c r="H33" i="5"/>
  <c r="H45" i="5"/>
  <c r="G25" i="1"/>
  <c r="C25" i="1" s="1"/>
  <c r="G51" i="5"/>
  <c r="G22" i="1"/>
  <c r="G21" i="1" s="1"/>
  <c r="G32" i="1" s="1"/>
  <c r="H48" i="6"/>
  <c r="H50" i="6"/>
  <c r="H49" i="6"/>
  <c r="H37" i="5"/>
  <c r="F24" i="1"/>
  <c r="C24" i="1" s="1"/>
  <c r="G59" i="6"/>
  <c r="F59" i="6"/>
  <c r="D19" i="3"/>
  <c r="D24" i="3"/>
  <c r="D29" i="3" s="1"/>
  <c r="E58" i="6"/>
  <c r="H23" i="2"/>
  <c r="F23" i="1"/>
  <c r="C23" i="1" s="1"/>
  <c r="H41" i="5"/>
  <c r="H49" i="5"/>
  <c r="D26" i="1"/>
  <c r="C26" i="1" s="1"/>
  <c r="B26" i="1" s="1"/>
  <c r="C9" i="4"/>
  <c r="H12" i="3"/>
  <c r="D34" i="3"/>
  <c r="H35" i="3" s="1"/>
  <c r="C10" i="4"/>
  <c r="E51" i="5"/>
  <c r="E22" i="1"/>
  <c r="E21" i="1" s="1"/>
  <c r="F51" i="5"/>
  <c r="E32" i="1" l="1"/>
  <c r="B23" i="1"/>
  <c r="B211" i="7"/>
  <c r="D28" i="3"/>
  <c r="D12" i="4"/>
  <c r="H58" i="6"/>
  <c r="F21" i="1"/>
  <c r="F32" i="1" s="1"/>
  <c r="H59" i="6"/>
  <c r="B12" i="11"/>
  <c r="B25" i="1"/>
  <c r="H20" i="9"/>
  <c r="H51" i="5"/>
  <c r="B11" i="11"/>
  <c r="B24" i="1"/>
  <c r="D21" i="1"/>
  <c r="C22" i="1"/>
  <c r="D30" i="3" l="1"/>
  <c r="H23" i="9"/>
  <c r="D53" i="6"/>
  <c r="D57" i="6" s="1"/>
  <c r="H57" i="6" s="1"/>
  <c r="H22" i="9" s="1"/>
  <c r="B10" i="11"/>
  <c r="B22" i="1"/>
  <c r="B21" i="1" s="1"/>
  <c r="C21" i="1"/>
  <c r="D17" i="4"/>
  <c r="D16" i="4"/>
  <c r="D15" i="4"/>
  <c r="H12" i="4"/>
  <c r="B13" i="13"/>
  <c r="B13" i="12"/>
  <c r="B12" i="12"/>
  <c r="B12" i="13"/>
  <c r="H16" i="4" l="1"/>
  <c r="D19" i="1"/>
  <c r="H15" i="4"/>
  <c r="D18" i="1"/>
  <c r="H17" i="4"/>
  <c r="H19" i="9" s="1"/>
  <c r="D20" i="1"/>
  <c r="C20" i="1" s="1"/>
  <c r="D12" i="12"/>
  <c r="D13" i="12"/>
  <c r="B11" i="13"/>
  <c r="B11" i="12"/>
  <c r="D8" i="5"/>
  <c r="D10" i="5" s="1"/>
  <c r="D11" i="5" s="1"/>
  <c r="D13" i="5" s="1"/>
  <c r="D15" i="5" s="1"/>
  <c r="B9" i="11" l="1"/>
  <c r="B20" i="1"/>
  <c r="C18" i="1"/>
  <c r="D17" i="1"/>
  <c r="C19" i="1"/>
  <c r="D16" i="1"/>
  <c r="E24" i="9"/>
  <c r="E28" i="9" s="1"/>
  <c r="D24" i="9"/>
  <c r="D11" i="12"/>
  <c r="B10" i="12" l="1"/>
  <c r="B10" i="13"/>
  <c r="E10" i="13" s="1"/>
  <c r="G10" i="13" s="1"/>
  <c r="B8" i="11"/>
  <c r="B19" i="1"/>
  <c r="B7" i="11"/>
  <c r="C17" i="1"/>
  <c r="B18" i="1"/>
  <c r="B17" i="1" s="1"/>
  <c r="C16" i="1"/>
  <c r="D11" i="1"/>
  <c r="D32" i="1" s="1"/>
  <c r="D28" i="9"/>
  <c r="D27" i="9"/>
  <c r="B9" i="13" l="1"/>
  <c r="B9" i="12"/>
  <c r="D9" i="12" s="1"/>
  <c r="D10" i="12"/>
  <c r="F10" i="12"/>
  <c r="B8" i="13"/>
  <c r="E8" i="13" s="1"/>
  <c r="G8" i="13" s="1"/>
  <c r="B8" i="12"/>
  <c r="B16" i="1"/>
  <c r="B11" i="1" s="1"/>
  <c r="C11" i="1"/>
  <c r="C31" i="1" s="1"/>
  <c r="B31" i="1" s="1"/>
  <c r="B32" i="1" s="1"/>
  <c r="B221" i="7"/>
  <c r="B204" i="7"/>
  <c r="B193" i="7"/>
  <c r="B45" i="7"/>
  <c r="B170" i="7"/>
  <c r="B119" i="7"/>
  <c r="B57" i="7"/>
  <c r="B222" i="7"/>
  <c r="Q26" i="8" s="1"/>
  <c r="B205" i="7"/>
  <c r="Q25" i="8" s="1"/>
  <c r="B194" i="7"/>
  <c r="Q23" i="8" s="1"/>
  <c r="B171" i="7"/>
  <c r="B120" i="7"/>
  <c r="B58" i="7"/>
  <c r="B46" i="7"/>
  <c r="D8" i="12" l="1"/>
  <c r="F8" i="12"/>
  <c r="H10" i="12"/>
  <c r="T10" i="12"/>
  <c r="T16" i="12" s="1"/>
  <c r="T17" i="12" s="1"/>
  <c r="T18" i="12" s="1"/>
  <c r="C32" i="1"/>
  <c r="Q4" i="8"/>
  <c r="C46" i="7"/>
  <c r="U4" i="8" s="1"/>
  <c r="Q15" i="8"/>
  <c r="C120" i="7"/>
  <c r="U15" i="8" s="1"/>
  <c r="P15" i="8"/>
  <c r="C119" i="7"/>
  <c r="T15" i="8" s="1"/>
  <c r="P4" i="8"/>
  <c r="E2" i="11" s="1"/>
  <c r="C45" i="7"/>
  <c r="T4" i="8" s="1"/>
  <c r="P25" i="8"/>
  <c r="E11" i="11" s="1"/>
  <c r="C204" i="7"/>
  <c r="T25" i="8" s="1"/>
  <c r="Q6" i="8"/>
  <c r="C58" i="7"/>
  <c r="U6" i="8" s="1"/>
  <c r="Q19" i="8"/>
  <c r="C171" i="7"/>
  <c r="U19" i="8" s="1"/>
  <c r="P6" i="8"/>
  <c r="E3" i="11" s="1"/>
  <c r="C57" i="7"/>
  <c r="T6" i="8" s="1"/>
  <c r="P19" i="8"/>
  <c r="E8" i="11" s="1"/>
  <c r="C170" i="7"/>
  <c r="T19" i="8" s="1"/>
  <c r="P23" i="8"/>
  <c r="E10" i="11" s="1"/>
  <c r="C193" i="7"/>
  <c r="T23" i="8" s="1"/>
  <c r="P26" i="8"/>
  <c r="E12" i="11" s="1"/>
  <c r="C221" i="7"/>
  <c r="T26" i="8" s="1"/>
  <c r="N8" i="12" l="1"/>
  <c r="O8" i="12"/>
  <c r="H8" i="12"/>
  <c r="E13" i="12"/>
  <c r="F13" i="12" s="1"/>
  <c r="F12" i="11"/>
  <c r="K12" i="11"/>
  <c r="E11" i="12"/>
  <c r="F11" i="12" s="1"/>
  <c r="F10" i="11"/>
  <c r="K10" i="11"/>
  <c r="F8" i="11"/>
  <c r="E9" i="12"/>
  <c r="F9" i="12" s="1"/>
  <c r="K8" i="11"/>
  <c r="K3" i="11"/>
  <c r="E4" i="12"/>
  <c r="F4" i="12" s="1"/>
  <c r="F3" i="11"/>
  <c r="F11" i="11"/>
  <c r="E12" i="12"/>
  <c r="F12" i="12" s="1"/>
  <c r="K11" i="11"/>
  <c r="E3" i="12"/>
  <c r="F3" i="12" s="1"/>
  <c r="K2" i="11"/>
  <c r="F2" i="11"/>
  <c r="R3" i="12" l="1"/>
  <c r="F14" i="12"/>
  <c r="Q3" i="12"/>
  <c r="H3" i="12"/>
  <c r="M3" i="12"/>
  <c r="N3" i="12"/>
  <c r="O3" i="12"/>
  <c r="D3" i="13"/>
  <c r="E3" i="13" s="1"/>
  <c r="G3" i="13" s="1"/>
  <c r="L3" i="11"/>
  <c r="Q9" i="12"/>
  <c r="H9" i="12"/>
  <c r="O9" i="12"/>
  <c r="N9" i="12"/>
  <c r="D12" i="13"/>
  <c r="E12" i="13" s="1"/>
  <c r="G12" i="13" s="1"/>
  <c r="L11" i="11"/>
  <c r="R4" i="12"/>
  <c r="H4" i="12"/>
  <c r="Q4" i="12"/>
  <c r="D9" i="13"/>
  <c r="E9" i="13" s="1"/>
  <c r="G9" i="13" s="1"/>
  <c r="L8" i="11"/>
  <c r="D11" i="13"/>
  <c r="E11" i="13" s="1"/>
  <c r="G11" i="13" s="1"/>
  <c r="L10" i="11"/>
  <c r="R13" i="12"/>
  <c r="H13" i="12"/>
  <c r="D2" i="13"/>
  <c r="E2" i="13" s="1"/>
  <c r="L2" i="11"/>
  <c r="Q12" i="12"/>
  <c r="H12" i="12"/>
  <c r="R12" i="12"/>
  <c r="M12" i="12"/>
  <c r="R11" i="12"/>
  <c r="H11" i="12"/>
  <c r="N11" i="12"/>
  <c r="O11" i="12"/>
  <c r="D13" i="13"/>
  <c r="E13" i="13" s="1"/>
  <c r="G13" i="13" s="1"/>
  <c r="L12" i="11"/>
  <c r="M9" i="12" l="1"/>
  <c r="M16" i="12" s="1"/>
  <c r="O16" i="12"/>
  <c r="O17" i="12" s="1"/>
  <c r="O18" i="12" s="1"/>
  <c r="Q16" i="12"/>
  <c r="Q17" i="12" s="1"/>
  <c r="Q18" i="12" s="1"/>
  <c r="R16" i="12"/>
  <c r="R17" i="12" s="1"/>
  <c r="R18" i="12" s="1"/>
  <c r="E14" i="13"/>
  <c r="G2" i="13"/>
  <c r="G14" i="13" s="1"/>
  <c r="N16" i="12"/>
  <c r="N17" i="12" s="1"/>
  <c r="N18" i="12" s="1"/>
  <c r="H14" i="12"/>
  <c r="U16" i="12" l="1"/>
  <c r="M17" i="12"/>
  <c r="U17" i="12" l="1"/>
  <c r="U18" i="12" s="1"/>
  <c r="M18" i="12"/>
  <c r="B16" i="7"/>
</calcChain>
</file>

<file path=xl/sharedStrings.xml><?xml version="1.0" encoding="utf-8"?>
<sst xmlns="http://schemas.openxmlformats.org/spreadsheetml/2006/main" count="1618" uniqueCount="644">
  <si>
    <t>Number</t>
  </si>
  <si>
    <t>Description</t>
  </si>
  <si>
    <t>Source</t>
  </si>
  <si>
    <t>Total CA1 cells</t>
  </si>
  <si>
    <t>Calculated from range given in West et al., 1991</t>
  </si>
  <si>
    <t>% GABAergic</t>
  </si>
  <si>
    <t>Calculated as most likely from range given by Aika et al., 1994 and Woodson et al., 1989</t>
  </si>
  <si>
    <t>Total GABAergic cells</t>
  </si>
  <si>
    <t>Calculated</t>
  </si>
  <si>
    <t>Total pyramidal cells</t>
  </si>
  <si>
    <t>Cell Type</t>
  </si>
  <si>
    <t>Fraction</t>
  </si>
  <si>
    <t>Total</t>
  </si>
  <si>
    <t>SO</t>
  </si>
  <si>
    <t>SP</t>
  </si>
  <si>
    <t>SR</t>
  </si>
  <si>
    <t>SLM</t>
  </si>
  <si>
    <t>Neurogliaform Family</t>
  </si>
  <si>
    <t>Ivy</t>
  </si>
  <si>
    <t>Neurogliaform</t>
  </si>
  <si>
    <t>O-LM</t>
  </si>
  <si>
    <t>Double Projection</t>
  </si>
  <si>
    <t>CB- septal proj.</t>
  </si>
  <si>
    <t>PV Expressing</t>
  </si>
  <si>
    <t>PV+ Basket</t>
  </si>
  <si>
    <t>Bistratified</t>
  </si>
  <si>
    <t>Axo-axonic</t>
  </si>
  <si>
    <t>CCK Expressing</t>
  </si>
  <si>
    <t>CCK+ Basket</t>
  </si>
  <si>
    <t>ADI</t>
  </si>
  <si>
    <t>SCA</t>
  </si>
  <si>
    <t>PPA</t>
  </si>
  <si>
    <t>CCK Misc.</t>
  </si>
  <si>
    <t>Interneuron Specific</t>
  </si>
  <si>
    <t>IS I</t>
  </si>
  <si>
    <t>IS II</t>
  </si>
  <si>
    <t>IS III</t>
  </si>
  <si>
    <t>Other Cells</t>
  </si>
  <si>
    <t>TOTAL</t>
  </si>
  <si>
    <t>GABAergic cells</t>
  </si>
  <si>
    <t>Fraction of GABAergic cells expressing COUP-TFII</t>
  </si>
  <si>
    <t>Fuentealba et al., 2010</t>
  </si>
  <si>
    <t>Fraction of COUP-TFII cells that are GABAergic</t>
  </si>
  <si>
    <t>GABAergic COUP-TFII+ cells</t>
  </si>
  <si>
    <t>Total COUP-TFII+ cells</t>
  </si>
  <si>
    <t>COUP-TFII expr.</t>
  </si>
  <si>
    <t>Fraction of:</t>
  </si>
  <si>
    <t>that are:</t>
  </si>
  <si>
    <t>COUP-TFII+ cells</t>
  </si>
  <si>
    <t>nNOS+/NPY+</t>
  </si>
  <si>
    <t>nNOS+/NPY+ cells</t>
  </si>
  <si>
    <t>COUP-TFII+</t>
  </si>
  <si>
    <t>Total nNOS+/NPY+ cells</t>
  </si>
  <si>
    <t>Fraction that are reelin+</t>
  </si>
  <si>
    <t>Somogyi et al., 2012</t>
  </si>
  <si>
    <t>Fraction that are reelin-</t>
  </si>
  <si>
    <t>Total nNOS+/NPY+/reelin+ cells</t>
  </si>
  <si>
    <t>Total nNOS+/NPY+/reelin- cells</t>
  </si>
  <si>
    <t>Total Ivy cells</t>
  </si>
  <si>
    <t>α-actinin-2+</t>
  </si>
  <si>
    <t>α-actinin-2+ cells</t>
  </si>
  <si>
    <t>Total α-actinin-2+ cells</t>
  </si>
  <si>
    <t>NGF cells</t>
  </si>
  <si>
    <t>Ratzliff and Soltesz, 2001</t>
  </si>
  <si>
    <t>Price et al., 2005</t>
  </si>
  <si>
    <t>Total neurogliaform (NGF) cells</t>
  </si>
  <si>
    <t>Fraction of GABAergic cells expressing SOM</t>
  </si>
  <si>
    <t>Kosaka et al., 1988</t>
  </si>
  <si>
    <t>Total SOM+ cells</t>
  </si>
  <si>
    <t>SOM expr.</t>
  </si>
  <si>
    <t>Calculated from Nomura et al., 1997</t>
  </si>
  <si>
    <t>SOM+ cells</t>
  </si>
  <si>
    <t>O-LM cells</t>
  </si>
  <si>
    <t>Ferraguti et al., 2004</t>
  </si>
  <si>
    <t>Total O-LM Cells</t>
  </si>
  <si>
    <t>septally proj'ing</t>
  </si>
  <si>
    <t>Jinno, 2009</t>
  </si>
  <si>
    <t>septally proj'ing cells</t>
  </si>
  <si>
    <t>CB+</t>
  </si>
  <si>
    <t>Toth and Freund, 1992</t>
  </si>
  <si>
    <t>Total SOM+ septally proj'ing cells</t>
  </si>
  <si>
    <t>Total SOM+/CB+ septally proj'ing cells</t>
  </si>
  <si>
    <t>Total SOM+/CB- septally proj'ing cells</t>
  </si>
  <si>
    <t>Gulyas et al., 2003</t>
  </si>
  <si>
    <t>Total SOM+/CB+ cells</t>
  </si>
  <si>
    <t>Non sept proj SOM+/CB+ cells</t>
  </si>
  <si>
    <t>Total double projection cells</t>
  </si>
  <si>
    <t>Other SOM+ septally proj'ing cells</t>
  </si>
  <si>
    <t>Oriens-retrohippocampal cells</t>
  </si>
  <si>
    <t>Other SOM+ cells</t>
  </si>
  <si>
    <t>Calculated, includes bistratified cells</t>
  </si>
  <si>
    <t>subicular proj'ing cells</t>
  </si>
  <si>
    <t>SOM+</t>
  </si>
  <si>
    <t>Total sub. Proj'ing SOM+ cells</t>
  </si>
  <si>
    <t>Total sub. Proj'ing SOM- cells</t>
  </si>
  <si>
    <t>Calculated, note that these include cells in the stratum radiatum</t>
  </si>
  <si>
    <t>Fraction of GABAergic cells expressing PV</t>
  </si>
  <si>
    <t>Kosaka et al., 1987</t>
  </si>
  <si>
    <t>PV expr.</t>
  </si>
  <si>
    <t>Total PV+ cells</t>
  </si>
  <si>
    <t>1/3 of OLM cells</t>
  </si>
  <si>
    <t>Calculated from Varga et al., 2012</t>
  </si>
  <si>
    <t>1/3 of dbl proj. cells</t>
  </si>
  <si>
    <t>Calculated from Jinno et al., 2007</t>
  </si>
  <si>
    <t>Remaining PV+ cells</t>
  </si>
  <si>
    <t>Type</t>
  </si>
  <si>
    <t>Basket</t>
  </si>
  <si>
    <t>Axoaxonic</t>
  </si>
  <si>
    <t>Source:</t>
  </si>
  <si>
    <t>Baude et al., 2007</t>
  </si>
  <si>
    <t>Fraction of GABAergic cells expressing CCK</t>
  </si>
  <si>
    <t>Kosaka et al., 1985</t>
  </si>
  <si>
    <t>Marked CCK+ cells</t>
  </si>
  <si>
    <t>Fraction of CB1R+ cells expressing CCK</t>
  </si>
  <si>
    <t>Katona et al., 1999b</t>
  </si>
  <si>
    <t>Fraction of CCK+ cells expressing CB1R</t>
  </si>
  <si>
    <t>CB1R+ cells (we used this as the total number of CCK cells)</t>
  </si>
  <si>
    <t>Total PV+ basket cells</t>
  </si>
  <si>
    <t>Boutons/PV+ basket cell</t>
  </si>
  <si>
    <t>Ref</t>
  </si>
  <si>
    <t>Ratio of PV:CCK boutons</t>
  </si>
  <si>
    <t>Total PV+ basket cell boutons</t>
  </si>
  <si>
    <t>Foldy et al, 2010, on pyramidal cell somata</t>
  </si>
  <si>
    <t>Estimated CCK+ basket cell boutons</t>
  </si>
  <si>
    <t>Wyeth et al, 2010, in pyramidal layer</t>
  </si>
  <si>
    <t>Boutons/CCK+ basket cell</t>
  </si>
  <si>
    <t>Average</t>
  </si>
  <si>
    <t>CCK+ basket cells</t>
  </si>
  <si>
    <t>Remaining CCK+ cells</t>
  </si>
  <si>
    <t>CCK expr.</t>
  </si>
  <si>
    <t>Pawelzik et al., 2002</t>
  </si>
  <si>
    <t>Total CCK+ cells</t>
  </si>
  <si>
    <t>CCK+ cells</t>
  </si>
  <si>
    <t>CCK+/CB+</t>
  </si>
  <si>
    <t>Somogyi et al., 2004</t>
  </si>
  <si>
    <t>CCK+/VIP+</t>
  </si>
  <si>
    <t>CCK+/VGLUT3+</t>
  </si>
  <si>
    <t>CCK+only</t>
  </si>
  <si>
    <t>Total CCK+/CB+ cells</t>
  </si>
  <si>
    <t>Total CCK+/VIP+ cells</t>
  </si>
  <si>
    <t>Total CCK+/VGLUT3+ cells</t>
  </si>
  <si>
    <t>Total CCK+only cells</t>
  </si>
  <si>
    <t>VIP</t>
  </si>
  <si>
    <t>VGLUT3</t>
  </si>
  <si>
    <t>CCK only</t>
  </si>
  <si>
    <t>CB</t>
  </si>
  <si>
    <t>Misc CCK</t>
  </si>
  <si>
    <t>CR+ or VIP+ COUP-TFII+ cells</t>
  </si>
  <si>
    <t>Interneuron-targetting cells</t>
  </si>
  <si>
    <t>Detected combinations</t>
  </si>
  <si>
    <t>total</t>
  </si>
  <si>
    <t>CR+ only</t>
  </si>
  <si>
    <t>COUP-TFII+ only</t>
  </si>
  <si>
    <t>PPE+ only</t>
  </si>
  <si>
    <t>VIP+ only</t>
  </si>
  <si>
    <t>CR+/COUP-TFII+</t>
  </si>
  <si>
    <t>CR+/PPE+</t>
  </si>
  <si>
    <t>CR+/VIP+</t>
  </si>
  <si>
    <t>COUP-TFII+/PPE+</t>
  </si>
  <si>
    <t>COUP-TFII+/VIP+</t>
  </si>
  <si>
    <t>PPE+/VIP+</t>
  </si>
  <si>
    <t>CR+/COUP-TFII+/PPE+</t>
  </si>
  <si>
    <t>CR+/COUP-TFII+/VIP+</t>
  </si>
  <si>
    <t>CR+/PPE+/VIP+</t>
  </si>
  <si>
    <t>COUP-TFII+/PPE+/VIP+</t>
  </si>
  <si>
    <t>CR+/COUP-TFII+/PPE+/VIP+</t>
  </si>
  <si>
    <t>COUP-TFII</t>
  </si>
  <si>
    <t>CR+/VIP-</t>
  </si>
  <si>
    <t>CR-/VIP+</t>
  </si>
  <si>
    <t>CR+/VIP-/COUP-TFII+</t>
  </si>
  <si>
    <t>CR+/VIP+/COUP-TFII+</t>
  </si>
  <si>
    <t>CR-/VIP+/COUP-TFII+</t>
  </si>
  <si>
    <t>Fractions of Cells</t>
  </si>
  <si>
    <t>Marker Combo</t>
  </si>
  <si>
    <t>Out of all</t>
  </si>
  <si>
    <t>-</t>
  </si>
  <si>
    <t>Total CR+/VIP- cells</t>
  </si>
  <si>
    <t>Total CR+/VIP+ cells</t>
  </si>
  <si>
    <t>Total CR-/VIP+ cells</t>
  </si>
  <si>
    <t>Subtract out non-IS CR+ or VIP+ cells</t>
  </si>
  <si>
    <t>Sept proj'ing CR+ cells</t>
  </si>
  <si>
    <t>CCK+/VIP+ cells</t>
  </si>
  <si>
    <t>Marker</t>
  </si>
  <si>
    <t>IS I cells</t>
  </si>
  <si>
    <t>Calculated (subtracting septally projecting CR+ cells)</t>
  </si>
  <si>
    <t>IS III cells</t>
  </si>
  <si>
    <t>Calculated (subtracting a fraction of CCK+/VIP+ cells)</t>
  </si>
  <si>
    <t>IS II cells</t>
  </si>
  <si>
    <t>Neurogliaform Family Cells</t>
  </si>
  <si>
    <t>Interbouton length:</t>
  </si>
  <si>
    <t>μm</t>
  </si>
  <si>
    <t>Szabadics and Soltesz, 2009</t>
  </si>
  <si>
    <t>ivy cells in CA3</t>
  </si>
  <si>
    <t>Armstrong et al., 2011</t>
  </si>
  <si>
    <t>neurogliaform cells in dentate gyrus</t>
  </si>
  <si>
    <t>average</t>
  </si>
  <si>
    <t>boutons/100 μm</t>
  </si>
  <si>
    <t>Classical synapses per connection</t>
  </si>
  <si>
    <t>Tamas et al., 2003</t>
  </si>
  <si>
    <t>neurogliaform cells in somatosensory cortex</t>
  </si>
  <si>
    <t>Fraction of boutons participating in classical synapses</t>
  </si>
  <si>
    <t>Ivy cell</t>
  </si>
  <si>
    <t>Axon arbor</t>
  </si>
  <si>
    <t>times as long as a bistratified cell axon arbor</t>
  </si>
  <si>
    <t>Fuentealba et al., 2008a; Klausberger et al., 2004</t>
  </si>
  <si>
    <t>total (not just CA1) axonal arbor length of bistratified cell</t>
  </si>
  <si>
    <t>Sik et al, 1995</t>
  </si>
  <si>
    <t>ivy cell axonal arbor length</t>
  </si>
  <si>
    <t>Boutons</t>
  </si>
  <si>
    <t>Laminar Distribution</t>
  </si>
  <si>
    <t>boutons</t>
  </si>
  <si>
    <t>Layer</t>
  </si>
  <si>
    <t>Ref.</t>
  </si>
  <si>
    <t>Somata Layers</t>
  </si>
  <si>
    <t>boutons in classical synapses</t>
  </si>
  <si>
    <t>Fuentealba et al. (2008a)</t>
  </si>
  <si>
    <t>Pyramidale</t>
  </si>
  <si>
    <t>Divergence</t>
  </si>
  <si>
    <t>Szabo et al. (2012)</t>
  </si>
  <si>
    <t>Pyramidale, Radiatum</t>
  </si>
  <si>
    <t>onto pyramidal cells</t>
  </si>
  <si>
    <t>(assumed)</t>
  </si>
  <si>
    <t>onto interneurons</t>
  </si>
  <si>
    <t>Neurogliaform cell</t>
  </si>
  <si>
    <t>5 - 6x release probability of basket cells</t>
  </si>
  <si>
    <t>Olah et al., 2009, in somatosensory cortex</t>
  </si>
  <si>
    <t>Axon Arbor</t>
  </si>
  <si>
    <t>assumed from somatic distribution</t>
  </si>
  <si>
    <t>O-LM cell</t>
  </si>
  <si>
    <t>Bouton Density</t>
  </si>
  <si>
    <t>Axon Length</t>
  </si>
  <si>
    <t>Laminar Distribution (local)</t>
  </si>
  <si>
    <t>Sik et al, 1995, in CA1 only</t>
  </si>
  <si>
    <t>calculated from Sik et al 1995</t>
  </si>
  <si>
    <t>Boutons per connection</t>
  </si>
  <si>
    <t>Maccaferri et al, 2000</t>
  </si>
  <si>
    <t>Katona et al, 1999</t>
  </si>
  <si>
    <t>Double proj. cell</t>
  </si>
  <si>
    <t>boutons in the CA1</t>
  </si>
  <si>
    <t>assumed from back projection cells, Sik et al 1994</t>
  </si>
  <si>
    <t>calculated from Sik et al 1995, assuming same arbor as bistratified cell</t>
  </si>
  <si>
    <t>onto pyr.</t>
  </si>
  <si>
    <t>onto inrn</t>
  </si>
  <si>
    <t>Jinno et al 2007</t>
  </si>
  <si>
    <t>Takacs et al 2008</t>
  </si>
  <si>
    <t>Oriens retrohipp. Cell</t>
  </si>
  <si>
    <t>Jinno et al, 2007</t>
  </si>
  <si>
    <t>Back proj. cell</t>
  </si>
  <si>
    <t>in hippocampus</t>
  </si>
  <si>
    <t>Sik et al, 1994</t>
  </si>
  <si>
    <t>of axon length in CA1</t>
  </si>
  <si>
    <t>Bouton density</t>
  </si>
  <si>
    <t>Axon length (in hippocampus)</t>
  </si>
  <si>
    <t>assumed</t>
  </si>
  <si>
    <t>Trilaminar cell</t>
  </si>
  <si>
    <t>Axon length</t>
  </si>
  <si>
    <t>μm in the CA1</t>
  </si>
  <si>
    <t>Sik et al 1995, considering only axons in the CA1</t>
  </si>
  <si>
    <t>Ferraguti et al, 2005</t>
  </si>
  <si>
    <t>PV+ basket cell</t>
  </si>
  <si>
    <t>Post cell type</t>
  </si>
  <si>
    <t>Boutons/Connection</t>
  </si>
  <si>
    <t>Pyramidal Cell</t>
  </si>
  <si>
    <t>Foldy et al, 2010 in mouse</t>
  </si>
  <si>
    <t>Interneuron</t>
  </si>
  <si>
    <t>To achieve uniform connectivity (as observed in Sik et al 1995), we calculate:</t>
  </si>
  <si>
    <t>pyramidal connections = .93* total connections</t>
  </si>
  <si>
    <t>interneuron connections = 0.07*total connections</t>
  </si>
  <si>
    <t>10,440 = 11*pyramidal connections + 1*interneuron connections</t>
  </si>
  <si>
    <t>bouton</t>
  </si>
  <si>
    <t>total connections =</t>
  </si>
  <si>
    <t>pyramidal connections =</t>
  </si>
  <si>
    <t>interneuron connections =</t>
  </si>
  <si>
    <t>Bistratified cell</t>
  </si>
  <si>
    <t>Pawelzik et al, 2002, typical</t>
  </si>
  <si>
    <t>Pawelzik et al, 2002, atypical</t>
  </si>
  <si>
    <t>Klausberger et al, 2004</t>
  </si>
  <si>
    <t>Axoaxonic cell</t>
  </si>
  <si>
    <t>Li et al, 1992</t>
  </si>
  <si>
    <t>Assumed</t>
  </si>
  <si>
    <t>Li et al, 1992; Buhl et al, 1994b</t>
  </si>
  <si>
    <t>CCK+ basket cell</t>
  </si>
  <si>
    <t>Foldy et al, 2010</t>
  </si>
  <si>
    <t>Pawelzik et al, 2002</t>
  </si>
  <si>
    <t>SCA cell</t>
  </si>
  <si>
    <t>assumed, also Vida et al, 1998</t>
  </si>
  <si>
    <t>Vida et al, 1998</t>
  </si>
  <si>
    <t>Vida et al. (1998)</t>
  </si>
  <si>
    <t>PPA cell</t>
  </si>
  <si>
    <t>Cell</t>
  </si>
  <si>
    <t>Axonal</t>
  </si>
  <si>
    <t>Classical Boutons</t>
  </si>
  <si>
    <t>Laminar Distribution (%)</t>
  </si>
  <si>
    <t>Extent</t>
  </si>
  <si>
    <t>Length</t>
  </si>
  <si>
    <t>Density</t>
  </si>
  <si>
    <t>Syn.s/conn</t>
  </si>
  <si>
    <t>Fraction (%)</t>
  </si>
  <si>
    <t>Connections</t>
  </si>
  <si>
    <t>(mm)</t>
  </si>
  <si>
    <t>(µm)</t>
  </si>
  <si>
    <t>(/100 µm)</t>
  </si>
  <si>
    <t>X</t>
  </si>
  <si>
    <t>#</t>
  </si>
  <si>
    <t>ref</t>
  </si>
  <si>
    <t>Pyr.</t>
  </si>
  <si>
    <t>Inrn.</t>
  </si>
  <si>
    <r>
      <t>ML: 0.75</t>
    </r>
    <r>
      <rPr>
        <vertAlign val="superscript"/>
        <sz val="11"/>
        <color rgb="FF000000"/>
        <rFont val="Calibri"/>
        <family val="2"/>
        <charset val="1"/>
      </rPr>
      <t>e</t>
    </r>
  </si>
  <si>
    <t>c,e</t>
  </si>
  <si>
    <t>a,c,t,u</t>
  </si>
  <si>
    <t>c</t>
  </si>
  <si>
    <t>a,q</t>
  </si>
  <si>
    <t>c,e,p</t>
  </si>
  <si>
    <t>a</t>
  </si>
  <si>
    <r>
      <t>RC: 1.31</t>
    </r>
    <r>
      <rPr>
        <vertAlign val="superscript"/>
        <sz val="11"/>
        <color rgb="FF000000"/>
        <rFont val="Calibri"/>
        <family val="2"/>
        <charset val="1"/>
      </rPr>
      <t>e</t>
    </r>
  </si>
  <si>
    <r>
      <t>ML: 0.5</t>
    </r>
    <r>
      <rPr>
        <vertAlign val="superscript"/>
        <sz val="11"/>
        <color rgb="FF000000"/>
        <rFont val="Calibri"/>
        <family val="2"/>
        <charset val="1"/>
      </rPr>
      <t>d</t>
    </r>
  </si>
  <si>
    <r>
      <t>ST: 1.2</t>
    </r>
    <r>
      <rPr>
        <vertAlign val="superscript"/>
        <sz val="11"/>
        <color rgb="FF000000"/>
        <rFont val="Calibri"/>
        <family val="2"/>
        <charset val="1"/>
      </rPr>
      <t>d</t>
    </r>
  </si>
  <si>
    <r>
      <t>ML: 0.50</t>
    </r>
    <r>
      <rPr>
        <vertAlign val="superscript"/>
        <sz val="11"/>
        <color rgb="FF000000"/>
        <rFont val="Calibri"/>
        <family val="2"/>
        <charset val="1"/>
      </rPr>
      <t>f</t>
    </r>
  </si>
  <si>
    <t>f</t>
  </si>
  <si>
    <t>c,f</t>
  </si>
  <si>
    <t>s</t>
  </si>
  <si>
    <t>c,o</t>
  </si>
  <si>
    <r>
      <t>ST: 0.84</t>
    </r>
    <r>
      <rPr>
        <vertAlign val="superscript"/>
        <sz val="11"/>
        <color rgb="FF000000"/>
        <rFont val="Calibri"/>
        <family val="2"/>
        <charset val="1"/>
      </rPr>
      <t>f</t>
    </r>
  </si>
  <si>
    <t>Double proj.</t>
  </si>
  <si>
    <t>a,h</t>
  </si>
  <si>
    <t>a,c,f</t>
  </si>
  <si>
    <t>c,i,v</t>
  </si>
  <si>
    <t>Oriens retrohipp.</t>
  </si>
  <si>
    <t>i</t>
  </si>
  <si>
    <t>Trilaminar</t>
  </si>
  <si>
    <r>
      <t>ML: 2.45</t>
    </r>
    <r>
      <rPr>
        <vertAlign val="superscript"/>
        <sz val="11"/>
        <color rgb="FF000000"/>
        <rFont val="Calibri"/>
        <family val="2"/>
        <charset val="1"/>
      </rPr>
      <t>f</t>
    </r>
  </si>
  <si>
    <t>j</t>
  </si>
  <si>
    <r>
      <t>ST: 2.60</t>
    </r>
    <r>
      <rPr>
        <vertAlign val="superscript"/>
        <sz val="11"/>
        <color rgb="FF000000"/>
        <rFont val="Calibri"/>
        <family val="2"/>
        <charset val="1"/>
      </rPr>
      <t>f</t>
    </r>
  </si>
  <si>
    <t>Back proj.</t>
  </si>
  <si>
    <t>h</t>
  </si>
  <si>
    <t>PV+ basket</t>
  </si>
  <si>
    <r>
      <t>ML: 1.04</t>
    </r>
    <r>
      <rPr>
        <vertAlign val="superscript"/>
        <sz val="11"/>
        <color rgb="FF000000"/>
        <rFont val="Calibri"/>
        <family val="2"/>
        <charset val="1"/>
      </rPr>
      <t>f</t>
    </r>
  </si>
  <si>
    <t>k</t>
  </si>
  <si>
    <r>
      <t>ST: 1.19</t>
    </r>
    <r>
      <rPr>
        <vertAlign val="superscript"/>
        <sz val="11"/>
        <color rgb="FF000000"/>
        <rFont val="Calibri"/>
        <family val="2"/>
        <charset val="1"/>
      </rPr>
      <t>f</t>
    </r>
  </si>
  <si>
    <r>
      <t>ML: 2.09</t>
    </r>
    <r>
      <rPr>
        <vertAlign val="superscript"/>
        <sz val="11"/>
        <color rgb="FF000000"/>
        <rFont val="Calibri"/>
        <family val="2"/>
        <charset val="1"/>
      </rPr>
      <t>f</t>
    </r>
  </si>
  <si>
    <t>g</t>
  </si>
  <si>
    <t>c,f,m</t>
  </si>
  <si>
    <r>
      <t>ST: 1.86</t>
    </r>
    <r>
      <rPr>
        <vertAlign val="superscript"/>
        <sz val="11"/>
        <color rgb="FF000000"/>
        <rFont val="Calibri"/>
        <family val="2"/>
        <charset val="1"/>
      </rPr>
      <t>f</t>
    </r>
  </si>
  <si>
    <r>
      <t>0.60</t>
    </r>
    <r>
      <rPr>
        <vertAlign val="superscript"/>
        <sz val="11"/>
        <color rgb="FF000000"/>
        <rFont val="Calibri"/>
        <family val="2"/>
        <charset val="1"/>
      </rPr>
      <t>n</t>
    </r>
  </si>
  <si>
    <t>a,c,n</t>
  </si>
  <si>
    <t>c,n</t>
  </si>
  <si>
    <t>n,r</t>
  </si>
  <si>
    <r>
      <t>0.85</t>
    </r>
    <r>
      <rPr>
        <vertAlign val="superscript"/>
        <sz val="11"/>
        <color rgb="FF000000"/>
        <rFont val="Calibri"/>
        <family val="2"/>
        <charset val="1"/>
      </rPr>
      <t>n</t>
    </r>
  </si>
  <si>
    <t>CCK+ basket</t>
  </si>
  <si>
    <r>
      <t>PD: 1</t>
    </r>
    <r>
      <rPr>
        <vertAlign val="superscript"/>
        <sz val="11"/>
        <color rgb="FF000000"/>
        <rFont val="Calibri"/>
        <family val="2"/>
        <charset val="1"/>
      </rPr>
      <t>l</t>
    </r>
  </si>
  <si>
    <t>c,l</t>
  </si>
  <si>
    <t>m</t>
  </si>
  <si>
    <r>
      <t>PD: 1.1</t>
    </r>
    <r>
      <rPr>
        <vertAlign val="superscript"/>
        <sz val="11"/>
        <color rgb="FF000000"/>
        <rFont val="Calibri"/>
        <family val="2"/>
        <charset val="1"/>
      </rPr>
      <t>l</t>
    </r>
  </si>
  <si>
    <t>a,c,l</t>
  </si>
  <si>
    <t>l</t>
  </si>
  <si>
    <t>Dendrite</t>
  </si>
  <si>
    <t>Total Synapse #</t>
  </si>
  <si>
    <t>Total GABA−</t>
  </si>
  <si>
    <t>Total GABA+</t>
  </si>
  <si>
    <t>Reference</t>
  </si>
  <si>
    <t>Ori/dist</t>
  </si>
  <si>
    <t>Megias et al., 2001</t>
  </si>
  <si>
    <t>Ori/prox</t>
  </si>
  <si>
    <t>Rad/T/prox</t>
  </si>
  <si>
    <t>Rad/T/med</t>
  </si>
  <si>
    <t>Rad/T/dist</t>
  </si>
  <si>
    <t>Rad/t</t>
  </si>
  <si>
    <t>L-M/T</t>
  </si>
  <si>
    <t>L-M/M</t>
  </si>
  <si>
    <t>L-M/t</t>
  </si>
  <si>
    <t>Total Dendritic</t>
  </si>
  <si>
    <t>Soma</t>
  </si>
  <si>
    <t>Axon</t>
  </si>
  <si>
    <t>GABA-</t>
  </si>
  <si>
    <t>GABA+</t>
  </si>
  <si>
    <t>PV</t>
  </si>
  <si>
    <t>Gulyas et al., 1999</t>
  </si>
  <si>
    <t>CCK</t>
  </si>
  <si>
    <t>Matyas et al., 2004</t>
  </si>
  <si>
    <t>Note: we didn't use CB in the weighted average since we weren't sure how many cells to weight it by</t>
  </si>
  <si>
    <t>CR</t>
  </si>
  <si>
    <t>Hippo.-Septal</t>
  </si>
  <si>
    <t>Takacs et al., 2008</t>
  </si>
  <si>
    <t>Weighted Avg</t>
  </si>
  <si>
    <t>Percent of all GABAergic input synapses</t>
  </si>
  <si>
    <t>onto all Pyramidal Cells</t>
  </si>
  <si>
    <t>onto all Hypoth. Avg. Inrns</t>
  </si>
  <si>
    <t>Local Collaterals</t>
  </si>
  <si>
    <t>Boutons on each CA1 pyramidal cell axon:</t>
  </si>
  <si>
    <t>Fraction innervating other pyramidal cells:</t>
  </si>
  <si>
    <t>Fraction innervating interneurons:</t>
  </si>
  <si>
    <t>Total boutons innervating each pyramidal cell:</t>
  </si>
  <si>
    <t>Total boutons innervating avg. interneuron:</t>
  </si>
  <si>
    <t>Schaffer Collaterals</t>
  </si>
  <si>
    <t>CA3 cell boutons within the CA1, per CA3 cell</t>
  </si>
  <si>
    <t>Laminar distribution of Schaffer Collateral Boutons</t>
  </si>
  <si>
    <t>Sik93</t>
  </si>
  <si>
    <t>Wittner07</t>
  </si>
  <si>
    <t>CA1 pyramidal cell</t>
  </si>
  <si>
    <t>CA1 hypothetical average interneuron</t>
  </si>
  <si>
    <t>CA3a cell boutons</t>
  </si>
  <si>
    <t>CA3c cell boutons</t>
  </si>
  <si>
    <t>Ratio of S.C. synapses:</t>
  </si>
  <si>
    <t>Takacs et al., 2012</t>
  </si>
  <si>
    <t>CA1 Layer</t>
  </si>
  <si>
    <t>Per Pyr. Cell</t>
  </si>
  <si>
    <t>Per I'nrn</t>
  </si>
  <si>
    <t>Lac. Mol.</t>
  </si>
  <si>
    <t>Radiatum</t>
  </si>
  <si>
    <t>Oriens</t>
  </si>
  <si>
    <t>Comparison of Calculated Schaffer Collateral Inputs with available synapses on CA1 pyramidal cell</t>
  </si>
  <si>
    <t>Available</t>
  </si>
  <si>
    <t>Calc. S.C.</t>
  </si>
  <si>
    <t>Local Coll.</t>
  </si>
  <si>
    <t>Remaining</t>
  </si>
  <si>
    <t>How many S.C. boutons would be required?</t>
  </si>
  <si>
    <t>Total expected S.C. synapses on CA1 pyramidal cell:</t>
  </si>
  <si>
    <t>Percent of these fulfilled by calc. S.C.:</t>
  </si>
  <si>
    <t>So the S.C. inputs per pyramidal cell range from:</t>
  </si>
  <si>
    <t>(calc. observed) -</t>
  </si>
  <si>
    <t>(calc. required)</t>
  </si>
  <si>
    <t>Taking into account the 93:7 ratio of innervation of pyramidal cells:interneurons by the S.C. path gives:</t>
  </si>
  <si>
    <t>The S.C. inputs per interneuron range from:</t>
  </si>
  <si>
    <t>(calc. from requirement for pyramidal cells)</t>
  </si>
  <si>
    <t>Entorhinal Cortical Input</t>
  </si>
  <si>
    <t>Maximum input, assuming all remaining Lac. Mol. Inputs come from the entorhinal cortex:</t>
  </si>
  <si>
    <t>synapses per CA1 pyramidal cell</t>
  </si>
  <si>
    <t>Given the ratio of 91:9 innervation of pyramidal cells:interneurons by the entorhinal cortical input to the Lac. Mol:</t>
  </si>
  <si>
    <t>synapses per hypothetical average interneuron</t>
  </si>
  <si>
    <t>Note that the alvear pathway would supply even less than these amounts, but the ratio of pyramidal cell:interneuron innervation there is 79:21</t>
  </si>
  <si>
    <t>Total Excitatory Inputs per CA1 Pyramidal Cell:</t>
  </si>
  <si>
    <t>Total Excitatory Inputs per CA1 Interneuron:</t>
  </si>
  <si>
    <t>Total Cells</t>
  </si>
  <si>
    <t>Local Boutons/Cell</t>
  </si>
  <si>
    <t>% on Pyramidal Cells</t>
  </si>
  <si>
    <t>% on Interneurons</t>
  </si>
  <si>
    <t>Boutons/Conn.</t>
  </si>
  <si>
    <t>Total Divergence</t>
  </si>
  <si>
    <t>Div. on Pyramidal Cells</t>
  </si>
  <si>
    <t>Div. on Interneurons</t>
  </si>
  <si>
    <t>Assumed from Tamas et al., 2003</t>
  </si>
  <si>
    <t>Sik et al., 1995</t>
  </si>
  <si>
    <t>Calculated from Katona et al., 1999a</t>
  </si>
  <si>
    <t>Assumed from Sik94</t>
  </si>
  <si>
    <t>Jinno et al., 2007</t>
  </si>
  <si>
    <t>pyr.: 11, inrn: 1</t>
  </si>
  <si>
    <t>Foldy et al., 2010</t>
  </si>
  <si>
    <t>Klausberger et al., 2004</t>
  </si>
  <si>
    <t>Assumed from Li et al., 1992</t>
  </si>
  <si>
    <t>Buhl et al., 1994b</t>
  </si>
  <si>
    <t>Averaged from Li et al., 1992</t>
  </si>
  <si>
    <t>Assumed from Vida et al., 1998</t>
  </si>
  <si>
    <t>Vida et al., 1998</t>
  </si>
  <si>
    <t>Total (M)</t>
  </si>
  <si>
    <t>Boutons/Pyr. Cell</t>
  </si>
  <si>
    <t>Convergence</t>
  </si>
  <si>
    <t>L-M</t>
  </si>
  <si>
    <t>Distal</t>
  </si>
  <si>
    <t>Proximal</t>
  </si>
  <si>
    <t>Thick prox.</t>
  </si>
  <si>
    <t>Thick dist.</t>
  </si>
  <si>
    <t>Thin</t>
  </si>
  <si>
    <t>Synapse Summary</t>
  </si>
  <si>
    <t>Note that, for the laminar distributions, the numbers are calculated out of the total axons remaining within the CA1.</t>
  </si>
  <si>
    <t>Total Available</t>
  </si>
  <si>
    <t>Total Claimed</t>
  </si>
  <si>
    <t>Also, the PV+ Basket and CCK+ Basket cell synapses onto the pyramidal cell soma were constrained by the number of available synapses and the observed ratio of PV:CCK on the soma. The remaining basket cell synapses in the pyramidal layer were evenly distributed between the proximal oriens and radiatum dendrites.</t>
  </si>
  <si>
    <t>Total Remaining</t>
  </si>
  <si>
    <t>Percent Remaining</t>
  </si>
  <si>
    <t>Boutons/Interneuron</t>
  </si>
  <si>
    <t>c,l,p</t>
  </si>
  <si>
    <t xml:space="preserve"> Sex </t>
  </si>
  <si>
    <t xml:space="preserve"> Strain </t>
  </si>
  <si>
    <t xml:space="preserve"> Age </t>
  </si>
  <si>
    <t xml:space="preserve"> Weight (grams)</t>
  </si>
  <si>
    <t>Acsady et al. (1996a)</t>
  </si>
  <si>
    <t xml:space="preserve"> male</t>
  </si>
  <si>
    <t xml:space="preserve"> Wistar</t>
  </si>
  <si>
    <t xml:space="preserve"> 2 months</t>
  </si>
  <si>
    <t xml:space="preserve"> 300 – 350</t>
  </si>
  <si>
    <t>Acsady et al. (1996b)</t>
  </si>
  <si>
    <t xml:space="preserve"> -</t>
  </si>
  <si>
    <t>Aika et al. (1994)</t>
  </si>
  <si>
    <t xml:space="preserve"> 9 – 10 weeks</t>
  </si>
  <si>
    <t>Armstrong et al. (2011)</t>
  </si>
  <si>
    <t xml:space="preserve"> both</t>
  </si>
  <si>
    <t xml:space="preserve"> 3 – 5 weeks</t>
  </si>
  <si>
    <t>Baude et al. (2007)</t>
  </si>
  <si>
    <t xml:space="preserve"> Sprague Dawley</t>
  </si>
  <si>
    <t xml:space="preserve"> 250 – 350</t>
  </si>
  <si>
    <t>Borhegyi et al. (2004)</t>
  </si>
  <si>
    <t>Buhl et al. (1995)</t>
  </si>
  <si>
    <t xml:space="preserve"> female</t>
  </si>
  <si>
    <t xml:space="preserve"> young adult</t>
  </si>
  <si>
    <t xml:space="preserve"> &gt; 150</t>
  </si>
  <si>
    <t>Chen et al. (2003)</t>
  </si>
  <si>
    <t xml:space="preserve"> variable</t>
  </si>
  <si>
    <t>Cobb et al. (1997)</t>
  </si>
  <si>
    <t>Cope et al. (2002)</t>
  </si>
  <si>
    <t xml:space="preserve"> juvenile</t>
  </si>
  <si>
    <t>Deuchars and Thomson (1996)</t>
  </si>
  <si>
    <t xml:space="preserve"> 100 – 180</t>
  </si>
  <si>
    <t>Elfant et al. (2008)</t>
  </si>
  <si>
    <t xml:space="preserve"> 18 – 22 days</t>
  </si>
  <si>
    <t>Esclapez et al. (1999)</t>
  </si>
  <si>
    <t xml:space="preserve"> 180 – 200</t>
  </si>
  <si>
    <t>Ferraguti et al. (2004)</t>
  </si>
  <si>
    <t xml:space="preserve"> adult</t>
  </si>
  <si>
    <t>Ferraguti et al. (2005)</t>
  </si>
  <si>
    <t xml:space="preserve"> 300 – 400</t>
  </si>
  <si>
    <t>Foldy et al. (2010)</t>
  </si>
  <si>
    <t>rat and mouse</t>
  </si>
  <si>
    <t>Fuentealba et al. (2008b)</t>
  </si>
  <si>
    <t xml:space="preserve"> 200 – 250</t>
  </si>
  <si>
    <t>Fuentealba et al. (2010)</t>
  </si>
  <si>
    <t>Graves et al. (2012)</t>
  </si>
  <si>
    <t xml:space="preserve"> </t>
  </si>
  <si>
    <t xml:space="preserve"> 21 – 28 days</t>
  </si>
  <si>
    <t>Gulyas et al. (1990)</t>
  </si>
  <si>
    <t xml:space="preserve"> CFY</t>
  </si>
  <si>
    <t xml:space="preserve"> 250 – 300</t>
  </si>
  <si>
    <t>Gulyas et al. (1991)</t>
  </si>
  <si>
    <t>Gulyas et al. (1996)</t>
  </si>
  <si>
    <t>Gulyas et al. (1999)</t>
  </si>
  <si>
    <t>Gulyas et al. (2001)</t>
  </si>
  <si>
    <t xml:space="preserve"> 17 – 22 days</t>
  </si>
  <si>
    <t>Gulyas et al. (2003)</t>
  </si>
  <si>
    <t>Hajos and Mody (1997)</t>
  </si>
  <si>
    <t xml:space="preserve"> 20 − 28 days</t>
  </si>
  <si>
    <t>Halasy et al. (1996)</t>
  </si>
  <si>
    <t xml:space="preserve"> 7 – 8 weeks</t>
  </si>
  <si>
    <t>Halasy et al. (2004)</t>
  </si>
  <si>
    <t>Jinno and Kosaka (2006)</t>
  </si>
  <si>
    <t>mouse</t>
  </si>
  <si>
    <t>Jinno et al. (2007)</t>
  </si>
  <si>
    <t>Kajiwara et al. (2008)</t>
  </si>
  <si>
    <t xml:space="preserve"> 200 – 220</t>
  </si>
  <si>
    <t>Klausberger et al. (2004)</t>
  </si>
  <si>
    <t>Klausberger et al. (2005)</t>
  </si>
  <si>
    <t>Kohler (1985)</t>
  </si>
  <si>
    <t xml:space="preserve"> 150 – 200</t>
  </si>
  <si>
    <t>Kosaka et al. (1985)</t>
  </si>
  <si>
    <t xml:space="preserve"> 5 − 8 weeks</t>
  </si>
  <si>
    <t xml:space="preserve"> 120 – 200</t>
  </si>
  <si>
    <t>Kosaka et al. (1987)</t>
  </si>
  <si>
    <t xml:space="preserve"> Wistar-Imamichi</t>
  </si>
  <si>
    <t>Kosaka et al. (1988)</t>
  </si>
  <si>
    <t xml:space="preserve"> 5 − 6 weeks</t>
  </si>
  <si>
    <t>Lee et al. (2010)</t>
  </si>
  <si>
    <t>Li et al. (1992)</t>
  </si>
  <si>
    <t>Maccaferri et al. (2000)</t>
  </si>
  <si>
    <t xml:space="preserve"> 10 - 17 days</t>
  </si>
  <si>
    <t>Matyas et al. (2004)</t>
  </si>
  <si>
    <t>Megias et al. (2001)</t>
  </si>
  <si>
    <t>Melzer et al. (2012)</t>
  </si>
  <si>
    <t>Miles et al. (1996)</t>
  </si>
  <si>
    <t>guinea pig</t>
  </si>
  <si>
    <t>Miyashita and Rockland (2007)</t>
  </si>
  <si>
    <t>Mizuseki et al. (2011)</t>
  </si>
  <si>
    <t xml:space="preserve"> Long-Evans</t>
  </si>
  <si>
    <t xml:space="preserve"> 250 – 400</t>
  </si>
  <si>
    <t>Mulders et al. (1997)</t>
  </si>
  <si>
    <t xml:space="preserve"> 30 days</t>
  </si>
  <si>
    <t>Nomura et al. (1997a)</t>
  </si>
  <si>
    <t xml:space="preserve"> 5 weeks</t>
  </si>
  <si>
    <t xml:space="preserve"> 85 – 100</t>
  </si>
  <si>
    <t>Nomura et al. (1997b)</t>
  </si>
  <si>
    <t>Olah et al. (2009)</t>
  </si>
  <si>
    <t xml:space="preserve"> 22 – 35 days</t>
  </si>
  <si>
    <t>Pawelzik et al. (2002)</t>
  </si>
  <si>
    <t>Price et al. (2005)</t>
  </si>
  <si>
    <t xml:space="preserve"> 12 − 21 days</t>
  </si>
  <si>
    <t>Ratzliff and Soltesz (2001)</t>
  </si>
  <si>
    <t>Sik et al. (1993)</t>
  </si>
  <si>
    <t xml:space="preserve"> 200 – 300</t>
  </si>
  <si>
    <t>Sik et al. (1994)</t>
  </si>
  <si>
    <t>Sik et al. (1995)</t>
  </si>
  <si>
    <t>Slomianka and West (2005)</t>
  </si>
  <si>
    <t xml:space="preserve"> 305 – 315</t>
  </si>
  <si>
    <t>Somogyi et al. (2004)</t>
  </si>
  <si>
    <t xml:space="preserve"> 150 – 250</t>
  </si>
  <si>
    <t>Somogyi et al. (2012)</t>
  </si>
  <si>
    <t xml:space="preserve"> 3 − 4 weeks</t>
  </si>
  <si>
    <t>Sotty et al. (2003)</t>
  </si>
  <si>
    <t xml:space="preserve"> 13 – 19 days</t>
  </si>
  <si>
    <t>Szabadics and Soltesz (2009)</t>
  </si>
  <si>
    <t xml:space="preserve"> 21 – 30 days</t>
  </si>
  <si>
    <t xml:space="preserve"> 3 – 4 weeks</t>
  </si>
  <si>
    <t>Takacs et al. (2008)</t>
  </si>
  <si>
    <t xml:space="preserve"> &gt;1 month</t>
  </si>
  <si>
    <t>Takacs et al. (2012)</t>
  </si>
  <si>
    <t xml:space="preserve"> &gt; 110</t>
  </si>
  <si>
    <t>Tamas et al. (2003)</t>
  </si>
  <si>
    <t xml:space="preserve"> 19 – 35 days</t>
  </si>
  <si>
    <t>Toth and Freund (1992)</t>
  </si>
  <si>
    <t>Tricoire et al. (2010)</t>
  </si>
  <si>
    <t>Varga et al. (2012)</t>
  </si>
  <si>
    <t xml:space="preserve"> &gt; 120</t>
  </si>
  <si>
    <t>West et al. (1991)</t>
  </si>
  <si>
    <t>Witter et al. (1988)</t>
  </si>
  <si>
    <t>Wittner et al. (2007)</t>
  </si>
  <si>
    <t>Woodson et al. (1989)</t>
  </si>
  <si>
    <t>Wouterlood et al. (1990)</t>
  </si>
  <si>
    <t xml:space="preserve"> 180 – 250</t>
  </si>
  <si>
    <t>Wyeth et al. (2010)</t>
  </si>
  <si>
    <t>Ali et al. (1998)</t>
  </si>
  <si>
    <t>male</t>
  </si>
  <si>
    <t>adult</t>
  </si>
  <si>
    <t>90 - 180</t>
  </si>
  <si>
    <t>Biro et al. (2005)</t>
  </si>
  <si>
    <t>Wistar</t>
  </si>
  <si>
    <t>14-21 days</t>
  </si>
  <si>
    <t>Buhl et al. (1994b)</t>
  </si>
  <si>
    <t>Buhl et al. (1994a)</t>
  </si>
  <si>
    <t>female</t>
  </si>
  <si>
    <t>young</t>
  </si>
  <si>
    <t>Katona et al. (1999a)</t>
  </si>
  <si>
    <t>Katona et al. (1999b)</t>
  </si>
  <si>
    <t>NADPH diaphorase histochemistry</t>
  </si>
  <si>
    <t>Immunochemistry</t>
  </si>
  <si>
    <t>Single Cell RT-PCR</t>
  </si>
  <si>
    <t>In Situ Hybridization</t>
  </si>
  <si>
    <t>Other SOM+ Cells*</t>
  </si>
  <si>
    <t>Pyramidal Cells</t>
  </si>
  <si>
    <t>Esclapez et al, 1999</t>
  </si>
  <si>
    <t>unknown</t>
  </si>
  <si>
    <t>Takacs et al, 2012</t>
  </si>
  <si>
    <t>per pyramidal cell</t>
  </si>
  <si>
    <t>per interneuron</t>
  </si>
  <si>
    <t>Olah et al., 2009</t>
  </si>
  <si>
    <t>ADI cell</t>
  </si>
  <si>
    <t>Number of distal main apical dendritic GABAergic synapses on a pyramidal cell (Megias et al., 2001)</t>
  </si>
  <si>
    <t>very rough guess as to how many synapses innervated by ADI cells</t>
  </si>
  <si>
    <t>number of boutons required by each ADI cell to innervate the pyramidal cells (guess)</t>
  </si>
  <si>
    <t>Note: only IS I and IS III cell counts were included here</t>
  </si>
  <si>
    <t>assumed:</t>
  </si>
  <si>
    <t>Halasy et al (1996) found that a PV+ basket cell axon in a 400 um slice had 8859 boutons, compared to a full fill with 10,440 boutons (ie, ~20% more outside the slice)</t>
  </si>
  <si>
    <t>in a slice</t>
  </si>
  <si>
    <t>Vida et al (1998)</t>
  </si>
  <si>
    <t>Pyramidal Cell Synapses</t>
  </si>
  <si>
    <t>Weighted by Estimated Cell Numbers</t>
  </si>
  <si>
    <t>Oriens-retrohipp.</t>
  </si>
  <si>
    <t>SOM Expressing</t>
  </si>
  <si>
    <t>Interneuron Synapses (rounded from source)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</si>
</sst>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,##0.0"/>
  </numFmts>
  <fonts count="1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9"/>
      <name val="JLKUNE+ArialMT"/>
      <family val="2"/>
      <charset val="1"/>
    </font>
    <font>
      <sz val="12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2" fillId="0" borderId="0"/>
  </cellStyleXfs>
  <cellXfs count="1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3" fontId="0" fillId="0" borderId="0" xfId="0" applyNumberFormat="1"/>
    <xf numFmtId="0" fontId="0" fillId="0" borderId="0" xfId="0" applyFont="1"/>
    <xf numFmtId="9" fontId="0" fillId="0" borderId="0" xfId="0" applyNumberFormat="1"/>
    <xf numFmtId="0" fontId="0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/>
    <xf numFmtId="3" fontId="1" fillId="0" borderId="1" xfId="0" applyNumberFormat="1" applyFont="1" applyBorder="1"/>
    <xf numFmtId="0" fontId="0" fillId="0" borderId="2" xfId="0" applyFont="1" applyBorder="1"/>
    <xf numFmtId="164" fontId="12" fillId="0" borderId="2" xfId="1" applyNumberFormat="1" applyBorder="1"/>
    <xf numFmtId="3" fontId="0" fillId="0" borderId="2" xfId="0" applyNumberFormat="1" applyBorder="1"/>
    <xf numFmtId="0" fontId="0" fillId="0" borderId="0" xfId="0"/>
    <xf numFmtId="164" fontId="1" fillId="0" borderId="1" xfId="1" applyNumberFormat="1" applyFont="1" applyBorder="1"/>
    <xf numFmtId="0" fontId="0" fillId="0" borderId="1" xfId="0" applyBorder="1"/>
    <xf numFmtId="0" fontId="0" fillId="0" borderId="0" xfId="0" applyFont="1" applyBorder="1" applyAlignment="1">
      <alignment horizontal="right"/>
    </xf>
    <xf numFmtId="9" fontId="12" fillId="0" borderId="0" xfId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0" fontId="2" fillId="0" borderId="0" xfId="0" applyFont="1"/>
    <xf numFmtId="9" fontId="0" fillId="0" borderId="0" xfId="1" applyFont="1"/>
    <xf numFmtId="0" fontId="0" fillId="0" borderId="0" xfId="0" applyFont="1" applyAlignment="1">
      <alignment horizontal="left"/>
    </xf>
    <xf numFmtId="0" fontId="0" fillId="0" borderId="0" xfId="0" applyAlignment="1"/>
    <xf numFmtId="165" fontId="1" fillId="0" borderId="0" xfId="0" applyNumberFormat="1" applyFont="1"/>
    <xf numFmtId="9" fontId="0" fillId="0" borderId="0" xfId="0" applyNumberFormat="1" applyFont="1"/>
    <xf numFmtId="10" fontId="0" fillId="0" borderId="0" xfId="0" applyNumberFormat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/>
    <xf numFmtId="9" fontId="1" fillId="0" borderId="0" xfId="0" applyNumberFormat="1" applyFont="1"/>
    <xf numFmtId="165" fontId="0" fillId="0" borderId="0" xfId="0" applyNumberFormat="1"/>
    <xf numFmtId="3" fontId="1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0" xfId="0" applyFont="1" applyBorder="1"/>
    <xf numFmtId="0" fontId="0" fillId="0" borderId="0" xfId="0" applyBorder="1"/>
    <xf numFmtId="166" fontId="1" fillId="0" borderId="0" xfId="0" applyNumberFormat="1" applyFont="1"/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vertical="top" wrapText="1"/>
    </xf>
    <xf numFmtId="3" fontId="0" fillId="0" borderId="0" xfId="0" applyNumberFormat="1" applyFont="1" applyBorder="1" applyAlignment="1">
      <alignment vertical="top" wrapText="1"/>
    </xf>
    <xf numFmtId="9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9" fontId="10" fillId="0" borderId="0" xfId="0" applyNumberFormat="1" applyFont="1"/>
    <xf numFmtId="9" fontId="1" fillId="0" borderId="0" xfId="1" applyFont="1"/>
    <xf numFmtId="0" fontId="11" fillId="0" borderId="0" xfId="0" applyFont="1"/>
    <xf numFmtId="0" fontId="0" fillId="0" borderId="0" xfId="0" applyFont="1" applyAlignment="1">
      <alignment wrapText="1"/>
    </xf>
    <xf numFmtId="3" fontId="0" fillId="0" borderId="0" xfId="0" applyNumberFormat="1" applyFont="1"/>
    <xf numFmtId="1" fontId="0" fillId="0" borderId="0" xfId="0" applyNumberFormat="1"/>
    <xf numFmtId="0" fontId="1" fillId="0" borderId="3" xfId="0" applyFont="1" applyBorder="1"/>
    <xf numFmtId="0" fontId="1" fillId="0" borderId="0" xfId="0" applyFont="1" applyBorder="1"/>
    <xf numFmtId="166" fontId="0" fillId="0" borderId="0" xfId="0" applyNumberFormat="1"/>
    <xf numFmtId="0" fontId="0" fillId="0" borderId="3" xfId="0" applyBorder="1"/>
    <xf numFmtId="9" fontId="0" fillId="0" borderId="3" xfId="0" applyNumberFormat="1" applyBorder="1"/>
    <xf numFmtId="0" fontId="0" fillId="0" borderId="0" xfId="0" applyFont="1" applyAlignment="1">
      <alignment horizontal="right"/>
    </xf>
    <xf numFmtId="3" fontId="0" fillId="0" borderId="3" xfId="0" applyNumberFormat="1" applyBorder="1"/>
    <xf numFmtId="0" fontId="1" fillId="0" borderId="3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9" fontId="12" fillId="0" borderId="3" xfId="1" applyBorder="1"/>
    <xf numFmtId="0" fontId="0" fillId="0" borderId="0" xfId="0" applyFont="1" applyBorder="1"/>
    <xf numFmtId="0" fontId="0" fillId="0" borderId="0" xfId="0" applyBorder="1" applyAlignment="1">
      <alignment horizontal="left" vertical="top" wrapText="1"/>
    </xf>
    <xf numFmtId="0" fontId="14" fillId="0" borderId="4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6" xfId="0" applyFont="1" applyBorder="1" applyAlignment="1">
      <alignment vertical="top"/>
    </xf>
    <xf numFmtId="0" fontId="13" fillId="0" borderId="7" xfId="0" applyFont="1" applyBorder="1" applyAlignment="1">
      <alignment vertical="top"/>
    </xf>
    <xf numFmtId="0" fontId="14" fillId="0" borderId="5" xfId="0" applyFont="1" applyBorder="1" applyAlignment="1">
      <alignment horizontal="right" vertical="top"/>
    </xf>
    <xf numFmtId="0" fontId="13" fillId="0" borderId="7" xfId="0" applyFont="1" applyBorder="1" applyAlignment="1">
      <alignment horizontal="right" vertical="top"/>
    </xf>
    <xf numFmtId="0" fontId="13" fillId="0" borderId="7" xfId="0" quotePrefix="1" applyFont="1" applyBorder="1" applyAlignment="1">
      <alignment vertical="top"/>
    </xf>
    <xf numFmtId="0" fontId="13" fillId="0" borderId="7" xfId="0" applyFont="1" applyBorder="1" applyAlignment="1">
      <alignment horizontal="center" vertical="top"/>
    </xf>
    <xf numFmtId="0" fontId="13" fillId="0" borderId="10" xfId="0" applyFont="1" applyFill="1" applyBorder="1" applyAlignment="1">
      <alignment horizontal="center" vertical="top"/>
    </xf>
    <xf numFmtId="0" fontId="14" fillId="0" borderId="4" xfId="0" applyFont="1" applyBorder="1" applyAlignment="1"/>
    <xf numFmtId="0" fontId="14" fillId="0" borderId="5" xfId="0" applyFont="1" applyBorder="1" applyAlignment="1">
      <alignment wrapText="1"/>
    </xf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/>
    <xf numFmtId="0" fontId="14" fillId="0" borderId="0" xfId="0" applyFont="1"/>
    <xf numFmtId="9" fontId="14" fillId="0" borderId="0" xfId="0" applyNumberFormat="1" applyFont="1"/>
    <xf numFmtId="3" fontId="14" fillId="0" borderId="0" xfId="0" applyNumberFormat="1" applyFont="1" applyAlignment="1">
      <alignment horizontal="right"/>
    </xf>
    <xf numFmtId="164" fontId="12" fillId="0" borderId="0" xfId="1" applyNumberFormat="1"/>
    <xf numFmtId="1" fontId="13" fillId="0" borderId="0" xfId="0" applyNumberFormat="1" applyFont="1"/>
    <xf numFmtId="3" fontId="13" fillId="0" borderId="0" xfId="0" applyNumberFormat="1" applyFont="1"/>
    <xf numFmtId="9" fontId="13" fillId="0" borderId="0" xfId="0" applyNumberFormat="1" applyFont="1"/>
    <xf numFmtId="0" fontId="0" fillId="0" borderId="0" xfId="0" applyBorder="1"/>
    <xf numFmtId="0" fontId="15" fillId="0" borderId="0" xfId="0" applyFont="1"/>
    <xf numFmtId="0" fontId="0" fillId="0" borderId="0" xfId="0"/>
    <xf numFmtId="0" fontId="13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center"/>
    </xf>
    <xf numFmtId="9" fontId="12" fillId="0" borderId="0" xfId="1" applyBorder="1" applyAlignment="1">
      <alignment horizontal="center"/>
    </xf>
    <xf numFmtId="164" fontId="12" fillId="0" borderId="0" xfId="1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3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Border="1"/>
    <xf numFmtId="9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166" fontId="0" fillId="0" borderId="0" xfId="0" applyNumberFormat="1" applyFont="1" applyBorder="1" applyAlignment="1">
      <alignment vertical="top" wrapText="1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left" wrapText="1"/>
    </xf>
    <xf numFmtId="0" fontId="0" fillId="0" borderId="0" xfId="0"/>
    <xf numFmtId="0" fontId="0" fillId="0" borderId="0" xfId="0" applyFont="1"/>
    <xf numFmtId="0" fontId="13" fillId="0" borderId="8" xfId="0" applyFont="1" applyBorder="1" applyAlignment="1">
      <alignment horizontal="center" vertical="top"/>
    </xf>
    <xf numFmtId="0" fontId="13" fillId="0" borderId="9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  <color rgb="FFFF00FF"/>
      <color rgb="FFFF00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zoomScaleNormal="100" workbookViewId="0"/>
  </sheetViews>
  <sheetFormatPr defaultRowHeight="15"/>
  <cols>
    <col min="1" max="1" width="22.140625"/>
    <col min="2" max="1017" width="8.7109375"/>
  </cols>
  <sheetData>
    <row r="1" spans="1:8">
      <c r="A1" s="1" t="s">
        <v>0</v>
      </c>
      <c r="B1" s="99" t="s">
        <v>1</v>
      </c>
      <c r="C1" s="99"/>
      <c r="D1" s="99"/>
      <c r="E1" s="99"/>
      <c r="F1" s="99"/>
      <c r="G1" s="2" t="s">
        <v>2</v>
      </c>
    </row>
    <row r="2" spans="1:8">
      <c r="A2" s="3">
        <v>350000</v>
      </c>
      <c r="B2" s="100" t="s">
        <v>3</v>
      </c>
      <c r="C2" s="100"/>
      <c r="D2" s="100"/>
      <c r="E2" s="100"/>
      <c r="F2" s="100"/>
      <c r="G2" s="4" t="s">
        <v>4</v>
      </c>
    </row>
    <row r="3" spans="1:8">
      <c r="A3" s="5">
        <v>0.11</v>
      </c>
      <c r="B3" s="100" t="s">
        <v>5</v>
      </c>
      <c r="C3" s="100"/>
      <c r="D3" s="100"/>
      <c r="E3" s="100"/>
      <c r="F3" s="100"/>
      <c r="G3" s="4" t="s">
        <v>6</v>
      </c>
    </row>
    <row r="4" spans="1:8">
      <c r="A4" s="3">
        <f>A3*A2</f>
        <v>38500</v>
      </c>
      <c r="B4" s="100" t="s">
        <v>7</v>
      </c>
      <c r="C4" s="100"/>
      <c r="D4" s="100"/>
      <c r="E4" s="100"/>
      <c r="F4" s="100"/>
      <c r="G4" t="s">
        <v>8</v>
      </c>
    </row>
    <row r="5" spans="1:8">
      <c r="A5" s="3">
        <f>A2-A4</f>
        <v>311500</v>
      </c>
      <c r="B5" s="100" t="s">
        <v>9</v>
      </c>
      <c r="C5" s="100"/>
      <c r="D5" s="100"/>
      <c r="E5" s="100"/>
      <c r="F5" s="100"/>
      <c r="G5" t="s">
        <v>8</v>
      </c>
    </row>
    <row r="7" spans="1:8" ht="15.75" thickBot="1">
      <c r="A7" s="6" t="s">
        <v>10</v>
      </c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16</v>
      </c>
      <c r="H7" s="4"/>
    </row>
    <row r="8" spans="1:8">
      <c r="A8" s="7" t="s">
        <v>17</v>
      </c>
      <c r="B8" s="8">
        <f t="shared" ref="B8:G8" si="0">SUM(B9:B10)</f>
        <v>0.32181818181818184</v>
      </c>
      <c r="C8" s="9">
        <f t="shared" si="0"/>
        <v>12390</v>
      </c>
      <c r="D8" s="9">
        <f t="shared" si="0"/>
        <v>980</v>
      </c>
      <c r="E8" s="9">
        <f t="shared" si="0"/>
        <v>5410</v>
      </c>
      <c r="F8" s="9">
        <f t="shared" si="0"/>
        <v>3030</v>
      </c>
      <c r="G8" s="9">
        <f t="shared" si="0"/>
        <v>2970</v>
      </c>
      <c r="H8" s="4"/>
    </row>
    <row r="9" spans="1:8">
      <c r="A9" s="10" t="s">
        <v>18</v>
      </c>
      <c r="B9" s="11">
        <f>C9/38500</f>
        <v>0.22883116883116883</v>
      </c>
      <c r="C9" s="12">
        <f>SUM(D9:G9)</f>
        <v>8810</v>
      </c>
      <c r="D9" s="12">
        <v>980</v>
      </c>
      <c r="E9" s="12">
        <v>5410</v>
      </c>
      <c r="F9" s="12">
        <v>2420</v>
      </c>
      <c r="G9" s="12">
        <v>0</v>
      </c>
      <c r="H9" s="4"/>
    </row>
    <row r="10" spans="1:8" ht="15.75" thickBot="1">
      <c r="A10" s="10" t="s">
        <v>19</v>
      </c>
      <c r="B10" s="11">
        <f>C10/38500</f>
        <v>9.2987012987012993E-2</v>
      </c>
      <c r="C10" s="12">
        <f>SUM(D10:G10)</f>
        <v>3580</v>
      </c>
      <c r="D10" s="12">
        <v>0</v>
      </c>
      <c r="E10" s="12">
        <v>0</v>
      </c>
      <c r="F10" s="12">
        <v>610</v>
      </c>
      <c r="G10" s="12">
        <v>2970</v>
      </c>
      <c r="H10" s="4"/>
    </row>
    <row r="11" spans="1:8">
      <c r="A11" s="7" t="s">
        <v>642</v>
      </c>
      <c r="B11" s="8">
        <f t="shared" ref="B11:G11" si="1">SUM(B12:B16)</f>
        <v>9.2987012987012993E-2</v>
      </c>
      <c r="C11" s="9">
        <f t="shared" si="1"/>
        <v>3580</v>
      </c>
      <c r="D11" s="9">
        <f t="shared" si="1"/>
        <v>3580</v>
      </c>
      <c r="E11" s="9">
        <f t="shared" si="1"/>
        <v>0</v>
      </c>
      <c r="F11" s="9">
        <f t="shared" si="1"/>
        <v>0</v>
      </c>
      <c r="G11" s="9">
        <f t="shared" si="1"/>
        <v>0</v>
      </c>
      <c r="H11" s="4"/>
    </row>
    <row r="12" spans="1:8">
      <c r="A12" s="10" t="s">
        <v>20</v>
      </c>
      <c r="B12" s="11">
        <f>C12/38500</f>
        <v>4.2597402597402599E-2</v>
      </c>
      <c r="C12" s="12">
        <f>SUM(D12:G12)</f>
        <v>1640</v>
      </c>
      <c r="D12" s="12">
        <v>1640</v>
      </c>
      <c r="E12" s="12">
        <v>0</v>
      </c>
      <c r="F12" s="12">
        <v>0</v>
      </c>
      <c r="G12" s="12">
        <v>0</v>
      </c>
      <c r="H12" s="4"/>
    </row>
    <row r="13" spans="1:8">
      <c r="A13" s="10" t="s">
        <v>21</v>
      </c>
      <c r="B13" s="11">
        <f>C13/38500</f>
        <v>1.9740259740259742E-2</v>
      </c>
      <c r="C13" s="12">
        <f>SUM(D13:G13)</f>
        <v>760</v>
      </c>
      <c r="D13" s="12">
        <v>760</v>
      </c>
      <c r="E13" s="12">
        <v>0</v>
      </c>
      <c r="F13" s="12">
        <v>0</v>
      </c>
      <c r="G13" s="12">
        <v>0</v>
      </c>
      <c r="H13" s="4"/>
    </row>
    <row r="14" spans="1:8">
      <c r="A14" s="10" t="s">
        <v>22</v>
      </c>
      <c r="B14" s="11">
        <f>C14/38500</f>
        <v>4.9350649350649355E-3</v>
      </c>
      <c r="C14" s="12">
        <f>SUM(D14:G14)</f>
        <v>190</v>
      </c>
      <c r="D14" s="12">
        <v>190</v>
      </c>
      <c r="E14" s="12">
        <v>0</v>
      </c>
      <c r="F14" s="12">
        <v>0</v>
      </c>
      <c r="G14" s="12">
        <v>0</v>
      </c>
      <c r="H14" s="4"/>
    </row>
    <row r="15" spans="1:8">
      <c r="A15" s="10" t="s">
        <v>641</v>
      </c>
      <c r="B15" s="11">
        <f>C15/38500</f>
        <v>1.6623376623376623E-2</v>
      </c>
      <c r="C15" s="12">
        <f>SUM(D15:G15)</f>
        <v>640</v>
      </c>
      <c r="D15" s="12">
        <v>640</v>
      </c>
      <c r="E15" s="12">
        <v>0</v>
      </c>
      <c r="F15" s="12">
        <v>0</v>
      </c>
      <c r="G15" s="12">
        <v>0</v>
      </c>
      <c r="H15" s="4"/>
    </row>
    <row r="16" spans="1:8" ht="15.75" thickBot="1">
      <c r="A16" s="83" t="s">
        <v>622</v>
      </c>
      <c r="B16" s="11">
        <f>C16/38500</f>
        <v>9.0909090909090905E-3</v>
      </c>
      <c r="C16" s="12">
        <f>SUM(D16:G16)</f>
        <v>350</v>
      </c>
      <c r="D16" s="12">
        <f>880-D19</f>
        <v>350</v>
      </c>
      <c r="E16" s="12">
        <v>0</v>
      </c>
      <c r="F16" s="12">
        <v>0</v>
      </c>
      <c r="G16" s="12">
        <v>0</v>
      </c>
      <c r="H16" s="4"/>
    </row>
    <row r="17" spans="1:8">
      <c r="A17" s="7" t="s">
        <v>23</v>
      </c>
      <c r="B17" s="8">
        <f t="shared" ref="B17:G17" si="2">SUM(B18:B20)</f>
        <v>0.23922077922077922</v>
      </c>
      <c r="C17" s="9">
        <f t="shared" si="2"/>
        <v>9210</v>
      </c>
      <c r="D17" s="9">
        <f t="shared" si="2"/>
        <v>2200</v>
      </c>
      <c r="E17" s="9">
        <f t="shared" si="2"/>
        <v>6460</v>
      </c>
      <c r="F17" s="9">
        <f t="shared" si="2"/>
        <v>550</v>
      </c>
      <c r="G17" s="9">
        <f t="shared" si="2"/>
        <v>0</v>
      </c>
      <c r="H17" s="4"/>
    </row>
    <row r="18" spans="1:8">
      <c r="A18" s="10" t="s">
        <v>24</v>
      </c>
      <c r="B18" s="11">
        <f>C18/38500</f>
        <v>0.14363636363636365</v>
      </c>
      <c r="C18" s="12">
        <f>SUM(D18:G18)</f>
        <v>5530</v>
      </c>
      <c r="D18" s="12">
        <f>'PV Cells'!D15</f>
        <v>1320</v>
      </c>
      <c r="E18" s="12">
        <f>'PV Cells'!E15</f>
        <v>3880</v>
      </c>
      <c r="F18" s="12">
        <f>'PV Cells'!F15</f>
        <v>330</v>
      </c>
      <c r="G18" s="12">
        <v>0</v>
      </c>
      <c r="H18" s="4"/>
    </row>
    <row r="19" spans="1:8">
      <c r="A19" s="10" t="s">
        <v>25</v>
      </c>
      <c r="B19" s="11">
        <f>C19/38500</f>
        <v>5.74025974025974E-2</v>
      </c>
      <c r="C19" s="12">
        <f>SUM(D19:G19)</f>
        <v>2210</v>
      </c>
      <c r="D19" s="12">
        <f>'PV Cells'!D16</f>
        <v>530</v>
      </c>
      <c r="E19" s="12">
        <f>'PV Cells'!E16</f>
        <v>1550</v>
      </c>
      <c r="F19" s="12">
        <f>'PV Cells'!F16</f>
        <v>130</v>
      </c>
      <c r="G19" s="12">
        <v>0</v>
      </c>
      <c r="H19" s="4"/>
    </row>
    <row r="20" spans="1:8" ht="15.75" thickBot="1">
      <c r="A20" s="10" t="s">
        <v>26</v>
      </c>
      <c r="B20" s="11">
        <f>C20/38500</f>
        <v>3.8181818181818185E-2</v>
      </c>
      <c r="C20" s="12">
        <f>SUM(D20:G20)</f>
        <v>1470</v>
      </c>
      <c r="D20" s="12">
        <f>'PV Cells'!D17</f>
        <v>350</v>
      </c>
      <c r="E20" s="12">
        <f>'PV Cells'!E17</f>
        <v>1030</v>
      </c>
      <c r="F20" s="12">
        <f>'PV Cells'!F17</f>
        <v>90</v>
      </c>
      <c r="G20" s="12">
        <v>0</v>
      </c>
      <c r="H20" s="4"/>
    </row>
    <row r="21" spans="1:8">
      <c r="A21" s="7" t="s">
        <v>27</v>
      </c>
      <c r="B21" s="8">
        <f t="shared" ref="B21:G21" si="3">SUM(B22:B26)</f>
        <v>0.13948051948051948</v>
      </c>
      <c r="C21" s="9">
        <f t="shared" si="3"/>
        <v>5370</v>
      </c>
      <c r="D21" s="9">
        <f t="shared" si="3"/>
        <v>1140</v>
      </c>
      <c r="E21" s="9">
        <f t="shared" si="3"/>
        <v>1070</v>
      </c>
      <c r="F21" s="9">
        <f t="shared" si="3"/>
        <v>1960</v>
      </c>
      <c r="G21" s="9">
        <f t="shared" si="3"/>
        <v>1200</v>
      </c>
      <c r="H21" s="4"/>
    </row>
    <row r="22" spans="1:8">
      <c r="A22" s="83" t="s">
        <v>28</v>
      </c>
      <c r="B22" s="11">
        <f>C22/38500</f>
        <v>9.350649350649351E-2</v>
      </c>
      <c r="C22" s="12">
        <f>SUM(D22:G22)</f>
        <v>3600</v>
      </c>
      <c r="D22" s="12">
        <f>'CCK Cells'!D33</f>
        <v>780</v>
      </c>
      <c r="E22" s="12">
        <f>'CCK Cells'!E33</f>
        <v>940</v>
      </c>
      <c r="F22" s="12">
        <f>'CCK Cells'!F33</f>
        <v>1170</v>
      </c>
      <c r="G22" s="12">
        <f>'CCK Cells'!G33</f>
        <v>710</v>
      </c>
      <c r="H22" s="4"/>
    </row>
    <row r="23" spans="1:8">
      <c r="A23" s="10" t="s">
        <v>29</v>
      </c>
      <c r="B23" s="11">
        <f>C23/38500</f>
        <v>1.0129870129870129E-2</v>
      </c>
      <c r="C23" s="12">
        <f>SUM(D23:G23)</f>
        <v>390</v>
      </c>
      <c r="D23" s="12">
        <f>'CCK Cells'!D41</f>
        <v>0</v>
      </c>
      <c r="E23" s="12">
        <f>'CCK Cells'!E41</f>
        <v>0</v>
      </c>
      <c r="F23" s="12">
        <f>'CCK Cells'!F41</f>
        <v>390</v>
      </c>
      <c r="G23" s="12">
        <f>'CCK Cells'!G41</f>
        <v>0</v>
      </c>
      <c r="H23" s="4"/>
    </row>
    <row r="24" spans="1:8">
      <c r="A24" s="10" t="s">
        <v>30</v>
      </c>
      <c r="B24" s="11">
        <f>C24/38500</f>
        <v>1.038961038961039E-2</v>
      </c>
      <c r="C24" s="12">
        <f>SUM(D24:G24)</f>
        <v>400</v>
      </c>
      <c r="D24" s="12">
        <f>'CCK Cells'!D37</f>
        <v>0</v>
      </c>
      <c r="E24" s="12">
        <f>'CCK Cells'!E37</f>
        <v>0</v>
      </c>
      <c r="F24" s="12">
        <f>'CCK Cells'!F37</f>
        <v>400</v>
      </c>
      <c r="G24" s="12">
        <f>'CCK Cells'!G37</f>
        <v>0</v>
      </c>
      <c r="H24" s="4"/>
    </row>
    <row r="25" spans="1:8">
      <c r="A25" s="10" t="s">
        <v>31</v>
      </c>
      <c r="B25" s="11">
        <f>C25/38500</f>
        <v>1.2727272727272728E-2</v>
      </c>
      <c r="C25" s="12">
        <f>SUM(D25:G25)</f>
        <v>490</v>
      </c>
      <c r="D25" s="12">
        <f>'CCK Cells'!D45</f>
        <v>0</v>
      </c>
      <c r="E25" s="12">
        <f>'CCK Cells'!E45</f>
        <v>0</v>
      </c>
      <c r="F25" s="12">
        <f>'CCK Cells'!F45</f>
        <v>0</v>
      </c>
      <c r="G25" s="12">
        <f>'CCK Cells'!G45</f>
        <v>490</v>
      </c>
      <c r="H25" s="4"/>
    </row>
    <row r="26" spans="1:8" ht="15.75" thickBot="1">
      <c r="A26" s="10" t="s">
        <v>32</v>
      </c>
      <c r="B26" s="11">
        <f>C26/38500</f>
        <v>1.2727272727272728E-2</v>
      </c>
      <c r="C26" s="12">
        <f>SUM(D26:G26)</f>
        <v>490</v>
      </c>
      <c r="D26" s="12">
        <f>'CCK Cells'!D49</f>
        <v>360</v>
      </c>
      <c r="E26" s="12">
        <f>'CCK Cells'!E49</f>
        <v>130</v>
      </c>
      <c r="F26" s="12">
        <f>'CCK Cells'!F49</f>
        <v>0</v>
      </c>
      <c r="G26" s="12">
        <f>'CCK Cells'!G49</f>
        <v>0</v>
      </c>
      <c r="H26" s="4"/>
    </row>
    <row r="27" spans="1:8">
      <c r="A27" s="7" t="s">
        <v>33</v>
      </c>
      <c r="B27" s="8">
        <f t="shared" ref="B27:G27" si="4">SUM(B28:B30)</f>
        <v>0.19402597402597405</v>
      </c>
      <c r="C27" s="9">
        <f t="shared" si="4"/>
        <v>7470</v>
      </c>
      <c r="D27" s="9">
        <f t="shared" si="4"/>
        <v>780</v>
      </c>
      <c r="E27" s="9">
        <f t="shared" si="4"/>
        <v>3190</v>
      </c>
      <c r="F27" s="9">
        <f t="shared" si="4"/>
        <v>1450</v>
      </c>
      <c r="G27" s="9">
        <f t="shared" si="4"/>
        <v>2050</v>
      </c>
      <c r="H27" s="4"/>
    </row>
    <row r="28" spans="1:8">
      <c r="A28" s="10" t="s">
        <v>34</v>
      </c>
      <c r="B28" s="11">
        <f>C28/38500</f>
        <v>0.11038961038961038</v>
      </c>
      <c r="C28" s="12">
        <f>SUM(D28:G28)</f>
        <v>4250</v>
      </c>
      <c r="D28" s="12">
        <v>780</v>
      </c>
      <c r="E28" s="12">
        <v>1800</v>
      </c>
      <c r="F28" s="12">
        <v>780</v>
      </c>
      <c r="G28" s="12">
        <v>890</v>
      </c>
      <c r="H28" s="4"/>
    </row>
    <row r="29" spans="1:8">
      <c r="A29" s="10" t="s">
        <v>35</v>
      </c>
      <c r="B29" s="11">
        <f>C29/38500</f>
        <v>5.1168831168831169E-2</v>
      </c>
      <c r="C29" s="12">
        <f>SUM(D29:G29)</f>
        <v>1970</v>
      </c>
      <c r="D29" s="12">
        <v>0</v>
      </c>
      <c r="E29" s="12">
        <v>480</v>
      </c>
      <c r="F29" s="12">
        <v>450</v>
      </c>
      <c r="G29" s="12">
        <v>1040</v>
      </c>
      <c r="H29" s="4"/>
    </row>
    <row r="30" spans="1:8" ht="15.75" thickBot="1">
      <c r="A30" s="10" t="s">
        <v>36</v>
      </c>
      <c r="B30" s="11">
        <f>C30/38500</f>
        <v>3.2467532467532464E-2</v>
      </c>
      <c r="C30" s="12">
        <f>SUM(D30:G30)</f>
        <v>1250</v>
      </c>
      <c r="D30" s="12">
        <v>0</v>
      </c>
      <c r="E30" s="12">
        <v>910</v>
      </c>
      <c r="F30" s="12">
        <v>220</v>
      </c>
      <c r="G30" s="12">
        <v>120</v>
      </c>
      <c r="H30" s="4"/>
    </row>
    <row r="31" spans="1:8" ht="15.75" thickBot="1">
      <c r="A31" s="7" t="s">
        <v>37</v>
      </c>
      <c r="B31" s="14">
        <f>C31/38500</f>
        <v>1.2467532467532468E-2</v>
      </c>
      <c r="C31" s="9">
        <f>38500-SUM(C27,C21,C17,C11,C8)</f>
        <v>480</v>
      </c>
      <c r="D31" s="15"/>
      <c r="E31" s="15"/>
      <c r="F31" s="15"/>
      <c r="G31" s="15"/>
      <c r="H31" s="4"/>
    </row>
    <row r="32" spans="1:8">
      <c r="A32" s="7" t="s">
        <v>38</v>
      </c>
      <c r="B32" s="14">
        <f>SUM(B8,B11,B17,B21,B27,B31)</f>
        <v>1</v>
      </c>
      <c r="C32" s="9">
        <f>SUM(C8,C11,C17,C21,C27,C31)</f>
        <v>38500</v>
      </c>
      <c r="D32" s="9">
        <f t="shared" ref="D32:G32" si="5">SUM(D8,D11,D17,D21,D27,D31)</f>
        <v>8680</v>
      </c>
      <c r="E32" s="9">
        <f t="shared" si="5"/>
        <v>16130</v>
      </c>
      <c r="F32" s="9">
        <f t="shared" si="5"/>
        <v>6990</v>
      </c>
      <c r="G32" s="9">
        <f t="shared" si="5"/>
        <v>6220</v>
      </c>
    </row>
    <row r="42" spans="1:2">
      <c r="A42" s="84"/>
      <c r="B42" s="84"/>
    </row>
    <row r="45" spans="1:2">
      <c r="A45" s="84"/>
      <c r="B45" s="84"/>
    </row>
    <row r="50" spans="1:2">
      <c r="A50" s="84"/>
      <c r="B50" s="84"/>
    </row>
  </sheetData>
  <mergeCells count="5">
    <mergeCell ref="B1:F1"/>
    <mergeCell ref="B2:F2"/>
    <mergeCell ref="B3:F3"/>
    <mergeCell ref="B4:F4"/>
    <mergeCell ref="B5:F5"/>
  </mergeCells>
  <pageMargins left="0.7" right="0.7" top="0.75" bottom="0.75" header="0.51180555555555496" footer="0.51180555555555496"/>
  <pageSetup firstPageNumber="0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1"/>
  <sheetViews>
    <sheetView zoomScaleNormal="100" workbookViewId="0"/>
  </sheetViews>
  <sheetFormatPr defaultRowHeight="15"/>
  <cols>
    <col min="1" max="1" width="16.28515625"/>
    <col min="2" max="7" width="8.7109375"/>
    <col min="8" max="8" width="13.28515625"/>
    <col min="9" max="9" width="14.28515625"/>
    <col min="10" max="10" width="17"/>
    <col min="11" max="1025" width="8.7109375"/>
  </cols>
  <sheetData>
    <row r="2" spans="1:7">
      <c r="A2" s="56" t="s">
        <v>387</v>
      </c>
    </row>
    <row r="3" spans="1:7">
      <c r="A3" t="s">
        <v>388</v>
      </c>
      <c r="E3">
        <v>506</v>
      </c>
    </row>
    <row r="4" spans="1:7">
      <c r="A4" t="s">
        <v>389</v>
      </c>
      <c r="E4" s="5">
        <v>0.39</v>
      </c>
    </row>
    <row r="5" spans="1:7">
      <c r="A5" t="s">
        <v>390</v>
      </c>
      <c r="E5" s="5">
        <v>0.54</v>
      </c>
    </row>
    <row r="7" spans="1:7">
      <c r="A7" t="s">
        <v>391</v>
      </c>
      <c r="E7" s="3">
        <f>ROUND(E4*E3,0)</f>
        <v>197</v>
      </c>
    </row>
    <row r="8" spans="1:7">
      <c r="A8" t="s">
        <v>392</v>
      </c>
      <c r="E8" s="3">
        <f>ROUND(E3*E5*'Cell Numbers'!A5/'Cell Numbers'!A4,0)</f>
        <v>2211</v>
      </c>
    </row>
    <row r="10" spans="1:7">
      <c r="A10" s="56" t="s">
        <v>393</v>
      </c>
    </row>
    <row r="11" spans="1:7">
      <c r="A11" s="1" t="s">
        <v>0</v>
      </c>
      <c r="B11" s="99" t="s">
        <v>1</v>
      </c>
      <c r="C11" s="99"/>
      <c r="D11" s="99"/>
      <c r="E11" s="99"/>
      <c r="F11" s="99"/>
      <c r="G11" s="2" t="s">
        <v>2</v>
      </c>
    </row>
    <row r="12" spans="1:7">
      <c r="A12" s="3">
        <v>230000</v>
      </c>
      <c r="B12" s="100" t="s">
        <v>3</v>
      </c>
      <c r="C12" s="100"/>
      <c r="D12" s="100"/>
      <c r="E12" s="100"/>
      <c r="F12" s="100"/>
      <c r="G12" s="4" t="s">
        <v>4</v>
      </c>
    </row>
    <row r="13" spans="1:7">
      <c r="A13" s="5">
        <v>0.11</v>
      </c>
      <c r="B13" s="100" t="s">
        <v>5</v>
      </c>
      <c r="C13" s="100"/>
      <c r="D13" s="100"/>
      <c r="E13" s="100"/>
      <c r="F13" s="100"/>
      <c r="G13" s="4" t="s">
        <v>6</v>
      </c>
    </row>
    <row r="14" spans="1:7">
      <c r="A14" s="3">
        <f>A13*A12</f>
        <v>25300</v>
      </c>
      <c r="B14" s="100" t="s">
        <v>7</v>
      </c>
      <c r="C14" s="100"/>
      <c r="D14" s="100"/>
      <c r="E14" s="100"/>
      <c r="F14" s="100"/>
      <c r="G14" t="s">
        <v>8</v>
      </c>
    </row>
    <row r="15" spans="1:7">
      <c r="A15" s="3">
        <f>A12-A14</f>
        <v>204700</v>
      </c>
      <c r="B15" s="100" t="s">
        <v>9</v>
      </c>
      <c r="C15" s="100"/>
      <c r="D15" s="100"/>
      <c r="E15" s="100"/>
      <c r="F15" s="100"/>
      <c r="G15" t="s">
        <v>8</v>
      </c>
    </row>
    <row r="17" spans="1:14">
      <c r="A17" s="2" t="s">
        <v>394</v>
      </c>
      <c r="H17" t="s">
        <v>395</v>
      </c>
    </row>
    <row r="18" spans="1:14" ht="45">
      <c r="A18" s="2"/>
      <c r="B18" s="106" t="s">
        <v>396</v>
      </c>
      <c r="C18" s="106"/>
      <c r="D18" s="106" t="s">
        <v>397</v>
      </c>
      <c r="E18" s="106"/>
      <c r="I18" s="57" t="s">
        <v>398</v>
      </c>
      <c r="J18" s="57" t="s">
        <v>399</v>
      </c>
    </row>
    <row r="19" spans="1:14">
      <c r="B19" t="s">
        <v>400</v>
      </c>
      <c r="D19" t="s">
        <v>401</v>
      </c>
      <c r="H19" s="19" t="s">
        <v>402</v>
      </c>
      <c r="I19" s="5">
        <v>0.93</v>
      </c>
      <c r="J19" s="5">
        <v>7.0000000000000007E-2</v>
      </c>
      <c r="K19" s="4" t="s">
        <v>403</v>
      </c>
    </row>
    <row r="20" spans="1:14">
      <c r="A20" t="s">
        <v>404</v>
      </c>
      <c r="B20" t="s">
        <v>11</v>
      </c>
      <c r="C20" t="s">
        <v>208</v>
      </c>
      <c r="D20" t="s">
        <v>11</v>
      </c>
      <c r="E20" t="s">
        <v>208</v>
      </c>
      <c r="F20" t="s">
        <v>126</v>
      </c>
      <c r="H20" t="s">
        <v>12</v>
      </c>
      <c r="I20" t="s">
        <v>405</v>
      </c>
      <c r="J20" t="s">
        <v>406</v>
      </c>
    </row>
    <row r="21" spans="1:14">
      <c r="A21" t="s">
        <v>407</v>
      </c>
      <c r="B21" s="18">
        <v>0</v>
      </c>
      <c r="C21" s="3">
        <v>0</v>
      </c>
      <c r="D21" s="18">
        <v>4.0000000000000001E-3</v>
      </c>
      <c r="E21" s="3">
        <v>110</v>
      </c>
      <c r="F21" s="3">
        <v>55</v>
      </c>
      <c r="H21" s="3">
        <f>F21*$A$15</f>
        <v>11258500</v>
      </c>
      <c r="I21" s="13">
        <f>ROUND($H21*I$19/'Cell Numbers'!$A$5,0)</f>
        <v>34</v>
      </c>
      <c r="J21" s="13">
        <f>ROUND($H21*J$19/'Cell Numbers'!$A$4,0)</f>
        <v>20</v>
      </c>
    </row>
    <row r="22" spans="1:14">
      <c r="A22" t="s">
        <v>408</v>
      </c>
      <c r="B22" s="18">
        <v>0.20799999999999999</v>
      </c>
      <c r="C22" s="3">
        <v>3181</v>
      </c>
      <c r="D22" s="18">
        <v>0.94199999999999995</v>
      </c>
      <c r="E22" s="3">
        <v>25848</v>
      </c>
      <c r="F22" s="3">
        <v>14515</v>
      </c>
      <c r="H22" s="3">
        <f>F22*$A$15</f>
        <v>2971220500</v>
      </c>
      <c r="I22" s="13">
        <f>ROUND($H22*I$19/'Cell Numbers'!$A$5,0)</f>
        <v>8871</v>
      </c>
      <c r="J22" s="13">
        <f>ROUND($H22*J$19/'Cell Numbers'!$A$4,0)</f>
        <v>5402</v>
      </c>
    </row>
    <row r="23" spans="1:14">
      <c r="A23" t="s">
        <v>216</v>
      </c>
      <c r="B23" s="18">
        <v>0.154</v>
      </c>
      <c r="C23" s="3">
        <v>2355</v>
      </c>
      <c r="D23" s="18">
        <v>2.4E-2</v>
      </c>
      <c r="E23" s="3">
        <v>659</v>
      </c>
      <c r="F23" s="3">
        <v>1507</v>
      </c>
      <c r="H23" s="3">
        <f>F23*$A$15</f>
        <v>308482900</v>
      </c>
      <c r="I23" s="13">
        <f>ROUND($H23*I$19/'Cell Numbers'!$A$5,0)</f>
        <v>921</v>
      </c>
      <c r="J23" s="13">
        <f>ROUND($H23*J$19/'Cell Numbers'!$A$4,0)</f>
        <v>561</v>
      </c>
    </row>
    <row r="24" spans="1:14">
      <c r="A24" t="s">
        <v>409</v>
      </c>
      <c r="B24" s="18">
        <v>0.63800000000000001</v>
      </c>
      <c r="C24" s="3">
        <v>9759</v>
      </c>
      <c r="D24" s="18">
        <v>0.03</v>
      </c>
      <c r="E24" s="3">
        <v>823</v>
      </c>
      <c r="F24" s="3">
        <v>5291</v>
      </c>
      <c r="H24" s="3">
        <f>F24*$A$15</f>
        <v>1083067700</v>
      </c>
      <c r="I24" s="13">
        <f>ROUND($H24*I$19/'Cell Numbers'!$A$5,0)</f>
        <v>3234</v>
      </c>
      <c r="J24" s="13">
        <f>ROUND($H24*J$19/'Cell Numbers'!$A$4,0)</f>
        <v>1969</v>
      </c>
    </row>
    <row r="25" spans="1:14">
      <c r="A25" t="s">
        <v>12</v>
      </c>
      <c r="C25" s="3">
        <v>15295</v>
      </c>
      <c r="E25" s="3">
        <v>27440</v>
      </c>
      <c r="F25" s="3">
        <v>21368</v>
      </c>
      <c r="H25" s="40" t="s">
        <v>12</v>
      </c>
      <c r="I25" s="2">
        <f>SUM(I21:I24)</f>
        <v>13060</v>
      </c>
      <c r="J25" s="2">
        <f>SUM(J21:J24)</f>
        <v>7952</v>
      </c>
    </row>
    <row r="26" spans="1:14">
      <c r="L26">
        <f>E25*I19/2</f>
        <v>12759.6</v>
      </c>
      <c r="M26">
        <f>E25*I19</f>
        <v>25519.200000000001</v>
      </c>
    </row>
    <row r="27" spans="1:14">
      <c r="A27" t="s">
        <v>410</v>
      </c>
      <c r="L27">
        <f>L26/311500</f>
        <v>4.096179775280899E-2</v>
      </c>
      <c r="M27" s="97">
        <f>M26/311500</f>
        <v>8.192359550561798E-2</v>
      </c>
      <c r="N27">
        <f>C25*0.93/311500</f>
        <v>4.5664044943820224E-2</v>
      </c>
    </row>
    <row r="29" spans="1:14">
      <c r="A29" t="s">
        <v>211</v>
      </c>
      <c r="B29" t="s">
        <v>411</v>
      </c>
      <c r="C29" t="s">
        <v>412</v>
      </c>
      <c r="D29" t="s">
        <v>413</v>
      </c>
      <c r="E29" t="s">
        <v>414</v>
      </c>
      <c r="G29" t="s">
        <v>415</v>
      </c>
    </row>
    <row r="30" spans="1:14">
      <c r="A30" t="s">
        <v>407</v>
      </c>
      <c r="B30" s="3">
        <v>1776</v>
      </c>
      <c r="C30" s="3">
        <v>34</v>
      </c>
      <c r="E30" s="3">
        <v>1742</v>
      </c>
    </row>
    <row r="31" spans="1:14">
      <c r="A31" t="s">
        <v>408</v>
      </c>
      <c r="B31" s="3">
        <v>16878</v>
      </c>
      <c r="C31" s="3">
        <v>8871</v>
      </c>
      <c r="E31" s="3">
        <v>7547</v>
      </c>
      <c r="G31" t="s">
        <v>416</v>
      </c>
    </row>
    <row r="32" spans="1:14">
      <c r="A32" t="s">
        <v>216</v>
      </c>
      <c r="B32" s="3"/>
      <c r="C32" s="3">
        <v>921</v>
      </c>
      <c r="E32" s="3"/>
      <c r="G32" s="3">
        <f>SUM(B31:B33)-D33+C30</f>
        <v>28697</v>
      </c>
    </row>
    <row r="33" spans="1:13">
      <c r="A33" t="s">
        <v>409</v>
      </c>
      <c r="B33" s="3">
        <v>11982</v>
      </c>
      <c r="C33" s="3">
        <v>3233</v>
      </c>
      <c r="D33">
        <v>197</v>
      </c>
      <c r="E33" s="3">
        <f>8288-197</f>
        <v>8091</v>
      </c>
    </row>
    <row r="34" spans="1:13">
      <c r="A34" s="2" t="s">
        <v>12</v>
      </c>
      <c r="B34" s="40">
        <v>30636</v>
      </c>
      <c r="C34" s="40">
        <v>13059</v>
      </c>
      <c r="E34" s="40">
        <v>17380</v>
      </c>
      <c r="G34" t="s">
        <v>417</v>
      </c>
      <c r="J34" s="17">
        <f>I25/G32</f>
        <v>0.45509983621981392</v>
      </c>
    </row>
    <row r="36" spans="1:13">
      <c r="A36" t="s">
        <v>418</v>
      </c>
      <c r="E36" s="13">
        <f>I25</f>
        <v>13060</v>
      </c>
      <c r="F36" t="s">
        <v>419</v>
      </c>
      <c r="H36" s="3">
        <f>G32</f>
        <v>28697</v>
      </c>
      <c r="I36" t="s">
        <v>420</v>
      </c>
    </row>
    <row r="37" spans="1:13">
      <c r="A37" t="s">
        <v>421</v>
      </c>
    </row>
    <row r="38" spans="1:13">
      <c r="A38" t="s">
        <v>422</v>
      </c>
      <c r="E38" s="3">
        <f>J25</f>
        <v>7952</v>
      </c>
      <c r="F38" t="s">
        <v>419</v>
      </c>
      <c r="H38" s="3">
        <f>G32*'Cell Numbers'!A5/'Glutamatergic Boutons'!I19*'Glutamatergic Boutons'!J19/'Cell Numbers'!A4</f>
        <v>17476.276637341154</v>
      </c>
      <c r="I38" t="s">
        <v>423</v>
      </c>
    </row>
    <row r="40" spans="1:13">
      <c r="A40" s="56" t="s">
        <v>424</v>
      </c>
    </row>
    <row r="41" spans="1:13">
      <c r="A41" t="s">
        <v>425</v>
      </c>
    </row>
    <row r="42" spans="1:13">
      <c r="A42" s="3">
        <f>E30</f>
        <v>1742</v>
      </c>
      <c r="B42" t="s">
        <v>426</v>
      </c>
    </row>
    <row r="44" spans="1:13">
      <c r="A44" t="s">
        <v>427</v>
      </c>
      <c r="K44" s="4" t="s">
        <v>403</v>
      </c>
    </row>
    <row r="45" spans="1:13">
      <c r="A45" s="3">
        <f>ROUND(A42*'Cell Numbers'!A5/0.91*0.09/'Cell Numbers'!A4,0)</f>
        <v>1394</v>
      </c>
      <c r="B45" t="s">
        <v>428</v>
      </c>
    </row>
    <row r="47" spans="1:13">
      <c r="A47" t="s">
        <v>429</v>
      </c>
      <c r="M47" s="4" t="s">
        <v>403</v>
      </c>
    </row>
    <row r="50" spans="1:6">
      <c r="A50" t="s">
        <v>430</v>
      </c>
      <c r="E50" s="3">
        <f>E7+A42+C34</f>
        <v>14998</v>
      </c>
      <c r="F50" s="3">
        <f>E7+H36+A42</f>
        <v>30636</v>
      </c>
    </row>
    <row r="51" spans="1:6">
      <c r="A51" t="s">
        <v>431</v>
      </c>
      <c r="E51" s="3">
        <f>E8+A45+E38</f>
        <v>11557</v>
      </c>
      <c r="F51" s="3">
        <f>H38+A45+E8</f>
        <v>21081.276637341154</v>
      </c>
    </row>
  </sheetData>
  <mergeCells count="7">
    <mergeCell ref="B18:C18"/>
    <mergeCell ref="D18:E18"/>
    <mergeCell ref="B11:F11"/>
    <mergeCell ref="B12:F12"/>
    <mergeCell ref="B13:F13"/>
    <mergeCell ref="B14:F14"/>
    <mergeCell ref="B15:F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Normal="100" workbookViewId="0"/>
  </sheetViews>
  <sheetFormatPr defaultRowHeight="15"/>
  <cols>
    <col min="1" max="1" width="17.7109375"/>
    <col min="2" max="2" width="10.5703125"/>
    <col min="3" max="3" width="18.140625"/>
    <col min="4" max="4" width="12.7109375"/>
    <col min="5" max="7" width="20"/>
    <col min="8" max="8" width="14.85546875" style="4"/>
    <col min="9" max="9" width="22.28515625"/>
    <col min="10" max="1025" width="8.7109375"/>
  </cols>
  <sheetData>
    <row r="1" spans="1:12">
      <c r="A1" s="2" t="s">
        <v>10</v>
      </c>
      <c r="B1" s="2" t="s">
        <v>432</v>
      </c>
      <c r="C1" s="2" t="s">
        <v>433</v>
      </c>
      <c r="D1" s="2" t="s">
        <v>359</v>
      </c>
      <c r="E1" s="2" t="s">
        <v>434</v>
      </c>
      <c r="F1" s="2" t="s">
        <v>435</v>
      </c>
      <c r="G1" s="2" t="s">
        <v>359</v>
      </c>
      <c r="H1" s="2" t="s">
        <v>436</v>
      </c>
      <c r="I1" s="2" t="s">
        <v>359</v>
      </c>
      <c r="J1" s="2" t="s">
        <v>437</v>
      </c>
      <c r="K1" s="2" t="s">
        <v>438</v>
      </c>
      <c r="L1" s="2" t="s">
        <v>439</v>
      </c>
    </row>
    <row r="2" spans="1:12">
      <c r="A2" t="s">
        <v>18</v>
      </c>
      <c r="B2" s="13">
        <f>VLOOKUP(A2,'Cell Numbers'!$A$9:$C$31,3,0)</f>
        <v>8810</v>
      </c>
      <c r="C2" s="3">
        <f>'Div. Table'!G4</f>
        <v>16200</v>
      </c>
      <c r="D2" s="3" t="s">
        <v>8</v>
      </c>
      <c r="E2" s="5">
        <f>'Div. Table'!P4</f>
        <v>0.92</v>
      </c>
      <c r="F2" s="5">
        <f t="shared" ref="F2:F12" si="0">1-E2</f>
        <v>7.999999999999996E-2</v>
      </c>
      <c r="G2" s="5" t="s">
        <v>279</v>
      </c>
      <c r="H2" s="58">
        <f>'Div. Table'!I4</f>
        <v>10</v>
      </c>
      <c r="I2" s="4" t="s">
        <v>440</v>
      </c>
      <c r="J2" s="3">
        <f>'Div. Table'!S4</f>
        <v>1620</v>
      </c>
      <c r="K2" s="59">
        <f>ROUND(E2*J2,0)</f>
        <v>1490</v>
      </c>
      <c r="L2" s="59">
        <f>ROUND(J2*F2,0)</f>
        <v>130</v>
      </c>
    </row>
    <row r="3" spans="1:12">
      <c r="A3" t="s">
        <v>19</v>
      </c>
      <c r="B3" s="13">
        <f>VLOOKUP(A3,'Cell Numbers'!$A$9:$C$31,3,0)</f>
        <v>3580</v>
      </c>
      <c r="C3" s="3">
        <f>'Div. Table'!G6</f>
        <v>13199.999999999998</v>
      </c>
      <c r="D3" s="3" t="s">
        <v>8</v>
      </c>
      <c r="E3" s="5">
        <f>'Div. Table'!P6</f>
        <v>0.92</v>
      </c>
      <c r="F3" s="5">
        <f t="shared" si="0"/>
        <v>7.999999999999996E-2</v>
      </c>
      <c r="G3" s="5" t="s">
        <v>279</v>
      </c>
      <c r="H3" s="58">
        <f>'Div. Table'!I6</f>
        <v>10</v>
      </c>
      <c r="I3" s="4" t="s">
        <v>440</v>
      </c>
      <c r="J3" s="3">
        <f>'Div. Table'!S6</f>
        <v>1319.9999999999998</v>
      </c>
      <c r="K3" s="59">
        <f>ROUND(E3*J3,0)</f>
        <v>1214</v>
      </c>
      <c r="L3" s="59">
        <f>ROUND(J3*F3,0)</f>
        <v>106</v>
      </c>
    </row>
    <row r="4" spans="1:12">
      <c r="A4" t="s">
        <v>20</v>
      </c>
      <c r="B4" s="13">
        <f>VLOOKUP(A4,'Cell Numbers'!$A$9:$C$31,3,0)</f>
        <v>1640</v>
      </c>
      <c r="C4" s="3">
        <f>'Div. Table'!G8</f>
        <v>16370</v>
      </c>
      <c r="D4" s="3" t="s">
        <v>441</v>
      </c>
      <c r="E4" s="5">
        <f>'Div. Table'!P8</f>
        <v>0.89</v>
      </c>
      <c r="F4" s="5">
        <f t="shared" si="0"/>
        <v>0.10999999999999999</v>
      </c>
      <c r="G4" s="5" t="s">
        <v>442</v>
      </c>
      <c r="H4" s="58">
        <f>'Div. Table'!I8</f>
        <v>10</v>
      </c>
      <c r="I4" t="s">
        <v>279</v>
      </c>
      <c r="J4" s="3">
        <f>'Div. Table'!S8</f>
        <v>1637</v>
      </c>
      <c r="K4" s="59">
        <f>ROUND(E4*J4,0)</f>
        <v>1457</v>
      </c>
      <c r="L4" s="59">
        <f>ROUND(J4*F4,0)</f>
        <v>180</v>
      </c>
    </row>
    <row r="5" spans="1:12">
      <c r="A5" t="s">
        <v>21</v>
      </c>
      <c r="B5" s="13">
        <f>VLOOKUP(A5,'Cell Numbers'!$A$9:$C$31,3,0)</f>
        <v>760</v>
      </c>
      <c r="C5" s="3">
        <f>'Div. Table'!G10</f>
        <v>6080</v>
      </c>
      <c r="D5" s="3" t="s">
        <v>443</v>
      </c>
      <c r="E5" s="5">
        <f>'Div. Table'!P10</f>
        <v>0.92</v>
      </c>
      <c r="F5" s="5">
        <f t="shared" si="0"/>
        <v>7.999999999999996E-2</v>
      </c>
      <c r="G5" s="5" t="s">
        <v>444</v>
      </c>
      <c r="H5" s="58">
        <f>'Div. Table'!I10</f>
        <v>10</v>
      </c>
      <c r="I5" t="s">
        <v>279</v>
      </c>
      <c r="J5" s="3">
        <f>'Div. Table'!S10</f>
        <v>608</v>
      </c>
      <c r="K5" s="59">
        <f>ROUND(E5*J5,0)</f>
        <v>559</v>
      </c>
      <c r="L5" s="59">
        <f>ROUND(J5*F5,0)</f>
        <v>49</v>
      </c>
    </row>
    <row r="6" spans="1:12">
      <c r="A6" t="s">
        <v>641</v>
      </c>
      <c r="B6" s="13">
        <f>VLOOKUP(A6,'Cell Numbers'!$A$9:$C$31,3,0)</f>
        <v>640</v>
      </c>
      <c r="C6" s="3">
        <f>'Div. Table'!G12</f>
        <v>6080</v>
      </c>
      <c r="D6" s="3" t="s">
        <v>443</v>
      </c>
      <c r="E6" s="5">
        <f>'Div. Table'!P12</f>
        <v>0.96</v>
      </c>
      <c r="F6" s="5">
        <f t="shared" si="0"/>
        <v>4.0000000000000036E-2</v>
      </c>
      <c r="G6" s="5" t="s">
        <v>444</v>
      </c>
      <c r="H6" s="58">
        <f>'Div. Table'!I12</f>
        <v>10</v>
      </c>
      <c r="I6" t="s">
        <v>279</v>
      </c>
      <c r="J6" s="3">
        <f>'Div. Table'!S12</f>
        <v>608</v>
      </c>
      <c r="K6" s="59">
        <f>ROUND(E6*J6,0)</f>
        <v>584</v>
      </c>
      <c r="L6" s="59">
        <f>ROUND(J6*F6,0)</f>
        <v>24</v>
      </c>
    </row>
    <row r="7" spans="1:12">
      <c r="A7" t="s">
        <v>24</v>
      </c>
      <c r="B7" s="13">
        <f>VLOOKUP(A7,'Cell Numbers'!$A$9:$C$31,3,0)</f>
        <v>5530</v>
      </c>
      <c r="C7" s="3">
        <f>'Div. Table'!G17</f>
        <v>10440</v>
      </c>
      <c r="D7" s="3" t="s">
        <v>441</v>
      </c>
      <c r="E7" s="5">
        <f>'Div. Table'!P17</f>
        <v>0.99358237547892725</v>
      </c>
      <c r="F7" s="5">
        <f t="shared" si="0"/>
        <v>6.4176245210727512E-3</v>
      </c>
      <c r="G7" s="5" t="s">
        <v>8</v>
      </c>
      <c r="H7" s="58" t="s">
        <v>445</v>
      </c>
      <c r="I7" s="4" t="s">
        <v>446</v>
      </c>
      <c r="J7" s="3">
        <f>'Div. Table'!S17</f>
        <v>1014</v>
      </c>
      <c r="K7" s="3">
        <f>'Div. Table'!T17</f>
        <v>943</v>
      </c>
      <c r="L7" s="3">
        <f>'Div. Table'!U17</f>
        <v>71</v>
      </c>
    </row>
    <row r="8" spans="1:12">
      <c r="A8" t="s">
        <v>25</v>
      </c>
      <c r="B8" s="13">
        <f>VLOOKUP(A8,'Cell Numbers'!$A$9:$C$31,3,0)</f>
        <v>2210</v>
      </c>
      <c r="C8" s="3">
        <f>'Div. Table'!G19</f>
        <v>15970</v>
      </c>
      <c r="D8" s="3" t="s">
        <v>441</v>
      </c>
      <c r="E8" s="5">
        <f>'Div. Table'!P19</f>
        <v>0.92</v>
      </c>
      <c r="F8" s="5">
        <f t="shared" si="0"/>
        <v>7.999999999999996E-2</v>
      </c>
      <c r="G8" s="5" t="s">
        <v>8</v>
      </c>
      <c r="H8" s="58">
        <f>'Div. Table'!I19</f>
        <v>10</v>
      </c>
      <c r="I8" s="4" t="s">
        <v>447</v>
      </c>
      <c r="J8" s="3">
        <f>'Div. Table'!S19</f>
        <v>1597</v>
      </c>
      <c r="K8" s="59">
        <f>ROUND(E8*J8,0)</f>
        <v>1469</v>
      </c>
      <c r="L8" s="59">
        <f>ROUND(J8*F8,0)</f>
        <v>128</v>
      </c>
    </row>
    <row r="9" spans="1:12">
      <c r="A9" t="s">
        <v>26</v>
      </c>
      <c r="B9" s="13">
        <f>VLOOKUP(A9,'Cell Numbers'!$A$9:$C$31,3,0)</f>
        <v>1470</v>
      </c>
      <c r="C9" s="3">
        <f>'Div. Table'!G21</f>
        <v>7200</v>
      </c>
      <c r="D9" s="3" t="s">
        <v>448</v>
      </c>
      <c r="E9" s="5">
        <f>'Div. Table'!P21</f>
        <v>1</v>
      </c>
      <c r="F9" s="5">
        <f t="shared" si="0"/>
        <v>0</v>
      </c>
      <c r="G9" s="5" t="s">
        <v>449</v>
      </c>
      <c r="H9" s="58">
        <f>'Div. Table'!I21</f>
        <v>6</v>
      </c>
      <c r="I9" s="4" t="s">
        <v>450</v>
      </c>
      <c r="J9" s="3">
        <f>'Div. Table'!S21</f>
        <v>1200</v>
      </c>
      <c r="K9" s="59">
        <f>ROUND(E9*J9,0)</f>
        <v>1200</v>
      </c>
      <c r="L9" s="59">
        <f>ROUND(J9*F9,0)</f>
        <v>0</v>
      </c>
    </row>
    <row r="10" spans="1:12">
      <c r="A10" t="s">
        <v>28</v>
      </c>
      <c r="B10" s="13">
        <f>VLOOKUP(A10,'Cell Numbers'!$A$9:$C$31,3,0)</f>
        <v>3600</v>
      </c>
      <c r="C10" s="3">
        <f>'Div. Table'!G23</f>
        <v>10000</v>
      </c>
      <c r="D10" s="3" t="s">
        <v>451</v>
      </c>
      <c r="E10" s="5">
        <f>'Div. Table'!P23</f>
        <v>0.92</v>
      </c>
      <c r="F10" s="5">
        <f t="shared" si="0"/>
        <v>7.999999999999996E-2</v>
      </c>
      <c r="G10" s="5" t="s">
        <v>279</v>
      </c>
      <c r="H10" s="58">
        <f>'Div. Table'!I23</f>
        <v>8</v>
      </c>
      <c r="I10" s="4" t="s">
        <v>446</v>
      </c>
      <c r="J10" s="3">
        <f>'Div. Table'!S23</f>
        <v>1250</v>
      </c>
      <c r="K10" s="59">
        <f>ROUND(E10*J10,0)</f>
        <v>1150</v>
      </c>
      <c r="L10" s="59">
        <f>ROUND(J10*F10,0)</f>
        <v>100</v>
      </c>
    </row>
    <row r="11" spans="1:12">
      <c r="A11" t="s">
        <v>30</v>
      </c>
      <c r="B11" s="13">
        <f>VLOOKUP(A11,'Cell Numbers'!$A$9:$C$31,3,0)</f>
        <v>400</v>
      </c>
      <c r="C11" s="3">
        <f>'Div. Table'!G25</f>
        <v>12000</v>
      </c>
      <c r="D11" s="3" t="s">
        <v>451</v>
      </c>
      <c r="E11" s="5">
        <f>'Div. Table'!P25</f>
        <v>0.92</v>
      </c>
      <c r="F11" s="5">
        <f t="shared" si="0"/>
        <v>7.999999999999996E-2</v>
      </c>
      <c r="G11" s="5" t="s">
        <v>279</v>
      </c>
      <c r="H11" s="58">
        <f>'Div. Table'!I25</f>
        <v>6</v>
      </c>
      <c r="I11" s="4" t="s">
        <v>452</v>
      </c>
      <c r="J11" s="3">
        <f>'Div. Table'!S25</f>
        <v>2000</v>
      </c>
      <c r="K11" s="59">
        <f>ROUND(E11*J11,0)</f>
        <v>1840</v>
      </c>
      <c r="L11" s="59">
        <f>ROUND(J11*F11,0)</f>
        <v>160</v>
      </c>
    </row>
    <row r="12" spans="1:12">
      <c r="A12" t="s">
        <v>31</v>
      </c>
      <c r="B12" s="13">
        <f>VLOOKUP(A12,'Cell Numbers'!$A$9:$C$31,3,0)</f>
        <v>490</v>
      </c>
      <c r="C12" s="3">
        <f>'Div. Table'!G26</f>
        <v>8000</v>
      </c>
      <c r="D12" s="3" t="s">
        <v>451</v>
      </c>
      <c r="E12" s="5">
        <f>'Div. Table'!P26</f>
        <v>0.92</v>
      </c>
      <c r="F12" s="5">
        <f t="shared" si="0"/>
        <v>7.999999999999996E-2</v>
      </c>
      <c r="G12" s="5" t="s">
        <v>279</v>
      </c>
      <c r="H12" s="58">
        <f>'Div. Table'!I26</f>
        <v>6</v>
      </c>
      <c r="I12" s="4" t="s">
        <v>452</v>
      </c>
      <c r="J12" s="3">
        <f>'Div. Table'!S26</f>
        <v>1333.3333333333333</v>
      </c>
      <c r="K12" s="59">
        <f>ROUND(E12*J12,0)</f>
        <v>1227</v>
      </c>
      <c r="L12" s="59">
        <f>ROUND(J12*F12,0)</f>
        <v>107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17.7109375"/>
    <col min="2" max="2" width="10.5703125"/>
    <col min="3" max="3" width="18.140625"/>
    <col min="4" max="4" width="11.28515625" style="4"/>
    <col min="5" max="5" width="20"/>
    <col min="6" max="6" width="17"/>
    <col min="7" max="7" width="14.85546875"/>
    <col min="8" max="8" width="13"/>
    <col min="9" max="9" width="8.7109375"/>
    <col min="10" max="10" width="11.42578125"/>
    <col min="11" max="11" width="9.42578125"/>
    <col min="12" max="1025" width="8.7109375"/>
  </cols>
  <sheetData>
    <row r="1" spans="1:21">
      <c r="I1" s="99" t="s">
        <v>209</v>
      </c>
      <c r="J1" s="99"/>
      <c r="K1" s="99"/>
      <c r="L1" s="99"/>
      <c r="M1" s="99" t="s">
        <v>409</v>
      </c>
      <c r="N1" s="99"/>
      <c r="O1" s="99" t="s">
        <v>408</v>
      </c>
      <c r="P1" s="99"/>
      <c r="Q1" s="99"/>
      <c r="R1" s="2"/>
      <c r="S1" s="2"/>
      <c r="T1" s="60"/>
    </row>
    <row r="2" spans="1:21">
      <c r="A2" s="2" t="str">
        <f>'Local Inhibitory Boutons'!A1</f>
        <v>Cell Type</v>
      </c>
      <c r="B2" s="2" t="str">
        <f>'Local Inhibitory Boutons'!B1</f>
        <v>Total Cells</v>
      </c>
      <c r="C2" s="2" t="str">
        <f>'Local Inhibitory Boutons'!C1</f>
        <v>Local Boutons/Cell</v>
      </c>
      <c r="D2" s="2" t="s">
        <v>453</v>
      </c>
      <c r="E2" s="2" t="str">
        <f>'Local Inhibitory Boutons'!E1</f>
        <v>% on Pyramidal Cells</v>
      </c>
      <c r="F2" s="2" t="s">
        <v>454</v>
      </c>
      <c r="G2" s="2" t="str">
        <f>'Local Inhibitory Boutons'!H1</f>
        <v>Boutons/Conn.</v>
      </c>
      <c r="H2" s="60" t="s">
        <v>455</v>
      </c>
      <c r="I2" s="2" t="s">
        <v>409</v>
      </c>
      <c r="J2" s="61" t="s">
        <v>216</v>
      </c>
      <c r="K2" s="61" t="s">
        <v>408</v>
      </c>
      <c r="L2" s="60" t="s">
        <v>456</v>
      </c>
      <c r="M2" s="61" t="s">
        <v>457</v>
      </c>
      <c r="N2" s="2" t="s">
        <v>458</v>
      </c>
      <c r="O2" s="2" t="s">
        <v>459</v>
      </c>
      <c r="P2" s="2" t="s">
        <v>460</v>
      </c>
      <c r="Q2" s="2" t="s">
        <v>461</v>
      </c>
      <c r="R2" s="2" t="s">
        <v>456</v>
      </c>
      <c r="S2" s="2" t="s">
        <v>371</v>
      </c>
      <c r="T2" s="60" t="s">
        <v>372</v>
      </c>
    </row>
    <row r="3" spans="1:21">
      <c r="A3" t="str">
        <f>'Local Inhibitory Boutons'!A2</f>
        <v>Ivy</v>
      </c>
      <c r="B3" s="3">
        <f>'Local Inhibitory Boutons'!B2</f>
        <v>8810</v>
      </c>
      <c r="C3" s="3">
        <f>'Local Inhibitory Boutons'!C2</f>
        <v>16200</v>
      </c>
      <c r="D3" s="62">
        <f t="shared" ref="D3:D13" si="0">ROUND(B3*C3/10^6,1)</f>
        <v>142.69999999999999</v>
      </c>
      <c r="E3" s="5">
        <f>'Local Inhibitory Boutons'!E2</f>
        <v>0.92</v>
      </c>
      <c r="F3" s="3">
        <f>ROUND(B3*C3*E3/'Cell Numbers'!$A$5,0)</f>
        <v>422</v>
      </c>
      <c r="G3" s="4">
        <f>'Local Inhibitory Boutons'!H2</f>
        <v>10</v>
      </c>
      <c r="H3" s="63">
        <f t="shared" ref="H3:H13" si="1">ROUND(F3/G3,0)</f>
        <v>42</v>
      </c>
      <c r="I3" s="5">
        <f>'Div. Table'!K4</f>
        <v>0.4</v>
      </c>
      <c r="J3" s="5">
        <f>'Div. Table'!L4</f>
        <v>0.02</v>
      </c>
      <c r="K3" s="5">
        <f>'Div. Table'!M4</f>
        <v>0.5</v>
      </c>
      <c r="L3" s="64">
        <f>'Div. Table'!N4</f>
        <v>0.08</v>
      </c>
      <c r="M3" s="13">
        <f>ROUND(I3*$F3,0)</f>
        <v>169</v>
      </c>
      <c r="N3" s="4">
        <f>ROUND(J3*$F3,0)/2</f>
        <v>4</v>
      </c>
      <c r="O3" s="13">
        <f>ROUND(J3*$F3,0)/2</f>
        <v>4</v>
      </c>
      <c r="Q3" s="13">
        <f>ROUND($F3*K3,0)</f>
        <v>211</v>
      </c>
      <c r="R3" s="13">
        <f>ROUND($F3*L3,0)</f>
        <v>34</v>
      </c>
      <c r="T3" s="63"/>
    </row>
    <row r="4" spans="1:21">
      <c r="A4" t="str">
        <f>'Local Inhibitory Boutons'!A3</f>
        <v>Neurogliaform</v>
      </c>
      <c r="B4" s="3">
        <f>'Local Inhibitory Boutons'!B3</f>
        <v>3580</v>
      </c>
      <c r="C4" s="3">
        <f>'Local Inhibitory Boutons'!C3</f>
        <v>13199.999999999998</v>
      </c>
      <c r="D4" s="62">
        <f t="shared" si="0"/>
        <v>47.3</v>
      </c>
      <c r="E4" s="5">
        <f>'Local Inhibitory Boutons'!E3</f>
        <v>0.92</v>
      </c>
      <c r="F4" s="3">
        <f>ROUND(B4*C4*E4/'Cell Numbers'!$A$5,0)</f>
        <v>140</v>
      </c>
      <c r="G4" s="4">
        <f>'Local Inhibitory Boutons'!H3</f>
        <v>10</v>
      </c>
      <c r="H4" s="63">
        <f t="shared" si="1"/>
        <v>14</v>
      </c>
      <c r="I4" s="5">
        <f>'Div. Table'!K6</f>
        <v>0</v>
      </c>
      <c r="J4" s="5">
        <f>'Div. Table'!L6</f>
        <v>0</v>
      </c>
      <c r="K4" s="5">
        <f>'Div. Table'!M6</f>
        <v>0.17039106145251395</v>
      </c>
      <c r="L4" s="64">
        <f>'Div. Table'!N6</f>
        <v>0.82960893854748607</v>
      </c>
      <c r="Q4" s="13">
        <f>ROUND($F4*K4,0)</f>
        <v>24</v>
      </c>
      <c r="R4" s="13">
        <f>ROUND($F4*L4,0)</f>
        <v>116</v>
      </c>
      <c r="T4" s="63"/>
    </row>
    <row r="5" spans="1:21">
      <c r="A5" t="str">
        <f>'Local Inhibitory Boutons'!A4</f>
        <v>O-LM</v>
      </c>
      <c r="B5" s="3">
        <f>'Local Inhibitory Boutons'!B4</f>
        <v>1640</v>
      </c>
      <c r="C5" s="3">
        <f>'Local Inhibitory Boutons'!C4</f>
        <v>16370</v>
      </c>
      <c r="D5" s="62">
        <f t="shared" si="0"/>
        <v>26.8</v>
      </c>
      <c r="E5" s="5">
        <f>'Local Inhibitory Boutons'!E4</f>
        <v>0.89</v>
      </c>
      <c r="F5" s="3">
        <f>ROUND(B5*C5*E5/'Cell Numbers'!$A$5,0)</f>
        <v>77</v>
      </c>
      <c r="G5" s="4">
        <f>'Local Inhibitory Boutons'!H4</f>
        <v>10</v>
      </c>
      <c r="H5" s="63">
        <f t="shared" si="1"/>
        <v>8</v>
      </c>
      <c r="I5" s="5">
        <f>'Div. Table'!K8</f>
        <v>7.1065989847715741E-2</v>
      </c>
      <c r="J5" s="5">
        <f>'Div. Table'!L8</f>
        <v>0</v>
      </c>
      <c r="K5" s="5">
        <f>'Div. Table'!M8</f>
        <v>0</v>
      </c>
      <c r="L5" s="64">
        <f>'Div. Table'!N8</f>
        <v>0.92893401015228427</v>
      </c>
      <c r="M5" s="13">
        <f>ROUND(I5*$F5,0)</f>
        <v>5</v>
      </c>
      <c r="R5" s="13">
        <f>ROUND($F5*L5,0)</f>
        <v>72</v>
      </c>
      <c r="T5" s="63"/>
    </row>
    <row r="6" spans="1:21">
      <c r="A6" t="str">
        <f>'Local Inhibitory Boutons'!A5</f>
        <v>Double Projection</v>
      </c>
      <c r="B6" s="3">
        <f>'Local Inhibitory Boutons'!B5</f>
        <v>760</v>
      </c>
      <c r="C6" s="3">
        <f>'Local Inhibitory Boutons'!C5</f>
        <v>6080</v>
      </c>
      <c r="D6" s="62">
        <f t="shared" si="0"/>
        <v>4.5999999999999996</v>
      </c>
      <c r="E6" s="5">
        <f>'Local Inhibitory Boutons'!E5</f>
        <v>0.92</v>
      </c>
      <c r="F6" s="3">
        <f>ROUND(B6*C6*E6/'Cell Numbers'!$A$5,0)</f>
        <v>14</v>
      </c>
      <c r="G6" s="4">
        <f>'Local Inhibitory Boutons'!H5</f>
        <v>10</v>
      </c>
      <c r="H6" s="63">
        <f t="shared" si="1"/>
        <v>1</v>
      </c>
      <c r="I6" s="5">
        <f>'Div. Table'!K10</f>
        <v>0.57999999999999996</v>
      </c>
      <c r="J6" s="5">
        <f>'Div. Table'!L10</f>
        <v>0</v>
      </c>
      <c r="K6" s="5">
        <f>'Div. Table'!M10</f>
        <v>0.42</v>
      </c>
      <c r="L6" s="64">
        <f>'Div. Table'!N10</f>
        <v>0</v>
      </c>
      <c r="M6" s="3">
        <f>ROUND(F6-Q6,0)</f>
        <v>8</v>
      </c>
      <c r="Q6" s="13">
        <f>ROUND($F6*K6,0)</f>
        <v>6</v>
      </c>
      <c r="T6" s="63"/>
    </row>
    <row r="7" spans="1:21">
      <c r="A7" t="str">
        <f>'Local Inhibitory Boutons'!A6</f>
        <v>Oriens-retrohipp.</v>
      </c>
      <c r="B7" s="3">
        <f>'Local Inhibitory Boutons'!B6</f>
        <v>640</v>
      </c>
      <c r="C7" s="3">
        <f>'Local Inhibitory Boutons'!C6</f>
        <v>6080</v>
      </c>
      <c r="D7" s="62">
        <f t="shared" si="0"/>
        <v>3.9</v>
      </c>
      <c r="E7" s="5">
        <f>'Local Inhibitory Boutons'!E6</f>
        <v>0.96</v>
      </c>
      <c r="F7" s="3">
        <f>ROUND(B7*C7*E7/'Cell Numbers'!$A$5,0)</f>
        <v>12</v>
      </c>
      <c r="G7" s="4">
        <f>'Local Inhibitory Boutons'!H6</f>
        <v>10</v>
      </c>
      <c r="H7" s="63">
        <f t="shared" si="1"/>
        <v>1</v>
      </c>
      <c r="I7" s="5">
        <f>'Div. Table'!K12</f>
        <v>0.57999999999999996</v>
      </c>
      <c r="J7" s="5">
        <f>'Div. Table'!L12</f>
        <v>0</v>
      </c>
      <c r="K7" s="5">
        <f>'Div. Table'!M12</f>
        <v>0.42</v>
      </c>
      <c r="L7" s="64">
        <f>'Div. Table'!N12</f>
        <v>0</v>
      </c>
      <c r="M7" s="13">
        <f>ROUND(I7*$F7,0)</f>
        <v>7</v>
      </c>
      <c r="Q7" s="13">
        <f>ROUND($F7*K7,0)</f>
        <v>5</v>
      </c>
      <c r="T7" s="63"/>
    </row>
    <row r="8" spans="1:21">
      <c r="A8" t="str">
        <f>'Local Inhibitory Boutons'!A7</f>
        <v>PV+ Basket</v>
      </c>
      <c r="B8" s="3">
        <f>'Local Inhibitory Boutons'!B7</f>
        <v>5530</v>
      </c>
      <c r="C8" s="3">
        <f>'Local Inhibitory Boutons'!C7</f>
        <v>10440</v>
      </c>
      <c r="D8" s="62">
        <f t="shared" si="0"/>
        <v>57.7</v>
      </c>
      <c r="E8" s="5">
        <v>0.99</v>
      </c>
      <c r="F8" s="3">
        <f>ROUND(B8*C8*E8/'Cell Numbers'!$A$5,0)</f>
        <v>183</v>
      </c>
      <c r="G8" s="65">
        <v>11</v>
      </c>
      <c r="H8" s="63">
        <f t="shared" si="1"/>
        <v>17</v>
      </c>
      <c r="I8" s="5">
        <f>'Div. Table'!K17</f>
        <v>0</v>
      </c>
      <c r="J8" s="5">
        <f>'Div. Table'!L17</f>
        <v>0</v>
      </c>
      <c r="K8" s="5">
        <f>'Div. Table'!M17</f>
        <v>0</v>
      </c>
      <c r="L8" s="64">
        <f>'Div. Table'!N17</f>
        <v>0</v>
      </c>
      <c r="N8" s="13">
        <f>ROUND((F8-S8)/2,0)</f>
        <v>61</v>
      </c>
      <c r="O8" s="13">
        <f>ROUND((F8-S8)/2,0)</f>
        <v>61</v>
      </c>
      <c r="S8">
        <v>61</v>
      </c>
      <c r="T8" s="63"/>
    </row>
    <row r="9" spans="1:21">
      <c r="A9" t="str">
        <f>'Local Inhibitory Boutons'!A8</f>
        <v>Bistratified</v>
      </c>
      <c r="B9" s="3">
        <f>'Local Inhibitory Boutons'!B8</f>
        <v>2210</v>
      </c>
      <c r="C9" s="3">
        <f>'Local Inhibitory Boutons'!C8</f>
        <v>15970</v>
      </c>
      <c r="D9" s="62">
        <f t="shared" si="0"/>
        <v>35.299999999999997</v>
      </c>
      <c r="E9" s="5">
        <f>'Local Inhibitory Boutons'!E8</f>
        <v>0.92</v>
      </c>
      <c r="F9" s="3">
        <f>ROUND(B9*C9*E9/'Cell Numbers'!$A$5,0)</f>
        <v>104</v>
      </c>
      <c r="G9" s="4">
        <f>'Local Inhibitory Boutons'!H8</f>
        <v>10</v>
      </c>
      <c r="H9" s="63">
        <f t="shared" si="1"/>
        <v>10</v>
      </c>
      <c r="I9" s="5">
        <f>'Div. Table'!K19</f>
        <v>0.51</v>
      </c>
      <c r="J9" s="5">
        <f>'Div. Table'!L19</f>
        <v>6.6666666666666666E-2</v>
      </c>
      <c r="K9" s="5">
        <f>'Div. Table'!M19</f>
        <v>0.42333333333333334</v>
      </c>
      <c r="L9" s="64">
        <f>'Div. Table'!N19</f>
        <v>0</v>
      </c>
      <c r="M9" s="3">
        <f>ROUND(F9-SUM(N9:Q9),0)</f>
        <v>53</v>
      </c>
      <c r="N9" s="13">
        <f>ROUND(J9*$F9/2,0)</f>
        <v>3</v>
      </c>
      <c r="O9" s="4">
        <f>ROUND(J9*$F9/2,0)+1</f>
        <v>4</v>
      </c>
      <c r="Q9" s="13">
        <f>ROUND($F9*K9,0)</f>
        <v>44</v>
      </c>
      <c r="T9" s="63"/>
    </row>
    <row r="10" spans="1:21">
      <c r="A10" t="str">
        <f>'Local Inhibitory Boutons'!A9</f>
        <v>Axo-axonic</v>
      </c>
      <c r="B10" s="3">
        <f>'Local Inhibitory Boutons'!B9</f>
        <v>1470</v>
      </c>
      <c r="C10" s="3">
        <f>'Local Inhibitory Boutons'!C9</f>
        <v>7200</v>
      </c>
      <c r="D10" s="62">
        <f t="shared" si="0"/>
        <v>10.6</v>
      </c>
      <c r="E10" s="5">
        <f>'Local Inhibitory Boutons'!E9</f>
        <v>1</v>
      </c>
      <c r="F10" s="3">
        <f>ROUND(B10*C10*E10/'Cell Numbers'!$A$5,0)</f>
        <v>34</v>
      </c>
      <c r="G10" s="4">
        <f>'Local Inhibitory Boutons'!H9</f>
        <v>6</v>
      </c>
      <c r="H10" s="63">
        <f t="shared" si="1"/>
        <v>6</v>
      </c>
      <c r="I10" s="5">
        <f>'Div. Table'!K21</f>
        <v>0</v>
      </c>
      <c r="J10" s="5">
        <f>'Div. Table'!L21</f>
        <v>1</v>
      </c>
      <c r="K10" s="5">
        <f>'Div. Table'!M21</f>
        <v>0</v>
      </c>
      <c r="L10" s="64">
        <f>'Div. Table'!N21</f>
        <v>0</v>
      </c>
      <c r="T10" s="66">
        <f>F10</f>
        <v>34</v>
      </c>
    </row>
    <row r="11" spans="1:21">
      <c r="A11" t="str">
        <f>'Local Inhibitory Boutons'!A10</f>
        <v>CCK+ Basket</v>
      </c>
      <c r="B11" s="3">
        <f>'Local Inhibitory Boutons'!B10</f>
        <v>3600</v>
      </c>
      <c r="C11" s="3">
        <f>'Local Inhibitory Boutons'!C10</f>
        <v>10000</v>
      </c>
      <c r="D11" s="62">
        <f t="shared" si="0"/>
        <v>36</v>
      </c>
      <c r="E11" s="5">
        <f>'Local Inhibitory Boutons'!E10</f>
        <v>0.92</v>
      </c>
      <c r="F11" s="3">
        <f>ROUND(B11*C11*E11/'Cell Numbers'!$A$5,0)</f>
        <v>106</v>
      </c>
      <c r="G11" s="4">
        <f>'Local Inhibitory Boutons'!H10</f>
        <v>8</v>
      </c>
      <c r="H11" s="63">
        <f t="shared" si="1"/>
        <v>13</v>
      </c>
      <c r="I11" s="5">
        <f>'Div. Table'!K23</f>
        <v>0.19</v>
      </c>
      <c r="J11" s="5">
        <f>'Div. Table'!L23</f>
        <v>0.6</v>
      </c>
      <c r="K11" s="5">
        <f>'Div. Table'!M23</f>
        <v>0.2</v>
      </c>
      <c r="L11" s="64">
        <f>'Div. Table'!N23</f>
        <v>0.01</v>
      </c>
      <c r="N11" s="13">
        <f>ROUND((J11*$F11-S11)/2,0)+1+ROUND(I11*$F11,0)</f>
        <v>37</v>
      </c>
      <c r="O11" s="13">
        <f>ROUND((J11*$F11-S11)/2,0)+ROUND($F11*K11,0)</f>
        <v>37</v>
      </c>
      <c r="R11" s="13">
        <f>ROUND($F11*L11,0)</f>
        <v>1</v>
      </c>
      <c r="S11">
        <v>31</v>
      </c>
      <c r="T11" s="63"/>
    </row>
    <row r="12" spans="1:21">
      <c r="A12" t="str">
        <f>'Local Inhibitory Boutons'!A11</f>
        <v>SCA</v>
      </c>
      <c r="B12" s="3">
        <f>'Local Inhibitory Boutons'!B11</f>
        <v>400</v>
      </c>
      <c r="C12" s="3">
        <f>'Local Inhibitory Boutons'!C11</f>
        <v>12000</v>
      </c>
      <c r="D12" s="62">
        <f t="shared" si="0"/>
        <v>4.8</v>
      </c>
      <c r="E12" s="5">
        <f>'Local Inhibitory Boutons'!E11</f>
        <v>0.92</v>
      </c>
      <c r="F12" s="3">
        <f>ROUND(B12*C12*E12/'Cell Numbers'!$A$5,0)</f>
        <v>14</v>
      </c>
      <c r="G12" s="4">
        <f>'Local Inhibitory Boutons'!H11</f>
        <v>6</v>
      </c>
      <c r="H12" s="63">
        <f t="shared" si="1"/>
        <v>2</v>
      </c>
      <c r="I12" s="5">
        <f>'Div. Table'!K25</f>
        <v>9.6000000000000002E-2</v>
      </c>
      <c r="J12" s="5">
        <f>'Div. Table'!L25</f>
        <v>4.2000000000000003E-2</v>
      </c>
      <c r="K12" s="5">
        <f>'Div. Table'!M25</f>
        <v>0.82400000000000007</v>
      </c>
      <c r="L12" s="64">
        <f>'Div. Table'!N25</f>
        <v>3.7999999999999999E-2</v>
      </c>
      <c r="M12" s="13">
        <f>ROUND(I12*$F12,0)</f>
        <v>1</v>
      </c>
      <c r="N12" s="4">
        <v>0</v>
      </c>
      <c r="O12">
        <v>0</v>
      </c>
      <c r="Q12" s="13">
        <f>ROUND($F12*K12,0)</f>
        <v>12</v>
      </c>
      <c r="R12" s="13">
        <f>ROUND($F12*L12,0)</f>
        <v>1</v>
      </c>
      <c r="T12" s="63"/>
    </row>
    <row r="13" spans="1:21">
      <c r="A13" t="str">
        <f>'Local Inhibitory Boutons'!A12</f>
        <v>PPA</v>
      </c>
      <c r="B13" s="3">
        <f>'Local Inhibitory Boutons'!B12</f>
        <v>490</v>
      </c>
      <c r="C13" s="3">
        <f>'Local Inhibitory Boutons'!C12</f>
        <v>8000</v>
      </c>
      <c r="D13" s="62">
        <f t="shared" si="0"/>
        <v>3.9</v>
      </c>
      <c r="E13" s="5">
        <f>'Local Inhibitory Boutons'!E12</f>
        <v>0.92</v>
      </c>
      <c r="F13" s="3">
        <f>ROUND(B13*C13*E13/'Cell Numbers'!$A$5,0)</f>
        <v>12</v>
      </c>
      <c r="G13" s="4">
        <f>'Local Inhibitory Boutons'!H12</f>
        <v>6</v>
      </c>
      <c r="H13" s="63">
        <f t="shared" si="1"/>
        <v>2</v>
      </c>
      <c r="I13" s="5">
        <f>'Div. Table'!K26</f>
        <v>0</v>
      </c>
      <c r="J13" s="5">
        <f>'Div. Table'!L26</f>
        <v>0</v>
      </c>
      <c r="K13" s="5">
        <f>'Div. Table'!M26</f>
        <v>0</v>
      </c>
      <c r="L13" s="64">
        <f>'Div. Table'!N26</f>
        <v>1</v>
      </c>
      <c r="R13" s="3">
        <f>F13</f>
        <v>12</v>
      </c>
      <c r="T13" s="63"/>
    </row>
    <row r="14" spans="1:21">
      <c r="E14" s="2" t="s">
        <v>12</v>
      </c>
      <c r="F14" s="40">
        <f>SUM(F3:F13)</f>
        <v>1118</v>
      </c>
      <c r="H14" s="40">
        <f>SUM(H3:H13)</f>
        <v>116</v>
      </c>
      <c r="L14" s="67" t="s">
        <v>462</v>
      </c>
      <c r="U14" t="s">
        <v>12</v>
      </c>
    </row>
    <row r="15" spans="1:21">
      <c r="A15" s="100" t="s">
        <v>463</v>
      </c>
      <c r="B15" s="100"/>
      <c r="C15" s="100"/>
      <c r="D15" s="100"/>
      <c r="E15" s="100"/>
      <c r="F15" s="100"/>
      <c r="G15" s="100"/>
      <c r="H15" s="100"/>
      <c r="L15" s="68" t="s">
        <v>464</v>
      </c>
      <c r="M15" s="3">
        <f>'Input Synapses'!D3</f>
        <v>405</v>
      </c>
      <c r="N15" s="3">
        <f>'Input Synapses'!D4</f>
        <v>233</v>
      </c>
      <c r="O15" s="3">
        <f>'Input Synapses'!D5</f>
        <v>193</v>
      </c>
      <c r="P15" s="3">
        <v>111</v>
      </c>
      <c r="Q15" s="3">
        <v>437</v>
      </c>
      <c r="R15" s="3">
        <v>335</v>
      </c>
      <c r="S15" s="3">
        <v>92</v>
      </c>
      <c r="T15" s="66">
        <v>34</v>
      </c>
      <c r="U15" s="3">
        <f>SUM(M15:T15)</f>
        <v>1840</v>
      </c>
    </row>
    <row r="16" spans="1:21">
      <c r="L16" s="68" t="s">
        <v>465</v>
      </c>
      <c r="M16" s="13">
        <f t="shared" ref="M16:T16" si="2">SUM(M3:M13)</f>
        <v>243</v>
      </c>
      <c r="N16" s="13">
        <f t="shared" si="2"/>
        <v>105</v>
      </c>
      <c r="O16" s="13">
        <f t="shared" si="2"/>
        <v>106</v>
      </c>
      <c r="P16" s="13">
        <f t="shared" si="2"/>
        <v>0</v>
      </c>
      <c r="Q16" s="13">
        <f t="shared" si="2"/>
        <v>302</v>
      </c>
      <c r="R16" s="13">
        <f t="shared" si="2"/>
        <v>236</v>
      </c>
      <c r="S16" s="13">
        <f t="shared" si="2"/>
        <v>92</v>
      </c>
      <c r="T16" s="63">
        <f t="shared" si="2"/>
        <v>34</v>
      </c>
      <c r="U16" s="3">
        <f>SUM(M16:T16)</f>
        <v>1118</v>
      </c>
    </row>
    <row r="17" spans="1:21" ht="15" customHeight="1">
      <c r="A17" s="114" t="s">
        <v>466</v>
      </c>
      <c r="B17" s="114"/>
      <c r="C17" s="114"/>
      <c r="D17" s="114"/>
      <c r="E17" s="114"/>
      <c r="F17" s="114"/>
      <c r="G17" s="114"/>
      <c r="H17" s="114"/>
      <c r="L17" s="68" t="s">
        <v>467</v>
      </c>
      <c r="M17" s="3">
        <f t="shared" ref="M17:T17" si="3">M15-M16</f>
        <v>162</v>
      </c>
      <c r="N17" s="3">
        <f t="shared" si="3"/>
        <v>128</v>
      </c>
      <c r="O17" s="3">
        <f t="shared" si="3"/>
        <v>87</v>
      </c>
      <c r="P17" s="3">
        <f t="shared" si="3"/>
        <v>111</v>
      </c>
      <c r="Q17" s="3">
        <f t="shared" si="3"/>
        <v>135</v>
      </c>
      <c r="R17" s="3">
        <f t="shared" si="3"/>
        <v>99</v>
      </c>
      <c r="S17" s="3">
        <f t="shared" si="3"/>
        <v>0</v>
      </c>
      <c r="T17" s="66">
        <f t="shared" si="3"/>
        <v>0</v>
      </c>
      <c r="U17" s="3">
        <f>SUM(M17:T17)</f>
        <v>722</v>
      </c>
    </row>
    <row r="18" spans="1:21">
      <c r="A18" s="114"/>
      <c r="B18" s="114"/>
      <c r="C18" s="114"/>
      <c r="D18" s="114"/>
      <c r="E18" s="114"/>
      <c r="F18" s="114"/>
      <c r="G18" s="114"/>
      <c r="H18" s="114"/>
      <c r="L18" s="68" t="s">
        <v>468</v>
      </c>
      <c r="M18" s="17">
        <f t="shared" ref="M18:U18" si="4">M17/M15</f>
        <v>0.4</v>
      </c>
      <c r="N18" s="17">
        <f t="shared" si="4"/>
        <v>0.54935622317596566</v>
      </c>
      <c r="O18" s="17">
        <f t="shared" si="4"/>
        <v>0.45077720207253885</v>
      </c>
      <c r="P18" s="17">
        <f t="shared" si="4"/>
        <v>1</v>
      </c>
      <c r="Q18" s="17">
        <f t="shared" si="4"/>
        <v>0.30892448512585813</v>
      </c>
      <c r="R18" s="17">
        <f t="shared" si="4"/>
        <v>0.29552238805970149</v>
      </c>
      <c r="S18" s="17">
        <f t="shared" si="4"/>
        <v>0</v>
      </c>
      <c r="T18" s="69">
        <f t="shared" si="4"/>
        <v>0</v>
      </c>
      <c r="U18" s="17">
        <f t="shared" si="4"/>
        <v>0.3923913043478261</v>
      </c>
    </row>
    <row r="19" spans="1:21">
      <c r="A19" s="115"/>
      <c r="B19" s="115"/>
      <c r="C19" s="115"/>
      <c r="D19" s="116"/>
      <c r="E19" s="115"/>
      <c r="F19" s="115"/>
      <c r="G19" s="115"/>
      <c r="H19" s="115"/>
    </row>
    <row r="21" spans="1:21">
      <c r="O21" s="3"/>
    </row>
    <row r="22" spans="1:21">
      <c r="O22" s="3"/>
    </row>
  </sheetData>
  <mergeCells count="5">
    <mergeCell ref="I1:L1"/>
    <mergeCell ref="M1:N1"/>
    <mergeCell ref="O1:Q1"/>
    <mergeCell ref="A15:H15"/>
    <mergeCell ref="A17:H1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/>
  </sheetViews>
  <sheetFormatPr defaultRowHeight="15"/>
  <cols>
    <col min="1" max="1" width="17.7109375"/>
    <col min="2" max="2" width="10.5703125"/>
    <col min="3" max="3" width="18.140625"/>
    <col min="4" max="4" width="18"/>
    <col min="5" max="5" width="20.5703125"/>
    <col min="6" max="6" width="14.85546875"/>
    <col min="7" max="7" width="13"/>
    <col min="8" max="1025" width="8.7109375"/>
  </cols>
  <sheetData>
    <row r="1" spans="1:7">
      <c r="A1" s="2" t="str">
        <f>'Local Inhibitory Boutons'!A1</f>
        <v>Cell Type</v>
      </c>
      <c r="B1" s="2" t="str">
        <f>'Local Inhibitory Boutons'!B1</f>
        <v>Total Cells</v>
      </c>
      <c r="C1" s="2" t="str">
        <f>'Local Inhibitory Boutons'!C1</f>
        <v>Local Boutons/Cell</v>
      </c>
      <c r="D1" s="2" t="str">
        <f>'Local Inhibitory Boutons'!F1</f>
        <v>% on Interneurons</v>
      </c>
      <c r="E1" s="2" t="s">
        <v>469</v>
      </c>
      <c r="F1" s="2" t="str">
        <f>'Local Inhibitory Boutons'!H1</f>
        <v>Boutons/Conn.</v>
      </c>
      <c r="G1" s="60" t="s">
        <v>455</v>
      </c>
    </row>
    <row r="2" spans="1:7">
      <c r="A2" t="str">
        <f>'Local Inhibitory Boutons'!A2</f>
        <v>Ivy</v>
      </c>
      <c r="B2" s="3">
        <f>'Local Inhibitory Boutons'!B2</f>
        <v>8810</v>
      </c>
      <c r="C2" s="3">
        <f>'Local Inhibitory Boutons'!C2</f>
        <v>16200</v>
      </c>
      <c r="D2" s="5">
        <f>'Local Inhibitory Boutons'!F2</f>
        <v>7.999999999999996E-2</v>
      </c>
      <c r="E2" s="13">
        <f>ROUND(B2*C2*D2/'Cell Numbers'!$A$4,0)</f>
        <v>297</v>
      </c>
      <c r="F2" s="13">
        <f>'Local Inhibitory Boutons'!H2</f>
        <v>10</v>
      </c>
      <c r="G2" s="13">
        <f>ROUND(E2/F2,0)</f>
        <v>30</v>
      </c>
    </row>
    <row r="3" spans="1:7">
      <c r="A3" t="str">
        <f>'Local Inhibitory Boutons'!A3</f>
        <v>Neurogliaform</v>
      </c>
      <c r="B3" s="3">
        <f>'Local Inhibitory Boutons'!B3</f>
        <v>3580</v>
      </c>
      <c r="C3" s="3">
        <f>'Local Inhibitory Boutons'!C3</f>
        <v>13199.999999999998</v>
      </c>
      <c r="D3" s="5">
        <f>'Local Inhibitory Boutons'!F3</f>
        <v>7.999999999999996E-2</v>
      </c>
      <c r="E3" s="13">
        <f>ROUND(B3*C3*D3/'Cell Numbers'!$A$4,0)</f>
        <v>98</v>
      </c>
      <c r="F3" s="13">
        <f>'Local Inhibitory Boutons'!H3</f>
        <v>10</v>
      </c>
      <c r="G3" s="13">
        <f>ROUND(E3/F3,0)</f>
        <v>10</v>
      </c>
    </row>
    <row r="4" spans="1:7">
      <c r="A4" t="str">
        <f>'Local Inhibitory Boutons'!A4</f>
        <v>O-LM</v>
      </c>
      <c r="B4" s="3">
        <f>'Local Inhibitory Boutons'!B4</f>
        <v>1640</v>
      </c>
      <c r="C4" s="3">
        <f>'Local Inhibitory Boutons'!C4</f>
        <v>16370</v>
      </c>
      <c r="D4" s="5">
        <f>'Local Inhibitory Boutons'!F4</f>
        <v>0.10999999999999999</v>
      </c>
      <c r="E4" s="13">
        <f>ROUND(B4*C4*D4/'Cell Numbers'!$A$4,0)</f>
        <v>77</v>
      </c>
      <c r="F4" s="13">
        <f>'Local Inhibitory Boutons'!H4</f>
        <v>10</v>
      </c>
      <c r="G4" s="13">
        <f>ROUND(E4/F4,0)</f>
        <v>8</v>
      </c>
    </row>
    <row r="5" spans="1:7">
      <c r="A5" t="str">
        <f>'Local Inhibitory Boutons'!A5</f>
        <v>Double Projection</v>
      </c>
      <c r="B5" s="3">
        <f>'Local Inhibitory Boutons'!B5</f>
        <v>760</v>
      </c>
      <c r="C5" s="3">
        <f>'Local Inhibitory Boutons'!C5</f>
        <v>6080</v>
      </c>
      <c r="D5" s="5">
        <f>'Local Inhibitory Boutons'!F5</f>
        <v>7.999999999999996E-2</v>
      </c>
      <c r="E5" s="13">
        <f>ROUND(B5*C5*D5/'Cell Numbers'!$A$4,0)</f>
        <v>10</v>
      </c>
      <c r="F5" s="13">
        <f>'Local Inhibitory Boutons'!H5</f>
        <v>10</v>
      </c>
      <c r="G5" s="13">
        <f>ROUND(E5/F5,0)</f>
        <v>1</v>
      </c>
    </row>
    <row r="6" spans="1:7">
      <c r="A6" t="str">
        <f>'Local Inhibitory Boutons'!A6</f>
        <v>Oriens-retrohipp.</v>
      </c>
      <c r="B6" s="3">
        <f>'Local Inhibitory Boutons'!B6</f>
        <v>640</v>
      </c>
      <c r="C6" s="3">
        <f>'Local Inhibitory Boutons'!C6</f>
        <v>6080</v>
      </c>
      <c r="D6" s="5">
        <f>'Local Inhibitory Boutons'!F6</f>
        <v>4.0000000000000036E-2</v>
      </c>
      <c r="E6" s="13">
        <f>ROUND(B6*C6*D6/'Cell Numbers'!$A$4,0)</f>
        <v>4</v>
      </c>
      <c r="F6" s="13">
        <f>'Local Inhibitory Boutons'!H6</f>
        <v>10</v>
      </c>
      <c r="G6">
        <v>1</v>
      </c>
    </row>
    <row r="7" spans="1:7">
      <c r="A7" s="70" t="s">
        <v>22</v>
      </c>
      <c r="B7" s="3">
        <f>VLOOKUP(A7,'Cell Numbers'!$A$9:$C$31,3,0)</f>
        <v>190</v>
      </c>
      <c r="C7" s="3">
        <v>6080</v>
      </c>
      <c r="D7" s="5">
        <v>1</v>
      </c>
      <c r="E7" s="13">
        <f>ROUND(B7*C7*D7/'Cell Numbers'!$A$4,0)</f>
        <v>30</v>
      </c>
      <c r="F7" s="13">
        <f>F5</f>
        <v>10</v>
      </c>
      <c r="G7" s="13">
        <f t="shared" ref="G7:G13" si="0">ROUND(E7/F7,0)</f>
        <v>3</v>
      </c>
    </row>
    <row r="8" spans="1:7">
      <c r="A8" t="str">
        <f>'Local Inhibitory Boutons'!A7</f>
        <v>PV+ Basket</v>
      </c>
      <c r="B8" s="3">
        <f>'Local Inhibitory Boutons'!B7</f>
        <v>5530</v>
      </c>
      <c r="C8" s="3">
        <f>'Local Inhibitory Boutons'!C7</f>
        <v>10440</v>
      </c>
      <c r="D8" s="5">
        <f>'Local Inhibitory Boutons'!F7</f>
        <v>6.4176245210727512E-3</v>
      </c>
      <c r="E8" s="13">
        <f>ROUND(B8*C8*D8/'Cell Numbers'!$A$4,0)</f>
        <v>10</v>
      </c>
      <c r="F8">
        <v>1</v>
      </c>
      <c r="G8" s="13">
        <f t="shared" si="0"/>
        <v>10</v>
      </c>
    </row>
    <row r="9" spans="1:7">
      <c r="A9" t="str">
        <f>'Local Inhibitory Boutons'!A8</f>
        <v>Bistratified</v>
      </c>
      <c r="B9" s="3">
        <f>'Local Inhibitory Boutons'!B8</f>
        <v>2210</v>
      </c>
      <c r="C9" s="3">
        <f>'Local Inhibitory Boutons'!C8</f>
        <v>15970</v>
      </c>
      <c r="D9" s="5">
        <f>'Local Inhibitory Boutons'!F8</f>
        <v>7.999999999999996E-2</v>
      </c>
      <c r="E9" s="13">
        <f>ROUND(B9*C9*D9/'Cell Numbers'!$A$4,0)</f>
        <v>73</v>
      </c>
      <c r="F9" s="13">
        <f>'Local Inhibitory Boutons'!H8</f>
        <v>10</v>
      </c>
      <c r="G9" s="13">
        <f t="shared" si="0"/>
        <v>7</v>
      </c>
    </row>
    <row r="10" spans="1:7">
      <c r="A10" t="str">
        <f>'Local Inhibitory Boutons'!A9</f>
        <v>Axo-axonic</v>
      </c>
      <c r="B10" s="3">
        <f>'Local Inhibitory Boutons'!B9</f>
        <v>1470</v>
      </c>
      <c r="C10" s="3">
        <f>'Local Inhibitory Boutons'!C9</f>
        <v>7200</v>
      </c>
      <c r="D10" s="5">
        <f>'Local Inhibitory Boutons'!F9</f>
        <v>0</v>
      </c>
      <c r="E10" s="13">
        <f>ROUND(B10*C10*D10/'Cell Numbers'!$A$4,0)</f>
        <v>0</v>
      </c>
      <c r="F10" s="13">
        <f>'Local Inhibitory Boutons'!H9</f>
        <v>6</v>
      </c>
      <c r="G10" s="13">
        <f t="shared" si="0"/>
        <v>0</v>
      </c>
    </row>
    <row r="11" spans="1:7">
      <c r="A11" t="str">
        <f>'Local Inhibitory Boutons'!A10</f>
        <v>CCK+ Basket</v>
      </c>
      <c r="B11" s="3">
        <f>'Local Inhibitory Boutons'!B10</f>
        <v>3600</v>
      </c>
      <c r="C11" s="3">
        <f>'Local Inhibitory Boutons'!C10</f>
        <v>10000</v>
      </c>
      <c r="D11" s="5">
        <f>'Local Inhibitory Boutons'!F10</f>
        <v>7.999999999999996E-2</v>
      </c>
      <c r="E11" s="13">
        <f>ROUND(B11*C11*D11/'Cell Numbers'!$A$4,0)</f>
        <v>75</v>
      </c>
      <c r="F11" s="13">
        <f>'Local Inhibitory Boutons'!H10</f>
        <v>8</v>
      </c>
      <c r="G11" s="13">
        <f t="shared" si="0"/>
        <v>9</v>
      </c>
    </row>
    <row r="12" spans="1:7">
      <c r="A12" t="str">
        <f>'Local Inhibitory Boutons'!A11</f>
        <v>SCA</v>
      </c>
      <c r="B12" s="3">
        <f>'Local Inhibitory Boutons'!B11</f>
        <v>400</v>
      </c>
      <c r="C12" s="3">
        <f>'Local Inhibitory Boutons'!C11</f>
        <v>12000</v>
      </c>
      <c r="D12" s="5">
        <f>'Local Inhibitory Boutons'!F11</f>
        <v>7.999999999999996E-2</v>
      </c>
      <c r="E12" s="13">
        <f>ROUND(B12*C12*D12/'Cell Numbers'!$A$4,0)</f>
        <v>10</v>
      </c>
      <c r="F12" s="13">
        <f>'Local Inhibitory Boutons'!H11</f>
        <v>6</v>
      </c>
      <c r="G12" s="13">
        <f t="shared" si="0"/>
        <v>2</v>
      </c>
    </row>
    <row r="13" spans="1:7">
      <c r="A13" t="str">
        <f>'Local Inhibitory Boutons'!A12</f>
        <v>PPA</v>
      </c>
      <c r="B13" s="3">
        <f>'Local Inhibitory Boutons'!B12</f>
        <v>490</v>
      </c>
      <c r="C13" s="3">
        <f>'Local Inhibitory Boutons'!C12</f>
        <v>8000</v>
      </c>
      <c r="D13" s="5">
        <f>'Local Inhibitory Boutons'!F12</f>
        <v>7.999999999999996E-2</v>
      </c>
      <c r="E13" s="13">
        <f>ROUND(B13*C13*D13/'Cell Numbers'!$A$4,0)</f>
        <v>8</v>
      </c>
      <c r="F13" s="13">
        <f>'Local Inhibitory Boutons'!H12</f>
        <v>6</v>
      </c>
      <c r="G13" s="13">
        <f t="shared" si="0"/>
        <v>1</v>
      </c>
    </row>
    <row r="14" spans="1:7">
      <c r="D14" s="2" t="s">
        <v>12</v>
      </c>
      <c r="E14" s="2">
        <f>SUM(E2:E13)</f>
        <v>692</v>
      </c>
      <c r="F14" s="2"/>
      <c r="G14" s="2">
        <f>SUM(G2:G13)</f>
        <v>82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/>
  </sheetViews>
  <sheetFormatPr defaultRowHeight="15"/>
  <cols>
    <col min="1" max="1" width="25.28515625" customWidth="1"/>
    <col min="2" max="2" width="7.7109375" bestFit="1" customWidth="1"/>
    <col min="3" max="3" width="16.140625" bestFit="1" customWidth="1"/>
    <col min="4" max="4" width="12.42578125" style="19" bestFit="1" customWidth="1"/>
    <col min="5" max="5" width="15.28515625" style="19" bestFit="1" customWidth="1"/>
  </cols>
  <sheetData>
    <row r="1" spans="1:5" ht="15.75" thickBot="1">
      <c r="A1" s="72" t="s">
        <v>359</v>
      </c>
      <c r="B1" s="73" t="s">
        <v>471</v>
      </c>
      <c r="C1" s="73" t="s">
        <v>472</v>
      </c>
      <c r="D1" s="76" t="s">
        <v>473</v>
      </c>
      <c r="E1" s="76" t="s">
        <v>474</v>
      </c>
    </row>
    <row r="2" spans="1:5" ht="15.75" thickBot="1">
      <c r="A2" s="74" t="s">
        <v>475</v>
      </c>
      <c r="B2" s="75" t="s">
        <v>476</v>
      </c>
      <c r="C2" s="75" t="s">
        <v>477</v>
      </c>
      <c r="D2" s="77" t="s">
        <v>478</v>
      </c>
      <c r="E2" s="77" t="s">
        <v>479</v>
      </c>
    </row>
    <row r="3" spans="1:5" ht="15.75" thickBot="1">
      <c r="A3" s="74" t="s">
        <v>480</v>
      </c>
      <c r="B3" s="75" t="s">
        <v>476</v>
      </c>
      <c r="C3" s="75" t="s">
        <v>477</v>
      </c>
      <c r="D3" s="77" t="s">
        <v>481</v>
      </c>
      <c r="E3" s="77" t="s">
        <v>479</v>
      </c>
    </row>
    <row r="4" spans="1:5" ht="15.75" thickBot="1">
      <c r="A4" s="74" t="s">
        <v>482</v>
      </c>
      <c r="B4" s="75" t="s">
        <v>476</v>
      </c>
      <c r="C4" s="75" t="s">
        <v>477</v>
      </c>
      <c r="D4" s="77" t="s">
        <v>483</v>
      </c>
      <c r="E4" s="77">
        <v>280</v>
      </c>
    </row>
    <row r="5" spans="1:5" s="13" customFormat="1" ht="15.75" thickBot="1">
      <c r="A5" s="74" t="s">
        <v>605</v>
      </c>
      <c r="B5" s="75" t="s">
        <v>606</v>
      </c>
      <c r="C5" s="78" t="s">
        <v>175</v>
      </c>
      <c r="D5" s="77" t="s">
        <v>607</v>
      </c>
      <c r="E5" s="77" t="s">
        <v>608</v>
      </c>
    </row>
    <row r="6" spans="1:5" ht="15.75" thickBot="1">
      <c r="A6" s="74" t="s">
        <v>484</v>
      </c>
      <c r="B6" s="75" t="s">
        <v>485</v>
      </c>
      <c r="C6" s="75" t="s">
        <v>477</v>
      </c>
      <c r="D6" s="77" t="s">
        <v>486</v>
      </c>
      <c r="E6" s="77" t="s">
        <v>481</v>
      </c>
    </row>
    <row r="7" spans="1:5" ht="15.75" thickBot="1">
      <c r="A7" s="74" t="s">
        <v>487</v>
      </c>
      <c r="B7" s="75" t="s">
        <v>476</v>
      </c>
      <c r="C7" s="75" t="s">
        <v>488</v>
      </c>
      <c r="D7" s="77" t="s">
        <v>481</v>
      </c>
      <c r="E7" s="77" t="s">
        <v>489</v>
      </c>
    </row>
    <row r="8" spans="1:5" s="13" customFormat="1" ht="15.75" thickBot="1">
      <c r="A8" s="74" t="s">
        <v>609</v>
      </c>
      <c r="B8" s="75" t="s">
        <v>606</v>
      </c>
      <c r="C8" s="75" t="s">
        <v>610</v>
      </c>
      <c r="D8" s="77" t="s">
        <v>611</v>
      </c>
      <c r="E8" s="77" t="s">
        <v>175</v>
      </c>
    </row>
    <row r="9" spans="1:5" ht="15.75" thickBot="1">
      <c r="A9" s="74" t="s">
        <v>490</v>
      </c>
      <c r="B9" s="75" t="s">
        <v>481</v>
      </c>
      <c r="C9" s="75" t="s">
        <v>481</v>
      </c>
      <c r="D9" s="77" t="s">
        <v>481</v>
      </c>
      <c r="E9" s="77" t="s">
        <v>481</v>
      </c>
    </row>
    <row r="10" spans="1:5" s="13" customFormat="1" ht="15.75" thickBot="1">
      <c r="A10" s="74" t="s">
        <v>613</v>
      </c>
      <c r="B10" s="75" t="s">
        <v>481</v>
      </c>
      <c r="C10" s="75" t="s">
        <v>481</v>
      </c>
      <c r="D10" s="77" t="s">
        <v>481</v>
      </c>
      <c r="E10" s="77" t="s">
        <v>481</v>
      </c>
    </row>
    <row r="11" spans="1:5" ht="15.75" thickBot="1">
      <c r="A11" s="74" t="s">
        <v>612</v>
      </c>
      <c r="B11" s="75" t="s">
        <v>614</v>
      </c>
      <c r="C11" s="75" t="s">
        <v>610</v>
      </c>
      <c r="D11" s="77" t="s">
        <v>615</v>
      </c>
      <c r="E11" s="77" t="s">
        <v>481</v>
      </c>
    </row>
    <row r="12" spans="1:5" ht="15.75" thickBot="1">
      <c r="A12" s="74" t="s">
        <v>491</v>
      </c>
      <c r="B12" s="75" t="s">
        <v>492</v>
      </c>
      <c r="C12" s="75" t="s">
        <v>477</v>
      </c>
      <c r="D12" s="77" t="s">
        <v>493</v>
      </c>
      <c r="E12" s="77" t="s">
        <v>494</v>
      </c>
    </row>
    <row r="13" spans="1:5" ht="15.75" thickBot="1">
      <c r="A13" s="74" t="s">
        <v>495</v>
      </c>
      <c r="B13" s="75" t="s">
        <v>481</v>
      </c>
      <c r="C13" s="75" t="s">
        <v>488</v>
      </c>
      <c r="D13" s="77" t="s">
        <v>496</v>
      </c>
      <c r="E13" s="77" t="s">
        <v>481</v>
      </c>
    </row>
    <row r="14" spans="1:5" ht="15.75" thickBot="1">
      <c r="A14" s="74" t="s">
        <v>497</v>
      </c>
      <c r="B14" s="75" t="s">
        <v>492</v>
      </c>
      <c r="C14" s="75" t="s">
        <v>477</v>
      </c>
      <c r="D14" s="77" t="s">
        <v>493</v>
      </c>
      <c r="E14" s="77" t="s">
        <v>494</v>
      </c>
    </row>
    <row r="15" spans="1:5" ht="15.75" thickBot="1">
      <c r="A15" s="74" t="s">
        <v>498</v>
      </c>
      <c r="B15" s="75" t="s">
        <v>476</v>
      </c>
      <c r="C15" s="75" t="s">
        <v>477</v>
      </c>
      <c r="D15" s="77" t="s">
        <v>499</v>
      </c>
      <c r="E15" s="77" t="s">
        <v>481</v>
      </c>
    </row>
    <row r="16" spans="1:5" ht="15.75" thickBot="1">
      <c r="A16" s="74" t="s">
        <v>500</v>
      </c>
      <c r="B16" s="75" t="s">
        <v>476</v>
      </c>
      <c r="C16" s="75" t="s">
        <v>488</v>
      </c>
      <c r="D16" s="77" t="s">
        <v>481</v>
      </c>
      <c r="E16" s="77" t="s">
        <v>501</v>
      </c>
    </row>
    <row r="17" spans="1:5" ht="15.75" thickBot="1">
      <c r="A17" s="74" t="s">
        <v>502</v>
      </c>
      <c r="B17" s="75" t="s">
        <v>476</v>
      </c>
      <c r="C17" s="75" t="s">
        <v>488</v>
      </c>
      <c r="D17" s="77" t="s">
        <v>503</v>
      </c>
      <c r="E17" s="77" t="s">
        <v>175</v>
      </c>
    </row>
    <row r="18" spans="1:5" ht="15.75" thickBot="1">
      <c r="A18" s="74" t="s">
        <v>504</v>
      </c>
      <c r="B18" s="75" t="s">
        <v>476</v>
      </c>
      <c r="C18" s="75" t="s">
        <v>477</v>
      </c>
      <c r="D18" s="77" t="s">
        <v>493</v>
      </c>
      <c r="E18" s="77" t="s">
        <v>505</v>
      </c>
    </row>
    <row r="19" spans="1:5" ht="15.75" thickBot="1">
      <c r="A19" s="74" t="s">
        <v>506</v>
      </c>
      <c r="B19" s="75" t="s">
        <v>481</v>
      </c>
      <c r="C19" s="75" t="s">
        <v>477</v>
      </c>
      <c r="D19" s="77" t="s">
        <v>507</v>
      </c>
      <c r="E19" s="77" t="s">
        <v>481</v>
      </c>
    </row>
    <row r="20" spans="1:5" ht="15.75" thickBot="1">
      <c r="A20" s="74" t="s">
        <v>508</v>
      </c>
      <c r="B20" s="75" t="s">
        <v>481</v>
      </c>
      <c r="C20" s="75" t="s">
        <v>477</v>
      </c>
      <c r="D20" s="77" t="s">
        <v>507</v>
      </c>
      <c r="E20" s="77" t="s">
        <v>509</v>
      </c>
    </row>
    <row r="21" spans="1:5" ht="15.75" thickBot="1">
      <c r="A21" s="74" t="s">
        <v>510</v>
      </c>
      <c r="B21" s="117" t="s">
        <v>511</v>
      </c>
      <c r="C21" s="118"/>
      <c r="D21" s="118"/>
      <c r="E21" s="119"/>
    </row>
    <row r="22" spans="1:5" ht="15.75" thickBot="1">
      <c r="A22" s="74" t="s">
        <v>215</v>
      </c>
      <c r="B22" s="75" t="s">
        <v>476</v>
      </c>
      <c r="C22" s="75" t="s">
        <v>488</v>
      </c>
      <c r="D22" s="77" t="s">
        <v>481</v>
      </c>
      <c r="E22" s="77" t="s">
        <v>489</v>
      </c>
    </row>
    <row r="23" spans="1:5" ht="15.75" thickBot="1">
      <c r="A23" s="74" t="s">
        <v>512</v>
      </c>
      <c r="B23" s="75" t="s">
        <v>476</v>
      </c>
      <c r="C23" s="75" t="s">
        <v>488</v>
      </c>
      <c r="D23" s="77" t="s">
        <v>507</v>
      </c>
      <c r="E23" s="77" t="s">
        <v>513</v>
      </c>
    </row>
    <row r="24" spans="1:5" ht="15.75" thickBot="1">
      <c r="A24" s="74" t="s">
        <v>514</v>
      </c>
      <c r="B24" s="75" t="s">
        <v>476</v>
      </c>
      <c r="C24" s="75" t="s">
        <v>488</v>
      </c>
      <c r="D24" s="77" t="s">
        <v>507</v>
      </c>
      <c r="E24" s="77" t="s">
        <v>479</v>
      </c>
    </row>
    <row r="25" spans="1:5" ht="15.75" thickBot="1">
      <c r="A25" s="74" t="s">
        <v>515</v>
      </c>
      <c r="B25" s="75" t="s">
        <v>476</v>
      </c>
      <c r="C25" s="75" t="s">
        <v>516</v>
      </c>
      <c r="D25" s="77" t="s">
        <v>517</v>
      </c>
      <c r="E25" s="77" t="s">
        <v>481</v>
      </c>
    </row>
    <row r="26" spans="1:5" ht="15.75" thickBot="1">
      <c r="A26" s="74" t="s">
        <v>518</v>
      </c>
      <c r="B26" s="75" t="s">
        <v>476</v>
      </c>
      <c r="C26" s="75" t="s">
        <v>519</v>
      </c>
      <c r="D26" s="77" t="s">
        <v>507</v>
      </c>
      <c r="E26" s="77" t="s">
        <v>520</v>
      </c>
    </row>
    <row r="27" spans="1:5" ht="15.75" thickBot="1">
      <c r="A27" s="74" t="s">
        <v>521</v>
      </c>
      <c r="B27" s="75" t="s">
        <v>476</v>
      </c>
      <c r="C27" s="75" t="s">
        <v>477</v>
      </c>
      <c r="D27" s="77" t="s">
        <v>481</v>
      </c>
      <c r="E27" s="77">
        <v>250</v>
      </c>
    </row>
    <row r="28" spans="1:5" ht="15.75" thickBot="1">
      <c r="A28" s="74" t="s">
        <v>522</v>
      </c>
      <c r="B28" s="75" t="s">
        <v>476</v>
      </c>
      <c r="C28" s="75" t="s">
        <v>477</v>
      </c>
      <c r="D28" s="77" t="s">
        <v>481</v>
      </c>
      <c r="E28" s="77">
        <v>250</v>
      </c>
    </row>
    <row r="29" spans="1:5" ht="15.75" thickBot="1">
      <c r="A29" s="74" t="s">
        <v>523</v>
      </c>
      <c r="B29" s="75" t="s">
        <v>476</v>
      </c>
      <c r="C29" s="75" t="s">
        <v>477</v>
      </c>
      <c r="D29" s="77" t="s">
        <v>481</v>
      </c>
      <c r="E29" s="77">
        <v>250</v>
      </c>
    </row>
    <row r="30" spans="1:5" ht="15.75" thickBot="1">
      <c r="A30" s="74" t="s">
        <v>524</v>
      </c>
      <c r="B30" s="75" t="s">
        <v>481</v>
      </c>
      <c r="C30" s="75" t="s">
        <v>488</v>
      </c>
      <c r="D30" s="77" t="s">
        <v>525</v>
      </c>
      <c r="E30" s="77" t="s">
        <v>175</v>
      </c>
    </row>
    <row r="31" spans="1:5" ht="15.75" thickBot="1">
      <c r="A31" s="74" t="s">
        <v>526</v>
      </c>
      <c r="B31" s="75" t="s">
        <v>476</v>
      </c>
      <c r="C31" s="75" t="s">
        <v>477</v>
      </c>
      <c r="D31" s="77" t="s">
        <v>507</v>
      </c>
      <c r="E31" s="77">
        <v>250</v>
      </c>
    </row>
    <row r="32" spans="1:5" ht="15.75" thickBot="1">
      <c r="A32" s="74" t="s">
        <v>527</v>
      </c>
      <c r="B32" s="75" t="s">
        <v>476</v>
      </c>
      <c r="C32" s="75" t="s">
        <v>477</v>
      </c>
      <c r="D32" s="77" t="s">
        <v>528</v>
      </c>
      <c r="E32" s="77" t="s">
        <v>481</v>
      </c>
    </row>
    <row r="33" spans="1:7" ht="15.75" thickBot="1">
      <c r="A33" s="74" t="s">
        <v>529</v>
      </c>
      <c r="B33" s="75" t="s">
        <v>492</v>
      </c>
      <c r="C33" s="75" t="s">
        <v>477</v>
      </c>
      <c r="D33" s="77" t="s">
        <v>530</v>
      </c>
      <c r="E33" s="77" t="s">
        <v>481</v>
      </c>
    </row>
    <row r="34" spans="1:7" ht="15.75" thickBot="1">
      <c r="A34" s="74" t="s">
        <v>531</v>
      </c>
      <c r="B34" s="75" t="s">
        <v>485</v>
      </c>
      <c r="C34" s="75" t="s">
        <v>488</v>
      </c>
      <c r="D34" s="77" t="s">
        <v>507</v>
      </c>
      <c r="E34" s="77" t="s">
        <v>520</v>
      </c>
    </row>
    <row r="35" spans="1:7" ht="15.75" thickBot="1">
      <c r="A35" s="74" t="s">
        <v>532</v>
      </c>
      <c r="B35" s="117" t="s">
        <v>533</v>
      </c>
      <c r="C35" s="118"/>
      <c r="D35" s="118"/>
      <c r="E35" s="119"/>
    </row>
    <row r="36" spans="1:7" ht="15.75" thickBot="1">
      <c r="A36" s="74" t="s">
        <v>534</v>
      </c>
      <c r="B36" s="75" t="s">
        <v>476</v>
      </c>
      <c r="C36" s="75" t="s">
        <v>488</v>
      </c>
      <c r="D36" s="77" t="s">
        <v>481</v>
      </c>
      <c r="E36" s="77" t="s">
        <v>489</v>
      </c>
    </row>
    <row r="37" spans="1:7" ht="15.75" thickBot="1">
      <c r="A37" s="74" t="s">
        <v>535</v>
      </c>
      <c r="B37" s="75" t="s">
        <v>492</v>
      </c>
      <c r="C37" s="75" t="s">
        <v>477</v>
      </c>
      <c r="D37" s="77" t="s">
        <v>481</v>
      </c>
      <c r="E37" s="77" t="s">
        <v>536</v>
      </c>
    </row>
    <row r="38" spans="1:7" s="13" customFormat="1" ht="15.75" thickBot="1">
      <c r="A38" s="74" t="s">
        <v>616</v>
      </c>
      <c r="B38" s="75" t="s">
        <v>476</v>
      </c>
      <c r="C38" s="75" t="s">
        <v>477</v>
      </c>
      <c r="D38" s="77" t="s">
        <v>478</v>
      </c>
      <c r="E38" s="77" t="s">
        <v>479</v>
      </c>
      <c r="F38" s="98"/>
      <c r="G38" s="95"/>
    </row>
    <row r="39" spans="1:7" ht="15.75" thickBot="1">
      <c r="A39" s="74" t="s">
        <v>617</v>
      </c>
      <c r="B39" s="75" t="s">
        <v>476</v>
      </c>
      <c r="C39" s="75" t="s">
        <v>477</v>
      </c>
      <c r="D39" s="77" t="s">
        <v>478</v>
      </c>
      <c r="E39" s="77" t="s">
        <v>479</v>
      </c>
      <c r="F39" s="98"/>
      <c r="G39" s="95"/>
    </row>
    <row r="40" spans="1:7" ht="15.75" thickBot="1">
      <c r="A40" s="74" t="s">
        <v>537</v>
      </c>
      <c r="B40" s="75" t="s">
        <v>476</v>
      </c>
      <c r="C40" s="75" t="s">
        <v>488</v>
      </c>
      <c r="D40" s="77" t="s">
        <v>481</v>
      </c>
      <c r="E40" s="77" t="s">
        <v>489</v>
      </c>
    </row>
    <row r="41" spans="1:7" ht="15.75" thickBot="1">
      <c r="A41" s="74" t="s">
        <v>538</v>
      </c>
      <c r="B41" s="75" t="s">
        <v>476</v>
      </c>
      <c r="C41" s="75" t="s">
        <v>488</v>
      </c>
      <c r="D41" s="77" t="s">
        <v>481</v>
      </c>
      <c r="E41" s="77" t="s">
        <v>489</v>
      </c>
    </row>
    <row r="42" spans="1:7" ht="15.75" thickBot="1">
      <c r="A42" s="74" t="s">
        <v>539</v>
      </c>
      <c r="B42" s="75" t="s">
        <v>476</v>
      </c>
      <c r="C42" s="75" t="s">
        <v>488</v>
      </c>
      <c r="D42" s="77" t="s">
        <v>481</v>
      </c>
      <c r="E42" s="77" t="s">
        <v>540</v>
      </c>
    </row>
    <row r="43" spans="1:7" ht="15.75" thickBot="1">
      <c r="A43" s="74" t="s">
        <v>541</v>
      </c>
      <c r="B43" s="75" t="s">
        <v>476</v>
      </c>
      <c r="C43" s="75" t="s">
        <v>477</v>
      </c>
      <c r="D43" s="77" t="s">
        <v>542</v>
      </c>
      <c r="E43" s="77" t="s">
        <v>543</v>
      </c>
    </row>
    <row r="44" spans="1:7" ht="15.75" thickBot="1">
      <c r="A44" s="74" t="s">
        <v>544</v>
      </c>
      <c r="B44" s="75" t="s">
        <v>476</v>
      </c>
      <c r="C44" s="75" t="s">
        <v>545</v>
      </c>
      <c r="D44" s="77" t="s">
        <v>542</v>
      </c>
      <c r="E44" s="77" t="s">
        <v>543</v>
      </c>
    </row>
    <row r="45" spans="1:7" ht="15.75" thickBot="1">
      <c r="A45" s="74" t="s">
        <v>546</v>
      </c>
      <c r="B45" s="75" t="s">
        <v>476</v>
      </c>
      <c r="C45" s="75" t="s">
        <v>545</v>
      </c>
      <c r="D45" s="77" t="s">
        <v>547</v>
      </c>
      <c r="E45" s="77" t="s">
        <v>481</v>
      </c>
    </row>
    <row r="46" spans="1:7" ht="15.75" thickBot="1">
      <c r="A46" s="74" t="s">
        <v>548</v>
      </c>
      <c r="B46" s="75" t="s">
        <v>481</v>
      </c>
      <c r="C46" s="75" t="s">
        <v>488</v>
      </c>
      <c r="D46" s="77" t="s">
        <v>525</v>
      </c>
      <c r="E46" s="77" t="s">
        <v>175</v>
      </c>
    </row>
    <row r="47" spans="1:7" ht="15.75" thickBot="1">
      <c r="A47" s="74" t="s">
        <v>549</v>
      </c>
      <c r="B47" s="75" t="s">
        <v>485</v>
      </c>
      <c r="C47" s="75" t="s">
        <v>481</v>
      </c>
      <c r="D47" s="77" t="s">
        <v>481</v>
      </c>
      <c r="E47" s="77" t="s">
        <v>175</v>
      </c>
    </row>
    <row r="48" spans="1:7" ht="15.75" thickBot="1">
      <c r="A48" s="74" t="s">
        <v>550</v>
      </c>
      <c r="B48" s="75" t="s">
        <v>481</v>
      </c>
      <c r="C48" s="75" t="s">
        <v>477</v>
      </c>
      <c r="D48" s="77" t="s">
        <v>551</v>
      </c>
      <c r="E48" s="77" t="s">
        <v>175</v>
      </c>
    </row>
    <row r="49" spans="1:5" ht="15.75" thickBot="1">
      <c r="A49" s="74" t="s">
        <v>552</v>
      </c>
      <c r="B49" s="75" t="s">
        <v>476</v>
      </c>
      <c r="C49" s="75" t="s">
        <v>477</v>
      </c>
      <c r="D49" s="77" t="s">
        <v>481</v>
      </c>
      <c r="E49" s="77">
        <v>250</v>
      </c>
    </row>
    <row r="50" spans="1:5" ht="15.75" thickBot="1">
      <c r="A50" s="74" t="s">
        <v>553</v>
      </c>
      <c r="B50" s="75" t="s">
        <v>476</v>
      </c>
      <c r="C50" s="75" t="s">
        <v>477</v>
      </c>
      <c r="D50" s="77" t="s">
        <v>507</v>
      </c>
      <c r="E50" s="77">
        <v>300</v>
      </c>
    </row>
    <row r="51" spans="1:5" ht="15.75" thickBot="1">
      <c r="A51" s="74" t="s">
        <v>554</v>
      </c>
      <c r="B51" s="117" t="s">
        <v>533</v>
      </c>
      <c r="C51" s="118"/>
      <c r="D51" s="118"/>
      <c r="E51" s="119"/>
    </row>
    <row r="52" spans="1:5" ht="15.75" thickBot="1">
      <c r="A52" s="74" t="s">
        <v>555</v>
      </c>
      <c r="B52" s="117" t="s">
        <v>556</v>
      </c>
      <c r="C52" s="118"/>
      <c r="D52" s="118"/>
      <c r="E52" s="119"/>
    </row>
    <row r="53" spans="1:5" ht="15.75" thickBot="1">
      <c r="A53" s="74" t="s">
        <v>557</v>
      </c>
      <c r="B53" s="75" t="s">
        <v>476</v>
      </c>
      <c r="C53" s="75" t="s">
        <v>477</v>
      </c>
      <c r="D53" s="77" t="s">
        <v>507</v>
      </c>
      <c r="E53" s="77" t="s">
        <v>481</v>
      </c>
    </row>
    <row r="54" spans="1:5" ht="15.75" thickBot="1">
      <c r="A54" s="74" t="s">
        <v>558</v>
      </c>
      <c r="B54" s="75" t="s">
        <v>476</v>
      </c>
      <c r="C54" s="75" t="s">
        <v>559</v>
      </c>
      <c r="D54" s="77" t="s">
        <v>481</v>
      </c>
      <c r="E54" s="77" t="s">
        <v>560</v>
      </c>
    </row>
    <row r="55" spans="1:5" ht="15.75" thickBot="1">
      <c r="A55" s="74" t="s">
        <v>561</v>
      </c>
      <c r="B55" s="75" t="s">
        <v>492</v>
      </c>
      <c r="C55" s="75" t="s">
        <v>477</v>
      </c>
      <c r="D55" s="77" t="s">
        <v>562</v>
      </c>
      <c r="E55" s="77" t="s">
        <v>481</v>
      </c>
    </row>
    <row r="56" spans="1:5" ht="15.75" thickBot="1">
      <c r="A56" s="74" t="s">
        <v>563</v>
      </c>
      <c r="B56" s="75" t="s">
        <v>476</v>
      </c>
      <c r="C56" s="75" t="s">
        <v>477</v>
      </c>
      <c r="D56" s="77" t="s">
        <v>564</v>
      </c>
      <c r="E56" s="77" t="s">
        <v>565</v>
      </c>
    </row>
    <row r="57" spans="1:5" ht="15.75" thickBot="1">
      <c r="A57" s="74" t="s">
        <v>566</v>
      </c>
      <c r="B57" s="75" t="s">
        <v>476</v>
      </c>
      <c r="C57" s="75" t="s">
        <v>477</v>
      </c>
      <c r="D57" s="77" t="s">
        <v>564</v>
      </c>
      <c r="E57" s="77" t="s">
        <v>565</v>
      </c>
    </row>
    <row r="58" spans="1:5" ht="15.75" thickBot="1">
      <c r="A58" s="74" t="s">
        <v>567</v>
      </c>
      <c r="B58" s="75" t="s">
        <v>481</v>
      </c>
      <c r="C58" s="75" t="s">
        <v>477</v>
      </c>
      <c r="D58" s="77" t="s">
        <v>568</v>
      </c>
      <c r="E58" s="77" t="s">
        <v>481</v>
      </c>
    </row>
    <row r="59" spans="1:5" ht="15.75" thickBot="1">
      <c r="A59" s="74" t="s">
        <v>569</v>
      </c>
      <c r="B59" s="75" t="s">
        <v>476</v>
      </c>
      <c r="C59" s="75" t="s">
        <v>488</v>
      </c>
      <c r="D59" s="77" t="s">
        <v>481</v>
      </c>
      <c r="E59" s="77" t="s">
        <v>543</v>
      </c>
    </row>
    <row r="60" spans="1:5" ht="15.75" thickBot="1">
      <c r="A60" s="74" t="s">
        <v>570</v>
      </c>
      <c r="B60" s="75" t="s">
        <v>481</v>
      </c>
      <c r="C60" s="75" t="s">
        <v>488</v>
      </c>
      <c r="D60" s="77" t="s">
        <v>571</v>
      </c>
      <c r="E60" s="77" t="s">
        <v>481</v>
      </c>
    </row>
    <row r="61" spans="1:5" ht="15.75" thickBot="1">
      <c r="A61" s="74" t="s">
        <v>572</v>
      </c>
      <c r="B61" s="75" t="s">
        <v>481</v>
      </c>
      <c r="C61" s="75" t="s">
        <v>477</v>
      </c>
      <c r="D61" s="77" t="s">
        <v>507</v>
      </c>
      <c r="E61" s="77" t="s">
        <v>481</v>
      </c>
    </row>
    <row r="62" spans="1:5" ht="15.75" thickBot="1">
      <c r="A62" s="74" t="s">
        <v>573</v>
      </c>
      <c r="B62" s="75" t="s">
        <v>476</v>
      </c>
      <c r="C62" s="75" t="s">
        <v>488</v>
      </c>
      <c r="D62" s="77" t="s">
        <v>481</v>
      </c>
      <c r="E62" s="77" t="s">
        <v>574</v>
      </c>
    </row>
    <row r="63" spans="1:5" ht="15.75" thickBot="1">
      <c r="A63" s="74" t="s">
        <v>575</v>
      </c>
      <c r="B63" s="75" t="s">
        <v>481</v>
      </c>
      <c r="C63" s="75" t="s">
        <v>481</v>
      </c>
      <c r="D63" s="77" t="s">
        <v>481</v>
      </c>
      <c r="E63" s="77" t="s">
        <v>481</v>
      </c>
    </row>
    <row r="64" spans="1:5" ht="15.75" thickBot="1">
      <c r="A64" s="74" t="s">
        <v>576</v>
      </c>
      <c r="B64" s="75" t="s">
        <v>481</v>
      </c>
      <c r="C64" s="75" t="s">
        <v>488</v>
      </c>
      <c r="D64" s="77" t="s">
        <v>481</v>
      </c>
      <c r="E64" s="77" t="s">
        <v>489</v>
      </c>
    </row>
    <row r="65" spans="1:5" ht="15.75" thickBot="1">
      <c r="A65" s="74" t="s">
        <v>577</v>
      </c>
      <c r="B65" s="75" t="s">
        <v>476</v>
      </c>
      <c r="C65" s="75" t="s">
        <v>477</v>
      </c>
      <c r="D65" s="77" t="s">
        <v>481</v>
      </c>
      <c r="E65" s="77" t="s">
        <v>578</v>
      </c>
    </row>
    <row r="66" spans="1:5" ht="15.75" thickBot="1">
      <c r="A66" s="74" t="s">
        <v>579</v>
      </c>
      <c r="B66" s="75" t="s">
        <v>476</v>
      </c>
      <c r="C66" s="75" t="s">
        <v>477</v>
      </c>
      <c r="D66" s="77" t="s">
        <v>481</v>
      </c>
      <c r="E66" s="77" t="s">
        <v>580</v>
      </c>
    </row>
    <row r="67" spans="1:5" ht="15.75" thickBot="1">
      <c r="A67" s="74" t="s">
        <v>581</v>
      </c>
      <c r="B67" s="75" t="s">
        <v>476</v>
      </c>
      <c r="C67" s="75" t="s">
        <v>488</v>
      </c>
      <c r="D67" s="77" t="s">
        <v>582</v>
      </c>
      <c r="E67" s="77" t="s">
        <v>481</v>
      </c>
    </row>
    <row r="68" spans="1:5" ht="15.75" thickBot="1">
      <c r="A68" s="74" t="s">
        <v>583</v>
      </c>
      <c r="B68" s="75" t="s">
        <v>481</v>
      </c>
      <c r="C68" s="75" t="s">
        <v>488</v>
      </c>
      <c r="D68" s="77" t="s">
        <v>584</v>
      </c>
      <c r="E68" s="77" t="s">
        <v>481</v>
      </c>
    </row>
    <row r="69" spans="1:5" ht="15.75" thickBot="1">
      <c r="A69" s="74" t="s">
        <v>585</v>
      </c>
      <c r="B69" s="75" t="s">
        <v>481</v>
      </c>
      <c r="C69" s="75" t="s">
        <v>481</v>
      </c>
      <c r="D69" s="77" t="s">
        <v>586</v>
      </c>
      <c r="E69" s="77" t="s">
        <v>481</v>
      </c>
    </row>
    <row r="70" spans="1:5" ht="15.75" thickBot="1">
      <c r="A70" s="74" t="s">
        <v>218</v>
      </c>
      <c r="B70" s="75" t="s">
        <v>481</v>
      </c>
      <c r="C70" s="75" t="s">
        <v>488</v>
      </c>
      <c r="D70" s="77" t="s">
        <v>587</v>
      </c>
      <c r="E70" s="77" t="s">
        <v>481</v>
      </c>
    </row>
    <row r="71" spans="1:5" ht="15.75" thickBot="1">
      <c r="A71" s="74" t="s">
        <v>588</v>
      </c>
      <c r="B71" s="75" t="s">
        <v>476</v>
      </c>
      <c r="C71" s="75" t="s">
        <v>477</v>
      </c>
      <c r="D71" s="77" t="s">
        <v>589</v>
      </c>
      <c r="E71" s="77" t="s">
        <v>574</v>
      </c>
    </row>
    <row r="72" spans="1:5" ht="15.75" thickBot="1">
      <c r="A72" s="74" t="s">
        <v>590</v>
      </c>
      <c r="B72" s="75" t="s">
        <v>492</v>
      </c>
      <c r="C72" s="75" t="s">
        <v>477</v>
      </c>
      <c r="D72" s="77" t="s">
        <v>481</v>
      </c>
      <c r="E72" s="77" t="s">
        <v>591</v>
      </c>
    </row>
    <row r="73" spans="1:5" ht="15.75" thickBot="1">
      <c r="A73" s="74" t="s">
        <v>592</v>
      </c>
      <c r="B73" s="75" t="s">
        <v>481</v>
      </c>
      <c r="C73" s="75" t="s">
        <v>477</v>
      </c>
      <c r="D73" s="77" t="s">
        <v>593</v>
      </c>
      <c r="E73" s="77" t="s">
        <v>175</v>
      </c>
    </row>
    <row r="74" spans="1:5" ht="15.75" thickBot="1">
      <c r="A74" s="74" t="s">
        <v>594</v>
      </c>
      <c r="B74" s="75" t="s">
        <v>476</v>
      </c>
      <c r="C74" s="75" t="s">
        <v>477</v>
      </c>
      <c r="D74" s="77" t="s">
        <v>507</v>
      </c>
      <c r="E74" s="77">
        <v>250</v>
      </c>
    </row>
    <row r="75" spans="1:5" ht="15.75" thickBot="1">
      <c r="A75" s="74" t="s">
        <v>595</v>
      </c>
      <c r="B75" s="117" t="s">
        <v>533</v>
      </c>
      <c r="C75" s="118"/>
      <c r="D75" s="118"/>
      <c r="E75" s="119"/>
    </row>
    <row r="76" spans="1:5" ht="15.75" thickBot="1">
      <c r="A76" s="74" t="s">
        <v>596</v>
      </c>
      <c r="B76" s="117" t="s">
        <v>533</v>
      </c>
      <c r="C76" s="118"/>
      <c r="D76" s="118"/>
      <c r="E76" s="119"/>
    </row>
    <row r="77" spans="1:5" ht="15.75" thickBot="1">
      <c r="A77" s="74" t="s">
        <v>287</v>
      </c>
      <c r="B77" s="75" t="s">
        <v>492</v>
      </c>
      <c r="C77" s="75" t="s">
        <v>477</v>
      </c>
      <c r="D77" s="77" t="s">
        <v>493</v>
      </c>
      <c r="E77" s="77" t="s">
        <v>597</v>
      </c>
    </row>
    <row r="78" spans="1:5" ht="15.75" thickBot="1">
      <c r="A78" s="74" t="s">
        <v>598</v>
      </c>
      <c r="B78" s="75" t="s">
        <v>481</v>
      </c>
      <c r="C78" s="75" t="s">
        <v>477</v>
      </c>
      <c r="D78" s="77" t="s">
        <v>562</v>
      </c>
      <c r="E78" s="77" t="s">
        <v>481</v>
      </c>
    </row>
    <row r="79" spans="1:5" ht="15.75" thickBot="1">
      <c r="A79" s="74" t="s">
        <v>599</v>
      </c>
      <c r="B79" s="75" t="s">
        <v>492</v>
      </c>
      <c r="C79" s="75" t="s">
        <v>477</v>
      </c>
      <c r="D79" s="77" t="s">
        <v>481</v>
      </c>
      <c r="E79" s="77" t="s">
        <v>505</v>
      </c>
    </row>
    <row r="80" spans="1:5" ht="15.75" thickBot="1">
      <c r="A80" s="74" t="s">
        <v>600</v>
      </c>
      <c r="B80" s="75" t="s">
        <v>481</v>
      </c>
      <c r="C80" s="75" t="s">
        <v>488</v>
      </c>
      <c r="D80" s="77" t="s">
        <v>481</v>
      </c>
      <c r="E80" s="77" t="s">
        <v>481</v>
      </c>
    </row>
    <row r="81" spans="1:5" ht="15.75" thickBot="1">
      <c r="A81" s="74" t="s">
        <v>601</v>
      </c>
      <c r="B81" s="75" t="s">
        <v>481</v>
      </c>
      <c r="C81" s="75" t="s">
        <v>477</v>
      </c>
      <c r="D81" s="77" t="s">
        <v>507</v>
      </c>
      <c r="E81" s="77" t="s">
        <v>481</v>
      </c>
    </row>
    <row r="82" spans="1:5" ht="15.75" thickBot="1">
      <c r="A82" s="74" t="s">
        <v>602</v>
      </c>
      <c r="B82" s="75" t="s">
        <v>492</v>
      </c>
      <c r="C82" s="75" t="s">
        <v>477</v>
      </c>
      <c r="D82" s="77" t="s">
        <v>493</v>
      </c>
      <c r="E82" s="77" t="s">
        <v>603</v>
      </c>
    </row>
    <row r="83" spans="1:5" ht="15.75" thickBot="1">
      <c r="A83" s="74" t="s">
        <v>604</v>
      </c>
      <c r="B83" s="117" t="s">
        <v>533</v>
      </c>
      <c r="C83" s="118"/>
      <c r="D83" s="118"/>
      <c r="E83" s="119"/>
    </row>
  </sheetData>
  <mergeCells count="7">
    <mergeCell ref="B83:E83"/>
    <mergeCell ref="B21:E21"/>
    <mergeCell ref="B35:E35"/>
    <mergeCell ref="B51:E51"/>
    <mergeCell ref="B52:E52"/>
    <mergeCell ref="B75:E75"/>
    <mergeCell ref="B76:E76"/>
  </mergeCells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28.140625" style="13" bestFit="1" customWidth="1"/>
    <col min="2" max="4" width="17.42578125" style="13" bestFit="1" customWidth="1"/>
    <col min="5" max="5" width="18.28515625" style="13" customWidth="1"/>
    <col min="6" max="16384" width="9.140625" style="13"/>
  </cols>
  <sheetData>
    <row r="1" spans="1:5" ht="30.75" thickBot="1">
      <c r="A1" s="81" t="s">
        <v>359</v>
      </c>
      <c r="B1" s="82" t="s">
        <v>619</v>
      </c>
      <c r="C1" s="82" t="s">
        <v>620</v>
      </c>
      <c r="D1" s="82" t="s">
        <v>621</v>
      </c>
      <c r="E1" s="82" t="s">
        <v>618</v>
      </c>
    </row>
    <row r="2" spans="1:5" ht="15.75" thickBot="1">
      <c r="A2" s="74" t="s">
        <v>475</v>
      </c>
      <c r="B2" s="79" t="s">
        <v>302</v>
      </c>
      <c r="C2" s="79"/>
      <c r="D2" s="79"/>
      <c r="E2" s="79"/>
    </row>
    <row r="3" spans="1:5" ht="15.75" thickBot="1">
      <c r="A3" s="74" t="s">
        <v>480</v>
      </c>
      <c r="B3" s="79" t="s">
        <v>302</v>
      </c>
      <c r="C3" s="79"/>
      <c r="D3" s="79"/>
      <c r="E3" s="79"/>
    </row>
    <row r="4" spans="1:5" ht="15.75" thickBot="1">
      <c r="A4" s="74" t="s">
        <v>484</v>
      </c>
      <c r="B4" s="79" t="s">
        <v>302</v>
      </c>
      <c r="C4" s="79"/>
      <c r="D4" s="79"/>
      <c r="E4" s="79"/>
    </row>
    <row r="5" spans="1:5" ht="15.75" thickBot="1">
      <c r="A5" s="74" t="s">
        <v>487</v>
      </c>
      <c r="B5" s="79" t="s">
        <v>302</v>
      </c>
      <c r="C5" s="79"/>
      <c r="D5" s="79"/>
      <c r="E5" s="79"/>
    </row>
    <row r="6" spans="1:5" ht="15.75" thickBot="1">
      <c r="A6" s="74" t="s">
        <v>495</v>
      </c>
      <c r="B6" s="79" t="s">
        <v>302</v>
      </c>
      <c r="C6" s="79"/>
      <c r="D6" s="79"/>
      <c r="E6" s="79"/>
    </row>
    <row r="7" spans="1:5" ht="15.75" thickBot="1">
      <c r="A7" s="74" t="s">
        <v>498</v>
      </c>
      <c r="B7" s="79" t="s">
        <v>302</v>
      </c>
      <c r="C7" s="79"/>
      <c r="D7" s="79"/>
      <c r="E7" s="79"/>
    </row>
    <row r="8" spans="1:5" ht="15.75" thickBot="1">
      <c r="A8" s="74" t="s">
        <v>506</v>
      </c>
      <c r="B8" s="79" t="s">
        <v>302</v>
      </c>
      <c r="C8" s="79"/>
      <c r="D8" s="79"/>
      <c r="E8" s="79"/>
    </row>
    <row r="9" spans="1:5" ht="15.75" thickBot="1">
      <c r="A9" s="74" t="s">
        <v>508</v>
      </c>
      <c r="B9" s="79" t="s">
        <v>302</v>
      </c>
      <c r="C9" s="79"/>
      <c r="D9" s="79"/>
      <c r="E9" s="79"/>
    </row>
    <row r="10" spans="1:5" ht="15.75" thickBot="1">
      <c r="A10" s="74" t="s">
        <v>510</v>
      </c>
      <c r="B10" s="79" t="s">
        <v>302</v>
      </c>
      <c r="C10" s="79"/>
      <c r="D10" s="79"/>
      <c r="E10" s="79"/>
    </row>
    <row r="11" spans="1:5" ht="15.75" thickBot="1">
      <c r="A11" s="74" t="s">
        <v>215</v>
      </c>
      <c r="B11" s="79" t="s">
        <v>302</v>
      </c>
      <c r="C11" s="79"/>
      <c r="D11" s="79"/>
      <c r="E11" s="79"/>
    </row>
    <row r="12" spans="1:5" ht="15.75" thickBot="1">
      <c r="A12" s="74" t="s">
        <v>512</v>
      </c>
      <c r="B12" s="79" t="s">
        <v>302</v>
      </c>
      <c r="C12" s="79"/>
      <c r="D12" s="79" t="s">
        <v>302</v>
      </c>
      <c r="E12" s="79"/>
    </row>
    <row r="13" spans="1:5" ht="15.75" thickBot="1">
      <c r="A13" s="74" t="s">
        <v>514</v>
      </c>
      <c r="B13" s="79" t="s">
        <v>302</v>
      </c>
      <c r="C13" s="79"/>
      <c r="D13" s="79" t="s">
        <v>302</v>
      </c>
      <c r="E13" s="79"/>
    </row>
    <row r="14" spans="1:5" ht="15.75" thickBot="1">
      <c r="A14" s="74" t="s">
        <v>522</v>
      </c>
      <c r="B14" s="80" t="s">
        <v>302</v>
      </c>
      <c r="C14" s="80"/>
      <c r="D14" s="80"/>
      <c r="E14" s="80"/>
    </row>
    <row r="15" spans="1:5" ht="15.75" thickBot="1">
      <c r="A15" s="74" t="s">
        <v>526</v>
      </c>
      <c r="B15" s="79" t="s">
        <v>302</v>
      </c>
      <c r="C15" s="79"/>
      <c r="D15" s="79"/>
      <c r="E15" s="79"/>
    </row>
    <row r="16" spans="1:5" ht="15.75" thickBot="1">
      <c r="A16" s="74" t="s">
        <v>532</v>
      </c>
      <c r="B16" s="79" t="s">
        <v>302</v>
      </c>
      <c r="C16" s="79"/>
      <c r="D16" s="79"/>
      <c r="E16" s="79"/>
    </row>
    <row r="17" spans="1:5" ht="15.75" thickBot="1">
      <c r="A17" s="74" t="s">
        <v>534</v>
      </c>
      <c r="B17" s="79" t="s">
        <v>302</v>
      </c>
      <c r="C17" s="79"/>
      <c r="D17" s="79"/>
      <c r="E17" s="79"/>
    </row>
    <row r="18" spans="1:5" ht="15.75" thickBot="1">
      <c r="A18" s="74" t="s">
        <v>616</v>
      </c>
      <c r="B18" s="80" t="s">
        <v>302</v>
      </c>
      <c r="C18" s="80"/>
      <c r="D18" s="80"/>
      <c r="E18" s="80"/>
    </row>
    <row r="19" spans="1:5" ht="15.75" thickBot="1">
      <c r="A19" s="74" t="s">
        <v>617</v>
      </c>
      <c r="B19" s="80" t="s">
        <v>302</v>
      </c>
      <c r="C19" s="80"/>
      <c r="D19" s="80"/>
      <c r="E19" s="80"/>
    </row>
    <row r="20" spans="1:5" ht="15.75" thickBot="1">
      <c r="A20" s="74" t="s">
        <v>537</v>
      </c>
      <c r="B20" s="79" t="s">
        <v>302</v>
      </c>
      <c r="C20" s="79"/>
      <c r="D20" s="79"/>
      <c r="E20" s="79"/>
    </row>
    <row r="21" spans="1:5" ht="15.75" thickBot="1">
      <c r="A21" s="74" t="s">
        <v>538</v>
      </c>
      <c r="B21" s="79" t="s">
        <v>302</v>
      </c>
      <c r="C21" s="79"/>
      <c r="D21" s="79"/>
      <c r="E21" s="79"/>
    </row>
    <row r="22" spans="1:5" ht="15.75" thickBot="1">
      <c r="A22" s="74" t="s">
        <v>541</v>
      </c>
      <c r="B22" s="79" t="s">
        <v>302</v>
      </c>
      <c r="C22" s="79"/>
      <c r="D22" s="79"/>
      <c r="E22" s="79"/>
    </row>
    <row r="23" spans="1:5" ht="15.75" thickBot="1">
      <c r="A23" s="74" t="s">
        <v>544</v>
      </c>
      <c r="B23" s="79" t="s">
        <v>302</v>
      </c>
      <c r="C23" s="79"/>
      <c r="D23" s="79"/>
      <c r="E23" s="79"/>
    </row>
    <row r="24" spans="1:5" ht="15.75" thickBot="1">
      <c r="A24" s="74" t="s">
        <v>546</v>
      </c>
      <c r="B24" s="79" t="s">
        <v>302</v>
      </c>
      <c r="C24" s="79"/>
      <c r="D24" s="79"/>
      <c r="E24" s="79"/>
    </row>
    <row r="25" spans="1:5" ht="15.75" thickBot="1">
      <c r="A25" s="74" t="s">
        <v>548</v>
      </c>
      <c r="B25" s="79" t="s">
        <v>302</v>
      </c>
      <c r="C25" s="79"/>
      <c r="D25" s="79"/>
      <c r="E25" s="79"/>
    </row>
    <row r="26" spans="1:5" ht="15.75" thickBot="1">
      <c r="A26" s="74" t="s">
        <v>557</v>
      </c>
      <c r="B26" s="79" t="s">
        <v>302</v>
      </c>
      <c r="C26" s="79"/>
      <c r="D26" s="79"/>
      <c r="E26" s="79"/>
    </row>
    <row r="27" spans="1:5" ht="15.75" thickBot="1">
      <c r="A27" s="74" t="s">
        <v>563</v>
      </c>
      <c r="B27" s="79" t="s">
        <v>302</v>
      </c>
      <c r="C27" s="79"/>
      <c r="D27" s="79"/>
      <c r="E27" s="79"/>
    </row>
    <row r="28" spans="1:5" ht="15.75" thickBot="1">
      <c r="A28" s="74" t="s">
        <v>566</v>
      </c>
      <c r="B28" s="79" t="s">
        <v>302</v>
      </c>
      <c r="C28" s="79"/>
      <c r="D28" s="79"/>
      <c r="E28" s="79"/>
    </row>
    <row r="29" spans="1:5" ht="15.75" thickBot="1">
      <c r="A29" s="74" t="s">
        <v>567</v>
      </c>
      <c r="B29" s="79" t="s">
        <v>302</v>
      </c>
      <c r="C29" s="79"/>
      <c r="D29" s="79"/>
      <c r="E29" s="79"/>
    </row>
    <row r="30" spans="1:5" ht="15.75" thickBot="1">
      <c r="A30" s="74" t="s">
        <v>569</v>
      </c>
      <c r="B30" s="79" t="s">
        <v>302</v>
      </c>
      <c r="C30" s="79"/>
      <c r="D30" s="79"/>
      <c r="E30" s="79"/>
    </row>
    <row r="31" spans="1:5" ht="15.75" thickBot="1">
      <c r="A31" s="74" t="s">
        <v>570</v>
      </c>
      <c r="B31" s="79" t="s">
        <v>302</v>
      </c>
      <c r="C31" s="79" t="s">
        <v>302</v>
      </c>
      <c r="D31" s="79"/>
      <c r="E31" s="79"/>
    </row>
    <row r="32" spans="1:5" ht="15.75" thickBot="1">
      <c r="A32" s="74" t="s">
        <v>572</v>
      </c>
      <c r="B32" s="79" t="s">
        <v>302</v>
      </c>
      <c r="C32" s="79"/>
      <c r="D32" s="79"/>
      <c r="E32" s="79"/>
    </row>
    <row r="33" spans="1:5" ht="15.75" thickBot="1">
      <c r="A33" s="74" t="s">
        <v>575</v>
      </c>
      <c r="B33" s="79"/>
      <c r="C33" s="79"/>
      <c r="D33" s="79"/>
      <c r="E33" s="79" t="s">
        <v>302</v>
      </c>
    </row>
    <row r="34" spans="1:5" ht="15.75" thickBot="1">
      <c r="A34" s="74" t="s">
        <v>576</v>
      </c>
      <c r="B34" s="79" t="s">
        <v>302</v>
      </c>
      <c r="C34" s="79"/>
      <c r="D34" s="79"/>
      <c r="E34" s="79"/>
    </row>
    <row r="35" spans="1:5" ht="15.75" thickBot="1">
      <c r="A35" s="74" t="s">
        <v>579</v>
      </c>
      <c r="B35" s="79" t="s">
        <v>302</v>
      </c>
      <c r="C35" s="79"/>
      <c r="D35" s="79"/>
      <c r="E35" s="79"/>
    </row>
    <row r="36" spans="1:5" ht="15.75" thickBot="1">
      <c r="A36" s="74" t="s">
        <v>581</v>
      </c>
      <c r="B36" s="79" t="s">
        <v>302</v>
      </c>
      <c r="C36" s="79"/>
      <c r="D36" s="79"/>
      <c r="E36" s="79"/>
    </row>
    <row r="37" spans="1:5" ht="15.75" thickBot="1">
      <c r="A37" s="74" t="s">
        <v>218</v>
      </c>
      <c r="B37" s="79" t="s">
        <v>302</v>
      </c>
      <c r="C37" s="79" t="s">
        <v>302</v>
      </c>
      <c r="D37" s="79"/>
      <c r="E37" s="79"/>
    </row>
    <row r="38" spans="1:5" ht="15.75" thickBot="1">
      <c r="A38" s="74" t="s">
        <v>594</v>
      </c>
      <c r="B38" s="79" t="s">
        <v>302</v>
      </c>
      <c r="C38" s="79"/>
      <c r="D38" s="79"/>
      <c r="E38" s="79"/>
    </row>
    <row r="39" spans="1:5" ht="15.75" thickBot="1">
      <c r="A39" s="74" t="s">
        <v>595</v>
      </c>
      <c r="B39" s="79" t="s">
        <v>302</v>
      </c>
      <c r="C39" s="79" t="s">
        <v>302</v>
      </c>
      <c r="D39" s="79" t="s">
        <v>302</v>
      </c>
      <c r="E39" s="79"/>
    </row>
    <row r="40" spans="1:5" ht="15.75" thickBot="1">
      <c r="A40" s="74" t="s">
        <v>596</v>
      </c>
      <c r="B40" s="79" t="s">
        <v>302</v>
      </c>
      <c r="C40" s="79"/>
      <c r="D40" s="79"/>
      <c r="E40" s="79"/>
    </row>
    <row r="41" spans="1:5" ht="15.75" thickBot="1">
      <c r="A41" s="74" t="s">
        <v>604</v>
      </c>
      <c r="B41" s="79" t="s">
        <v>302</v>
      </c>
      <c r="C41" s="79"/>
      <c r="D41" s="79"/>
      <c r="E41" s="79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/>
  </sheetViews>
  <sheetFormatPr defaultRowHeight="15"/>
  <cols>
    <col min="1" max="2" width="8.7109375"/>
    <col min="3" max="3" width="12.42578125"/>
    <col min="4" max="4" width="9.7109375"/>
    <col min="5" max="7" width="8.7109375"/>
    <col min="8" max="8" width="11.5703125"/>
    <col min="9" max="9" width="64.7109375"/>
    <col min="10" max="10" width="8.7109375"/>
    <col min="11" max="11" width="15.28515625"/>
    <col min="12" max="12" width="10.7109375"/>
    <col min="13" max="1025" width="8.7109375"/>
  </cols>
  <sheetData>
    <row r="1" spans="1:9">
      <c r="C1" s="3">
        <f>'Cell Numbers'!A4</f>
        <v>38500</v>
      </c>
      <c r="D1" s="100" t="s">
        <v>39</v>
      </c>
      <c r="E1" s="100"/>
      <c r="F1" s="100"/>
      <c r="G1" s="100"/>
      <c r="H1" s="100"/>
      <c r="I1" t="s">
        <v>8</v>
      </c>
    </row>
    <row r="2" spans="1:9">
      <c r="C2" s="5">
        <v>0.42</v>
      </c>
      <c r="D2" s="100" t="s">
        <v>40</v>
      </c>
      <c r="E2" s="100"/>
      <c r="F2" s="100"/>
      <c r="G2" s="100"/>
      <c r="H2" s="100"/>
      <c r="I2" s="4" t="s">
        <v>41</v>
      </c>
    </row>
    <row r="3" spans="1:9">
      <c r="C3" s="5">
        <v>0.98</v>
      </c>
      <c r="D3" s="100" t="s">
        <v>42</v>
      </c>
      <c r="E3" s="100"/>
      <c r="F3" s="100"/>
      <c r="G3" s="100"/>
      <c r="H3" s="100"/>
      <c r="I3" s="4" t="s">
        <v>41</v>
      </c>
    </row>
    <row r="4" spans="1:9">
      <c r="C4" s="3">
        <f>C2*C1</f>
        <v>16170</v>
      </c>
      <c r="D4" s="100" t="s">
        <v>43</v>
      </c>
      <c r="E4" s="100"/>
      <c r="F4" s="100"/>
      <c r="G4" s="100"/>
      <c r="H4" s="100"/>
      <c r="I4" t="s">
        <v>8</v>
      </c>
    </row>
    <row r="5" spans="1:9">
      <c r="C5" s="3">
        <f>C4/C3</f>
        <v>16500</v>
      </c>
      <c r="D5" s="100" t="s">
        <v>44</v>
      </c>
      <c r="E5" s="100"/>
      <c r="F5" s="100"/>
      <c r="G5" s="100"/>
      <c r="H5" s="100"/>
      <c r="I5" t="s">
        <v>8</v>
      </c>
    </row>
    <row r="6" spans="1:9">
      <c r="C6" s="3"/>
    </row>
    <row r="7" spans="1:9">
      <c r="A7" s="99" t="s">
        <v>1</v>
      </c>
      <c r="B7" s="99"/>
      <c r="C7" s="99"/>
      <c r="D7" s="2" t="s">
        <v>13</v>
      </c>
      <c r="E7" s="2" t="s">
        <v>14</v>
      </c>
      <c r="F7" s="2" t="s">
        <v>15</v>
      </c>
      <c r="G7" s="2" t="s">
        <v>16</v>
      </c>
      <c r="H7" s="2" t="s">
        <v>12</v>
      </c>
      <c r="I7" s="2" t="s">
        <v>2</v>
      </c>
    </row>
    <row r="8" spans="1:9">
      <c r="A8" s="101" t="s">
        <v>45</v>
      </c>
      <c r="B8" s="101"/>
      <c r="C8" s="101"/>
      <c r="D8" s="17">
        <v>0.14000000000000001</v>
      </c>
      <c r="E8" s="17">
        <v>0.35</v>
      </c>
      <c r="F8" s="17">
        <v>0.22</v>
      </c>
      <c r="G8" s="17">
        <v>0.28999999999999998</v>
      </c>
      <c r="H8" s="17">
        <f>SUM(D8:G8)</f>
        <v>1</v>
      </c>
      <c r="I8" s="17" t="s">
        <v>41</v>
      </c>
    </row>
    <row r="9" spans="1:9">
      <c r="A9" s="101" t="s">
        <v>44</v>
      </c>
      <c r="B9" s="101"/>
      <c r="C9" s="101"/>
      <c r="D9" s="3">
        <f>D8*$C$5</f>
        <v>2310</v>
      </c>
      <c r="E9" s="3">
        <f>E8*$C$5</f>
        <v>5775</v>
      </c>
      <c r="F9" s="3">
        <f>F8*$C$5</f>
        <v>3630</v>
      </c>
      <c r="G9" s="3">
        <f>G8*$C$5</f>
        <v>4785</v>
      </c>
      <c r="H9" s="3">
        <f>SUM(D9:G9)</f>
        <v>16500</v>
      </c>
      <c r="I9" t="s">
        <v>8</v>
      </c>
    </row>
    <row r="11" spans="1:9">
      <c r="A11" s="102" t="s">
        <v>46</v>
      </c>
      <c r="B11" s="102"/>
      <c r="C11" s="2" t="s">
        <v>47</v>
      </c>
      <c r="D11" s="2" t="s">
        <v>13</v>
      </c>
      <c r="E11" s="2" t="s">
        <v>14</v>
      </c>
      <c r="F11" s="2" t="s">
        <v>15</v>
      </c>
      <c r="G11" s="2"/>
      <c r="H11" s="2"/>
      <c r="I11" s="2" t="s">
        <v>2</v>
      </c>
    </row>
    <row r="12" spans="1:9">
      <c r="A12" s="100" t="s">
        <v>48</v>
      </c>
      <c r="B12" s="100"/>
      <c r="C12" t="s">
        <v>49</v>
      </c>
      <c r="D12" s="5">
        <v>0.34</v>
      </c>
      <c r="E12" s="5">
        <v>0.59</v>
      </c>
      <c r="F12" s="5">
        <v>0.35</v>
      </c>
      <c r="I12" s="17" t="s">
        <v>41</v>
      </c>
    </row>
    <row r="13" spans="1:9">
      <c r="A13" s="100" t="s">
        <v>50</v>
      </c>
      <c r="B13" s="100"/>
      <c r="C13" t="s">
        <v>51</v>
      </c>
      <c r="D13" s="5">
        <v>0.8</v>
      </c>
      <c r="E13" s="5">
        <v>0.63</v>
      </c>
      <c r="F13" s="5">
        <v>0.42</v>
      </c>
      <c r="I13" s="17" t="s">
        <v>41</v>
      </c>
    </row>
    <row r="14" spans="1:9">
      <c r="A14" s="101" t="s">
        <v>52</v>
      </c>
      <c r="B14" s="101"/>
      <c r="C14" s="101"/>
      <c r="D14" s="3">
        <f>D9*D12/D13</f>
        <v>981.75000000000011</v>
      </c>
      <c r="E14" s="3">
        <f>E9*E12/E13</f>
        <v>5408.333333333333</v>
      </c>
      <c r="F14" s="3">
        <f>F9*F12/F13</f>
        <v>3025</v>
      </c>
      <c r="I14" t="s">
        <v>8</v>
      </c>
    </row>
    <row r="15" spans="1:9">
      <c r="A15" s="19"/>
      <c r="B15" s="19"/>
      <c r="C15" s="19"/>
      <c r="D15" s="3"/>
      <c r="E15" s="3"/>
      <c r="F15" s="3"/>
    </row>
    <row r="16" spans="1:9">
      <c r="A16" s="101" t="s">
        <v>53</v>
      </c>
      <c r="B16" s="101"/>
      <c r="C16" s="101"/>
      <c r="F16" s="5">
        <v>0.2</v>
      </c>
      <c r="I16" s="4" t="s">
        <v>54</v>
      </c>
    </row>
    <row r="17" spans="1:9">
      <c r="A17" s="101" t="s">
        <v>55</v>
      </c>
      <c r="B17" s="101"/>
      <c r="C17" s="101"/>
      <c r="F17" s="5">
        <v>0.8</v>
      </c>
      <c r="I17" s="4" t="s">
        <v>54</v>
      </c>
    </row>
    <row r="19" spans="1:9">
      <c r="A19" s="101" t="s">
        <v>56</v>
      </c>
      <c r="B19" s="101"/>
      <c r="C19" s="101"/>
      <c r="F19" s="13">
        <f>F16*$F$14</f>
        <v>605</v>
      </c>
      <c r="I19" s="4" t="s">
        <v>8</v>
      </c>
    </row>
    <row r="20" spans="1:9">
      <c r="A20" s="101" t="s">
        <v>57</v>
      </c>
      <c r="B20" s="101"/>
      <c r="C20" s="101"/>
      <c r="F20" s="13">
        <f>F17*$F$14</f>
        <v>2420</v>
      </c>
      <c r="I20" s="4" t="s">
        <v>8</v>
      </c>
    </row>
    <row r="21" spans="1:9">
      <c r="A21" s="19"/>
      <c r="B21" s="19"/>
      <c r="C21" s="19"/>
    </row>
    <row r="22" spans="1:9">
      <c r="A22" s="99"/>
      <c r="B22" s="99"/>
      <c r="C22" s="99"/>
      <c r="D22" s="2" t="s">
        <v>13</v>
      </c>
      <c r="E22" s="2" t="s">
        <v>14</v>
      </c>
      <c r="F22" s="2" t="s">
        <v>15</v>
      </c>
      <c r="G22" s="2"/>
      <c r="H22" s="2" t="s">
        <v>12</v>
      </c>
      <c r="I22" s="2"/>
    </row>
    <row r="23" spans="1:9">
      <c r="C23" s="20" t="s">
        <v>58</v>
      </c>
      <c r="D23" s="21">
        <f>D14</f>
        <v>981.75000000000011</v>
      </c>
      <c r="E23" s="21">
        <f>E14</f>
        <v>5408.333333333333</v>
      </c>
      <c r="F23" s="21">
        <f>F20</f>
        <v>2420</v>
      </c>
      <c r="G23" s="22"/>
      <c r="H23" s="21">
        <f>SUM(D23:F23)</f>
        <v>8810.0833333333321</v>
      </c>
      <c r="I23" s="22" t="s">
        <v>8</v>
      </c>
    </row>
    <row r="25" spans="1:9">
      <c r="A25" s="102" t="s">
        <v>46</v>
      </c>
      <c r="B25" s="102"/>
      <c r="C25" s="2" t="s">
        <v>47</v>
      </c>
      <c r="G25" s="2" t="s">
        <v>16</v>
      </c>
    </row>
    <row r="26" spans="1:9">
      <c r="A26" s="100" t="s">
        <v>48</v>
      </c>
      <c r="B26" s="100"/>
      <c r="C26" s="4" t="s">
        <v>59</v>
      </c>
      <c r="G26" s="5">
        <v>0.45</v>
      </c>
      <c r="I26" s="17" t="s">
        <v>41</v>
      </c>
    </row>
    <row r="27" spans="1:9">
      <c r="A27" s="100" t="s">
        <v>60</v>
      </c>
      <c r="B27" s="100"/>
      <c r="C27" t="s">
        <v>51</v>
      </c>
      <c r="G27" s="5">
        <v>1</v>
      </c>
      <c r="I27" s="17" t="s">
        <v>41</v>
      </c>
    </row>
    <row r="28" spans="1:9">
      <c r="A28" s="101" t="s">
        <v>61</v>
      </c>
      <c r="B28" s="101"/>
      <c r="C28" s="101"/>
      <c r="G28" s="13">
        <f>ROUND(G9*G26/G27,0)</f>
        <v>2153</v>
      </c>
      <c r="I28" t="s">
        <v>8</v>
      </c>
    </row>
    <row r="30" spans="1:9">
      <c r="A30" s="102" t="s">
        <v>46</v>
      </c>
      <c r="B30" s="102"/>
      <c r="C30" s="2" t="s">
        <v>47</v>
      </c>
      <c r="G30" s="2" t="s">
        <v>16</v>
      </c>
    </row>
    <row r="31" spans="1:9">
      <c r="A31" s="100" t="s">
        <v>60</v>
      </c>
      <c r="B31" s="100"/>
      <c r="C31" t="s">
        <v>62</v>
      </c>
      <c r="G31" s="5">
        <v>0.98</v>
      </c>
      <c r="I31" s="4" t="s">
        <v>63</v>
      </c>
    </row>
    <row r="32" spans="1:9">
      <c r="A32" t="s">
        <v>62</v>
      </c>
      <c r="C32" s="4" t="s">
        <v>59</v>
      </c>
      <c r="G32" s="5">
        <v>0.71</v>
      </c>
      <c r="I32" s="4" t="s">
        <v>64</v>
      </c>
    </row>
    <row r="33" spans="1:9">
      <c r="A33" s="101" t="s">
        <v>65</v>
      </c>
      <c r="B33" s="101"/>
      <c r="C33" s="101"/>
      <c r="G33" s="13">
        <f>ROUND(G28*G31/G32,0)</f>
        <v>2972</v>
      </c>
      <c r="I33" t="s">
        <v>8</v>
      </c>
    </row>
    <row r="35" spans="1:9">
      <c r="C35" s="20" t="s">
        <v>65</v>
      </c>
      <c r="D35" s="22"/>
      <c r="E35" s="22"/>
      <c r="F35" s="22">
        <f>F19</f>
        <v>605</v>
      </c>
      <c r="G35" s="22">
        <f>G33</f>
        <v>2972</v>
      </c>
      <c r="H35" s="21">
        <f>SUM(D35:G35)</f>
        <v>3577</v>
      </c>
      <c r="I35" s="22" t="s">
        <v>8</v>
      </c>
    </row>
  </sheetData>
  <mergeCells count="24">
    <mergeCell ref="D1:H1"/>
    <mergeCell ref="D2:H2"/>
    <mergeCell ref="D3:H3"/>
    <mergeCell ref="D4:H4"/>
    <mergeCell ref="D5:H5"/>
    <mergeCell ref="A13:B13"/>
    <mergeCell ref="A14:C14"/>
    <mergeCell ref="A16:C16"/>
    <mergeCell ref="A17:C17"/>
    <mergeCell ref="A7:C7"/>
    <mergeCell ref="A8:C8"/>
    <mergeCell ref="A9:C9"/>
    <mergeCell ref="A11:B11"/>
    <mergeCell ref="A12:B12"/>
    <mergeCell ref="A19:C19"/>
    <mergeCell ref="A20:C20"/>
    <mergeCell ref="A22:C22"/>
    <mergeCell ref="A25:B25"/>
    <mergeCell ref="A26:B26"/>
    <mergeCell ref="A27:B27"/>
    <mergeCell ref="A28:C28"/>
    <mergeCell ref="A30:B30"/>
    <mergeCell ref="A31:B31"/>
    <mergeCell ref="A33:C3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/>
  </sheetViews>
  <sheetFormatPr defaultRowHeight="15"/>
  <cols>
    <col min="1" max="1" width="11.7109375"/>
    <col min="2" max="2" width="8.7109375"/>
    <col min="3" max="3" width="12"/>
    <col min="4" max="1025" width="8.7109375"/>
  </cols>
  <sheetData>
    <row r="1" spans="1:9">
      <c r="C1" s="3">
        <f>'Cell Numbers'!A4</f>
        <v>38500</v>
      </c>
      <c r="D1" s="100" t="s">
        <v>39</v>
      </c>
      <c r="E1" s="100"/>
      <c r="F1" s="100"/>
      <c r="G1" s="100"/>
      <c r="H1" s="100"/>
      <c r="I1" t="s">
        <v>8</v>
      </c>
    </row>
    <row r="2" spans="1:9">
      <c r="C2" s="5">
        <v>0.12</v>
      </c>
      <c r="D2" s="100" t="s">
        <v>66</v>
      </c>
      <c r="E2" s="100"/>
      <c r="F2" s="100"/>
      <c r="G2" s="100"/>
      <c r="H2" s="100"/>
      <c r="I2" s="4" t="s">
        <v>67</v>
      </c>
    </row>
    <row r="3" spans="1:9">
      <c r="C3" s="3">
        <f>C1*C2</f>
        <v>4620</v>
      </c>
      <c r="D3" t="s">
        <v>68</v>
      </c>
      <c r="I3" t="s">
        <v>8</v>
      </c>
    </row>
    <row r="5" spans="1:9">
      <c r="A5" s="99" t="s">
        <v>1</v>
      </c>
      <c r="B5" s="99"/>
      <c r="C5" s="99"/>
      <c r="D5" s="2" t="s">
        <v>13</v>
      </c>
      <c r="E5" s="2" t="s">
        <v>14</v>
      </c>
      <c r="F5" s="2" t="s">
        <v>15</v>
      </c>
      <c r="G5" s="2" t="s">
        <v>16</v>
      </c>
      <c r="H5" s="2" t="s">
        <v>12</v>
      </c>
      <c r="I5" s="2" t="s">
        <v>2</v>
      </c>
    </row>
    <row r="6" spans="1:9">
      <c r="A6" s="101" t="s">
        <v>69</v>
      </c>
      <c r="B6" s="101"/>
      <c r="C6" s="101"/>
      <c r="D6" s="17">
        <v>0.89</v>
      </c>
      <c r="E6" s="17">
        <v>0.06</v>
      </c>
      <c r="F6" s="104">
        <v>0.05</v>
      </c>
      <c r="G6" s="104"/>
      <c r="H6" s="17">
        <f>SUM(D6:G6)</f>
        <v>1</v>
      </c>
      <c r="I6" s="23" t="s">
        <v>70</v>
      </c>
    </row>
    <row r="7" spans="1:9">
      <c r="A7" s="101" t="s">
        <v>68</v>
      </c>
      <c r="B7" s="101"/>
      <c r="C7" s="101"/>
      <c r="D7" s="3">
        <f>D6*$C$3</f>
        <v>4111.8</v>
      </c>
      <c r="E7" s="3">
        <f>E6*$C$3</f>
        <v>277.2</v>
      </c>
      <c r="F7" s="103">
        <f>F6*$C$3</f>
        <v>231</v>
      </c>
      <c r="G7" s="103"/>
      <c r="H7" s="3">
        <f>SUM(D7:G7)</f>
        <v>4620</v>
      </c>
      <c r="I7" t="s">
        <v>8</v>
      </c>
    </row>
    <row r="9" spans="1:9">
      <c r="A9" s="102" t="s">
        <v>46</v>
      </c>
      <c r="B9" s="102"/>
      <c r="C9" s="2" t="s">
        <v>47</v>
      </c>
    </row>
    <row r="10" spans="1:9">
      <c r="A10" t="s">
        <v>71</v>
      </c>
      <c r="C10" s="19" t="s">
        <v>72</v>
      </c>
      <c r="D10" s="5">
        <v>0.4</v>
      </c>
      <c r="I10" s="4" t="s">
        <v>73</v>
      </c>
    </row>
    <row r="11" spans="1:9">
      <c r="C11" s="19"/>
    </row>
    <row r="12" spans="1:9">
      <c r="C12" s="19" t="s">
        <v>74</v>
      </c>
      <c r="D12" s="3">
        <f>ROUND(D10*D7,-1)</f>
        <v>1640</v>
      </c>
      <c r="H12" s="13">
        <f>SUM(D12:G12)</f>
        <v>1640</v>
      </c>
      <c r="I12" t="s">
        <v>8</v>
      </c>
    </row>
    <row r="13" spans="1:9">
      <c r="C13" s="19"/>
      <c r="D13" s="3"/>
    </row>
    <row r="14" spans="1:9">
      <c r="A14" s="102" t="s">
        <v>46</v>
      </c>
      <c r="B14" s="102"/>
      <c r="C14" s="2" t="s">
        <v>47</v>
      </c>
    </row>
    <row r="15" spans="1:9">
      <c r="A15" t="s">
        <v>71</v>
      </c>
      <c r="C15" s="19" t="s">
        <v>75</v>
      </c>
      <c r="D15" s="5">
        <v>0.23</v>
      </c>
      <c r="I15" s="4" t="s">
        <v>76</v>
      </c>
    </row>
    <row r="16" spans="1:9">
      <c r="A16" s="24" t="s">
        <v>77</v>
      </c>
      <c r="C16" s="19" t="s">
        <v>78</v>
      </c>
      <c r="D16" s="5">
        <v>0.8</v>
      </c>
      <c r="I16" s="4" t="s">
        <v>79</v>
      </c>
    </row>
    <row r="17" spans="1:9">
      <c r="A17" s="24" t="s">
        <v>80</v>
      </c>
      <c r="C17" s="25"/>
      <c r="D17" s="3">
        <f>D15*D7</f>
        <v>945.71400000000006</v>
      </c>
      <c r="I17" t="s">
        <v>8</v>
      </c>
    </row>
    <row r="18" spans="1:9">
      <c r="A18" t="s">
        <v>81</v>
      </c>
      <c r="C18" s="25"/>
      <c r="D18" s="3">
        <f>D15*D7*D16</f>
        <v>756.57120000000009</v>
      </c>
      <c r="I18" t="s">
        <v>8</v>
      </c>
    </row>
    <row r="19" spans="1:9">
      <c r="A19" t="s">
        <v>82</v>
      </c>
      <c r="C19" s="25"/>
      <c r="D19" s="3">
        <f>D17-D18</f>
        <v>189.14279999999997</v>
      </c>
      <c r="I19" t="s">
        <v>8</v>
      </c>
    </row>
    <row r="21" spans="1:9">
      <c r="A21" s="102" t="s">
        <v>46</v>
      </c>
      <c r="B21" s="102"/>
      <c r="C21" s="2" t="s">
        <v>47</v>
      </c>
      <c r="D21" s="2" t="s">
        <v>13</v>
      </c>
    </row>
    <row r="22" spans="1:9">
      <c r="A22" t="s">
        <v>71</v>
      </c>
      <c r="C22" s="19" t="s">
        <v>78</v>
      </c>
      <c r="D22" s="5">
        <v>0.34</v>
      </c>
      <c r="I22" s="4" t="s">
        <v>83</v>
      </c>
    </row>
    <row r="23" spans="1:9">
      <c r="C23" s="19" t="s">
        <v>84</v>
      </c>
      <c r="D23" s="3">
        <f>D22*D7</f>
        <v>1398.0120000000002</v>
      </c>
      <c r="I23" t="s">
        <v>8</v>
      </c>
    </row>
    <row r="24" spans="1:9">
      <c r="A24" s="19"/>
      <c r="C24" s="19" t="s">
        <v>85</v>
      </c>
      <c r="D24" s="3">
        <f>D23-D18</f>
        <v>641.44080000000008</v>
      </c>
      <c r="I24" t="s">
        <v>8</v>
      </c>
    </row>
    <row r="25" spans="1:9">
      <c r="A25" s="19"/>
      <c r="C25" s="19"/>
      <c r="D25" s="5"/>
    </row>
    <row r="26" spans="1:9">
      <c r="D26" s="2" t="s">
        <v>13</v>
      </c>
    </row>
    <row r="27" spans="1:9">
      <c r="C27" s="20" t="s">
        <v>86</v>
      </c>
      <c r="D27" s="21">
        <f>ROUND(D18,-1)</f>
        <v>760</v>
      </c>
      <c r="E27" s="22"/>
      <c r="F27" s="22"/>
      <c r="G27" s="22"/>
      <c r="H27" s="22"/>
      <c r="I27" s="22" t="s">
        <v>8</v>
      </c>
    </row>
    <row r="28" spans="1:9">
      <c r="C28" s="20" t="s">
        <v>87</v>
      </c>
      <c r="D28" s="21">
        <f>ROUND(D19,-1)</f>
        <v>190</v>
      </c>
      <c r="I28" s="22" t="s">
        <v>8</v>
      </c>
    </row>
    <row r="29" spans="1:9">
      <c r="C29" s="20" t="s">
        <v>88</v>
      </c>
      <c r="D29" s="21">
        <f>ROUND(D24,-1)</f>
        <v>640</v>
      </c>
      <c r="I29" s="22" t="s">
        <v>8</v>
      </c>
    </row>
    <row r="30" spans="1:9">
      <c r="C30" s="20" t="s">
        <v>89</v>
      </c>
      <c r="D30" s="21">
        <f>ROUND(D7-D12-D27-D28-D29,-1)</f>
        <v>880</v>
      </c>
      <c r="E30" s="22"/>
      <c r="F30" s="22"/>
      <c r="G30" s="22"/>
      <c r="H30" s="22"/>
      <c r="I30" s="22" t="s">
        <v>90</v>
      </c>
    </row>
    <row r="32" spans="1:9">
      <c r="A32" s="102" t="s">
        <v>46</v>
      </c>
      <c r="B32" s="102"/>
      <c r="C32" s="2" t="s">
        <v>47</v>
      </c>
      <c r="D32" s="2" t="s">
        <v>13</v>
      </c>
      <c r="H32" s="2" t="s">
        <v>12</v>
      </c>
    </row>
    <row r="33" spans="1:9">
      <c r="A33" t="s">
        <v>91</v>
      </c>
      <c r="C33" s="19" t="s">
        <v>92</v>
      </c>
      <c r="H33" s="5">
        <v>0.5</v>
      </c>
      <c r="I33" s="4" t="s">
        <v>76</v>
      </c>
    </row>
    <row r="34" spans="1:9">
      <c r="C34" s="19" t="s">
        <v>93</v>
      </c>
      <c r="D34" s="3">
        <f>D27+D29</f>
        <v>1400</v>
      </c>
      <c r="I34" t="s">
        <v>8</v>
      </c>
    </row>
    <row r="35" spans="1:9">
      <c r="A35" s="22"/>
      <c r="B35" s="22"/>
      <c r="C35" s="20" t="s">
        <v>94</v>
      </c>
      <c r="D35" s="22"/>
      <c r="E35" s="22"/>
      <c r="F35" s="22"/>
      <c r="G35" s="22"/>
      <c r="H35" s="21">
        <f>D34/H33*(1-H33)</f>
        <v>1400</v>
      </c>
      <c r="I35" s="22" t="s">
        <v>95</v>
      </c>
    </row>
  </sheetData>
  <mergeCells count="11">
    <mergeCell ref="D1:H1"/>
    <mergeCell ref="D2:H2"/>
    <mergeCell ref="A5:C5"/>
    <mergeCell ref="A6:C6"/>
    <mergeCell ref="F6:G6"/>
    <mergeCell ref="A32:B32"/>
    <mergeCell ref="A7:C7"/>
    <mergeCell ref="F7:G7"/>
    <mergeCell ref="A9:B9"/>
    <mergeCell ref="A14:B14"/>
    <mergeCell ref="A21:B2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Normal="100" workbookViewId="0"/>
  </sheetViews>
  <sheetFormatPr defaultRowHeight="15"/>
  <cols>
    <col min="1" max="1" width="11.7109375"/>
    <col min="2" max="1025" width="8.7109375"/>
  </cols>
  <sheetData>
    <row r="1" spans="1:9">
      <c r="C1" s="3">
        <f>'Cell Numbers'!A4</f>
        <v>38500</v>
      </c>
      <c r="D1" s="100" t="s">
        <v>39</v>
      </c>
      <c r="E1" s="100"/>
      <c r="F1" s="100"/>
      <c r="G1" s="100"/>
      <c r="H1" s="100"/>
      <c r="I1" t="s">
        <v>8</v>
      </c>
    </row>
    <row r="2" spans="1:9">
      <c r="C2" s="5">
        <v>0.26</v>
      </c>
      <c r="D2" s="100" t="s">
        <v>96</v>
      </c>
      <c r="E2" s="100"/>
      <c r="F2" s="100"/>
      <c r="G2" s="100"/>
      <c r="H2" s="100"/>
      <c r="I2" s="4" t="s">
        <v>97</v>
      </c>
    </row>
    <row r="3" spans="1:9">
      <c r="C3" s="3">
        <f>C1*C2</f>
        <v>10010</v>
      </c>
      <c r="D3" t="s">
        <v>68</v>
      </c>
      <c r="I3" t="s">
        <v>8</v>
      </c>
    </row>
    <row r="5" spans="1:9">
      <c r="A5" s="99" t="s">
        <v>1</v>
      </c>
      <c r="B5" s="99"/>
      <c r="C5" s="99"/>
      <c r="D5" s="2" t="s">
        <v>13</v>
      </c>
      <c r="E5" s="2" t="s">
        <v>14</v>
      </c>
      <c r="F5" s="2" t="s">
        <v>15</v>
      </c>
      <c r="G5" s="2" t="s">
        <v>16</v>
      </c>
      <c r="H5" s="2" t="s">
        <v>12</v>
      </c>
      <c r="I5" s="2" t="s">
        <v>2</v>
      </c>
    </row>
    <row r="6" spans="1:9">
      <c r="A6" s="101" t="s">
        <v>98</v>
      </c>
      <c r="B6" s="101"/>
      <c r="C6" s="101"/>
      <c r="D6" s="91">
        <f>30/100</f>
        <v>0.3</v>
      </c>
      <c r="E6" s="91">
        <f>64.5/100</f>
        <v>0.64500000000000002</v>
      </c>
      <c r="F6" s="105">
        <f>5.5/100</f>
        <v>5.5E-2</v>
      </c>
      <c r="G6" s="105"/>
      <c r="H6" s="17">
        <f>SUM(D6:G6)</f>
        <v>1</v>
      </c>
      <c r="I6" s="23" t="s">
        <v>70</v>
      </c>
    </row>
    <row r="7" spans="1:9">
      <c r="A7" s="101" t="s">
        <v>99</v>
      </c>
      <c r="B7" s="101"/>
      <c r="C7" s="101"/>
      <c r="D7" s="3">
        <f>D6*$C$3</f>
        <v>3003</v>
      </c>
      <c r="E7" s="3">
        <f>E6*$C$3</f>
        <v>6456.45</v>
      </c>
      <c r="F7" s="103">
        <f>F6*$C$3</f>
        <v>550.54999999999995</v>
      </c>
      <c r="G7" s="103"/>
      <c r="H7" s="3">
        <f>SUM(D7:G7)</f>
        <v>10010</v>
      </c>
      <c r="I7" t="s">
        <v>8</v>
      </c>
    </row>
    <row r="9" spans="1:9">
      <c r="A9" t="s">
        <v>100</v>
      </c>
      <c r="C9" s="3">
        <f>'SOM+ and Projection Cells'!D12/3</f>
        <v>546.66666666666663</v>
      </c>
      <c r="I9" s="4" t="s">
        <v>101</v>
      </c>
    </row>
    <row r="10" spans="1:9">
      <c r="A10" t="s">
        <v>102</v>
      </c>
      <c r="C10" s="3">
        <f>'SOM+ and Projection Cells'!D27/3</f>
        <v>253.33333333333334</v>
      </c>
      <c r="I10" s="4" t="s">
        <v>103</v>
      </c>
    </row>
    <row r="12" spans="1:9">
      <c r="C12" s="19" t="s">
        <v>104</v>
      </c>
      <c r="D12" s="3">
        <f>ROUND(D7-C9-C10,-1)</f>
        <v>2200</v>
      </c>
      <c r="E12" s="3">
        <f>ROUND(E7,-1)</f>
        <v>6460</v>
      </c>
      <c r="F12" s="103">
        <f>ROUND(F7,-1)</f>
        <v>550</v>
      </c>
      <c r="G12" s="103"/>
      <c r="H12" s="3">
        <f>SUM(D12:G12)</f>
        <v>9210</v>
      </c>
      <c r="I12" t="s">
        <v>8</v>
      </c>
    </row>
    <row r="14" spans="1:9">
      <c r="A14" t="s">
        <v>105</v>
      </c>
      <c r="B14" t="s">
        <v>11</v>
      </c>
      <c r="D14" s="2" t="s">
        <v>13</v>
      </c>
      <c r="E14" s="2" t="s">
        <v>14</v>
      </c>
      <c r="F14" s="2" t="s">
        <v>15</v>
      </c>
      <c r="G14" s="2" t="s">
        <v>16</v>
      </c>
      <c r="H14" s="2" t="s">
        <v>12</v>
      </c>
    </row>
    <row r="15" spans="1:9">
      <c r="A15" s="22" t="s">
        <v>106</v>
      </c>
      <c r="B15" s="5">
        <v>0.6</v>
      </c>
      <c r="D15" s="3">
        <f t="shared" ref="D15:F17" si="0">ROUND(D$12*$B15,-1)</f>
        <v>1320</v>
      </c>
      <c r="E15" s="3">
        <f t="shared" si="0"/>
        <v>3880</v>
      </c>
      <c r="F15" s="3">
        <f t="shared" si="0"/>
        <v>330</v>
      </c>
      <c r="H15" s="21">
        <f>SUM(D15:F15)</f>
        <v>5530</v>
      </c>
      <c r="I15" s="22" t="s">
        <v>8</v>
      </c>
    </row>
    <row r="16" spans="1:9">
      <c r="A16" s="22" t="s">
        <v>25</v>
      </c>
      <c r="B16" s="5">
        <v>0.24</v>
      </c>
      <c r="D16" s="3">
        <f t="shared" si="0"/>
        <v>530</v>
      </c>
      <c r="E16" s="3">
        <f t="shared" si="0"/>
        <v>1550</v>
      </c>
      <c r="F16" s="3">
        <f t="shared" si="0"/>
        <v>130</v>
      </c>
      <c r="H16" s="21">
        <f>SUM(D16:F16)</f>
        <v>2210</v>
      </c>
      <c r="I16" s="22" t="s">
        <v>8</v>
      </c>
    </row>
    <row r="17" spans="1:9">
      <c r="A17" s="22" t="s">
        <v>107</v>
      </c>
      <c r="B17" s="5">
        <v>0.16</v>
      </c>
      <c r="D17" s="3">
        <f t="shared" si="0"/>
        <v>350</v>
      </c>
      <c r="E17" s="3">
        <f t="shared" si="0"/>
        <v>1030</v>
      </c>
      <c r="F17" s="3">
        <f t="shared" si="0"/>
        <v>90</v>
      </c>
      <c r="H17" s="21">
        <f>SUM(D17:F17)</f>
        <v>1470</v>
      </c>
      <c r="I17" s="22" t="s">
        <v>8</v>
      </c>
    </row>
    <row r="18" spans="1:9">
      <c r="A18" t="s">
        <v>108</v>
      </c>
      <c r="B18" s="4" t="s">
        <v>109</v>
      </c>
    </row>
  </sheetData>
  <mergeCells count="8">
    <mergeCell ref="A7:C7"/>
    <mergeCell ref="F7:G7"/>
    <mergeCell ref="F12:G12"/>
    <mergeCell ref="D1:H1"/>
    <mergeCell ref="D2:H2"/>
    <mergeCell ref="A5:C5"/>
    <mergeCell ref="A6:C6"/>
    <mergeCell ref="F6:G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workbookViewId="0"/>
  </sheetViews>
  <sheetFormatPr defaultRowHeight="15"/>
  <cols>
    <col min="1" max="1" width="17.5703125"/>
    <col min="2" max="3" width="8.7109375"/>
    <col min="4" max="4" width="10.5703125"/>
    <col min="5" max="7" width="8.7109375"/>
    <col min="9" max="1025" width="8.7109375"/>
  </cols>
  <sheetData>
    <row r="1" spans="3:11">
      <c r="C1" s="3">
        <f>'Cell Numbers'!A4</f>
        <v>38500</v>
      </c>
      <c r="D1" s="100" t="s">
        <v>39</v>
      </c>
      <c r="E1" s="100"/>
      <c r="F1" s="100"/>
      <c r="G1" s="100"/>
      <c r="H1" s="100"/>
      <c r="I1" t="s">
        <v>8</v>
      </c>
    </row>
    <row r="2" spans="3:11">
      <c r="C2" s="5">
        <v>0.12</v>
      </c>
      <c r="D2" s="100" t="s">
        <v>110</v>
      </c>
      <c r="E2" s="100"/>
      <c r="F2" s="100"/>
      <c r="G2" s="100"/>
      <c r="H2" s="100"/>
      <c r="I2" s="4" t="s">
        <v>111</v>
      </c>
    </row>
    <row r="3" spans="3:11">
      <c r="C3" s="3">
        <v>4620</v>
      </c>
      <c r="D3" s="4" t="s">
        <v>112</v>
      </c>
      <c r="I3" t="s">
        <v>8</v>
      </c>
    </row>
    <row r="4" spans="3:11" s="4" customFormat="1">
      <c r="C4" s="5">
        <v>0.86</v>
      </c>
      <c r="D4" s="4" t="s">
        <v>113</v>
      </c>
      <c r="I4" s="4" t="s">
        <v>114</v>
      </c>
    </row>
    <row r="5" spans="3:11" s="4" customFormat="1">
      <c r="C5" s="5">
        <v>1</v>
      </c>
      <c r="D5" s="4" t="s">
        <v>115</v>
      </c>
      <c r="I5" s="4" t="s">
        <v>114</v>
      </c>
    </row>
    <row r="6" spans="3:11">
      <c r="C6" s="13">
        <f>ROUND(C3*C5/C4,-1)</f>
        <v>5370</v>
      </c>
      <c r="D6" s="4" t="s">
        <v>116</v>
      </c>
    </row>
    <row r="8" spans="3:11">
      <c r="C8" s="19" t="s">
        <v>117</v>
      </c>
      <c r="D8" s="3">
        <f>'PV Cells'!H15</f>
        <v>5530</v>
      </c>
      <c r="E8" t="s">
        <v>8</v>
      </c>
    </row>
    <row r="9" spans="3:11">
      <c r="C9" s="19" t="s">
        <v>118</v>
      </c>
      <c r="D9" s="3">
        <f>'Div. Table'!G17</f>
        <v>10440</v>
      </c>
      <c r="E9" t="s">
        <v>119</v>
      </c>
      <c r="I9" s="4" t="s">
        <v>120</v>
      </c>
    </row>
    <row r="10" spans="3:11">
      <c r="C10" s="19" t="s">
        <v>121</v>
      </c>
      <c r="D10" s="3">
        <f>D9*D8</f>
        <v>57733200</v>
      </c>
      <c r="E10" t="s">
        <v>8</v>
      </c>
      <c r="I10">
        <v>2</v>
      </c>
      <c r="J10">
        <v>1</v>
      </c>
      <c r="K10" s="4" t="s">
        <v>122</v>
      </c>
    </row>
    <row r="11" spans="3:11">
      <c r="C11" s="19" t="s">
        <v>123</v>
      </c>
      <c r="D11" s="3">
        <f>D10/I12</f>
        <v>36062571.91977077</v>
      </c>
      <c r="E11" s="4" t="s">
        <v>8</v>
      </c>
      <c r="I11">
        <v>13.1</v>
      </c>
      <c r="J11">
        <v>10.9</v>
      </c>
      <c r="K11" s="4" t="s">
        <v>124</v>
      </c>
    </row>
    <row r="12" spans="3:11">
      <c r="C12" s="19" t="s">
        <v>125</v>
      </c>
      <c r="D12" s="3">
        <v>10000</v>
      </c>
      <c r="E12" t="s">
        <v>119</v>
      </c>
      <c r="I12" s="26">
        <f>AVERAGE(2/1,13.1/10.9)</f>
        <v>1.6009174311926606</v>
      </c>
      <c r="J12" s="2">
        <v>1</v>
      </c>
      <c r="K12" s="2" t="s">
        <v>126</v>
      </c>
    </row>
    <row r="13" spans="3:11">
      <c r="C13" s="19" t="s">
        <v>127</v>
      </c>
      <c r="D13" s="3">
        <f>ROUND(D11/D12,-1)</f>
        <v>3610</v>
      </c>
      <c r="E13" t="s">
        <v>8</v>
      </c>
    </row>
    <row r="15" spans="3:11">
      <c r="C15" s="19" t="s">
        <v>128</v>
      </c>
      <c r="D15" s="3">
        <f>C6-D13</f>
        <v>1760</v>
      </c>
    </row>
    <row r="18" spans="1:13">
      <c r="A18" s="99" t="s">
        <v>1</v>
      </c>
      <c r="B18" s="99"/>
      <c r="C18" s="99"/>
      <c r="D18" s="2" t="s">
        <v>13</v>
      </c>
      <c r="E18" s="2" t="s">
        <v>14</v>
      </c>
      <c r="F18" s="2" t="s">
        <v>15</v>
      </c>
      <c r="G18" s="2" t="s">
        <v>16</v>
      </c>
      <c r="H18" s="2" t="s">
        <v>12</v>
      </c>
      <c r="I18" s="2" t="s">
        <v>2</v>
      </c>
    </row>
    <row r="19" spans="1:13">
      <c r="A19" s="101" t="s">
        <v>129</v>
      </c>
      <c r="B19" s="101"/>
      <c r="C19" s="101"/>
      <c r="D19" s="17">
        <v>0.21299999999999999</v>
      </c>
      <c r="E19" s="17">
        <v>0.2</v>
      </c>
      <c r="F19" s="17">
        <v>0.36499999999999999</v>
      </c>
      <c r="G19" s="17">
        <v>0.222</v>
      </c>
      <c r="H19" s="17">
        <f>SUM(D19:G19)</f>
        <v>1</v>
      </c>
      <c r="I19" s="23" t="s">
        <v>130</v>
      </c>
    </row>
    <row r="20" spans="1:13">
      <c r="A20" s="101" t="s">
        <v>131</v>
      </c>
      <c r="B20" s="101"/>
      <c r="C20" s="101"/>
      <c r="D20" s="3">
        <f>D19*$C$6</f>
        <v>1143.81</v>
      </c>
      <c r="E20" s="3">
        <f>E19*$C$6</f>
        <v>1074</v>
      </c>
      <c r="F20" s="3">
        <f>F19*$C$6</f>
        <v>1960.05</v>
      </c>
      <c r="G20" s="3">
        <f>G19*$C$6</f>
        <v>1192.1400000000001</v>
      </c>
      <c r="H20" s="3">
        <f>SUM(D20:G20)</f>
        <v>5370</v>
      </c>
      <c r="I20" t="s">
        <v>8</v>
      </c>
    </row>
    <row r="21" spans="1:13">
      <c r="A21" s="19"/>
      <c r="B21" s="19"/>
      <c r="C21" s="19"/>
      <c r="D21" s="3"/>
      <c r="E21" s="3"/>
      <c r="F21" s="3"/>
      <c r="G21" s="3"/>
      <c r="H21" s="3"/>
    </row>
    <row r="22" spans="1:13">
      <c r="A22" s="19" t="s">
        <v>46</v>
      </c>
      <c r="B22" s="19"/>
      <c r="C22" s="19" t="s">
        <v>47</v>
      </c>
      <c r="D22" s="3"/>
      <c r="E22" s="3"/>
      <c r="F22" s="3"/>
      <c r="G22" s="3"/>
      <c r="H22" s="3"/>
      <c r="K22" s="13">
        <f>4060-3600</f>
        <v>460</v>
      </c>
    </row>
    <row r="23" spans="1:13">
      <c r="A23" t="s">
        <v>132</v>
      </c>
      <c r="C23" s="19" t="s">
        <v>133</v>
      </c>
      <c r="D23" s="27">
        <v>0.317</v>
      </c>
      <c r="E23" s="27">
        <v>0.124</v>
      </c>
      <c r="F23" s="27">
        <v>0.25900000000000001</v>
      </c>
      <c r="G23" s="27">
        <v>0.25900000000000001</v>
      </c>
      <c r="H23" s="27">
        <v>0.22800000000000001</v>
      </c>
      <c r="I23" s="4" t="s">
        <v>134</v>
      </c>
    </row>
    <row r="24" spans="1:13">
      <c r="A24" t="s">
        <v>132</v>
      </c>
      <c r="C24" s="19" t="s">
        <v>135</v>
      </c>
      <c r="D24" s="27">
        <v>0.27</v>
      </c>
      <c r="E24" s="27">
        <v>0.219</v>
      </c>
      <c r="F24" s="27">
        <v>4.2999999999999997E-2</v>
      </c>
      <c r="G24" s="27">
        <v>4.2999999999999997E-2</v>
      </c>
      <c r="H24" s="27">
        <v>0.107</v>
      </c>
      <c r="I24" s="4" t="s">
        <v>134</v>
      </c>
    </row>
    <row r="25" spans="1:13">
      <c r="A25" t="s">
        <v>132</v>
      </c>
      <c r="C25" s="19" t="s">
        <v>136</v>
      </c>
      <c r="D25" s="27">
        <v>0.124</v>
      </c>
      <c r="E25" s="27">
        <v>0.16200000000000001</v>
      </c>
      <c r="F25" s="27">
        <v>0.41599999999999998</v>
      </c>
      <c r="G25" s="27">
        <v>0.41599999999999998</v>
      </c>
      <c r="H25" s="27">
        <v>0.27100000000000002</v>
      </c>
      <c r="I25" s="4" t="s">
        <v>134</v>
      </c>
    </row>
    <row r="26" spans="1:13">
      <c r="A26" t="s">
        <v>132</v>
      </c>
      <c r="C26" s="19" t="s">
        <v>137</v>
      </c>
      <c r="D26" s="27">
        <f>1-SUM(D23:D25)</f>
        <v>0.28900000000000003</v>
      </c>
      <c r="E26" s="27">
        <f>1-SUM(E23:E25)</f>
        <v>0.495</v>
      </c>
      <c r="F26" s="27">
        <f>1-SUM(F23:F25)</f>
        <v>0.28200000000000003</v>
      </c>
      <c r="G26" s="27">
        <f>1-SUM(G23:G25)</f>
        <v>0.28200000000000003</v>
      </c>
      <c r="H26" s="27">
        <f>1-SUM(H23:H25)</f>
        <v>0.39399999999999991</v>
      </c>
      <c r="I26" t="s">
        <v>8</v>
      </c>
    </row>
    <row r="27" spans="1:13">
      <c r="C27" s="19"/>
      <c r="D27" s="27"/>
      <c r="E27" s="27"/>
      <c r="F27" s="27"/>
      <c r="G27" s="27"/>
      <c r="H27" s="28"/>
    </row>
    <row r="28" spans="1:13">
      <c r="C28" s="19" t="s">
        <v>138</v>
      </c>
      <c r="D28" s="3">
        <f t="shared" ref="D28:H31" si="0">D$20*D23</f>
        <v>362.58776999999998</v>
      </c>
      <c r="E28" s="3">
        <f t="shared" si="0"/>
        <v>133.17599999999999</v>
      </c>
      <c r="F28" s="3">
        <f t="shared" si="0"/>
        <v>507.65294999999998</v>
      </c>
      <c r="G28" s="3">
        <f t="shared" si="0"/>
        <v>308.76426000000004</v>
      </c>
      <c r="H28" s="3">
        <f t="shared" si="0"/>
        <v>1224.3600000000001</v>
      </c>
      <c r="I28" t="s">
        <v>8</v>
      </c>
      <c r="L28" s="19"/>
    </row>
    <row r="29" spans="1:13">
      <c r="C29" s="19" t="s">
        <v>139</v>
      </c>
      <c r="D29" s="3">
        <f t="shared" si="0"/>
        <v>308.82870000000003</v>
      </c>
      <c r="E29" s="3">
        <f t="shared" si="0"/>
        <v>235.20599999999999</v>
      </c>
      <c r="F29" s="3">
        <f t="shared" si="0"/>
        <v>84.282149999999987</v>
      </c>
      <c r="G29" s="3">
        <f t="shared" si="0"/>
        <v>51.26202</v>
      </c>
      <c r="H29" s="3">
        <f t="shared" si="0"/>
        <v>574.59</v>
      </c>
      <c r="I29" t="s">
        <v>8</v>
      </c>
      <c r="L29" s="19"/>
      <c r="M29" s="3"/>
    </row>
    <row r="30" spans="1:13">
      <c r="C30" s="19" t="s">
        <v>140</v>
      </c>
      <c r="D30" s="3">
        <f t="shared" si="0"/>
        <v>141.83243999999999</v>
      </c>
      <c r="E30" s="3">
        <f t="shared" si="0"/>
        <v>173.988</v>
      </c>
      <c r="F30" s="3">
        <f t="shared" si="0"/>
        <v>815.38079999999991</v>
      </c>
      <c r="G30" s="3">
        <f t="shared" si="0"/>
        <v>495.93024000000003</v>
      </c>
      <c r="H30" s="3">
        <f t="shared" si="0"/>
        <v>1455.2700000000002</v>
      </c>
      <c r="I30" t="s">
        <v>8</v>
      </c>
      <c r="L30" s="19"/>
      <c r="M30" s="3"/>
    </row>
    <row r="31" spans="1:13">
      <c r="C31" s="19" t="s">
        <v>141</v>
      </c>
      <c r="D31" s="3">
        <f t="shared" si="0"/>
        <v>330.56109000000004</v>
      </c>
      <c r="E31" s="3">
        <f t="shared" si="0"/>
        <v>531.63</v>
      </c>
      <c r="F31" s="3">
        <f t="shared" si="0"/>
        <v>552.73410000000001</v>
      </c>
      <c r="G31" s="3">
        <f t="shared" si="0"/>
        <v>336.18348000000009</v>
      </c>
      <c r="H31" s="3">
        <f t="shared" si="0"/>
        <v>2115.7799999999993</v>
      </c>
      <c r="I31" t="s">
        <v>8</v>
      </c>
      <c r="L31" s="19"/>
    </row>
    <row r="32" spans="1:13">
      <c r="D32" s="27"/>
      <c r="E32" s="27"/>
      <c r="F32" s="27"/>
      <c r="G32" s="27"/>
      <c r="H32" s="28"/>
    </row>
    <row r="33" spans="3:9">
      <c r="C33" s="29" t="s">
        <v>28</v>
      </c>
      <c r="D33" s="30">
        <f>SUM(D34:D36)</f>
        <v>780</v>
      </c>
      <c r="E33" s="30">
        <f>SUM(E34:E36)</f>
        <v>940</v>
      </c>
      <c r="F33" s="30">
        <f>SUM(F34:F36)</f>
        <v>1170</v>
      </c>
      <c r="G33" s="30">
        <f>SUM(G34:G36)</f>
        <v>710</v>
      </c>
      <c r="H33" s="30">
        <f t="shared" ref="H33:H50" si="1">SUM(D33:G33)</f>
        <v>3600</v>
      </c>
      <c r="I33" s="22" t="s">
        <v>8</v>
      </c>
    </row>
    <row r="34" spans="3:9">
      <c r="C34" s="20" t="s">
        <v>142</v>
      </c>
      <c r="D34" s="21">
        <f t="shared" ref="D34:G35" si="2">ROUND(D29,-1)</f>
        <v>310</v>
      </c>
      <c r="E34" s="21">
        <f t="shared" si="2"/>
        <v>240</v>
      </c>
      <c r="F34" s="21">
        <f t="shared" si="2"/>
        <v>80</v>
      </c>
      <c r="G34" s="21">
        <f t="shared" si="2"/>
        <v>50</v>
      </c>
      <c r="H34" s="21">
        <f t="shared" si="1"/>
        <v>680</v>
      </c>
      <c r="I34" s="22" t="s">
        <v>8</v>
      </c>
    </row>
    <row r="35" spans="3:9">
      <c r="C35" s="20" t="s">
        <v>143</v>
      </c>
      <c r="D35" s="21">
        <f t="shared" si="2"/>
        <v>140</v>
      </c>
      <c r="E35" s="21">
        <f t="shared" si="2"/>
        <v>170</v>
      </c>
      <c r="F35" s="21">
        <f t="shared" si="2"/>
        <v>820</v>
      </c>
      <c r="G35" s="21">
        <f t="shared" si="2"/>
        <v>500</v>
      </c>
      <c r="H35" s="21">
        <f t="shared" si="1"/>
        <v>1630</v>
      </c>
      <c r="I35" s="22" t="s">
        <v>8</v>
      </c>
    </row>
    <row r="36" spans="3:9">
      <c r="C36" s="20" t="s">
        <v>144</v>
      </c>
      <c r="D36" s="21">
        <f>ROUND(D31,-1)</f>
        <v>330</v>
      </c>
      <c r="E36" s="21">
        <f>ROUND(E31,-1)</f>
        <v>530</v>
      </c>
      <c r="F36" s="21">
        <v>270</v>
      </c>
      <c r="G36" s="21">
        <v>160</v>
      </c>
      <c r="H36" s="21">
        <f t="shared" si="1"/>
        <v>1290</v>
      </c>
      <c r="I36" s="22" t="s">
        <v>8</v>
      </c>
    </row>
    <row r="37" spans="3:9">
      <c r="C37" s="29" t="s">
        <v>30</v>
      </c>
      <c r="D37" s="30">
        <v>0</v>
      </c>
      <c r="E37" s="30">
        <v>0</v>
      </c>
      <c r="F37" s="30">
        <f>SUM(F38:F40)</f>
        <v>400</v>
      </c>
      <c r="G37" s="30">
        <v>0</v>
      </c>
      <c r="H37" s="30">
        <f t="shared" si="1"/>
        <v>400</v>
      </c>
      <c r="I37" s="22" t="s">
        <v>8</v>
      </c>
    </row>
    <row r="38" spans="3:9">
      <c r="C38" s="20" t="s">
        <v>145</v>
      </c>
      <c r="D38" s="21">
        <v>0</v>
      </c>
      <c r="E38" s="21">
        <v>0</v>
      </c>
      <c r="F38" s="21">
        <f>ROUND(F28/2,-1)+10</f>
        <v>260</v>
      </c>
      <c r="G38" s="21">
        <v>0</v>
      </c>
      <c r="H38" s="21">
        <f t="shared" si="1"/>
        <v>260</v>
      </c>
      <c r="I38" s="22" t="s">
        <v>8</v>
      </c>
    </row>
    <row r="39" spans="3:9">
      <c r="C39" s="20" t="s">
        <v>143</v>
      </c>
      <c r="D39" s="21">
        <v>0</v>
      </c>
      <c r="E39" s="21">
        <v>0</v>
      </c>
      <c r="F39" s="21">
        <v>0</v>
      </c>
      <c r="G39" s="21">
        <v>0</v>
      </c>
      <c r="H39" s="21">
        <f t="shared" si="1"/>
        <v>0</v>
      </c>
      <c r="I39" s="22" t="s">
        <v>8</v>
      </c>
    </row>
    <row r="40" spans="3:9">
      <c r="C40" s="20" t="s">
        <v>144</v>
      </c>
      <c r="D40" s="21">
        <v>0</v>
      </c>
      <c r="E40" s="21">
        <v>0</v>
      </c>
      <c r="F40" s="21">
        <f>ROUND((F31-F36)/2,-1)</f>
        <v>140</v>
      </c>
      <c r="G40" s="21">
        <v>0</v>
      </c>
      <c r="H40" s="21">
        <f t="shared" si="1"/>
        <v>140</v>
      </c>
      <c r="I40" s="22" t="s">
        <v>8</v>
      </c>
    </row>
    <row r="41" spans="3:9">
      <c r="C41" s="29" t="s">
        <v>29</v>
      </c>
      <c r="D41" s="30">
        <v>0</v>
      </c>
      <c r="E41" s="30">
        <v>0</v>
      </c>
      <c r="F41" s="30">
        <f>SUM(F42:F44)</f>
        <v>390</v>
      </c>
      <c r="G41" s="30">
        <v>0</v>
      </c>
      <c r="H41" s="30">
        <f t="shared" si="1"/>
        <v>390</v>
      </c>
      <c r="I41" s="22" t="s">
        <v>8</v>
      </c>
    </row>
    <row r="42" spans="3:9">
      <c r="C42" s="20" t="s">
        <v>145</v>
      </c>
      <c r="D42" s="21">
        <v>0</v>
      </c>
      <c r="E42" s="21">
        <v>0</v>
      </c>
      <c r="F42" s="21">
        <f>ROUND(F28/2,-1)</f>
        <v>250</v>
      </c>
      <c r="G42" s="21">
        <v>0</v>
      </c>
      <c r="H42" s="21">
        <f t="shared" si="1"/>
        <v>250</v>
      </c>
      <c r="I42" s="22" t="s">
        <v>8</v>
      </c>
    </row>
    <row r="43" spans="3:9">
      <c r="C43" s="20" t="s">
        <v>143</v>
      </c>
      <c r="D43" s="21">
        <v>0</v>
      </c>
      <c r="E43" s="21">
        <v>0</v>
      </c>
      <c r="F43" s="21">
        <v>0</v>
      </c>
      <c r="G43" s="21">
        <v>0</v>
      </c>
      <c r="H43" s="21">
        <f t="shared" si="1"/>
        <v>0</v>
      </c>
      <c r="I43" s="22" t="s">
        <v>8</v>
      </c>
    </row>
    <row r="44" spans="3:9">
      <c r="C44" s="20" t="s">
        <v>144</v>
      </c>
      <c r="D44" s="21">
        <v>0</v>
      </c>
      <c r="E44" s="21">
        <v>0</v>
      </c>
      <c r="F44" s="21">
        <f>ROUND((F31-F36)/2,-1)</f>
        <v>140</v>
      </c>
      <c r="G44" s="21">
        <v>0</v>
      </c>
      <c r="H44" s="21">
        <f t="shared" si="1"/>
        <v>140</v>
      </c>
      <c r="I44" s="22" t="s">
        <v>8</v>
      </c>
    </row>
    <row r="45" spans="3:9">
      <c r="C45" s="29" t="s">
        <v>31</v>
      </c>
      <c r="D45" s="30">
        <v>0</v>
      </c>
      <c r="E45" s="30">
        <v>0</v>
      </c>
      <c r="F45" s="30">
        <v>0</v>
      </c>
      <c r="G45" s="30">
        <f>SUM(G46:G48)</f>
        <v>490</v>
      </c>
      <c r="H45" s="30">
        <f t="shared" si="1"/>
        <v>490</v>
      </c>
      <c r="I45" s="22" t="s">
        <v>8</v>
      </c>
    </row>
    <row r="46" spans="3:9">
      <c r="C46" s="20" t="s">
        <v>145</v>
      </c>
      <c r="D46" s="21">
        <v>0</v>
      </c>
      <c r="E46" s="21">
        <v>0</v>
      </c>
      <c r="F46" s="21">
        <v>0</v>
      </c>
      <c r="G46" s="21">
        <f>ROUND(G28,-1)</f>
        <v>310</v>
      </c>
      <c r="H46" s="21">
        <f t="shared" si="1"/>
        <v>310</v>
      </c>
      <c r="I46" s="22" t="s">
        <v>8</v>
      </c>
    </row>
    <row r="47" spans="3:9">
      <c r="C47" s="20" t="s">
        <v>143</v>
      </c>
      <c r="D47" s="21"/>
      <c r="E47" s="21"/>
      <c r="F47" s="21"/>
      <c r="G47" s="21">
        <v>0</v>
      </c>
      <c r="H47" s="21">
        <f t="shared" si="1"/>
        <v>0</v>
      </c>
      <c r="I47" s="22" t="s">
        <v>8</v>
      </c>
    </row>
    <row r="48" spans="3:9">
      <c r="C48" s="20" t="s">
        <v>144</v>
      </c>
      <c r="D48" s="21">
        <v>0</v>
      </c>
      <c r="E48" s="21">
        <v>0</v>
      </c>
      <c r="F48" s="21">
        <v>0</v>
      </c>
      <c r="G48" s="21">
        <f>ROUND(G31-G36,-1)</f>
        <v>180</v>
      </c>
      <c r="H48" s="21">
        <f t="shared" si="1"/>
        <v>180</v>
      </c>
      <c r="I48" s="22" t="s">
        <v>8</v>
      </c>
    </row>
    <row r="49" spans="3:9">
      <c r="C49" s="29" t="s">
        <v>146</v>
      </c>
      <c r="D49" s="30">
        <f>D50</f>
        <v>360</v>
      </c>
      <c r="E49" s="30">
        <f>E50</f>
        <v>130</v>
      </c>
      <c r="F49" s="30">
        <v>0</v>
      </c>
      <c r="G49" s="30">
        <v>0</v>
      </c>
      <c r="H49" s="30">
        <f t="shared" si="1"/>
        <v>490</v>
      </c>
      <c r="I49" s="22" t="s">
        <v>8</v>
      </c>
    </row>
    <row r="50" spans="3:9">
      <c r="C50" s="20" t="s">
        <v>145</v>
      </c>
      <c r="D50" s="21">
        <f>ROUND(D28,-1)</f>
        <v>360</v>
      </c>
      <c r="E50" s="21">
        <f>ROUND(E28,-1)</f>
        <v>130</v>
      </c>
      <c r="F50" s="21">
        <v>0</v>
      </c>
      <c r="G50" s="21">
        <v>0</v>
      </c>
      <c r="H50" s="21">
        <f t="shared" si="1"/>
        <v>490</v>
      </c>
      <c r="I50" s="22" t="s">
        <v>8</v>
      </c>
    </row>
    <row r="51" spans="3:9">
      <c r="C51" s="31" t="s">
        <v>12</v>
      </c>
      <c r="D51" s="30">
        <f>SUM(D33,D37,D41,D45,D49)</f>
        <v>1140</v>
      </c>
      <c r="E51" s="30">
        <f>SUM(E33,E37,E41,E45,E49)</f>
        <v>1070</v>
      </c>
      <c r="F51" s="30">
        <f>SUM(F33,F37,F41,F45,F49)</f>
        <v>1960</v>
      </c>
      <c r="G51" s="30">
        <f>SUM(G33,G37,G41,G45,G49)</f>
        <v>1200</v>
      </c>
      <c r="H51" s="30">
        <f>SUM(H33,H37,H41,H45,H49)</f>
        <v>5370</v>
      </c>
      <c r="I51" s="22" t="s">
        <v>8</v>
      </c>
    </row>
  </sheetData>
  <mergeCells count="5">
    <mergeCell ref="D1:H1"/>
    <mergeCell ref="D2:H2"/>
    <mergeCell ref="A18:C18"/>
    <mergeCell ref="A19:C19"/>
    <mergeCell ref="A20:C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Normal="100" workbookViewId="0"/>
  </sheetViews>
  <sheetFormatPr defaultRowHeight="15"/>
  <cols>
    <col min="1" max="1" width="11.7109375"/>
    <col min="2" max="2" width="8.7109375"/>
    <col min="3" max="3" width="15.140625"/>
    <col min="4" max="4" width="8.7109375"/>
    <col min="5" max="5" width="9.42578125"/>
    <col min="6" max="1025" width="8.7109375"/>
  </cols>
  <sheetData>
    <row r="1" spans="1:9">
      <c r="C1" s="3">
        <f>'Cell Numbers'!A4</f>
        <v>38500</v>
      </c>
      <c r="D1" s="100" t="s">
        <v>39</v>
      </c>
      <c r="E1" s="100"/>
      <c r="F1" s="100"/>
      <c r="G1" s="100"/>
      <c r="H1" s="100"/>
      <c r="I1" t="s">
        <v>8</v>
      </c>
    </row>
    <row r="2" spans="1:9">
      <c r="C2" s="5">
        <v>0.42</v>
      </c>
      <c r="D2" s="100" t="s">
        <v>40</v>
      </c>
      <c r="E2" s="100"/>
      <c r="F2" s="100"/>
      <c r="G2" s="100"/>
      <c r="H2" s="100"/>
      <c r="I2" s="4" t="s">
        <v>41</v>
      </c>
    </row>
    <row r="3" spans="1:9">
      <c r="C3" s="3">
        <f>C2*C1</f>
        <v>16170</v>
      </c>
      <c r="D3" s="100" t="s">
        <v>147</v>
      </c>
      <c r="E3" s="100"/>
      <c r="F3" s="100"/>
      <c r="G3" s="100"/>
      <c r="H3" s="100"/>
      <c r="I3" t="s">
        <v>8</v>
      </c>
    </row>
    <row r="4" spans="1:9">
      <c r="C4" s="5">
        <v>0.98</v>
      </c>
      <c r="D4" s="100" t="s">
        <v>42</v>
      </c>
      <c r="E4" s="100"/>
      <c r="F4" s="100"/>
      <c r="G4" s="100"/>
      <c r="H4" s="100"/>
      <c r="I4" s="4" t="s">
        <v>41</v>
      </c>
    </row>
    <row r="5" spans="1:9">
      <c r="C5" s="3">
        <f>C3/C4</f>
        <v>16500</v>
      </c>
      <c r="D5" s="24" t="s">
        <v>44</v>
      </c>
      <c r="E5" s="24"/>
      <c r="F5" s="24"/>
      <c r="G5" s="24"/>
      <c r="H5" s="24"/>
      <c r="I5" t="s">
        <v>8</v>
      </c>
    </row>
    <row r="6" spans="1:9">
      <c r="C6" s="3"/>
    </row>
    <row r="7" spans="1:9">
      <c r="A7" s="99" t="s">
        <v>1</v>
      </c>
      <c r="B7" s="99"/>
      <c r="C7" s="99"/>
      <c r="D7" s="2" t="s">
        <v>13</v>
      </c>
      <c r="E7" s="2" t="s">
        <v>14</v>
      </c>
      <c r="F7" s="2" t="s">
        <v>15</v>
      </c>
      <c r="G7" s="2" t="s">
        <v>16</v>
      </c>
      <c r="H7" s="2" t="s">
        <v>12</v>
      </c>
      <c r="I7" s="2" t="s">
        <v>2</v>
      </c>
    </row>
    <row r="8" spans="1:9">
      <c r="A8" s="101" t="s">
        <v>45</v>
      </c>
      <c r="B8" s="101"/>
      <c r="C8" s="101"/>
      <c r="D8" s="17">
        <v>0.14000000000000001</v>
      </c>
      <c r="E8" s="17">
        <v>0.35</v>
      </c>
      <c r="F8" s="17">
        <v>0.22</v>
      </c>
      <c r="G8" s="17">
        <v>0.28999999999999998</v>
      </c>
      <c r="H8" s="17">
        <f>SUM(D8:G8)</f>
        <v>1</v>
      </c>
      <c r="I8" s="17" t="s">
        <v>41</v>
      </c>
    </row>
    <row r="9" spans="1:9">
      <c r="A9" s="101" t="s">
        <v>44</v>
      </c>
      <c r="B9" s="101"/>
      <c r="C9" s="101"/>
      <c r="D9" s="3">
        <f>D8*$C$5</f>
        <v>2310</v>
      </c>
      <c r="E9" s="3">
        <f>E8*$C$5</f>
        <v>5775</v>
      </c>
      <c r="F9" s="3">
        <f>F8*$C$5</f>
        <v>3630</v>
      </c>
      <c r="G9" s="3">
        <f>G8*$C$5</f>
        <v>4785</v>
      </c>
      <c r="H9" s="3">
        <f>SUM(D9:G9)</f>
        <v>16500</v>
      </c>
      <c r="I9" t="s">
        <v>8</v>
      </c>
    </row>
    <row r="10" spans="1:9">
      <c r="A10" s="19"/>
      <c r="B10" s="19"/>
      <c r="C10" s="19"/>
      <c r="D10" s="3"/>
      <c r="E10" s="3"/>
      <c r="F10" s="3"/>
      <c r="G10" s="3"/>
      <c r="H10" s="3"/>
    </row>
    <row r="11" spans="1:9">
      <c r="C11" s="19" t="s">
        <v>148</v>
      </c>
      <c r="D11" s="3"/>
      <c r="E11" s="3"/>
      <c r="F11" s="3"/>
      <c r="G11" s="3"/>
      <c r="H11" s="3"/>
    </row>
    <row r="12" spans="1:9">
      <c r="C12" s="19" t="s">
        <v>149</v>
      </c>
      <c r="D12" s="3" t="s">
        <v>13</v>
      </c>
      <c r="E12" s="3" t="s">
        <v>14</v>
      </c>
      <c r="F12" s="3" t="s">
        <v>15</v>
      </c>
      <c r="G12" s="3" t="s">
        <v>16</v>
      </c>
      <c r="H12" s="3" t="s">
        <v>150</v>
      </c>
    </row>
    <row r="13" spans="1:9">
      <c r="C13" s="19" t="s">
        <v>151</v>
      </c>
      <c r="D13" s="3">
        <v>3.6</v>
      </c>
      <c r="E13" s="3">
        <v>2.8</v>
      </c>
      <c r="F13" s="3">
        <v>1.3</v>
      </c>
      <c r="G13" s="3">
        <v>0</v>
      </c>
      <c r="H13" s="3">
        <v>2</v>
      </c>
      <c r="I13" s="4" t="s">
        <v>41</v>
      </c>
    </row>
    <row r="14" spans="1:9">
      <c r="C14" s="19" t="s">
        <v>152</v>
      </c>
      <c r="D14" s="3">
        <v>42.8</v>
      </c>
      <c r="E14" s="3">
        <v>43.1</v>
      </c>
      <c r="F14" s="3">
        <v>47.6</v>
      </c>
      <c r="G14" s="3">
        <v>49.4</v>
      </c>
      <c r="H14" s="3">
        <v>45.9</v>
      </c>
      <c r="I14" s="4" t="s">
        <v>41</v>
      </c>
    </row>
    <row r="15" spans="1:9">
      <c r="C15" s="19" t="s">
        <v>153</v>
      </c>
      <c r="D15" s="3">
        <v>0</v>
      </c>
      <c r="E15" s="3">
        <v>0.8</v>
      </c>
      <c r="F15" s="3">
        <v>3.3</v>
      </c>
      <c r="G15" s="3">
        <v>0.8</v>
      </c>
      <c r="H15" s="3">
        <v>1.3</v>
      </c>
      <c r="I15" s="4" t="s">
        <v>41</v>
      </c>
    </row>
    <row r="16" spans="1:9">
      <c r="C16" s="19" t="s">
        <v>154</v>
      </c>
      <c r="D16" s="3">
        <v>0</v>
      </c>
      <c r="E16" s="3">
        <v>3.4</v>
      </c>
      <c r="F16" s="3">
        <v>3.4</v>
      </c>
      <c r="G16" s="3">
        <v>2.8</v>
      </c>
      <c r="H16" s="3">
        <v>2.8</v>
      </c>
      <c r="I16" s="4" t="s">
        <v>41</v>
      </c>
    </row>
    <row r="17" spans="3:9">
      <c r="C17" s="19" t="s">
        <v>155</v>
      </c>
      <c r="D17" s="3">
        <v>28</v>
      </c>
      <c r="E17" s="3">
        <v>15.9</v>
      </c>
      <c r="F17" s="3">
        <v>8.6999999999999993</v>
      </c>
      <c r="G17" s="3">
        <v>8.4</v>
      </c>
      <c r="H17" s="3">
        <v>13.5</v>
      </c>
      <c r="I17" s="4" t="s">
        <v>41</v>
      </c>
    </row>
    <row r="18" spans="3:9">
      <c r="C18" s="19" t="s">
        <v>156</v>
      </c>
      <c r="D18" s="3">
        <v>2.9</v>
      </c>
      <c r="E18" s="3">
        <v>1.3</v>
      </c>
      <c r="F18" s="3">
        <v>0</v>
      </c>
      <c r="G18" s="3">
        <v>0</v>
      </c>
      <c r="H18" s="3">
        <v>0.9</v>
      </c>
      <c r="I18" s="4" t="s">
        <v>41</v>
      </c>
    </row>
    <row r="19" spans="3:9">
      <c r="C19" s="19" t="s">
        <v>157</v>
      </c>
      <c r="D19" s="3">
        <v>1.8</v>
      </c>
      <c r="E19" s="3">
        <v>0.8</v>
      </c>
      <c r="F19" s="3">
        <v>1.2</v>
      </c>
      <c r="G19" s="3">
        <v>0</v>
      </c>
      <c r="H19" s="3">
        <v>1</v>
      </c>
      <c r="I19" s="4" t="s">
        <v>41</v>
      </c>
    </row>
    <row r="20" spans="3:9">
      <c r="C20" s="19" t="s">
        <v>158</v>
      </c>
      <c r="D20" s="3">
        <v>9.6</v>
      </c>
      <c r="E20" s="3">
        <v>3.8</v>
      </c>
      <c r="F20" s="3">
        <v>11.1</v>
      </c>
      <c r="G20" s="3">
        <v>8</v>
      </c>
      <c r="H20" s="3">
        <v>7.4</v>
      </c>
      <c r="I20" s="4" t="s">
        <v>41</v>
      </c>
    </row>
    <row r="21" spans="3:9">
      <c r="C21" s="19" t="s">
        <v>159</v>
      </c>
      <c r="D21" s="3">
        <v>0</v>
      </c>
      <c r="E21" s="3">
        <v>0.7</v>
      </c>
      <c r="F21" s="3">
        <v>4.4000000000000004</v>
      </c>
      <c r="G21" s="3">
        <v>8.6999999999999993</v>
      </c>
      <c r="H21" s="3">
        <v>3.7</v>
      </c>
      <c r="I21" s="4" t="s">
        <v>41</v>
      </c>
    </row>
    <row r="22" spans="3:9">
      <c r="C22" s="19" t="s">
        <v>160</v>
      </c>
      <c r="D22" s="3">
        <v>0</v>
      </c>
      <c r="E22" s="3">
        <v>0</v>
      </c>
      <c r="F22" s="3">
        <v>0</v>
      </c>
      <c r="G22" s="3">
        <v>0.8</v>
      </c>
      <c r="H22" s="3">
        <v>0.2</v>
      </c>
      <c r="I22" s="4" t="s">
        <v>41</v>
      </c>
    </row>
    <row r="23" spans="3:9">
      <c r="C23" s="19" t="s">
        <v>161</v>
      </c>
      <c r="D23" s="3">
        <v>4.0999999999999996</v>
      </c>
      <c r="E23" s="3">
        <v>7.7</v>
      </c>
      <c r="F23" s="3">
        <v>9.4</v>
      </c>
      <c r="G23" s="3">
        <v>9.3000000000000007</v>
      </c>
      <c r="H23" s="3">
        <v>8</v>
      </c>
      <c r="I23" s="4" t="s">
        <v>41</v>
      </c>
    </row>
    <row r="24" spans="3:9">
      <c r="C24" s="19" t="s">
        <v>162</v>
      </c>
      <c r="D24" s="3">
        <v>4.8</v>
      </c>
      <c r="E24" s="3">
        <v>5.4</v>
      </c>
      <c r="F24" s="3">
        <v>2.7</v>
      </c>
      <c r="G24" s="3">
        <v>2.4</v>
      </c>
      <c r="H24" s="3">
        <v>3.8</v>
      </c>
      <c r="I24" s="4" t="s">
        <v>41</v>
      </c>
    </row>
    <row r="25" spans="3:9">
      <c r="C25" s="19" t="s">
        <v>163</v>
      </c>
      <c r="D25" s="3">
        <v>0</v>
      </c>
      <c r="E25" s="3">
        <v>2</v>
      </c>
      <c r="F25" s="3">
        <v>0</v>
      </c>
      <c r="G25" s="3">
        <v>0</v>
      </c>
      <c r="H25" s="3">
        <v>0.8</v>
      </c>
      <c r="I25" s="4" t="s">
        <v>41</v>
      </c>
    </row>
    <row r="26" spans="3:9">
      <c r="C26" s="19" t="s">
        <v>164</v>
      </c>
      <c r="D26" s="3">
        <v>0</v>
      </c>
      <c r="E26" s="3">
        <v>4.4000000000000004</v>
      </c>
      <c r="F26" s="3">
        <v>4.5</v>
      </c>
      <c r="G26" s="3">
        <v>9.1999999999999993</v>
      </c>
      <c r="H26" s="3">
        <v>5.0999999999999996</v>
      </c>
      <c r="I26" s="4" t="s">
        <v>41</v>
      </c>
    </row>
    <row r="27" spans="3:9">
      <c r="C27" s="19" t="s">
        <v>165</v>
      </c>
      <c r="D27" s="3">
        <v>2.4</v>
      </c>
      <c r="E27" s="3">
        <v>7.8</v>
      </c>
      <c r="F27" s="3">
        <v>2.2999999999999998</v>
      </c>
      <c r="G27" s="3">
        <v>0</v>
      </c>
      <c r="H27" s="3">
        <v>3.6</v>
      </c>
      <c r="I27" s="4" t="s">
        <v>41</v>
      </c>
    </row>
    <row r="28" spans="3:9" ht="15.75">
      <c r="C28" s="32"/>
      <c r="D28" s="33"/>
      <c r="E28" s="33"/>
      <c r="F28" s="33"/>
      <c r="G28" s="33"/>
      <c r="H28" s="33"/>
    </row>
    <row r="29" spans="3:9">
      <c r="C29" s="19" t="s">
        <v>166</v>
      </c>
      <c r="D29" s="3">
        <f>SUM(D14,D17,D20:D21,D23:D24,D26:D27)</f>
        <v>91.699999999999989</v>
      </c>
      <c r="E29" s="3">
        <f>SUM(E14,E17,E20:E21,E23:E24,E26:E27)</f>
        <v>88.800000000000011</v>
      </c>
      <c r="F29" s="3">
        <f>SUM(F14,F17,F20:F21,F23:F24,F26:F27)</f>
        <v>90.7</v>
      </c>
      <c r="G29" s="3">
        <f>SUM(G14,G17,G20:G21,G23:G24,G26:G27)</f>
        <v>95.4</v>
      </c>
      <c r="H29" s="3">
        <f>SUM(H14,H17,H20:H21,H23:H24,H26:H27)</f>
        <v>90.999999999999986</v>
      </c>
      <c r="I29" s="4" t="s">
        <v>8</v>
      </c>
    </row>
    <row r="30" spans="3:9">
      <c r="C30" s="19" t="s">
        <v>167</v>
      </c>
      <c r="D30" s="3">
        <f>SUM(D13,D17:D18,D23)</f>
        <v>38.6</v>
      </c>
      <c r="E30" s="3">
        <f>SUM(E13,E17:E18,E23)</f>
        <v>27.7</v>
      </c>
      <c r="F30" s="3">
        <f>SUM(F13,F17:F18,F23)</f>
        <v>19.399999999999999</v>
      </c>
      <c r="G30" s="3">
        <f>SUM(G13,G17:G18,G23)</f>
        <v>17.700000000000003</v>
      </c>
      <c r="H30" s="3">
        <f>SUM(H13,H17:H18,H23)</f>
        <v>24.4</v>
      </c>
      <c r="I30" s="4" t="s">
        <v>8</v>
      </c>
    </row>
    <row r="31" spans="3:9">
      <c r="C31" s="19" t="s">
        <v>157</v>
      </c>
      <c r="D31" s="3">
        <f>SUM(D19,D24:D25,D27)</f>
        <v>9</v>
      </c>
      <c r="E31" s="3">
        <f>SUM(E19,E24:E25,E27)</f>
        <v>16</v>
      </c>
      <c r="F31" s="3">
        <f>SUM(F19,F24:F25,F27)</f>
        <v>6.2</v>
      </c>
      <c r="G31" s="3">
        <f>SUM(G19,G24:G25,G27)</f>
        <v>2.4</v>
      </c>
      <c r="H31" s="3">
        <f>SUM(H19,H24:H25,H27)</f>
        <v>9.1999999999999993</v>
      </c>
      <c r="I31" s="4" t="s">
        <v>8</v>
      </c>
    </row>
    <row r="32" spans="3:9">
      <c r="C32" s="19" t="s">
        <v>168</v>
      </c>
      <c r="D32" s="3">
        <f>SUM(D16,D21:D22,D26)</f>
        <v>0</v>
      </c>
      <c r="E32" s="3">
        <f>SUM(E16,E21:E22,E26)</f>
        <v>8.5</v>
      </c>
      <c r="F32" s="3">
        <f>SUM(F16,F21:F22,F26)</f>
        <v>12.3</v>
      </c>
      <c r="G32" s="3">
        <f>SUM(G16,G21:G22,G26)</f>
        <v>21.5</v>
      </c>
      <c r="H32" s="3">
        <f>SUM(H16,H21:H22,H26)</f>
        <v>11.8</v>
      </c>
      <c r="I32" s="4" t="s">
        <v>8</v>
      </c>
    </row>
    <row r="33" spans="1:14">
      <c r="C33" s="19"/>
      <c r="D33" s="3"/>
      <c r="E33" s="3"/>
      <c r="F33" s="3"/>
      <c r="G33" s="3"/>
      <c r="H33" s="3"/>
      <c r="I33" s="4"/>
    </row>
    <row r="34" spans="1:14">
      <c r="C34" s="19" t="s">
        <v>169</v>
      </c>
      <c r="D34" s="3">
        <f>SUM(D17,D23)</f>
        <v>32.1</v>
      </c>
      <c r="E34" s="3">
        <f>SUM(E17,E23)</f>
        <v>23.6</v>
      </c>
      <c r="F34" s="3">
        <f>SUM(F17,F23)</f>
        <v>18.100000000000001</v>
      </c>
      <c r="G34" s="3">
        <f>SUM(G17,G23)</f>
        <v>17.700000000000003</v>
      </c>
      <c r="H34" s="3">
        <f>SUM(H17,H23)</f>
        <v>21.5</v>
      </c>
      <c r="I34" s="4" t="s">
        <v>8</v>
      </c>
    </row>
    <row r="35" spans="1:14">
      <c r="C35" s="19" t="s">
        <v>170</v>
      </c>
      <c r="D35" s="3">
        <f>SUM(D24,D27)</f>
        <v>7.1999999999999993</v>
      </c>
      <c r="E35" s="3">
        <f>SUM(E24,E27)</f>
        <v>13.2</v>
      </c>
      <c r="F35" s="3">
        <f>SUM(F24,F27)</f>
        <v>5</v>
      </c>
      <c r="G35" s="3">
        <f>SUM(G24,G27)</f>
        <v>2.4</v>
      </c>
      <c r="H35" s="3">
        <f>SUM(H24,H27)</f>
        <v>7.4</v>
      </c>
      <c r="I35" s="4" t="s">
        <v>8</v>
      </c>
    </row>
    <row r="36" spans="1:14">
      <c r="C36" s="19" t="s">
        <v>171</v>
      </c>
      <c r="D36" s="3">
        <f>SUM(D21,D26)</f>
        <v>0</v>
      </c>
      <c r="E36" s="3">
        <f>SUM(E21,E26)</f>
        <v>5.1000000000000005</v>
      </c>
      <c r="F36" s="3">
        <f>SUM(F21,F26)</f>
        <v>8.9</v>
      </c>
      <c r="G36" s="3">
        <f>SUM(G21,G26)</f>
        <v>17.899999999999999</v>
      </c>
      <c r="H36" s="3">
        <f>SUM(H21,H26)</f>
        <v>8.8000000000000007</v>
      </c>
      <c r="I36" s="4" t="s">
        <v>8</v>
      </c>
    </row>
    <row r="37" spans="1:14" s="4" customFormat="1">
      <c r="C37" s="19"/>
      <c r="D37" s="3"/>
      <c r="E37" s="3"/>
      <c r="F37" s="3"/>
      <c r="G37" s="3"/>
      <c r="H37" s="3"/>
    </row>
    <row r="38" spans="1:14" ht="15.75">
      <c r="C38" s="34" t="s">
        <v>172</v>
      </c>
      <c r="D38" s="33"/>
      <c r="E38" s="33"/>
      <c r="F38" s="33"/>
      <c r="G38" s="33"/>
      <c r="H38" s="33"/>
    </row>
    <row r="39" spans="1:14" s="4" customFormat="1" ht="15.75">
      <c r="A39" s="2" t="s">
        <v>173</v>
      </c>
      <c r="B39" s="2"/>
      <c r="C39" s="2" t="s">
        <v>174</v>
      </c>
      <c r="D39" s="33"/>
      <c r="E39" s="33"/>
      <c r="F39" s="33"/>
      <c r="G39" s="33"/>
      <c r="H39" s="33"/>
    </row>
    <row r="40" spans="1:14">
      <c r="B40" s="19" t="s">
        <v>169</v>
      </c>
      <c r="C40" s="35" t="s">
        <v>51</v>
      </c>
      <c r="D40" s="5">
        <f t="shared" ref="D40:H42" si="0">D34/D$29</f>
        <v>0.35005452562704475</v>
      </c>
      <c r="E40" s="5">
        <f t="shared" si="0"/>
        <v>0.26576576576576577</v>
      </c>
      <c r="F40" s="5">
        <f t="shared" si="0"/>
        <v>0.1995589856670342</v>
      </c>
      <c r="G40" s="5">
        <f t="shared" si="0"/>
        <v>0.18553459119496857</v>
      </c>
      <c r="H40" s="5">
        <f t="shared" si="0"/>
        <v>0.23626373626373631</v>
      </c>
      <c r="I40" s="4" t="s">
        <v>8</v>
      </c>
    </row>
    <row r="41" spans="1:14">
      <c r="B41" s="19" t="s">
        <v>170</v>
      </c>
      <c r="C41" s="35" t="s">
        <v>51</v>
      </c>
      <c r="D41" s="5">
        <f t="shared" si="0"/>
        <v>7.8516902944383862E-2</v>
      </c>
      <c r="E41" s="5">
        <f t="shared" si="0"/>
        <v>0.14864864864864863</v>
      </c>
      <c r="F41" s="5">
        <f t="shared" si="0"/>
        <v>5.5126791620727672E-2</v>
      </c>
      <c r="G41" s="5">
        <f t="shared" si="0"/>
        <v>2.5157232704402514E-2</v>
      </c>
      <c r="H41" s="5">
        <f t="shared" si="0"/>
        <v>8.1318681318681335E-2</v>
      </c>
      <c r="I41" s="4" t="s">
        <v>8</v>
      </c>
    </row>
    <row r="42" spans="1:14">
      <c r="B42" s="19" t="s">
        <v>171</v>
      </c>
      <c r="C42" s="35" t="s">
        <v>51</v>
      </c>
      <c r="D42" s="5">
        <f t="shared" si="0"/>
        <v>0</v>
      </c>
      <c r="E42" s="5">
        <f t="shared" si="0"/>
        <v>5.7432432432432429E-2</v>
      </c>
      <c r="F42" s="5">
        <f t="shared" si="0"/>
        <v>9.812568908489526E-2</v>
      </c>
      <c r="G42" s="5">
        <f t="shared" si="0"/>
        <v>0.18763102725366873</v>
      </c>
      <c r="H42" s="5">
        <f t="shared" si="0"/>
        <v>9.6703296703296721E-2</v>
      </c>
      <c r="I42" s="4" t="s">
        <v>8</v>
      </c>
    </row>
    <row r="43" spans="1:14">
      <c r="C43" s="35"/>
      <c r="D43" s="5"/>
      <c r="E43" s="5"/>
      <c r="F43" s="5"/>
      <c r="G43" s="5"/>
      <c r="H43" s="5"/>
      <c r="I43" s="4"/>
    </row>
    <row r="44" spans="1:14">
      <c r="B44" s="19" t="s">
        <v>169</v>
      </c>
      <c r="C44" s="35" t="s">
        <v>167</v>
      </c>
      <c r="D44" s="5">
        <f t="shared" ref="D44:H45" si="1">D34/D30</f>
        <v>0.83160621761658027</v>
      </c>
      <c r="E44" s="5">
        <f t="shared" si="1"/>
        <v>0.85198555956678712</v>
      </c>
      <c r="F44" s="5">
        <f t="shared" si="1"/>
        <v>0.93298969072164961</v>
      </c>
      <c r="G44" s="5">
        <f t="shared" si="1"/>
        <v>1</v>
      </c>
      <c r="H44" s="5">
        <f t="shared" si="1"/>
        <v>0.88114754098360659</v>
      </c>
      <c r="I44" s="4" t="s">
        <v>8</v>
      </c>
    </row>
    <row r="45" spans="1:14">
      <c r="B45" s="19" t="s">
        <v>170</v>
      </c>
      <c r="C45" s="35" t="s">
        <v>157</v>
      </c>
      <c r="D45" s="5">
        <f t="shared" si="1"/>
        <v>0.79999999999999993</v>
      </c>
      <c r="E45" s="5">
        <f t="shared" si="1"/>
        <v>0.82499999999999996</v>
      </c>
      <c r="F45" s="5">
        <f t="shared" si="1"/>
        <v>0.80645161290322576</v>
      </c>
      <c r="G45" s="5">
        <f t="shared" si="1"/>
        <v>1</v>
      </c>
      <c r="H45" s="5">
        <f t="shared" si="1"/>
        <v>0.80434782608695665</v>
      </c>
      <c r="I45" s="4" t="s">
        <v>8</v>
      </c>
    </row>
    <row r="46" spans="1:14">
      <c r="B46" s="19" t="s">
        <v>171</v>
      </c>
      <c r="C46" s="35" t="s">
        <v>168</v>
      </c>
      <c r="D46" s="5" t="s">
        <v>175</v>
      </c>
      <c r="E46" s="5">
        <f>E36/E32</f>
        <v>0.60000000000000009</v>
      </c>
      <c r="F46" s="5">
        <f>F36/F32</f>
        <v>0.72357723577235766</v>
      </c>
      <c r="G46" s="5">
        <f>G36/G32</f>
        <v>0.83255813953488367</v>
      </c>
      <c r="H46" s="5">
        <f>H36/H32</f>
        <v>0.74576271186440679</v>
      </c>
      <c r="I46" s="4" t="s">
        <v>8</v>
      </c>
    </row>
    <row r="48" spans="1:14">
      <c r="C48" s="36" t="s">
        <v>176</v>
      </c>
      <c r="D48" s="3">
        <f t="shared" ref="D48:H49" si="2">D$9*D40/D44</f>
        <v>972.36641221374066</v>
      </c>
      <c r="E48" s="3">
        <f t="shared" si="2"/>
        <v>1801.4358108108106</v>
      </c>
      <c r="F48" s="3">
        <f t="shared" si="2"/>
        <v>776.42778390297678</v>
      </c>
      <c r="G48" s="3">
        <f>G$9*G40/G44</f>
        <v>887.78301886792462</v>
      </c>
      <c r="H48" s="3">
        <f t="shared" si="2"/>
        <v>4424.1758241758253</v>
      </c>
      <c r="I48" t="s">
        <v>8</v>
      </c>
      <c r="K48" s="17"/>
      <c r="L48" s="3"/>
      <c r="M48" s="3"/>
      <c r="N48" s="3"/>
    </row>
    <row r="49" spans="1:14">
      <c r="C49" s="36" t="s">
        <v>177</v>
      </c>
      <c r="D49" s="3">
        <f t="shared" si="2"/>
        <v>226.71755725190843</v>
      </c>
      <c r="E49" s="3">
        <f t="shared" si="2"/>
        <v>1040.5405405405404</v>
      </c>
      <c r="F49" s="3">
        <f t="shared" si="2"/>
        <v>248.1367144432194</v>
      </c>
      <c r="G49" s="3">
        <f t="shared" si="2"/>
        <v>120.37735849056602</v>
      </c>
      <c r="H49" s="3">
        <f t="shared" si="2"/>
        <v>1668.1318681318683</v>
      </c>
      <c r="I49" t="s">
        <v>8</v>
      </c>
      <c r="K49" s="3"/>
      <c r="L49" s="3"/>
      <c r="M49" s="3"/>
      <c r="N49" s="3"/>
    </row>
    <row r="50" spans="1:14">
      <c r="C50" s="36" t="s">
        <v>178</v>
      </c>
      <c r="D50" s="3">
        <v>0</v>
      </c>
      <c r="E50" s="3">
        <f>E$9*E42/E46</f>
        <v>552.78716216216208</v>
      </c>
      <c r="F50" s="3">
        <f>F$9*F42/F46</f>
        <v>492.27122381477403</v>
      </c>
      <c r="G50" s="3">
        <f>G$9*G42/G46</f>
        <v>1078.3805031446539</v>
      </c>
      <c r="H50" s="3">
        <f>H$9*H42/H46</f>
        <v>2139.56043956044</v>
      </c>
      <c r="I50" t="s">
        <v>8</v>
      </c>
      <c r="K50" s="3"/>
      <c r="L50" s="3"/>
      <c r="M50" s="3"/>
      <c r="N50" s="3"/>
    </row>
    <row r="52" spans="1:14" s="4" customFormat="1">
      <c r="C52" s="34" t="s">
        <v>179</v>
      </c>
    </row>
    <row r="53" spans="1:14">
      <c r="C53" s="19" t="s">
        <v>180</v>
      </c>
      <c r="D53" s="3">
        <f>'SOM+ and Projection Cells'!D28</f>
        <v>190</v>
      </c>
    </row>
    <row r="54" spans="1:14">
      <c r="C54" s="19" t="s">
        <v>181</v>
      </c>
      <c r="D54" s="13">
        <f>'CCK Cells'!D34</f>
        <v>310</v>
      </c>
      <c r="E54" s="13">
        <f>'CCK Cells'!E34</f>
        <v>240</v>
      </c>
      <c r="F54" s="13">
        <f>'CCK Cells'!F34</f>
        <v>80</v>
      </c>
      <c r="G54" s="13">
        <f>'CCK Cells'!G34</f>
        <v>50</v>
      </c>
    </row>
    <row r="55" spans="1:14" s="4" customFormat="1">
      <c r="C55" s="19"/>
    </row>
    <row r="56" spans="1:14">
      <c r="A56" s="4" t="s">
        <v>182</v>
      </c>
      <c r="C56" t="s">
        <v>10</v>
      </c>
      <c r="D56" t="s">
        <v>13</v>
      </c>
      <c r="E56" t="s">
        <v>14</v>
      </c>
      <c r="F56" t="s">
        <v>15</v>
      </c>
      <c r="G56" t="s">
        <v>16</v>
      </c>
      <c r="H56" t="s">
        <v>12</v>
      </c>
    </row>
    <row r="57" spans="1:14">
      <c r="A57" s="4" t="s">
        <v>167</v>
      </c>
      <c r="C57" s="22" t="s">
        <v>183</v>
      </c>
      <c r="D57" s="21">
        <f>D48-D53</f>
        <v>782.36641221374066</v>
      </c>
      <c r="E57" s="21">
        <f>E48</f>
        <v>1801.4358108108106</v>
      </c>
      <c r="F57" s="21">
        <f>F48</f>
        <v>776.42778390297678</v>
      </c>
      <c r="G57" s="21">
        <f>G48</f>
        <v>887.78301886792462</v>
      </c>
      <c r="H57" s="21">
        <f>SUM(D57:G57)</f>
        <v>4248.0130257954534</v>
      </c>
      <c r="I57" s="22" t="s">
        <v>184</v>
      </c>
    </row>
    <row r="58" spans="1:14">
      <c r="A58" s="4" t="s">
        <v>157</v>
      </c>
      <c r="C58" s="22" t="s">
        <v>185</v>
      </c>
      <c r="D58" s="22">
        <v>0</v>
      </c>
      <c r="E58" s="21">
        <f>E49-E49/(E49+E50)*E54</f>
        <v>883.80584666298932</v>
      </c>
      <c r="F58" s="21">
        <f>F49-F49/(F49+F50)*F54</f>
        <v>221.3259036324086</v>
      </c>
      <c r="G58" s="21">
        <f>G49-G49/(G49+G50)*G54</f>
        <v>115.35643798847397</v>
      </c>
      <c r="H58" s="21">
        <f>SUM(D58:G58)</f>
        <v>1220.488188283872</v>
      </c>
      <c r="I58" s="22" t="s">
        <v>186</v>
      </c>
    </row>
    <row r="59" spans="1:14">
      <c r="A59" s="4" t="s">
        <v>168</v>
      </c>
      <c r="C59" s="22" t="s">
        <v>187</v>
      </c>
      <c r="D59" s="22">
        <v>0</v>
      </c>
      <c r="E59" s="21">
        <f>E50-E50/(E49+E50)*E54</f>
        <v>469.5218560397131</v>
      </c>
      <c r="F59" s="21">
        <f>F50-F50/(F49+F50)*F54</f>
        <v>439.08203462558487</v>
      </c>
      <c r="G59" s="21">
        <f>G50-G50/(G49+G50)*G54</f>
        <v>1033.4014236467458</v>
      </c>
      <c r="H59" s="21">
        <f>SUM(D59:G59)</f>
        <v>1942.0053143120438</v>
      </c>
      <c r="I59" s="22" t="s">
        <v>186</v>
      </c>
    </row>
  </sheetData>
  <mergeCells count="7">
    <mergeCell ref="A8:C8"/>
    <mergeCell ref="A9:C9"/>
    <mergeCell ref="D1:H1"/>
    <mergeCell ref="D2:H2"/>
    <mergeCell ref="D3:H3"/>
    <mergeCell ref="D4:H4"/>
    <mergeCell ref="A7:C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2"/>
  <sheetViews>
    <sheetView zoomScaleNormal="100" workbookViewId="0"/>
  </sheetViews>
  <sheetFormatPr defaultRowHeight="15"/>
  <cols>
    <col min="1" max="1" width="18.28515625"/>
    <col min="2" max="3" width="8.7109375"/>
    <col min="4" max="4" width="25.42578125"/>
    <col min="5" max="10" width="8.7109375"/>
    <col min="11" max="11" width="23.28515625"/>
    <col min="12" max="1025" width="8.7109375"/>
  </cols>
  <sheetData>
    <row r="1" spans="1:11" s="85" customFormat="1">
      <c r="A1" s="88" t="s">
        <v>623</v>
      </c>
    </row>
    <row r="2" spans="1:11" s="85" customFormat="1">
      <c r="B2" s="37" t="s">
        <v>229</v>
      </c>
    </row>
    <row r="3" spans="1:11" s="85" customFormat="1">
      <c r="B3" s="2">
        <v>13.56</v>
      </c>
      <c r="C3" s="2" t="s">
        <v>196</v>
      </c>
      <c r="E3" s="85" t="s">
        <v>624</v>
      </c>
    </row>
    <row r="4" spans="1:11" s="85" customFormat="1"/>
    <row r="5" spans="1:11" s="85" customFormat="1">
      <c r="B5" s="37" t="s">
        <v>230</v>
      </c>
      <c r="G5" s="37" t="s">
        <v>231</v>
      </c>
      <c r="H5" s="86"/>
      <c r="I5" s="86"/>
      <c r="J5" s="86"/>
    </row>
    <row r="6" spans="1:11" s="85" customFormat="1">
      <c r="B6" s="40">
        <v>3730</v>
      </c>
      <c r="C6" s="2" t="s">
        <v>190</v>
      </c>
      <c r="D6" s="85" t="s">
        <v>624</v>
      </c>
      <c r="G6" s="106" t="s">
        <v>211</v>
      </c>
      <c r="H6" s="106"/>
      <c r="I6" s="106"/>
      <c r="J6" s="106"/>
    </row>
    <row r="7" spans="1:11" s="85" customFormat="1">
      <c r="G7" s="86" t="s">
        <v>13</v>
      </c>
      <c r="H7" s="86" t="s">
        <v>14</v>
      </c>
      <c r="I7" s="86" t="s">
        <v>15</v>
      </c>
      <c r="J7" s="86" t="s">
        <v>16</v>
      </c>
    </row>
    <row r="8" spans="1:11" s="85" customFormat="1">
      <c r="B8" s="37" t="s">
        <v>208</v>
      </c>
      <c r="G8" s="38">
        <v>1</v>
      </c>
      <c r="H8" s="38">
        <v>0</v>
      </c>
      <c r="I8" s="38">
        <v>0</v>
      </c>
      <c r="J8" s="38">
        <v>0</v>
      </c>
      <c r="K8" s="85" t="s">
        <v>624</v>
      </c>
    </row>
    <row r="9" spans="1:11" s="85" customFormat="1">
      <c r="B9" s="40">
        <f>B6/100*B3</f>
        <v>505.78799999999995</v>
      </c>
      <c r="C9" s="2" t="s">
        <v>210</v>
      </c>
      <c r="D9" s="86"/>
    </row>
    <row r="10" spans="1:11" s="85" customFormat="1"/>
    <row r="11" spans="1:11" s="85" customFormat="1">
      <c r="B11" s="37" t="s">
        <v>234</v>
      </c>
    </row>
    <row r="12" spans="1:11" s="85" customFormat="1">
      <c r="B12" s="2">
        <v>1</v>
      </c>
      <c r="C12" s="2" t="s">
        <v>210</v>
      </c>
      <c r="D12" s="85" t="s">
        <v>627</v>
      </c>
    </row>
    <row r="13" spans="1:11" s="85" customFormat="1">
      <c r="B13" s="2">
        <v>3</v>
      </c>
      <c r="C13" s="2" t="s">
        <v>210</v>
      </c>
      <c r="D13" s="85" t="s">
        <v>628</v>
      </c>
    </row>
    <row r="14" spans="1:11" s="85" customFormat="1"/>
    <row r="15" spans="1:11" s="85" customFormat="1">
      <c r="B15" s="37" t="s">
        <v>217</v>
      </c>
      <c r="C15" s="86"/>
      <c r="D15" s="86"/>
      <c r="E15" s="86"/>
    </row>
    <row r="16" spans="1:11" s="85" customFormat="1">
      <c r="B16" s="40">
        <f>SUM(C17:C18)</f>
        <v>288</v>
      </c>
      <c r="C16" s="2" t="s">
        <v>12</v>
      </c>
      <c r="D16" s="2"/>
      <c r="E16" s="86"/>
    </row>
    <row r="17" spans="1:5" s="85" customFormat="1">
      <c r="B17" s="38">
        <v>0.39</v>
      </c>
      <c r="C17" s="40">
        <f>ROUND(B9*B17/B12,0)</f>
        <v>197</v>
      </c>
      <c r="D17" s="2" t="s">
        <v>220</v>
      </c>
      <c r="E17" s="85" t="s">
        <v>626</v>
      </c>
    </row>
    <row r="18" spans="1:5" s="85" customFormat="1">
      <c r="B18" s="38">
        <v>0.54</v>
      </c>
      <c r="C18" s="40">
        <f>ROUND(B9*B18/B13,0)</f>
        <v>91</v>
      </c>
      <c r="D18" s="2" t="s">
        <v>222</v>
      </c>
      <c r="E18" s="85" t="s">
        <v>626</v>
      </c>
    </row>
    <row r="19" spans="1:5" s="85" customFormat="1">
      <c r="B19" s="89">
        <v>7.0000000000000007E-2</v>
      </c>
      <c r="C19" s="90" t="str">
        <f>FLOOR(B9*B19/B13,1) &amp; " - " &amp; ROUND(B9*B19/B12,0)</f>
        <v>11 - 35</v>
      </c>
      <c r="D19" s="88" t="s">
        <v>625</v>
      </c>
      <c r="E19" s="85" t="s">
        <v>626</v>
      </c>
    </row>
    <row r="20" spans="1:5" s="85" customFormat="1"/>
    <row r="21" spans="1:5">
      <c r="A21" s="2" t="s">
        <v>188</v>
      </c>
    </row>
    <row r="22" spans="1:5">
      <c r="B22" s="37" t="s">
        <v>189</v>
      </c>
    </row>
    <row r="23" spans="1:5">
      <c r="B23" s="4">
        <v>2.5</v>
      </c>
      <c r="C23" s="4" t="s">
        <v>190</v>
      </c>
      <c r="D23" s="4" t="s">
        <v>191</v>
      </c>
      <c r="E23" s="4" t="s">
        <v>192</v>
      </c>
    </row>
    <row r="24" spans="1:5">
      <c r="B24">
        <v>2.2999999999999998</v>
      </c>
      <c r="C24" s="4" t="s">
        <v>190</v>
      </c>
      <c r="D24" s="4" t="s">
        <v>193</v>
      </c>
      <c r="E24" s="4" t="s">
        <v>194</v>
      </c>
    </row>
    <row r="25" spans="1:5">
      <c r="B25" s="2">
        <f>AVERAGE(B23:B24)</f>
        <v>2.4</v>
      </c>
      <c r="C25" s="2" t="s">
        <v>190</v>
      </c>
      <c r="D25" s="4" t="s">
        <v>195</v>
      </c>
    </row>
    <row r="26" spans="1:5">
      <c r="B26" s="2">
        <f>ROUND(100/B25,1)</f>
        <v>41.7</v>
      </c>
      <c r="C26" s="2" t="s">
        <v>196</v>
      </c>
    </row>
    <row r="28" spans="1:5">
      <c r="B28" s="37" t="s">
        <v>197</v>
      </c>
    </row>
    <row r="29" spans="1:5">
      <c r="B29" s="2">
        <v>10</v>
      </c>
      <c r="D29" s="4" t="s">
        <v>198</v>
      </c>
      <c r="E29" s="4" t="s">
        <v>199</v>
      </c>
    </row>
    <row r="31" spans="1:5">
      <c r="B31" s="37" t="s">
        <v>200</v>
      </c>
    </row>
    <row r="32" spans="1:5">
      <c r="B32" s="38">
        <v>0.78</v>
      </c>
      <c r="D32" s="85" t="s">
        <v>629</v>
      </c>
      <c r="E32" s="86" t="s">
        <v>199</v>
      </c>
    </row>
    <row r="34" spans="1:12">
      <c r="A34" s="2" t="s">
        <v>201</v>
      </c>
      <c r="B34" s="37" t="s">
        <v>202</v>
      </c>
    </row>
    <row r="35" spans="1:12">
      <c r="B35" s="39">
        <f>2140/954</f>
        <v>2.2431865828092241</v>
      </c>
      <c r="C35" s="4" t="s">
        <v>203</v>
      </c>
      <c r="F35" s="4" t="s">
        <v>204</v>
      </c>
    </row>
    <row r="36" spans="1:12">
      <c r="B36" s="3">
        <v>78800</v>
      </c>
      <c r="C36" s="4" t="s">
        <v>190</v>
      </c>
      <c r="D36" s="4" t="s">
        <v>205</v>
      </c>
      <c r="G36" s="4" t="s">
        <v>206</v>
      </c>
    </row>
    <row r="37" spans="1:12">
      <c r="B37" s="40">
        <f>ROUND(B35*B36,-1)</f>
        <v>176760</v>
      </c>
      <c r="C37" s="2" t="s">
        <v>190</v>
      </c>
      <c r="D37" s="4" t="s">
        <v>207</v>
      </c>
    </row>
    <row r="39" spans="1:12">
      <c r="B39" s="37" t="s">
        <v>208</v>
      </c>
      <c r="G39" s="37" t="s">
        <v>209</v>
      </c>
    </row>
    <row r="40" spans="1:12" ht="15.75" customHeight="1">
      <c r="B40" s="3">
        <f>B37/B25</f>
        <v>73650</v>
      </c>
      <c r="C40" s="4" t="s">
        <v>210</v>
      </c>
      <c r="G40" s="106" t="s">
        <v>211</v>
      </c>
      <c r="H40" s="106"/>
      <c r="I40" s="106"/>
      <c r="J40" s="106"/>
      <c r="K40" s="4" t="s">
        <v>212</v>
      </c>
      <c r="L40" s="4" t="s">
        <v>213</v>
      </c>
    </row>
    <row r="41" spans="1:12">
      <c r="B41" s="40">
        <f>ROUND(B40*(1-B32),-1)</f>
        <v>16200</v>
      </c>
      <c r="C41" s="2" t="s">
        <v>214</v>
      </c>
      <c r="G41" s="4" t="s">
        <v>13</v>
      </c>
      <c r="H41" s="4" t="s">
        <v>14</v>
      </c>
      <c r="I41" s="4" t="s">
        <v>15</v>
      </c>
      <c r="J41" s="4" t="s">
        <v>16</v>
      </c>
      <c r="K41" s="4"/>
      <c r="L41" s="4"/>
    </row>
    <row r="42" spans="1:12">
      <c r="G42" s="5">
        <v>0.75</v>
      </c>
      <c r="H42" s="5">
        <v>0</v>
      </c>
      <c r="I42" s="5">
        <v>0.25</v>
      </c>
      <c r="J42" s="5">
        <v>0</v>
      </c>
      <c r="K42" s="4" t="s">
        <v>215</v>
      </c>
      <c r="L42" s="4" t="s">
        <v>216</v>
      </c>
    </row>
    <row r="43" spans="1:12">
      <c r="B43" s="37" t="s">
        <v>217</v>
      </c>
      <c r="G43" s="5">
        <v>0.06</v>
      </c>
      <c r="H43" s="5">
        <v>0.03</v>
      </c>
      <c r="I43" s="5">
        <v>0.75</v>
      </c>
      <c r="J43" s="5">
        <v>0.16</v>
      </c>
      <c r="K43" s="4" t="s">
        <v>218</v>
      </c>
      <c r="L43" s="4" t="s">
        <v>219</v>
      </c>
    </row>
    <row r="44" spans="1:12">
      <c r="B44" s="40">
        <f>B41/B29</f>
        <v>1620</v>
      </c>
      <c r="C44" s="2" t="s">
        <v>12</v>
      </c>
      <c r="D44" s="2"/>
      <c r="G44" s="38">
        <v>0.4</v>
      </c>
      <c r="H44" s="38">
        <v>0.02</v>
      </c>
      <c r="I44" s="38">
        <v>0.5</v>
      </c>
      <c r="J44" s="38">
        <v>0.08</v>
      </c>
      <c r="K44" s="2" t="s">
        <v>126</v>
      </c>
      <c r="L44" s="4"/>
    </row>
    <row r="45" spans="1:12">
      <c r="B45" s="38">
        <f>'Input Synapses'!$D$27</f>
        <v>0.92</v>
      </c>
      <c r="C45" s="40">
        <f>ROUND(B44*B45,0)</f>
        <v>1490</v>
      </c>
      <c r="D45" s="2" t="s">
        <v>220</v>
      </c>
      <c r="E45" s="4" t="s">
        <v>221</v>
      </c>
    </row>
    <row r="46" spans="1:12">
      <c r="B46" s="38">
        <f>'Input Synapses'!$D$28</f>
        <v>0.08</v>
      </c>
      <c r="C46" s="40">
        <f>ROUND(B44*B46,0)</f>
        <v>130</v>
      </c>
      <c r="D46" s="2" t="s">
        <v>222</v>
      </c>
      <c r="E46" s="4" t="s">
        <v>221</v>
      </c>
    </row>
    <row r="48" spans="1:12">
      <c r="A48" s="2" t="s">
        <v>223</v>
      </c>
      <c r="B48" s="37" t="s">
        <v>208</v>
      </c>
    </row>
    <row r="49" spans="1:11">
      <c r="B49" s="3">
        <f>6*10000</f>
        <v>60000</v>
      </c>
      <c r="C49" s="4" t="s">
        <v>224</v>
      </c>
      <c r="E49" s="4" t="s">
        <v>225</v>
      </c>
    </row>
    <row r="50" spans="1:11">
      <c r="B50" s="40">
        <f>B49*(1-B32)</f>
        <v>13199.999999999998</v>
      </c>
      <c r="C50" s="2" t="s">
        <v>214</v>
      </c>
    </row>
    <row r="52" spans="1:11">
      <c r="B52" s="37" t="s">
        <v>226</v>
      </c>
      <c r="G52" s="37" t="s">
        <v>209</v>
      </c>
      <c r="H52" s="4"/>
      <c r="I52" s="4"/>
      <c r="J52" s="4"/>
    </row>
    <row r="53" spans="1:11">
      <c r="B53" s="40">
        <f>B49*B25</f>
        <v>144000</v>
      </c>
      <c r="C53" s="2" t="s">
        <v>190</v>
      </c>
      <c r="G53" s="106" t="s">
        <v>211</v>
      </c>
      <c r="H53" s="106"/>
      <c r="I53" s="106"/>
      <c r="J53" s="106"/>
    </row>
    <row r="54" spans="1:11">
      <c r="G54" s="4" t="s">
        <v>13</v>
      </c>
      <c r="H54" s="4" t="s">
        <v>14</v>
      </c>
      <c r="I54" s="4" t="s">
        <v>15</v>
      </c>
      <c r="J54" s="4" t="s">
        <v>16</v>
      </c>
    </row>
    <row r="55" spans="1:11">
      <c r="B55" s="37" t="s">
        <v>217</v>
      </c>
      <c r="C55" s="4"/>
      <c r="D55" s="4"/>
      <c r="E55" s="4"/>
      <c r="G55" s="38">
        <v>0</v>
      </c>
      <c r="H55" s="38">
        <v>0</v>
      </c>
      <c r="I55" s="38">
        <f>'Cell Numbers'!F10/'Cell Numbers'!C10</f>
        <v>0.17039106145251395</v>
      </c>
      <c r="J55" s="38">
        <f>'Cell Numbers'!G10/'Cell Numbers'!C10</f>
        <v>0.82960893854748607</v>
      </c>
      <c r="K55" s="4" t="s">
        <v>227</v>
      </c>
    </row>
    <row r="56" spans="1:11">
      <c r="B56" s="40">
        <f>B50/B29</f>
        <v>1319.9999999999998</v>
      </c>
      <c r="C56" s="2" t="s">
        <v>12</v>
      </c>
      <c r="D56" s="2"/>
      <c r="E56" s="4"/>
    </row>
    <row r="57" spans="1:11">
      <c r="B57" s="38">
        <f>'Input Synapses'!$D$27</f>
        <v>0.92</v>
      </c>
      <c r="C57" s="40">
        <f>ROUND(B56*B57,0)</f>
        <v>1214</v>
      </c>
      <c r="D57" s="2" t="s">
        <v>220</v>
      </c>
      <c r="E57" s="4" t="s">
        <v>221</v>
      </c>
    </row>
    <row r="58" spans="1:11">
      <c r="B58" s="38">
        <f>'Input Synapses'!$D$28</f>
        <v>0.08</v>
      </c>
      <c r="C58" s="40">
        <f>ROUND(B56*B58,0)</f>
        <v>106</v>
      </c>
      <c r="D58" s="2" t="s">
        <v>222</v>
      </c>
      <c r="E58" s="4" t="s">
        <v>221</v>
      </c>
    </row>
    <row r="60" spans="1:11">
      <c r="A60" s="2" t="s">
        <v>228</v>
      </c>
      <c r="B60" s="37" t="s">
        <v>229</v>
      </c>
    </row>
    <row r="61" spans="1:11">
      <c r="B61" s="2">
        <v>26.6</v>
      </c>
      <c r="C61" s="2" t="s">
        <v>196</v>
      </c>
      <c r="E61" s="4" t="s">
        <v>206</v>
      </c>
    </row>
    <row r="63" spans="1:11">
      <c r="B63" s="37" t="s">
        <v>230</v>
      </c>
      <c r="G63" s="37" t="s">
        <v>231</v>
      </c>
      <c r="H63" s="4"/>
      <c r="I63" s="4"/>
      <c r="J63" s="4"/>
      <c r="K63" s="4"/>
    </row>
    <row r="64" spans="1:11">
      <c r="B64" s="40">
        <f>ROUND(63440*0.985,-1)</f>
        <v>62490</v>
      </c>
      <c r="C64" s="2" t="s">
        <v>190</v>
      </c>
      <c r="D64" s="4" t="s">
        <v>232</v>
      </c>
      <c r="G64" s="106" t="s">
        <v>211</v>
      </c>
      <c r="H64" s="106"/>
      <c r="I64" s="106"/>
      <c r="J64" s="106"/>
      <c r="K64" s="4"/>
    </row>
    <row r="65" spans="1:11">
      <c r="G65" s="4" t="s">
        <v>13</v>
      </c>
      <c r="H65" s="4" t="s">
        <v>14</v>
      </c>
      <c r="I65" s="4" t="s">
        <v>15</v>
      </c>
      <c r="J65" s="4" t="s">
        <v>16</v>
      </c>
      <c r="K65" s="4"/>
    </row>
    <row r="66" spans="1:11">
      <c r="B66" s="37" t="s">
        <v>208</v>
      </c>
      <c r="G66" s="38">
        <f>0.07/0.985</f>
        <v>7.1065989847715741E-2</v>
      </c>
      <c r="H66" s="38">
        <v>0</v>
      </c>
      <c r="I66" s="38">
        <v>0</v>
      </c>
      <c r="J66" s="38">
        <f>0.915/0.985</f>
        <v>0.92893401015228427</v>
      </c>
      <c r="K66" s="4" t="s">
        <v>233</v>
      </c>
    </row>
    <row r="67" spans="1:11">
      <c r="B67" s="40">
        <f>ROUND(B64/100*B61*0.985,-1)</f>
        <v>16370</v>
      </c>
      <c r="C67" s="2" t="s">
        <v>210</v>
      </c>
      <c r="D67" s="4" t="s">
        <v>232</v>
      </c>
    </row>
    <row r="69" spans="1:11">
      <c r="B69" s="37" t="s">
        <v>234</v>
      </c>
    </row>
    <row r="70" spans="1:11">
      <c r="B70" s="2">
        <v>10</v>
      </c>
      <c r="C70" s="2" t="s">
        <v>210</v>
      </c>
      <c r="D70" s="4" t="s">
        <v>235</v>
      </c>
    </row>
    <row r="72" spans="1:11">
      <c r="B72" s="37" t="s">
        <v>217</v>
      </c>
      <c r="C72" s="4"/>
      <c r="D72" s="4"/>
      <c r="E72" s="4"/>
    </row>
    <row r="73" spans="1:11">
      <c r="B73" s="40">
        <f>B67/B70</f>
        <v>1637</v>
      </c>
      <c r="C73" s="2" t="s">
        <v>12</v>
      </c>
      <c r="D73" s="2"/>
      <c r="E73" s="4"/>
    </row>
    <row r="74" spans="1:11">
      <c r="B74" s="38">
        <v>0.89</v>
      </c>
      <c r="C74" s="40">
        <f>ROUND(B73*B74,0)</f>
        <v>1457</v>
      </c>
      <c r="D74" s="2" t="s">
        <v>220</v>
      </c>
      <c r="E74" s="4" t="s">
        <v>236</v>
      </c>
    </row>
    <row r="75" spans="1:11">
      <c r="B75" s="38">
        <v>0.11</v>
      </c>
      <c r="C75" s="40">
        <f>ROUND(B73*B75,0)</f>
        <v>180</v>
      </c>
      <c r="D75" s="2" t="s">
        <v>222</v>
      </c>
      <c r="E75" s="4" t="s">
        <v>236</v>
      </c>
    </row>
    <row r="77" spans="1:11">
      <c r="A77" s="2" t="s">
        <v>237</v>
      </c>
      <c r="B77" s="37" t="s">
        <v>208</v>
      </c>
    </row>
    <row r="78" spans="1:11">
      <c r="B78" s="40">
        <v>6080</v>
      </c>
      <c r="C78" s="2" t="s">
        <v>238</v>
      </c>
      <c r="E78" s="4" t="s">
        <v>239</v>
      </c>
    </row>
    <row r="80" spans="1:11" s="4" customFormat="1">
      <c r="B80" s="37" t="s">
        <v>234</v>
      </c>
      <c r="G80" s="37" t="s">
        <v>231</v>
      </c>
    </row>
    <row r="81" spans="1:11" s="4" customFormat="1">
      <c r="B81" s="2">
        <v>10</v>
      </c>
      <c r="C81" s="2" t="s">
        <v>210</v>
      </c>
      <c r="D81" s="4" t="s">
        <v>235</v>
      </c>
      <c r="G81" s="106" t="s">
        <v>211</v>
      </c>
      <c r="H81" s="106"/>
      <c r="I81" s="106"/>
      <c r="J81" s="106"/>
    </row>
    <row r="82" spans="1:11" s="4" customFormat="1">
      <c r="G82" s="4" t="s">
        <v>13</v>
      </c>
      <c r="H82" s="4" t="s">
        <v>14</v>
      </c>
      <c r="I82" s="4" t="s">
        <v>15</v>
      </c>
      <c r="J82" s="4" t="s">
        <v>16</v>
      </c>
    </row>
    <row r="83" spans="1:11" s="4" customFormat="1">
      <c r="B83" s="37" t="s">
        <v>217</v>
      </c>
      <c r="G83" s="38">
        <v>0.57999999999999996</v>
      </c>
      <c r="H83" s="38">
        <v>0</v>
      </c>
      <c r="I83" s="38">
        <v>0.42</v>
      </c>
      <c r="J83" s="38">
        <v>0</v>
      </c>
      <c r="K83" s="4" t="s">
        <v>240</v>
      </c>
    </row>
    <row r="84" spans="1:11" s="4" customFormat="1">
      <c r="B84" s="40">
        <f>B78/B81</f>
        <v>608</v>
      </c>
      <c r="C84" s="2" t="s">
        <v>12</v>
      </c>
      <c r="D84" s="2"/>
      <c r="G84" s="38"/>
      <c r="H84" s="38"/>
      <c r="I84" s="38"/>
      <c r="J84" s="38"/>
    </row>
    <row r="85" spans="1:11" s="4" customFormat="1">
      <c r="B85" s="38">
        <f>H102</f>
        <v>0.92</v>
      </c>
      <c r="C85" s="40">
        <f>ROUND(B84*B85,0)</f>
        <v>559</v>
      </c>
      <c r="D85" s="2" t="s">
        <v>220</v>
      </c>
      <c r="G85" s="38"/>
      <c r="H85" s="4" t="s">
        <v>241</v>
      </c>
      <c r="I85" s="4" t="s">
        <v>242</v>
      </c>
      <c r="J85" s="38"/>
    </row>
    <row r="86" spans="1:11" s="4" customFormat="1">
      <c r="B86" s="38">
        <f>I102</f>
        <v>0.08</v>
      </c>
      <c r="C86" s="40">
        <f>ROUND(B84*B86,0)</f>
        <v>49</v>
      </c>
      <c r="D86" s="2" t="s">
        <v>222</v>
      </c>
      <c r="G86" s="38"/>
      <c r="H86" s="5">
        <v>0.86</v>
      </c>
      <c r="I86" s="5">
        <v>0.14000000000000001</v>
      </c>
      <c r="J86" s="27" t="s">
        <v>243</v>
      </c>
    </row>
    <row r="87" spans="1:11">
      <c r="H87" s="5">
        <v>0.97</v>
      </c>
      <c r="I87" s="5">
        <v>0.03</v>
      </c>
      <c r="J87" s="4" t="s">
        <v>244</v>
      </c>
    </row>
    <row r="88" spans="1:11" s="4" customFormat="1">
      <c r="H88" s="5"/>
      <c r="I88" s="5"/>
    </row>
    <row r="89" spans="1:11" s="4" customFormat="1">
      <c r="A89" s="2" t="s">
        <v>245</v>
      </c>
      <c r="B89" s="37" t="s">
        <v>208</v>
      </c>
    </row>
    <row r="90" spans="1:11" s="4" customFormat="1">
      <c r="B90" s="40">
        <v>6080</v>
      </c>
      <c r="C90" s="2" t="s">
        <v>238</v>
      </c>
      <c r="E90" s="4" t="s">
        <v>239</v>
      </c>
    </row>
    <row r="91" spans="1:11" s="4" customFormat="1"/>
    <row r="92" spans="1:11" s="4" customFormat="1">
      <c r="B92" s="37" t="s">
        <v>234</v>
      </c>
      <c r="G92" s="37" t="s">
        <v>231</v>
      </c>
    </row>
    <row r="93" spans="1:11" s="4" customFormat="1">
      <c r="B93" s="2">
        <v>10</v>
      </c>
      <c r="C93" s="2" t="s">
        <v>210</v>
      </c>
      <c r="D93" s="4" t="s">
        <v>235</v>
      </c>
      <c r="G93" s="106" t="s">
        <v>211</v>
      </c>
      <c r="H93" s="106"/>
      <c r="I93" s="106"/>
      <c r="J93" s="106"/>
    </row>
    <row r="94" spans="1:11" s="4" customFormat="1">
      <c r="G94" s="4" t="s">
        <v>13</v>
      </c>
      <c r="H94" s="4" t="s">
        <v>14</v>
      </c>
      <c r="I94" s="4" t="s">
        <v>15</v>
      </c>
      <c r="J94" s="4" t="s">
        <v>16</v>
      </c>
    </row>
    <row r="95" spans="1:11" s="4" customFormat="1">
      <c r="B95" s="37" t="s">
        <v>217</v>
      </c>
      <c r="G95" s="38">
        <v>0.57999999999999996</v>
      </c>
      <c r="H95" s="38">
        <v>0</v>
      </c>
      <c r="I95" s="38">
        <v>0.42</v>
      </c>
      <c r="J95" s="38">
        <v>0</v>
      </c>
      <c r="K95" s="4" t="s">
        <v>240</v>
      </c>
    </row>
    <row r="96" spans="1:11" s="4" customFormat="1">
      <c r="B96" s="40">
        <f>B90/B93</f>
        <v>608</v>
      </c>
      <c r="C96" s="2" t="s">
        <v>12</v>
      </c>
      <c r="D96" s="2"/>
      <c r="G96" s="38"/>
      <c r="H96" s="38"/>
      <c r="I96" s="38"/>
      <c r="J96" s="38"/>
    </row>
    <row r="97" spans="1:11" s="4" customFormat="1">
      <c r="B97" s="38">
        <v>0.96</v>
      </c>
      <c r="C97" s="40">
        <f>ROUND(B96*B97,0)</f>
        <v>584</v>
      </c>
      <c r="D97" s="2" t="s">
        <v>220</v>
      </c>
      <c r="E97" s="4" t="s">
        <v>246</v>
      </c>
      <c r="G97" s="38"/>
      <c r="J97" s="38"/>
    </row>
    <row r="98" spans="1:11" s="4" customFormat="1">
      <c r="B98" s="38">
        <v>0.04</v>
      </c>
      <c r="C98" s="40">
        <f>ROUND(B96*B98,0)</f>
        <v>24</v>
      </c>
      <c r="D98" s="2" t="s">
        <v>222</v>
      </c>
      <c r="E98" s="4" t="s">
        <v>246</v>
      </c>
      <c r="G98" s="38"/>
      <c r="H98" s="5"/>
      <c r="I98" s="5"/>
      <c r="J98" s="27"/>
    </row>
    <row r="99" spans="1:11" s="4" customFormat="1">
      <c r="H99" s="5"/>
      <c r="I99" s="5"/>
    </row>
    <row r="100" spans="1:11" s="4" customFormat="1">
      <c r="H100" s="5"/>
      <c r="I100" s="5"/>
    </row>
    <row r="101" spans="1:11" s="4" customFormat="1">
      <c r="H101" s="5"/>
      <c r="I101" s="5"/>
    </row>
    <row r="102" spans="1:11">
      <c r="H102" s="38">
        <v>0.92</v>
      </c>
      <c r="I102" s="38">
        <v>0.08</v>
      </c>
      <c r="J102" s="2" t="s">
        <v>126</v>
      </c>
    </row>
    <row r="103" spans="1:11">
      <c r="A103" s="2" t="s">
        <v>247</v>
      </c>
      <c r="B103" s="37" t="s">
        <v>208</v>
      </c>
      <c r="J103" s="38"/>
      <c r="K103" s="38"/>
    </row>
    <row r="104" spans="1:11">
      <c r="B104" s="3">
        <v>25000</v>
      </c>
      <c r="C104" s="4" t="s">
        <v>248</v>
      </c>
      <c r="E104" s="4" t="s">
        <v>249</v>
      </c>
      <c r="J104" s="38"/>
      <c r="K104" s="38"/>
    </row>
    <row r="105" spans="1:11">
      <c r="B105" s="28">
        <v>0.24299999999999999</v>
      </c>
      <c r="C105" s="4" t="s">
        <v>250</v>
      </c>
      <c r="E105" s="4" t="s">
        <v>249</v>
      </c>
      <c r="J105" s="4"/>
    </row>
    <row r="106" spans="1:11">
      <c r="B106" s="40">
        <f>B78</f>
        <v>6080</v>
      </c>
      <c r="C106" s="2" t="s">
        <v>238</v>
      </c>
      <c r="J106" s="4"/>
    </row>
    <row r="107" spans="1:11">
      <c r="J107" s="4"/>
    </row>
    <row r="108" spans="1:11">
      <c r="B108" s="37" t="s">
        <v>251</v>
      </c>
      <c r="J108" s="4"/>
    </row>
    <row r="109" spans="1:11">
      <c r="B109" s="2">
        <v>24.8</v>
      </c>
      <c r="C109" s="2" t="s">
        <v>196</v>
      </c>
    </row>
    <row r="111" spans="1:11">
      <c r="B111" s="37" t="s">
        <v>252</v>
      </c>
      <c r="F111" s="37" t="s">
        <v>231</v>
      </c>
      <c r="G111" s="4"/>
      <c r="H111" s="4"/>
      <c r="I111" s="4"/>
      <c r="J111" s="4"/>
    </row>
    <row r="112" spans="1:11">
      <c r="B112" s="40">
        <f>ROUND(101000*B105,-1)</f>
        <v>24540</v>
      </c>
      <c r="C112" s="2" t="s">
        <v>190</v>
      </c>
      <c r="F112" s="106" t="s">
        <v>211</v>
      </c>
      <c r="G112" s="106"/>
      <c r="H112" s="106"/>
      <c r="I112" s="106"/>
      <c r="J112" s="4"/>
    </row>
    <row r="113" spans="1:10">
      <c r="F113" s="4" t="s">
        <v>13</v>
      </c>
      <c r="G113" s="4" t="s">
        <v>14</v>
      </c>
      <c r="H113" s="4" t="s">
        <v>15</v>
      </c>
      <c r="I113" s="4" t="s">
        <v>16</v>
      </c>
      <c r="J113" s="4"/>
    </row>
    <row r="114" spans="1:10">
      <c r="B114" s="37" t="s">
        <v>234</v>
      </c>
      <c r="C114" s="4"/>
      <c r="D114" s="4"/>
      <c r="E114" s="4"/>
      <c r="F114" s="38">
        <v>0.57999999999999996</v>
      </c>
      <c r="G114" s="38">
        <v>0</v>
      </c>
      <c r="H114" s="38">
        <v>0.42</v>
      </c>
      <c r="I114" s="38">
        <v>0</v>
      </c>
      <c r="J114" s="4" t="s">
        <v>240</v>
      </c>
    </row>
    <row r="115" spans="1:10">
      <c r="B115" s="2">
        <v>10</v>
      </c>
      <c r="C115" s="2" t="s">
        <v>210</v>
      </c>
      <c r="D115" s="4" t="s">
        <v>235</v>
      </c>
      <c r="E115" s="4"/>
    </row>
    <row r="116" spans="1:10">
      <c r="B116" s="4"/>
      <c r="C116" s="4"/>
      <c r="D116" s="4"/>
      <c r="E116" s="4"/>
    </row>
    <row r="117" spans="1:10">
      <c r="B117" s="37" t="s">
        <v>217</v>
      </c>
      <c r="C117" s="4"/>
      <c r="D117" s="4"/>
      <c r="E117" s="4"/>
    </row>
    <row r="118" spans="1:10">
      <c r="B118" s="40">
        <f>B106/B115</f>
        <v>608</v>
      </c>
      <c r="C118" s="2" t="s">
        <v>12</v>
      </c>
      <c r="D118" s="2"/>
      <c r="E118" s="4"/>
    </row>
    <row r="119" spans="1:10">
      <c r="B119" s="38">
        <f>'Input Synapses'!$D$27</f>
        <v>0.92</v>
      </c>
      <c r="C119" s="40">
        <f>ROUND(B118*B119,0)</f>
        <v>559</v>
      </c>
      <c r="D119" s="2" t="s">
        <v>220</v>
      </c>
      <c r="E119" s="4" t="s">
        <v>253</v>
      </c>
    </row>
    <row r="120" spans="1:10">
      <c r="B120" s="38">
        <f>'Input Synapses'!$D$28</f>
        <v>0.08</v>
      </c>
      <c r="C120" s="40">
        <f>ROUND(B118*B120,0)</f>
        <v>49</v>
      </c>
      <c r="D120" s="2" t="s">
        <v>222</v>
      </c>
      <c r="E120" s="4" t="s">
        <v>253</v>
      </c>
    </row>
    <row r="122" spans="1:10">
      <c r="A122" s="2" t="s">
        <v>254</v>
      </c>
      <c r="B122" s="37" t="s">
        <v>255</v>
      </c>
      <c r="F122" s="38"/>
      <c r="G122" s="38"/>
      <c r="H122" s="38"/>
      <c r="I122" s="38"/>
    </row>
    <row r="123" spans="1:10">
      <c r="B123" s="40">
        <f>ROUND(55910*(1-0.021),-1)</f>
        <v>54740</v>
      </c>
      <c r="C123" s="2" t="s">
        <v>256</v>
      </c>
      <c r="F123" s="38"/>
      <c r="G123" s="38"/>
      <c r="H123" s="38"/>
      <c r="I123" s="38"/>
    </row>
    <row r="125" spans="1:10">
      <c r="B125" s="37" t="s">
        <v>251</v>
      </c>
      <c r="F125" s="37" t="s">
        <v>231</v>
      </c>
      <c r="G125" s="4"/>
      <c r="H125" s="4"/>
      <c r="I125" s="4"/>
      <c r="J125" s="4"/>
    </row>
    <row r="126" spans="1:10">
      <c r="B126" s="2">
        <v>28.2</v>
      </c>
      <c r="C126" s="2" t="s">
        <v>196</v>
      </c>
      <c r="F126" s="106" t="s">
        <v>211</v>
      </c>
      <c r="G126" s="106"/>
      <c r="H126" s="106"/>
      <c r="I126" s="106"/>
      <c r="J126" s="4"/>
    </row>
    <row r="127" spans="1:10">
      <c r="F127" s="4" t="s">
        <v>13</v>
      </c>
      <c r="G127" s="4" t="s">
        <v>14</v>
      </c>
      <c r="H127" s="4" t="s">
        <v>15</v>
      </c>
      <c r="I127" s="4" t="s">
        <v>16</v>
      </c>
      <c r="J127" s="4"/>
    </row>
    <row r="128" spans="1:10">
      <c r="B128" s="37" t="s">
        <v>208</v>
      </c>
      <c r="F128" s="38">
        <f>0.128/0.979</f>
        <v>0.13074565883554648</v>
      </c>
      <c r="G128" s="38">
        <f>0.167/0.979</f>
        <v>0.17058222676200205</v>
      </c>
      <c r="H128" s="38">
        <f>0.684/0.979</f>
        <v>0.69867211440245158</v>
      </c>
      <c r="I128" s="38">
        <f>I123/0.979</f>
        <v>0</v>
      </c>
      <c r="J128" s="4" t="s">
        <v>257</v>
      </c>
    </row>
    <row r="129" spans="1:11">
      <c r="B129" s="40">
        <f>ROUND(B123/100*B126,-1)</f>
        <v>15440</v>
      </c>
      <c r="C129" s="2" t="s">
        <v>238</v>
      </c>
    </row>
    <row r="131" spans="1:11">
      <c r="B131" s="37" t="s">
        <v>234</v>
      </c>
      <c r="C131" s="4"/>
      <c r="D131" s="4"/>
    </row>
    <row r="132" spans="1:11">
      <c r="B132" s="2">
        <v>10</v>
      </c>
      <c r="C132" s="2" t="s">
        <v>210</v>
      </c>
      <c r="D132" s="4" t="s">
        <v>235</v>
      </c>
    </row>
    <row r="134" spans="1:11">
      <c r="B134" s="37" t="s">
        <v>217</v>
      </c>
      <c r="C134" s="4"/>
      <c r="D134" s="4"/>
      <c r="E134" s="4"/>
    </row>
    <row r="135" spans="1:11">
      <c r="B135" s="40">
        <f>B129/B132</f>
        <v>1544</v>
      </c>
      <c r="C135" s="2" t="s">
        <v>12</v>
      </c>
      <c r="D135" s="2"/>
      <c r="E135" s="4"/>
    </row>
    <row r="136" spans="1:11">
      <c r="B136" s="38">
        <v>0.4</v>
      </c>
      <c r="C136" s="40">
        <f>ROUND(B135*B136,0)</f>
        <v>618</v>
      </c>
      <c r="D136" s="2" t="s">
        <v>220</v>
      </c>
      <c r="E136" s="4" t="s">
        <v>258</v>
      </c>
    </row>
    <row r="137" spans="1:11">
      <c r="B137" s="38">
        <v>0.6</v>
      </c>
      <c r="C137" s="40">
        <f>ROUND(B135*B137,0)</f>
        <v>926</v>
      </c>
      <c r="D137" s="2" t="s">
        <v>222</v>
      </c>
      <c r="E137" s="4" t="s">
        <v>258</v>
      </c>
    </row>
    <row r="139" spans="1:11">
      <c r="A139" s="2" t="s">
        <v>259</v>
      </c>
      <c r="B139" s="37" t="s">
        <v>251</v>
      </c>
    </row>
    <row r="140" spans="1:11">
      <c r="B140" s="2">
        <v>22.6</v>
      </c>
      <c r="C140" s="2" t="s">
        <v>196</v>
      </c>
      <c r="H140" s="2"/>
      <c r="I140" s="4"/>
      <c r="J140" s="4"/>
      <c r="K140" s="4"/>
    </row>
    <row r="141" spans="1:11">
      <c r="H141" s="41" t="s">
        <v>260</v>
      </c>
      <c r="I141" s="42" t="s">
        <v>261</v>
      </c>
      <c r="J141" s="43"/>
      <c r="K141" s="43"/>
    </row>
    <row r="142" spans="1:11">
      <c r="B142" s="37" t="s">
        <v>255</v>
      </c>
      <c r="H142" s="16" t="s">
        <v>262</v>
      </c>
      <c r="I142" s="43">
        <v>11</v>
      </c>
      <c r="J142" s="43"/>
      <c r="K142" s="43" t="s">
        <v>263</v>
      </c>
    </row>
    <row r="143" spans="1:11">
      <c r="B143" s="2">
        <f>ROUND(AVERAGE(40491,53516,48982,41714),-1)</f>
        <v>46180</v>
      </c>
      <c r="C143" s="2" t="s">
        <v>190</v>
      </c>
      <c r="H143" s="16" t="s">
        <v>264</v>
      </c>
      <c r="I143" s="43">
        <v>1</v>
      </c>
      <c r="J143" s="43"/>
      <c r="K143" s="43" t="s">
        <v>206</v>
      </c>
    </row>
    <row r="144" spans="1:11">
      <c r="H144" s="43"/>
      <c r="I144" s="43"/>
      <c r="J144" s="43"/>
      <c r="K144" s="43"/>
    </row>
    <row r="145" spans="1:11">
      <c r="B145" s="37" t="s">
        <v>208</v>
      </c>
      <c r="H145" s="43" t="s">
        <v>265</v>
      </c>
      <c r="I145" s="43"/>
      <c r="J145" s="43"/>
      <c r="K145" s="43"/>
    </row>
    <row r="146" spans="1:11">
      <c r="B146" s="2">
        <f>ROUND(B143/100*B140,-1)</f>
        <v>10440</v>
      </c>
      <c r="C146" s="2" t="s">
        <v>210</v>
      </c>
      <c r="H146" s="43" t="s">
        <v>266</v>
      </c>
      <c r="I146" s="43"/>
      <c r="J146" s="43"/>
      <c r="K146" s="43"/>
    </row>
    <row r="147" spans="1:11">
      <c r="H147" s="43" t="s">
        <v>267</v>
      </c>
      <c r="I147" s="43"/>
      <c r="J147" s="43"/>
      <c r="K147" s="43"/>
    </row>
    <row r="148" spans="1:11">
      <c r="B148" s="37" t="s">
        <v>234</v>
      </c>
      <c r="H148" s="43" t="s">
        <v>268</v>
      </c>
      <c r="I148" s="43"/>
      <c r="J148" s="43"/>
      <c r="K148" s="43"/>
    </row>
    <row r="149" spans="1:11">
      <c r="B149">
        <v>11</v>
      </c>
      <c r="C149" s="4" t="s">
        <v>269</v>
      </c>
      <c r="D149" s="4" t="s">
        <v>263</v>
      </c>
      <c r="H149" s="43"/>
      <c r="I149" s="43"/>
      <c r="J149" s="43"/>
      <c r="K149" s="43"/>
    </row>
    <row r="150" spans="1:11">
      <c r="H150" s="43"/>
      <c r="I150" s="16" t="s">
        <v>270</v>
      </c>
      <c r="J150" s="43">
        <f>ROUND(10440/(0.93*11 + 0.07*1),0)</f>
        <v>1014</v>
      </c>
      <c r="K150" s="43"/>
    </row>
    <row r="151" spans="1:11">
      <c r="B151" s="37" t="s">
        <v>217</v>
      </c>
      <c r="C151" s="4"/>
      <c r="D151" s="4"/>
      <c r="E151" s="4"/>
      <c r="H151" s="43"/>
      <c r="I151" s="16" t="s">
        <v>271</v>
      </c>
      <c r="J151" s="43">
        <f>ROUND(J150*0.93,0)</f>
        <v>943</v>
      </c>
      <c r="K151" s="43"/>
    </row>
    <row r="152" spans="1:11">
      <c r="B152" s="40">
        <f>J150</f>
        <v>1014</v>
      </c>
      <c r="C152" s="2" t="s">
        <v>12</v>
      </c>
      <c r="D152" s="2"/>
      <c r="E152" s="4"/>
      <c r="H152" s="43"/>
      <c r="I152" s="16" t="s">
        <v>272</v>
      </c>
      <c r="J152" s="43">
        <f>ROUND(J150*0.07,0)</f>
        <v>71</v>
      </c>
      <c r="K152" s="43"/>
    </row>
    <row r="153" spans="1:11">
      <c r="B153" s="38">
        <f>C153*11/B146</f>
        <v>0.99358237547892725</v>
      </c>
      <c r="C153" s="40">
        <f>J151</f>
        <v>943</v>
      </c>
      <c r="D153" s="2" t="s">
        <v>220</v>
      </c>
      <c r="E153" s="4" t="s">
        <v>206</v>
      </c>
    </row>
    <row r="154" spans="1:11">
      <c r="B154" s="38">
        <f>C154/B146</f>
        <v>6.8007662835249038E-3</v>
      </c>
      <c r="C154" s="40">
        <f>J152</f>
        <v>71</v>
      </c>
      <c r="D154" s="2" t="s">
        <v>222</v>
      </c>
      <c r="E154" s="4" t="s">
        <v>206</v>
      </c>
    </row>
    <row r="156" spans="1:11">
      <c r="A156" s="2" t="s">
        <v>273</v>
      </c>
      <c r="B156" s="37" t="s">
        <v>251</v>
      </c>
    </row>
    <row r="157" spans="1:11">
      <c r="B157" s="44">
        <v>21</v>
      </c>
      <c r="C157" s="2" t="s">
        <v>196</v>
      </c>
      <c r="E157" s="4" t="s">
        <v>206</v>
      </c>
    </row>
    <row r="159" spans="1:11">
      <c r="B159" s="37" t="s">
        <v>255</v>
      </c>
      <c r="C159" s="4"/>
      <c r="G159" s="37" t="s">
        <v>231</v>
      </c>
      <c r="H159" s="4"/>
      <c r="I159" s="4"/>
      <c r="J159" s="4"/>
      <c r="K159" s="4"/>
    </row>
    <row r="160" spans="1:11">
      <c r="B160" s="40">
        <f>ROUND(78800*(1-0.035),-1)</f>
        <v>76040</v>
      </c>
      <c r="C160" s="2" t="s">
        <v>256</v>
      </c>
      <c r="G160" s="106" t="s">
        <v>211</v>
      </c>
      <c r="H160" s="106"/>
      <c r="I160" s="106"/>
      <c r="J160" s="106"/>
      <c r="K160" s="4"/>
    </row>
    <row r="161" spans="1:11">
      <c r="G161" s="4" t="s">
        <v>13</v>
      </c>
      <c r="H161" s="4" t="s">
        <v>14</v>
      </c>
      <c r="I161" s="4" t="s">
        <v>15</v>
      </c>
      <c r="J161" s="4" t="s">
        <v>16</v>
      </c>
      <c r="K161" s="4"/>
    </row>
    <row r="162" spans="1:11">
      <c r="B162" s="37" t="s">
        <v>208</v>
      </c>
      <c r="C162" s="4"/>
      <c r="D162" s="4"/>
      <c r="G162" s="27">
        <v>0.57999999999999996</v>
      </c>
      <c r="H162" s="27">
        <v>0</v>
      </c>
      <c r="I162" s="27">
        <v>0.42</v>
      </c>
      <c r="J162" s="27">
        <v>0</v>
      </c>
      <c r="K162" s="4" t="s">
        <v>206</v>
      </c>
    </row>
    <row r="163" spans="1:11">
      <c r="B163" s="40">
        <f>ROUND(B160/100*B157,-1)</f>
        <v>15970</v>
      </c>
      <c r="C163" s="2" t="s">
        <v>210</v>
      </c>
      <c r="D163" s="4" t="s">
        <v>206</v>
      </c>
      <c r="G163" s="5">
        <v>0.42</v>
      </c>
      <c r="H163" s="5">
        <v>0.06</v>
      </c>
      <c r="I163" s="5">
        <v>0.52</v>
      </c>
      <c r="J163" s="5">
        <v>0</v>
      </c>
      <c r="K163" s="4" t="s">
        <v>274</v>
      </c>
    </row>
    <row r="164" spans="1:11">
      <c r="G164" s="5">
        <v>0.53</v>
      </c>
      <c r="H164" s="5">
        <v>0.14000000000000001</v>
      </c>
      <c r="I164" s="5">
        <v>0.33</v>
      </c>
      <c r="J164" s="5">
        <v>0</v>
      </c>
      <c r="K164" s="4" t="s">
        <v>275</v>
      </c>
    </row>
    <row r="165" spans="1:11">
      <c r="B165" s="37" t="s">
        <v>234</v>
      </c>
      <c r="G165" s="38">
        <f>AVERAGE(G162:G164)</f>
        <v>0.51</v>
      </c>
      <c r="H165" s="38">
        <f>AVERAGE(H162:H164)</f>
        <v>6.6666666666666666E-2</v>
      </c>
      <c r="I165" s="38">
        <f>AVERAGE(I162:I164)</f>
        <v>0.42333333333333334</v>
      </c>
      <c r="J165" s="38">
        <f>AVERAGE(J162:J164)</f>
        <v>0</v>
      </c>
      <c r="K165" s="4" t="s">
        <v>126</v>
      </c>
    </row>
    <row r="166" spans="1:11">
      <c r="B166" s="2">
        <v>10</v>
      </c>
      <c r="C166" s="2" t="s">
        <v>210</v>
      </c>
      <c r="D166" s="4" t="s">
        <v>276</v>
      </c>
    </row>
    <row r="168" spans="1:11">
      <c r="B168" s="37" t="s">
        <v>217</v>
      </c>
      <c r="C168" s="4"/>
      <c r="D168" s="4"/>
    </row>
    <row r="169" spans="1:11">
      <c r="B169" s="40">
        <f>B163/10</f>
        <v>1597</v>
      </c>
      <c r="C169" s="2" t="s">
        <v>12</v>
      </c>
      <c r="D169" s="2"/>
    </row>
    <row r="170" spans="1:11">
      <c r="B170" s="38">
        <f>'Input Synapses'!$D$27</f>
        <v>0.92</v>
      </c>
      <c r="C170" s="40">
        <f>ROUND(B169*B170,0)</f>
        <v>1469</v>
      </c>
      <c r="D170" s="2" t="s">
        <v>220</v>
      </c>
      <c r="E170" s="4" t="s">
        <v>253</v>
      </c>
    </row>
    <row r="171" spans="1:11">
      <c r="B171" s="38">
        <f>'Input Synapses'!$D$28</f>
        <v>0.08</v>
      </c>
      <c r="C171" s="40">
        <f>ROUND(B169*B171,0)</f>
        <v>128</v>
      </c>
      <c r="D171" s="2" t="s">
        <v>222</v>
      </c>
      <c r="E171" s="4" t="s">
        <v>253</v>
      </c>
    </row>
    <row r="173" spans="1:11">
      <c r="A173" s="2" t="s">
        <v>277</v>
      </c>
      <c r="B173" s="37" t="s">
        <v>234</v>
      </c>
      <c r="C173" s="4"/>
      <c r="D173" s="4"/>
      <c r="G173" s="37" t="s">
        <v>231</v>
      </c>
      <c r="H173" s="4"/>
      <c r="I173" s="4"/>
      <c r="J173" s="4"/>
      <c r="K173" s="4"/>
    </row>
    <row r="174" spans="1:11">
      <c r="B174" s="2">
        <f>AVERAGE(2,10)</f>
        <v>6</v>
      </c>
      <c r="C174" s="2" t="s">
        <v>210</v>
      </c>
      <c r="D174" s="4" t="s">
        <v>278</v>
      </c>
      <c r="G174" s="106" t="s">
        <v>211</v>
      </c>
      <c r="H174" s="106"/>
      <c r="I174" s="106"/>
      <c r="J174" s="106"/>
      <c r="K174" s="4"/>
    </row>
    <row r="175" spans="1:11">
      <c r="G175" s="4" t="s">
        <v>13</v>
      </c>
      <c r="H175" s="4" t="s">
        <v>14</v>
      </c>
      <c r="I175" s="4" t="s">
        <v>15</v>
      </c>
      <c r="J175" s="4" t="s">
        <v>16</v>
      </c>
      <c r="K175" s="4"/>
    </row>
    <row r="176" spans="1:11">
      <c r="B176" s="37" t="s">
        <v>217</v>
      </c>
      <c r="G176" s="38">
        <v>0</v>
      </c>
      <c r="H176" s="38">
        <v>1</v>
      </c>
      <c r="I176" s="38">
        <v>0</v>
      </c>
      <c r="J176" s="38">
        <v>0</v>
      </c>
      <c r="K176" s="2" t="s">
        <v>279</v>
      </c>
    </row>
    <row r="177" spans="1:11">
      <c r="B177" s="40">
        <v>1200</v>
      </c>
      <c r="C177" s="2" t="s">
        <v>12</v>
      </c>
      <c r="D177" s="2"/>
      <c r="E177" s="4"/>
    </row>
    <row r="178" spans="1:11">
      <c r="B178" s="38">
        <v>1</v>
      </c>
      <c r="C178" s="40">
        <f>ROUND(B177*B178,0)</f>
        <v>1200</v>
      </c>
      <c r="D178" s="2" t="s">
        <v>220</v>
      </c>
      <c r="E178" s="4" t="s">
        <v>280</v>
      </c>
    </row>
    <row r="179" spans="1:11">
      <c r="B179" s="38">
        <v>0</v>
      </c>
      <c r="C179" s="40">
        <f>ROUND(B177*B179,0)</f>
        <v>0</v>
      </c>
      <c r="D179" s="2" t="s">
        <v>222</v>
      </c>
      <c r="E179" s="4" t="s">
        <v>280</v>
      </c>
    </row>
    <row r="181" spans="1:11">
      <c r="B181" s="37" t="s">
        <v>208</v>
      </c>
    </row>
    <row r="182" spans="1:11">
      <c r="B182" s="40">
        <f>B177*B174</f>
        <v>7200</v>
      </c>
      <c r="C182" s="2" t="s">
        <v>210</v>
      </c>
    </row>
    <row r="184" spans="1:11">
      <c r="A184" s="2" t="s">
        <v>281</v>
      </c>
      <c r="B184" s="37" t="s">
        <v>208</v>
      </c>
    </row>
    <row r="185" spans="1:11" s="87" customFormat="1">
      <c r="A185" s="2"/>
      <c r="B185" s="93">
        <v>8000</v>
      </c>
      <c r="C185" s="87" t="s">
        <v>637</v>
      </c>
      <c r="D185" s="87" t="s">
        <v>638</v>
      </c>
    </row>
    <row r="186" spans="1:11">
      <c r="B186" s="40">
        <v>10000</v>
      </c>
      <c r="C186" s="2" t="s">
        <v>635</v>
      </c>
      <c r="D186" s="87" t="s">
        <v>636</v>
      </c>
    </row>
    <row r="188" spans="1:11">
      <c r="B188" s="37" t="s">
        <v>234</v>
      </c>
      <c r="G188" s="37" t="s">
        <v>231</v>
      </c>
      <c r="H188" s="4"/>
      <c r="I188" s="4"/>
      <c r="J188" s="4"/>
      <c r="K188" s="4"/>
    </row>
    <row r="189" spans="1:11">
      <c r="B189" s="2">
        <v>8</v>
      </c>
      <c r="C189" s="2" t="s">
        <v>210</v>
      </c>
      <c r="D189" s="4" t="s">
        <v>282</v>
      </c>
      <c r="G189" s="106" t="s">
        <v>211</v>
      </c>
      <c r="H189" s="106"/>
      <c r="I189" s="106"/>
      <c r="J189" s="106"/>
      <c r="K189" s="4"/>
    </row>
    <row r="190" spans="1:11">
      <c r="G190" s="4" t="s">
        <v>13</v>
      </c>
      <c r="H190" s="4" t="s">
        <v>14</v>
      </c>
      <c r="I190" s="4" t="s">
        <v>15</v>
      </c>
      <c r="J190" s="4" t="s">
        <v>16</v>
      </c>
      <c r="K190" s="4"/>
    </row>
    <row r="191" spans="1:11">
      <c r="B191" s="37" t="s">
        <v>217</v>
      </c>
      <c r="G191" s="38">
        <v>0.19</v>
      </c>
      <c r="H191" s="38">
        <v>0.6</v>
      </c>
      <c r="I191" s="38">
        <v>0.2</v>
      </c>
      <c r="J191" s="38">
        <v>0.01</v>
      </c>
      <c r="K191" s="2" t="s">
        <v>283</v>
      </c>
    </row>
    <row r="192" spans="1:11">
      <c r="B192" s="40">
        <f>B186/B189</f>
        <v>1250</v>
      </c>
      <c r="C192" s="2" t="s">
        <v>12</v>
      </c>
      <c r="D192" s="2"/>
      <c r="E192" s="4"/>
    </row>
    <row r="193" spans="1:11">
      <c r="B193" s="38">
        <f>'Input Synapses'!$D$27</f>
        <v>0.92</v>
      </c>
      <c r="C193" s="40">
        <f>ROUND(B192*B193,0)</f>
        <v>1150</v>
      </c>
      <c r="D193" s="2" t="s">
        <v>220</v>
      </c>
      <c r="E193" s="4" t="s">
        <v>253</v>
      </c>
    </row>
    <row r="194" spans="1:11">
      <c r="B194" s="38">
        <f>'Input Synapses'!$D$28</f>
        <v>0.08</v>
      </c>
      <c r="C194" s="40">
        <v>100</v>
      </c>
      <c r="D194" s="2" t="s">
        <v>222</v>
      </c>
      <c r="E194" s="4" t="s">
        <v>253</v>
      </c>
    </row>
    <row r="196" spans="1:11">
      <c r="A196" s="2" t="s">
        <v>284</v>
      </c>
      <c r="B196" s="37" t="s">
        <v>208</v>
      </c>
      <c r="C196" s="4"/>
      <c r="D196" s="4"/>
      <c r="E196" s="4"/>
      <c r="F196" s="4"/>
      <c r="G196" s="4"/>
      <c r="H196" s="4"/>
      <c r="I196" s="4"/>
      <c r="J196" s="4"/>
      <c r="K196" s="4"/>
    </row>
    <row r="197" spans="1:11">
      <c r="B197" s="40">
        <v>12000</v>
      </c>
      <c r="C197" s="2" t="s">
        <v>285</v>
      </c>
      <c r="D197" s="4"/>
      <c r="E197" s="4"/>
      <c r="F197" s="4"/>
      <c r="G197" s="4"/>
      <c r="H197" s="4"/>
      <c r="I197" s="4"/>
      <c r="J197" s="4"/>
      <c r="K197" s="4"/>
    </row>
    <row r="198" spans="1:11"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>
      <c r="B199" s="37" t="s">
        <v>234</v>
      </c>
      <c r="C199" s="4"/>
      <c r="D199" s="4"/>
      <c r="E199" s="4"/>
      <c r="F199" s="4"/>
      <c r="G199" s="37" t="s">
        <v>231</v>
      </c>
      <c r="H199" s="4"/>
      <c r="I199" s="4"/>
      <c r="J199" s="4"/>
      <c r="K199" s="4"/>
    </row>
    <row r="200" spans="1:11">
      <c r="B200" s="2">
        <v>6</v>
      </c>
      <c r="C200" s="2" t="s">
        <v>210</v>
      </c>
      <c r="D200" s="4" t="s">
        <v>286</v>
      </c>
      <c r="E200" s="4"/>
      <c r="F200" s="4"/>
      <c r="G200" s="106" t="s">
        <v>211</v>
      </c>
      <c r="H200" s="106"/>
      <c r="I200" s="106"/>
      <c r="J200" s="106"/>
      <c r="K200" s="4"/>
    </row>
    <row r="201" spans="1:11">
      <c r="B201" s="4"/>
      <c r="C201" s="4"/>
      <c r="D201" s="4"/>
      <c r="E201" s="4"/>
      <c r="F201" s="4"/>
      <c r="G201" s="4" t="s">
        <v>13</v>
      </c>
      <c r="H201" s="4" t="s">
        <v>14</v>
      </c>
      <c r="I201" s="4" t="s">
        <v>15</v>
      </c>
      <c r="J201" s="4" t="s">
        <v>16</v>
      </c>
      <c r="K201" s="4"/>
    </row>
    <row r="202" spans="1:11">
      <c r="B202" s="37" t="s">
        <v>217</v>
      </c>
      <c r="C202" s="4"/>
      <c r="D202" s="4"/>
      <c r="E202" s="4"/>
      <c r="F202" s="4"/>
      <c r="G202" s="5">
        <v>0</v>
      </c>
      <c r="H202" s="28">
        <v>2E-3</v>
      </c>
      <c r="I202" s="28">
        <v>0.97399999999999998</v>
      </c>
      <c r="J202" s="28">
        <v>2.4E-2</v>
      </c>
      <c r="K202" s="13" t="s">
        <v>287</v>
      </c>
    </row>
    <row r="203" spans="1:11">
      <c r="B203" s="40">
        <f>B197/B200</f>
        <v>2000</v>
      </c>
      <c r="C203" s="2" t="s">
        <v>12</v>
      </c>
      <c r="D203" s="2"/>
      <c r="E203" s="4"/>
      <c r="F203" s="4"/>
      <c r="G203" s="28">
        <v>0.192</v>
      </c>
      <c r="H203" s="28">
        <v>8.2000000000000003E-2</v>
      </c>
      <c r="I203" s="28">
        <v>0.67400000000000004</v>
      </c>
      <c r="J203" s="28">
        <v>5.1999999999999998E-2</v>
      </c>
      <c r="K203" s="4" t="s">
        <v>218</v>
      </c>
    </row>
    <row r="204" spans="1:11">
      <c r="B204" s="38">
        <f>'Input Synapses'!$D$27</f>
        <v>0.92</v>
      </c>
      <c r="C204" s="40">
        <f>ROUND(B203*B204,0)</f>
        <v>1840</v>
      </c>
      <c r="D204" s="2" t="s">
        <v>220</v>
      </c>
      <c r="E204" s="4" t="s">
        <v>253</v>
      </c>
      <c r="F204" s="4"/>
      <c r="G204" s="38">
        <f>AVERAGE(G202:G203)</f>
        <v>9.6000000000000002E-2</v>
      </c>
      <c r="H204" s="38">
        <f>AVERAGE(H202:H203)</f>
        <v>4.2000000000000003E-2</v>
      </c>
      <c r="I204" s="38">
        <f>AVERAGE(I202:I203)</f>
        <v>0.82400000000000007</v>
      </c>
      <c r="J204" s="38">
        <f>AVERAGE(J202:J203)</f>
        <v>3.7999999999999999E-2</v>
      </c>
      <c r="K204" s="2" t="s">
        <v>126</v>
      </c>
    </row>
    <row r="205" spans="1:11">
      <c r="B205" s="38">
        <f>'Input Synapses'!$D$28</f>
        <v>0.08</v>
      </c>
      <c r="C205" s="40">
        <v>160</v>
      </c>
      <c r="D205" s="2" t="s">
        <v>222</v>
      </c>
      <c r="E205" s="4" t="s">
        <v>253</v>
      </c>
      <c r="F205" s="4"/>
      <c r="G205" s="4"/>
      <c r="H205" s="4"/>
      <c r="I205" s="4"/>
      <c r="J205" s="4"/>
      <c r="K205" s="4"/>
    </row>
    <row r="206" spans="1:11" s="85" customFormat="1">
      <c r="B206" s="38"/>
      <c r="C206" s="40"/>
      <c r="D206" s="2"/>
      <c r="E206" s="86"/>
      <c r="F206" s="86"/>
      <c r="G206" s="86"/>
      <c r="H206" s="86"/>
      <c r="I206" s="86"/>
      <c r="J206" s="86"/>
      <c r="K206" s="86"/>
    </row>
    <row r="207" spans="1:11" s="85" customFormat="1">
      <c r="A207" s="88" t="s">
        <v>630</v>
      </c>
      <c r="B207" s="38"/>
      <c r="C207" s="40"/>
      <c r="D207" s="2"/>
      <c r="E207" s="86"/>
      <c r="F207" s="86"/>
      <c r="G207" s="86"/>
      <c r="H207" s="86"/>
      <c r="I207" s="86"/>
      <c r="J207" s="86"/>
      <c r="K207" s="86"/>
    </row>
    <row r="208" spans="1:11" s="85" customFormat="1">
      <c r="B208" s="92">
        <v>111</v>
      </c>
      <c r="C208" s="93" t="s">
        <v>631</v>
      </c>
      <c r="D208" s="2"/>
      <c r="E208" s="86"/>
      <c r="F208" s="86"/>
      <c r="G208" s="86"/>
      <c r="H208" s="86"/>
      <c r="I208" s="86"/>
      <c r="J208" s="86"/>
      <c r="K208" s="86"/>
    </row>
    <row r="209" spans="1:11" s="85" customFormat="1">
      <c r="B209" s="94">
        <v>0.1</v>
      </c>
      <c r="C209" s="93" t="s">
        <v>632</v>
      </c>
      <c r="D209" s="2"/>
      <c r="E209" s="86"/>
      <c r="F209" s="86"/>
      <c r="G209" s="86"/>
      <c r="H209" s="86"/>
      <c r="I209" s="86"/>
      <c r="J209" s="86"/>
      <c r="K209" s="86"/>
    </row>
    <row r="210" spans="1:11" s="85" customFormat="1">
      <c r="B210" s="38"/>
      <c r="C210" s="40"/>
      <c r="D210" s="2"/>
      <c r="E210" s="86"/>
      <c r="F210" s="86"/>
      <c r="G210" s="86"/>
      <c r="H210" s="86"/>
      <c r="I210" s="86"/>
      <c r="J210" s="86"/>
      <c r="K210" s="86"/>
    </row>
    <row r="211" spans="1:11" s="85" customFormat="1">
      <c r="B211" s="93">
        <f>ROUND(B208*B209*'Cell Numbers'!A5/'Cell Numbers'!C23,-1)</f>
        <v>8870</v>
      </c>
      <c r="C211" s="93" t="s">
        <v>633</v>
      </c>
      <c r="D211" s="2"/>
      <c r="E211" s="86"/>
      <c r="F211" s="86"/>
      <c r="G211" s="86"/>
      <c r="H211" s="86"/>
      <c r="I211" s="86"/>
      <c r="J211" s="86"/>
      <c r="K211" s="86"/>
    </row>
    <row r="213" spans="1:11">
      <c r="A213" s="2" t="s">
        <v>288</v>
      </c>
      <c r="B213" s="37" t="s">
        <v>208</v>
      </c>
      <c r="C213" s="4"/>
      <c r="D213" s="4"/>
      <c r="E213" s="4"/>
      <c r="F213" s="4"/>
      <c r="G213" s="4"/>
      <c r="H213" s="4"/>
      <c r="I213" s="4"/>
      <c r="J213" s="4"/>
      <c r="K213" s="4"/>
    </row>
    <row r="214" spans="1:11">
      <c r="B214" s="40">
        <v>8000</v>
      </c>
      <c r="C214" s="2" t="s">
        <v>285</v>
      </c>
      <c r="D214" s="4"/>
      <c r="E214" s="4"/>
      <c r="F214" s="4"/>
      <c r="G214" s="4"/>
      <c r="H214" s="4"/>
      <c r="I214" s="4"/>
      <c r="J214" s="4"/>
      <c r="K214" s="4"/>
    </row>
    <row r="215" spans="1:11"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>
      <c r="B216" s="37" t="s">
        <v>234</v>
      </c>
      <c r="C216" s="4"/>
      <c r="D216" s="4"/>
      <c r="E216" s="4"/>
      <c r="F216" s="4"/>
      <c r="G216" s="37" t="s">
        <v>231</v>
      </c>
      <c r="H216" s="4"/>
      <c r="I216" s="4"/>
      <c r="J216" s="4"/>
      <c r="K216" s="4"/>
    </row>
    <row r="217" spans="1:11">
      <c r="B217" s="2">
        <v>6</v>
      </c>
      <c r="C217" s="2" t="s">
        <v>210</v>
      </c>
      <c r="D217" s="4" t="s">
        <v>286</v>
      </c>
      <c r="E217" s="4"/>
      <c r="F217" s="4"/>
      <c r="G217" s="106" t="s">
        <v>211</v>
      </c>
      <c r="H217" s="106"/>
      <c r="I217" s="106"/>
      <c r="J217" s="106"/>
      <c r="K217" s="4"/>
    </row>
    <row r="218" spans="1:11">
      <c r="B218" s="4"/>
      <c r="C218" s="4"/>
      <c r="D218" s="4"/>
      <c r="E218" s="4"/>
      <c r="F218" s="4"/>
      <c r="G218" s="4" t="s">
        <v>13</v>
      </c>
      <c r="H218" s="4" t="s">
        <v>14</v>
      </c>
      <c r="I218" s="4" t="s">
        <v>15</v>
      </c>
      <c r="J218" s="4" t="s">
        <v>16</v>
      </c>
      <c r="K218" s="4"/>
    </row>
    <row r="219" spans="1:11">
      <c r="B219" s="37" t="s">
        <v>217</v>
      </c>
      <c r="C219" s="4"/>
      <c r="D219" s="4"/>
      <c r="E219" s="4"/>
      <c r="F219" s="4"/>
      <c r="G219" s="38">
        <v>0</v>
      </c>
      <c r="H219" s="38">
        <v>0</v>
      </c>
      <c r="I219" s="38">
        <v>0</v>
      </c>
      <c r="J219" s="38">
        <v>1</v>
      </c>
      <c r="K219" s="2" t="s">
        <v>279</v>
      </c>
    </row>
    <row r="220" spans="1:11">
      <c r="B220" s="40">
        <f>B214/B217</f>
        <v>1333.3333333333333</v>
      </c>
      <c r="C220" s="2" t="s">
        <v>12</v>
      </c>
      <c r="D220" s="2"/>
      <c r="E220" s="4"/>
      <c r="F220" s="4"/>
      <c r="G220" s="28"/>
      <c r="H220" s="28"/>
      <c r="I220" s="28"/>
      <c r="J220" s="28"/>
      <c r="K220" s="4"/>
    </row>
    <row r="221" spans="1:11">
      <c r="B221" s="38">
        <f>'Input Synapses'!$D$27</f>
        <v>0.92</v>
      </c>
      <c r="C221" s="40">
        <f>ROUND(B220*B221,0)</f>
        <v>1227</v>
      </c>
      <c r="D221" s="2" t="s">
        <v>220</v>
      </c>
      <c r="E221" s="4" t="s">
        <v>253</v>
      </c>
      <c r="F221" s="4"/>
      <c r="G221" s="38"/>
      <c r="H221" s="38"/>
      <c r="I221" s="38"/>
      <c r="J221" s="38"/>
      <c r="K221" s="2"/>
    </row>
    <row r="222" spans="1:11">
      <c r="B222" s="38">
        <f>'Input Synapses'!$D$28</f>
        <v>0.08</v>
      </c>
      <c r="C222" s="40">
        <v>106</v>
      </c>
      <c r="D222" s="2" t="s">
        <v>222</v>
      </c>
      <c r="E222" s="4" t="s">
        <v>253</v>
      </c>
      <c r="F222" s="4"/>
      <c r="G222" s="4"/>
      <c r="H222" s="4"/>
      <c r="I222" s="4"/>
      <c r="J222" s="4"/>
      <c r="K222" s="4"/>
    </row>
  </sheetData>
  <mergeCells count="13">
    <mergeCell ref="G6:J6"/>
    <mergeCell ref="G200:J200"/>
    <mergeCell ref="G217:J217"/>
    <mergeCell ref="F112:I112"/>
    <mergeCell ref="F126:I126"/>
    <mergeCell ref="G160:J160"/>
    <mergeCell ref="G174:J174"/>
    <mergeCell ref="G189:J189"/>
    <mergeCell ref="G40:J40"/>
    <mergeCell ref="G53:J53"/>
    <mergeCell ref="G64:J64"/>
    <mergeCell ref="G81:J81"/>
    <mergeCell ref="G93:J93"/>
  </mergeCells>
  <pageMargins left="0.7" right="0.7" top="0.75" bottom="0.75" header="0.51180555555555496" footer="0.51180555555555496"/>
  <pageSetup firstPageNumber="0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zoomScaleNormal="100" workbookViewId="0">
      <selection sqref="A1:A3"/>
    </sheetView>
  </sheetViews>
  <sheetFormatPr defaultRowHeight="15"/>
  <cols>
    <col min="1" max="14" width="9.140625" style="43"/>
    <col min="15" max="15" width="5" style="43"/>
    <col min="16" max="17" width="9.140625" style="43"/>
    <col min="18" max="18" width="6.140625" style="43"/>
    <col min="19" max="1025" width="9.140625" style="43"/>
  </cols>
  <sheetData>
    <row r="1" spans="1:21" ht="15" customHeight="1">
      <c r="A1" s="113" t="s">
        <v>289</v>
      </c>
      <c r="B1" s="113" t="s">
        <v>290</v>
      </c>
      <c r="C1" s="113"/>
      <c r="D1" s="113"/>
      <c r="E1" s="113"/>
      <c r="F1" s="113"/>
      <c r="G1" s="113" t="s">
        <v>291</v>
      </c>
      <c r="H1" s="113"/>
      <c r="I1" s="113"/>
      <c r="J1" s="113"/>
      <c r="K1" s="113" t="s">
        <v>292</v>
      </c>
      <c r="L1" s="113"/>
      <c r="M1" s="113"/>
      <c r="N1" s="113"/>
      <c r="O1" s="113"/>
      <c r="P1" s="113" t="s">
        <v>217</v>
      </c>
      <c r="Q1" s="113"/>
      <c r="R1" s="113"/>
      <c r="S1" s="113"/>
      <c r="T1" s="113"/>
      <c r="U1" s="113"/>
    </row>
    <row r="2" spans="1:21" ht="15" customHeight="1">
      <c r="A2" s="113"/>
      <c r="B2" s="45" t="s">
        <v>293</v>
      </c>
      <c r="C2" s="113" t="s">
        <v>294</v>
      </c>
      <c r="D2" s="113"/>
      <c r="E2" s="113" t="s">
        <v>295</v>
      </c>
      <c r="F2" s="113"/>
      <c r="G2" s="113" t="s">
        <v>12</v>
      </c>
      <c r="H2" s="113"/>
      <c r="I2" s="113" t="s">
        <v>296</v>
      </c>
      <c r="J2" s="113"/>
      <c r="K2" s="113"/>
      <c r="L2" s="113"/>
      <c r="M2" s="113"/>
      <c r="N2" s="113"/>
      <c r="O2" s="113"/>
      <c r="P2" s="113" t="s">
        <v>297</v>
      </c>
      <c r="Q2" s="113"/>
      <c r="R2" s="113"/>
      <c r="S2" s="113" t="s">
        <v>298</v>
      </c>
      <c r="T2" s="113"/>
      <c r="U2" s="113"/>
    </row>
    <row r="3" spans="1:21" ht="30">
      <c r="A3" s="113"/>
      <c r="B3" s="45" t="s">
        <v>299</v>
      </c>
      <c r="C3" s="45" t="s">
        <v>300</v>
      </c>
      <c r="D3" s="45" t="s">
        <v>119</v>
      </c>
      <c r="E3" s="45" t="s">
        <v>301</v>
      </c>
      <c r="F3" s="45" t="s">
        <v>119</v>
      </c>
      <c r="G3" s="46" t="s">
        <v>302</v>
      </c>
      <c r="H3" s="46" t="s">
        <v>119</v>
      </c>
      <c r="I3" s="45" t="s">
        <v>303</v>
      </c>
      <c r="J3" s="45" t="s">
        <v>119</v>
      </c>
      <c r="K3" s="45" t="s">
        <v>13</v>
      </c>
      <c r="L3" s="45" t="s">
        <v>14</v>
      </c>
      <c r="M3" s="45" t="s">
        <v>15</v>
      </c>
      <c r="N3" s="45" t="s">
        <v>16</v>
      </c>
      <c r="O3" s="45" t="s">
        <v>304</v>
      </c>
      <c r="P3" s="45" t="s">
        <v>305</v>
      </c>
      <c r="Q3" s="45" t="s">
        <v>306</v>
      </c>
      <c r="R3" s="45" t="s">
        <v>304</v>
      </c>
      <c r="S3" s="45" t="s">
        <v>12</v>
      </c>
      <c r="T3" s="45" t="s">
        <v>305</v>
      </c>
      <c r="U3" s="45" t="s">
        <v>306</v>
      </c>
    </row>
    <row r="4" spans="1:21" ht="14.1" customHeight="1">
      <c r="A4" s="108" t="s">
        <v>18</v>
      </c>
      <c r="B4" s="47" t="s">
        <v>307</v>
      </c>
      <c r="C4" s="107">
        <f>Divergence!B37</f>
        <v>176760</v>
      </c>
      <c r="D4" s="108" t="s">
        <v>308</v>
      </c>
      <c r="E4" s="108">
        <f>Divergence!B26</f>
        <v>41.7</v>
      </c>
      <c r="F4" s="108" t="s">
        <v>309</v>
      </c>
      <c r="G4" s="107">
        <f>Divergence!B41</f>
        <v>16200</v>
      </c>
      <c r="H4" s="108" t="s">
        <v>310</v>
      </c>
      <c r="I4" s="108">
        <f>Divergence!B29</f>
        <v>10</v>
      </c>
      <c r="J4" s="108" t="s">
        <v>311</v>
      </c>
      <c r="K4" s="110">
        <f>Divergence!G44</f>
        <v>0.4</v>
      </c>
      <c r="L4" s="110">
        <f>Divergence!H44</f>
        <v>0.02</v>
      </c>
      <c r="M4" s="110">
        <f>Divergence!I44</f>
        <v>0.5</v>
      </c>
      <c r="N4" s="110">
        <f>Divergence!J44</f>
        <v>0.08</v>
      </c>
      <c r="O4" s="111" t="s">
        <v>312</v>
      </c>
      <c r="P4" s="110">
        <f>Divergence!B45</f>
        <v>0.92</v>
      </c>
      <c r="Q4" s="110">
        <f>Divergence!B46</f>
        <v>0.08</v>
      </c>
      <c r="R4" s="111" t="s">
        <v>313</v>
      </c>
      <c r="S4" s="107">
        <f>Divergence!B44</f>
        <v>1620</v>
      </c>
      <c r="T4" s="107">
        <f>Divergence!C45</f>
        <v>1490</v>
      </c>
      <c r="U4" s="108">
        <f>Divergence!C46</f>
        <v>130</v>
      </c>
    </row>
    <row r="5" spans="1:21" ht="17.25">
      <c r="A5" s="108"/>
      <c r="B5" s="47" t="s">
        <v>314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11"/>
      <c r="P5" s="110"/>
      <c r="Q5" s="110"/>
      <c r="R5" s="111"/>
      <c r="S5" s="107"/>
      <c r="T5" s="107"/>
      <c r="U5" s="108"/>
    </row>
    <row r="6" spans="1:21" ht="14.1" customHeight="1">
      <c r="A6" s="108" t="s">
        <v>19</v>
      </c>
      <c r="B6" s="47" t="s">
        <v>315</v>
      </c>
      <c r="C6" s="107">
        <f>Divergence!B53</f>
        <v>144000</v>
      </c>
      <c r="D6" s="108" t="s">
        <v>310</v>
      </c>
      <c r="E6" s="108">
        <f>Divergence!B26</f>
        <v>41.7</v>
      </c>
      <c r="F6" s="108" t="s">
        <v>309</v>
      </c>
      <c r="G6" s="107">
        <f>Divergence!B50</f>
        <v>13199.999999999998</v>
      </c>
      <c r="H6" s="108" t="s">
        <v>310</v>
      </c>
      <c r="I6" s="108">
        <f>Divergence!B29</f>
        <v>10</v>
      </c>
      <c r="J6" s="108" t="s">
        <v>311</v>
      </c>
      <c r="K6" s="110">
        <f>Divergence!G55</f>
        <v>0</v>
      </c>
      <c r="L6" s="110">
        <f>Divergence!H55</f>
        <v>0</v>
      </c>
      <c r="M6" s="110">
        <f>Divergence!I55</f>
        <v>0.17039106145251395</v>
      </c>
      <c r="N6" s="110">
        <f>Divergence!J55</f>
        <v>0.82960893854748607</v>
      </c>
      <c r="O6" s="111" t="s">
        <v>310</v>
      </c>
      <c r="P6" s="110">
        <f>Divergence!B57</f>
        <v>0.92</v>
      </c>
      <c r="Q6" s="110">
        <f>Divergence!B58</f>
        <v>0.08</v>
      </c>
      <c r="R6" s="111" t="s">
        <v>313</v>
      </c>
      <c r="S6" s="107">
        <f>Divergence!B56</f>
        <v>1319.9999999999998</v>
      </c>
      <c r="T6" s="107">
        <f>Divergence!C57</f>
        <v>1214</v>
      </c>
      <c r="U6" s="108">
        <f>Divergence!C58</f>
        <v>106</v>
      </c>
    </row>
    <row r="7" spans="1:21" ht="17.25">
      <c r="A7" s="108"/>
      <c r="B7" s="47" t="s">
        <v>316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11"/>
      <c r="P7" s="110"/>
      <c r="Q7" s="110"/>
      <c r="R7" s="111"/>
      <c r="S7" s="107"/>
      <c r="T7" s="107"/>
      <c r="U7" s="108"/>
    </row>
    <row r="8" spans="1:21" ht="14.1" customHeight="1">
      <c r="A8" s="108" t="s">
        <v>20</v>
      </c>
      <c r="B8" s="47" t="s">
        <v>317</v>
      </c>
      <c r="C8" s="107">
        <f>Divergence!B64</f>
        <v>62490</v>
      </c>
      <c r="D8" s="108" t="s">
        <v>318</v>
      </c>
      <c r="E8" s="108">
        <f>Divergence!B61</f>
        <v>26.6</v>
      </c>
      <c r="F8" s="108" t="s">
        <v>318</v>
      </c>
      <c r="G8" s="107">
        <f>Divergence!B67</f>
        <v>16370</v>
      </c>
      <c r="H8" s="108" t="s">
        <v>319</v>
      </c>
      <c r="I8" s="108">
        <f>Divergence!B70</f>
        <v>10</v>
      </c>
      <c r="J8" s="108" t="s">
        <v>320</v>
      </c>
      <c r="K8" s="110">
        <f>Divergence!G66</f>
        <v>7.1065989847715741E-2</v>
      </c>
      <c r="L8" s="110">
        <f>Divergence!H66</f>
        <v>0</v>
      </c>
      <c r="M8" s="110">
        <f>Divergence!I66</f>
        <v>0</v>
      </c>
      <c r="N8" s="110">
        <f>Divergence!J66</f>
        <v>0.92893401015228427</v>
      </c>
      <c r="O8" s="111" t="s">
        <v>319</v>
      </c>
      <c r="P8" s="110">
        <f>Divergence!B74</f>
        <v>0.89</v>
      </c>
      <c r="Q8" s="110">
        <f>Divergence!B75</f>
        <v>0.11</v>
      </c>
      <c r="R8" s="111" t="s">
        <v>321</v>
      </c>
      <c r="S8" s="107">
        <f>Divergence!B73</f>
        <v>1637</v>
      </c>
      <c r="T8" s="107">
        <f>Divergence!C74</f>
        <v>1457</v>
      </c>
      <c r="U8" s="107">
        <f>Divergence!C75</f>
        <v>180</v>
      </c>
    </row>
    <row r="9" spans="1:21" ht="17.25">
      <c r="A9" s="108"/>
      <c r="B9" s="47" t="s">
        <v>322</v>
      </c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11"/>
      <c r="P9" s="110"/>
      <c r="Q9" s="110"/>
      <c r="R9" s="111"/>
      <c r="S9" s="107"/>
      <c r="T9" s="107"/>
      <c r="U9" s="107"/>
    </row>
    <row r="10" spans="1:21" ht="14.1" customHeight="1">
      <c r="A10" s="108" t="s">
        <v>323</v>
      </c>
      <c r="B10" s="108"/>
      <c r="C10" s="108"/>
      <c r="D10" s="108"/>
      <c r="E10" s="108"/>
      <c r="F10" s="108"/>
      <c r="G10" s="107">
        <f>Divergence!B78</f>
        <v>6080</v>
      </c>
      <c r="H10" s="108" t="s">
        <v>324</v>
      </c>
      <c r="I10" s="108">
        <f>Divergence!B81</f>
        <v>10</v>
      </c>
      <c r="J10" s="108" t="s">
        <v>320</v>
      </c>
      <c r="K10" s="110">
        <f>Divergence!G83</f>
        <v>0.57999999999999996</v>
      </c>
      <c r="L10" s="110">
        <f>Divergence!H83</f>
        <v>0</v>
      </c>
      <c r="M10" s="110">
        <f>Divergence!I83</f>
        <v>0.42</v>
      </c>
      <c r="N10" s="110">
        <f>Divergence!J83</f>
        <v>0</v>
      </c>
      <c r="O10" s="111" t="s">
        <v>325</v>
      </c>
      <c r="P10" s="110">
        <f>Divergence!B85</f>
        <v>0.92</v>
      </c>
      <c r="Q10" s="110">
        <f>Divergence!B86</f>
        <v>0.08</v>
      </c>
      <c r="R10" s="111" t="s">
        <v>326</v>
      </c>
      <c r="S10" s="107">
        <f>Divergence!B84</f>
        <v>608</v>
      </c>
      <c r="T10" s="107">
        <f>Divergence!C85</f>
        <v>559</v>
      </c>
      <c r="U10" s="107">
        <f>Divergence!C86</f>
        <v>49</v>
      </c>
    </row>
    <row r="11" spans="1:21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11"/>
      <c r="P11" s="110"/>
      <c r="Q11" s="110"/>
      <c r="R11" s="111"/>
      <c r="S11" s="107"/>
      <c r="T11" s="107"/>
      <c r="U11" s="107"/>
    </row>
    <row r="12" spans="1:21" ht="45">
      <c r="A12" s="47" t="s">
        <v>327</v>
      </c>
      <c r="B12" s="47"/>
      <c r="C12" s="47"/>
      <c r="D12" s="47"/>
      <c r="E12" s="47"/>
      <c r="F12" s="47"/>
      <c r="G12" s="48">
        <f>Divergence!B90</f>
        <v>6080</v>
      </c>
      <c r="H12" s="47" t="s">
        <v>324</v>
      </c>
      <c r="I12" s="47">
        <f>Divergence!B93</f>
        <v>10</v>
      </c>
      <c r="J12" s="47" t="s">
        <v>320</v>
      </c>
      <c r="K12" s="49">
        <f>Divergence!G95</f>
        <v>0.57999999999999996</v>
      </c>
      <c r="L12" s="49">
        <f>Divergence!H95</f>
        <v>0</v>
      </c>
      <c r="M12" s="49">
        <f>Divergence!I95</f>
        <v>0.42</v>
      </c>
      <c r="N12" s="49">
        <f>Divergence!J95</f>
        <v>0</v>
      </c>
      <c r="O12" s="50" t="s">
        <v>325</v>
      </c>
      <c r="P12" s="49">
        <f>Divergence!B97</f>
        <v>0.96</v>
      </c>
      <c r="Q12" s="49">
        <f>Divergence!B98</f>
        <v>0.04</v>
      </c>
      <c r="R12" s="50" t="s">
        <v>328</v>
      </c>
      <c r="S12" s="48">
        <f>Divergence!B96</f>
        <v>608</v>
      </c>
      <c r="T12" s="48">
        <f>Divergence!C97</f>
        <v>584</v>
      </c>
      <c r="U12" s="48">
        <f>Divergence!C98</f>
        <v>24</v>
      </c>
    </row>
    <row r="13" spans="1:21" ht="14.1" customHeight="1">
      <c r="A13" s="108" t="s">
        <v>329</v>
      </c>
      <c r="B13" s="47" t="s">
        <v>330</v>
      </c>
      <c r="C13" s="107">
        <f>Divergence!B123</f>
        <v>54740</v>
      </c>
      <c r="D13" s="108" t="s">
        <v>318</v>
      </c>
      <c r="E13" s="108">
        <f>Divergence!B126</f>
        <v>28.2</v>
      </c>
      <c r="F13" s="108" t="s">
        <v>318</v>
      </c>
      <c r="G13" s="107">
        <f>Divergence!B129</f>
        <v>15440</v>
      </c>
      <c r="H13" s="108" t="s">
        <v>319</v>
      </c>
      <c r="I13" s="108">
        <f>Divergence!B132</f>
        <v>10</v>
      </c>
      <c r="J13" s="108" t="s">
        <v>320</v>
      </c>
      <c r="K13" s="110">
        <f>Divergence!F128</f>
        <v>0.13074565883554648</v>
      </c>
      <c r="L13" s="110">
        <f>Divergence!G128</f>
        <v>0.17058222676200205</v>
      </c>
      <c r="M13" s="110">
        <f>Divergence!H128</f>
        <v>0.69867211440245158</v>
      </c>
      <c r="N13" s="110">
        <f>Divergence!I128</f>
        <v>0</v>
      </c>
      <c r="O13" s="111" t="s">
        <v>319</v>
      </c>
      <c r="P13" s="110">
        <f>Divergence!B136</f>
        <v>0.4</v>
      </c>
      <c r="Q13" s="110">
        <f>Divergence!B137</f>
        <v>0.6</v>
      </c>
      <c r="R13" s="111" t="s">
        <v>331</v>
      </c>
      <c r="S13" s="107">
        <f>Divergence!B135</f>
        <v>1544</v>
      </c>
      <c r="T13" s="107">
        <f>Divergence!C136</f>
        <v>618</v>
      </c>
      <c r="U13" s="107">
        <f>Divergence!C137</f>
        <v>926</v>
      </c>
    </row>
    <row r="14" spans="1:21" ht="17.25">
      <c r="A14" s="108"/>
      <c r="B14" s="47" t="s">
        <v>332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11"/>
      <c r="P14" s="110"/>
      <c r="Q14" s="110"/>
      <c r="R14" s="111"/>
      <c r="S14" s="107"/>
      <c r="T14" s="107"/>
      <c r="U14" s="107"/>
    </row>
    <row r="15" spans="1:21" ht="14.1" customHeight="1">
      <c r="A15" s="108" t="s">
        <v>333</v>
      </c>
      <c r="B15" s="108"/>
      <c r="C15" s="107">
        <f>Divergence!B112</f>
        <v>24540</v>
      </c>
      <c r="D15" s="108" t="s">
        <v>334</v>
      </c>
      <c r="E15" s="108">
        <f>Divergence!B109</f>
        <v>24.8</v>
      </c>
      <c r="F15" s="108" t="s">
        <v>334</v>
      </c>
      <c r="G15" s="107">
        <f>Divergence!B106</f>
        <v>6080</v>
      </c>
      <c r="H15" s="108" t="s">
        <v>334</v>
      </c>
      <c r="I15" s="108">
        <f>Divergence!B115</f>
        <v>10</v>
      </c>
      <c r="J15" s="108" t="s">
        <v>320</v>
      </c>
      <c r="K15" s="110">
        <f>Divergence!F114</f>
        <v>0.57999999999999996</v>
      </c>
      <c r="L15" s="110">
        <f>Divergence!G114</f>
        <v>0</v>
      </c>
      <c r="M15" s="110">
        <f>Divergence!H114</f>
        <v>0.42</v>
      </c>
      <c r="N15" s="110">
        <f>Divergence!I114</f>
        <v>0</v>
      </c>
      <c r="O15" s="111" t="s">
        <v>325</v>
      </c>
      <c r="P15" s="110">
        <f>Divergence!B119</f>
        <v>0.92</v>
      </c>
      <c r="Q15" s="110">
        <f>Divergence!B120</f>
        <v>0.08</v>
      </c>
      <c r="R15" s="111" t="s">
        <v>313</v>
      </c>
      <c r="S15" s="107">
        <f>Divergence!B118</f>
        <v>608</v>
      </c>
      <c r="T15" s="107">
        <f>Divergence!C119</f>
        <v>559</v>
      </c>
      <c r="U15" s="107">
        <f>Divergence!C120</f>
        <v>49</v>
      </c>
    </row>
    <row r="16" spans="1:21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11"/>
      <c r="P16" s="110"/>
      <c r="Q16" s="110"/>
      <c r="R16" s="111"/>
      <c r="S16" s="107"/>
      <c r="T16" s="107"/>
      <c r="U16" s="107"/>
    </row>
    <row r="17" spans="1:21" ht="14.1" customHeight="1">
      <c r="A17" s="108" t="s">
        <v>335</v>
      </c>
      <c r="B17" s="47" t="s">
        <v>336</v>
      </c>
      <c r="C17" s="107">
        <f>Divergence!B143</f>
        <v>46180</v>
      </c>
      <c r="D17" s="108" t="s">
        <v>318</v>
      </c>
      <c r="E17" s="108">
        <f>Divergence!B140</f>
        <v>22.6</v>
      </c>
      <c r="F17" s="108" t="s">
        <v>318</v>
      </c>
      <c r="G17" s="107">
        <f>Divergence!B146</f>
        <v>10440</v>
      </c>
      <c r="H17" s="108" t="s">
        <v>318</v>
      </c>
      <c r="I17" s="47" t="str">
        <f>"pyr.: " &amp; Divergence!I142</f>
        <v>pyr.: 11</v>
      </c>
      <c r="J17" s="47" t="s">
        <v>337</v>
      </c>
      <c r="K17" s="108"/>
      <c r="L17" s="108"/>
      <c r="M17" s="108"/>
      <c r="N17" s="108"/>
      <c r="O17" s="111"/>
      <c r="P17" s="110">
        <f>Divergence!B153</f>
        <v>0.99358237547892725</v>
      </c>
      <c r="Q17" s="110">
        <f>Divergence!B154</f>
        <v>6.8007662835249038E-3</v>
      </c>
      <c r="R17" s="111" t="s">
        <v>319</v>
      </c>
      <c r="S17" s="107">
        <f>Divergence!B152</f>
        <v>1014</v>
      </c>
      <c r="T17" s="107">
        <f>Divergence!C153</f>
        <v>943</v>
      </c>
      <c r="U17" s="107">
        <f>Divergence!C154</f>
        <v>71</v>
      </c>
    </row>
    <row r="18" spans="1:21" ht="17.25">
      <c r="A18" s="108"/>
      <c r="B18" s="47" t="s">
        <v>338</v>
      </c>
      <c r="C18" s="107"/>
      <c r="D18" s="107"/>
      <c r="E18" s="107"/>
      <c r="F18" s="107"/>
      <c r="G18" s="107"/>
      <c r="H18" s="107"/>
      <c r="I18" s="47" t="str">
        <f>"inrn.: " &amp; Divergence!I143</f>
        <v>inrn.: 1</v>
      </c>
      <c r="J18" s="47" t="s">
        <v>318</v>
      </c>
      <c r="K18" s="108"/>
      <c r="L18" s="108"/>
      <c r="M18" s="108"/>
      <c r="N18" s="108"/>
      <c r="O18" s="111"/>
      <c r="P18" s="110"/>
      <c r="Q18" s="110"/>
      <c r="R18" s="111"/>
      <c r="S18" s="107"/>
      <c r="T18" s="107"/>
      <c r="U18" s="107"/>
    </row>
    <row r="19" spans="1:21" ht="14.1" customHeight="1">
      <c r="A19" s="108" t="s">
        <v>25</v>
      </c>
      <c r="B19" s="47" t="s">
        <v>339</v>
      </c>
      <c r="C19" s="107">
        <f>Divergence!B160</f>
        <v>76040</v>
      </c>
      <c r="D19" s="108" t="s">
        <v>318</v>
      </c>
      <c r="E19" s="112">
        <f>Divergence!B157</f>
        <v>21</v>
      </c>
      <c r="F19" s="108" t="s">
        <v>310</v>
      </c>
      <c r="G19" s="107">
        <f>Divergence!B163</f>
        <v>15970</v>
      </c>
      <c r="H19" s="108" t="s">
        <v>319</v>
      </c>
      <c r="I19" s="108">
        <f>Divergence!B166</f>
        <v>10</v>
      </c>
      <c r="J19" s="108" t="s">
        <v>340</v>
      </c>
      <c r="K19" s="110">
        <f>Divergence!G165</f>
        <v>0.51</v>
      </c>
      <c r="L19" s="110">
        <f>Divergence!H165</f>
        <v>6.6666666666666666E-2</v>
      </c>
      <c r="M19" s="110">
        <f>Divergence!I165</f>
        <v>0.42333333333333334</v>
      </c>
      <c r="N19" s="110">
        <f>Divergence!J165</f>
        <v>0</v>
      </c>
      <c r="O19" s="111" t="s">
        <v>341</v>
      </c>
      <c r="P19" s="110">
        <f>Divergence!B170</f>
        <v>0.92</v>
      </c>
      <c r="Q19" s="110">
        <f>Divergence!B171</f>
        <v>0.08</v>
      </c>
      <c r="R19" s="111" t="s">
        <v>313</v>
      </c>
      <c r="S19" s="107">
        <f>Divergence!B169</f>
        <v>1597</v>
      </c>
      <c r="T19" s="107">
        <f>Divergence!C170</f>
        <v>1469</v>
      </c>
      <c r="U19" s="107">
        <f>Divergence!C171</f>
        <v>128</v>
      </c>
    </row>
    <row r="20" spans="1:21" ht="17.25">
      <c r="A20" s="108"/>
      <c r="B20" s="47" t="s">
        <v>342</v>
      </c>
      <c r="C20" s="107"/>
      <c r="D20" s="107"/>
      <c r="E20" s="112"/>
      <c r="F20" s="108"/>
      <c r="G20" s="108"/>
      <c r="H20" s="108"/>
      <c r="I20" s="108"/>
      <c r="J20" s="108"/>
      <c r="K20" s="108"/>
      <c r="L20" s="108"/>
      <c r="M20" s="108"/>
      <c r="N20" s="108"/>
      <c r="O20" s="111"/>
      <c r="P20" s="110"/>
      <c r="Q20" s="110"/>
      <c r="R20" s="111"/>
      <c r="S20" s="107"/>
      <c r="T20" s="107"/>
      <c r="U20" s="107"/>
    </row>
    <row r="21" spans="1:21" ht="14.1" customHeight="1">
      <c r="A21" s="108" t="s">
        <v>107</v>
      </c>
      <c r="B21" s="47" t="s">
        <v>343</v>
      </c>
      <c r="C21" s="108"/>
      <c r="D21" s="108"/>
      <c r="E21" s="108"/>
      <c r="F21" s="108"/>
      <c r="G21" s="107">
        <f>Divergence!B182</f>
        <v>7200</v>
      </c>
      <c r="H21" s="108" t="s">
        <v>344</v>
      </c>
      <c r="I21" s="108">
        <f>Divergence!B174</f>
        <v>6</v>
      </c>
      <c r="J21" s="108" t="s">
        <v>345</v>
      </c>
      <c r="K21" s="110">
        <f>Divergence!G176</f>
        <v>0</v>
      </c>
      <c r="L21" s="110">
        <f>Divergence!H176</f>
        <v>1</v>
      </c>
      <c r="M21" s="110">
        <f>Divergence!I176</f>
        <v>0</v>
      </c>
      <c r="N21" s="110">
        <f>Divergence!J176</f>
        <v>0</v>
      </c>
      <c r="O21" s="111" t="s">
        <v>313</v>
      </c>
      <c r="P21" s="110">
        <f>Divergence!B178</f>
        <v>1</v>
      </c>
      <c r="Q21" s="110">
        <f>Divergence!B179</f>
        <v>0</v>
      </c>
      <c r="R21" s="111" t="s">
        <v>346</v>
      </c>
      <c r="S21" s="107">
        <f>Divergence!B177</f>
        <v>1200</v>
      </c>
      <c r="T21" s="107">
        <f>Divergence!C178</f>
        <v>1200</v>
      </c>
      <c r="U21" s="107">
        <f>Divergence!C179</f>
        <v>0</v>
      </c>
    </row>
    <row r="22" spans="1:21" ht="17.25">
      <c r="A22" s="108"/>
      <c r="B22" s="47" t="s">
        <v>347</v>
      </c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11"/>
      <c r="P22" s="110"/>
      <c r="Q22" s="110"/>
      <c r="R22" s="111"/>
      <c r="S22" s="107"/>
      <c r="T22" s="107"/>
      <c r="U22" s="107"/>
    </row>
    <row r="23" spans="1:21" ht="14.1" customHeight="1">
      <c r="A23" s="108" t="s">
        <v>348</v>
      </c>
      <c r="B23" s="108" t="s">
        <v>349</v>
      </c>
      <c r="C23" s="108"/>
      <c r="D23" s="108"/>
      <c r="E23" s="108"/>
      <c r="F23" s="108"/>
      <c r="G23" s="107">
        <f>Divergence!B186</f>
        <v>10000</v>
      </c>
      <c r="H23" s="108" t="s">
        <v>350</v>
      </c>
      <c r="I23" s="108">
        <f>Divergence!B189</f>
        <v>8</v>
      </c>
      <c r="J23" s="108" t="s">
        <v>337</v>
      </c>
      <c r="K23" s="110">
        <f>Divergence!G191</f>
        <v>0.19</v>
      </c>
      <c r="L23" s="110">
        <f>Divergence!H191</f>
        <v>0.6</v>
      </c>
      <c r="M23" s="110">
        <f>Divergence!I191</f>
        <v>0.2</v>
      </c>
      <c r="N23" s="110">
        <f>Divergence!J191</f>
        <v>0.01</v>
      </c>
      <c r="O23" s="111" t="s">
        <v>351</v>
      </c>
      <c r="P23" s="110">
        <f>Divergence!B193</f>
        <v>0.92</v>
      </c>
      <c r="Q23" s="110">
        <f>Divergence!B194</f>
        <v>0.08</v>
      </c>
      <c r="R23" s="111" t="s">
        <v>313</v>
      </c>
      <c r="S23" s="107">
        <f>Divergence!B192</f>
        <v>1250</v>
      </c>
      <c r="T23" s="107">
        <f>Divergence!C193</f>
        <v>1150</v>
      </c>
      <c r="U23" s="107">
        <f>Divergence!C194</f>
        <v>100</v>
      </c>
    </row>
    <row r="24" spans="1:21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11"/>
      <c r="P24" s="110"/>
      <c r="Q24" s="110"/>
      <c r="R24" s="111"/>
      <c r="S24" s="107"/>
      <c r="T24" s="107"/>
      <c r="U24" s="107"/>
    </row>
    <row r="25" spans="1:21" ht="17.25">
      <c r="A25" s="47" t="s">
        <v>30</v>
      </c>
      <c r="B25" s="47" t="s">
        <v>352</v>
      </c>
      <c r="C25" s="47"/>
      <c r="D25" s="47"/>
      <c r="E25" s="47"/>
      <c r="F25" s="47"/>
      <c r="G25" s="48">
        <f>Divergence!B197</f>
        <v>12000</v>
      </c>
      <c r="H25" s="47" t="s">
        <v>353</v>
      </c>
      <c r="I25" s="47">
        <f>Divergence!B200</f>
        <v>6</v>
      </c>
      <c r="J25" s="47" t="s">
        <v>354</v>
      </c>
      <c r="K25" s="49">
        <f>Divergence!G204</f>
        <v>9.6000000000000002E-2</v>
      </c>
      <c r="L25" s="49">
        <f>Divergence!H204</f>
        <v>4.2000000000000003E-2</v>
      </c>
      <c r="M25" s="49">
        <f>Divergence!I204</f>
        <v>0.82400000000000007</v>
      </c>
      <c r="N25" s="49">
        <f>Divergence!J204</f>
        <v>3.7999999999999999E-2</v>
      </c>
      <c r="O25" s="71" t="s">
        <v>470</v>
      </c>
      <c r="P25" s="49">
        <f>Divergence!B204</f>
        <v>0.92</v>
      </c>
      <c r="Q25" s="49">
        <f>Divergence!B205</f>
        <v>0.08</v>
      </c>
      <c r="R25" s="50" t="s">
        <v>313</v>
      </c>
      <c r="S25" s="48">
        <f>Divergence!B203</f>
        <v>2000</v>
      </c>
      <c r="T25" s="48">
        <f>Divergence!C204</f>
        <v>1840</v>
      </c>
      <c r="U25" s="48">
        <f>Divergence!C205</f>
        <v>160</v>
      </c>
    </row>
    <row r="26" spans="1:21" ht="14.1" customHeight="1">
      <c r="A26" s="108" t="s">
        <v>31</v>
      </c>
      <c r="B26" s="108"/>
      <c r="C26" s="108"/>
      <c r="D26" s="108"/>
      <c r="E26" s="108"/>
      <c r="F26" s="108"/>
      <c r="G26" s="107">
        <f>Divergence!B214</f>
        <v>8000</v>
      </c>
      <c r="H26" s="108" t="s">
        <v>353</v>
      </c>
      <c r="I26" s="108">
        <f>Divergence!B217</f>
        <v>6</v>
      </c>
      <c r="J26" s="108" t="s">
        <v>354</v>
      </c>
      <c r="K26" s="110">
        <f>Divergence!G219</f>
        <v>0</v>
      </c>
      <c r="L26" s="110">
        <f>Divergence!H219</f>
        <v>0</v>
      </c>
      <c r="M26" s="110">
        <f>Divergence!I219</f>
        <v>0</v>
      </c>
      <c r="N26" s="110">
        <f>Divergence!J219</f>
        <v>1</v>
      </c>
      <c r="O26" s="111" t="s">
        <v>313</v>
      </c>
      <c r="P26" s="110">
        <f>Divergence!B221</f>
        <v>0.92</v>
      </c>
      <c r="Q26" s="110">
        <f>Divergence!B222</f>
        <v>0.08</v>
      </c>
      <c r="R26" s="111" t="s">
        <v>313</v>
      </c>
      <c r="S26" s="107">
        <f>Divergence!B220</f>
        <v>1333.3333333333333</v>
      </c>
      <c r="T26" s="107">
        <f>Divergence!C221</f>
        <v>1227</v>
      </c>
      <c r="U26" s="107">
        <f>Divergence!C222</f>
        <v>106</v>
      </c>
    </row>
    <row r="27" spans="1:21">
      <c r="A27" s="109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</row>
  </sheetData>
  <mergeCells count="233">
    <mergeCell ref="A1:A3"/>
    <mergeCell ref="B1:F1"/>
    <mergeCell ref="G1:J1"/>
    <mergeCell ref="K1:O2"/>
    <mergeCell ref="P1:U1"/>
    <mergeCell ref="C2:D2"/>
    <mergeCell ref="E2:F2"/>
    <mergeCell ref="G2:H2"/>
    <mergeCell ref="I2:J2"/>
    <mergeCell ref="P2:R2"/>
    <mergeCell ref="S2:U2"/>
    <mergeCell ref="M4:M5"/>
    <mergeCell ref="N4:N5"/>
    <mergeCell ref="O4:O5"/>
    <mergeCell ref="P4:P5"/>
    <mergeCell ref="Q4:Q5"/>
    <mergeCell ref="R4:R5"/>
    <mergeCell ref="S4:S5"/>
    <mergeCell ref="A4:A5"/>
    <mergeCell ref="C4:C5"/>
    <mergeCell ref="D4:D5"/>
    <mergeCell ref="E4:E5"/>
    <mergeCell ref="F4:F5"/>
    <mergeCell ref="G4:G5"/>
    <mergeCell ref="H4:H5"/>
    <mergeCell ref="I4:I5"/>
    <mergeCell ref="J4:J5"/>
    <mergeCell ref="T4:T5"/>
    <mergeCell ref="U4:U5"/>
    <mergeCell ref="A6:A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K4:K5"/>
    <mergeCell ref="L4:L5"/>
    <mergeCell ref="L8:L9"/>
    <mergeCell ref="M8:M9"/>
    <mergeCell ref="N8:N9"/>
    <mergeCell ref="O8:O9"/>
    <mergeCell ref="P8:P9"/>
    <mergeCell ref="Q8:Q9"/>
    <mergeCell ref="R8:R9"/>
    <mergeCell ref="S8:S9"/>
    <mergeCell ref="A8:A9"/>
    <mergeCell ref="C8:C9"/>
    <mergeCell ref="D8:D9"/>
    <mergeCell ref="E8:E9"/>
    <mergeCell ref="F8:F9"/>
    <mergeCell ref="G8:G9"/>
    <mergeCell ref="H8:H9"/>
    <mergeCell ref="I8:I9"/>
    <mergeCell ref="J8:J9"/>
    <mergeCell ref="T8:T9"/>
    <mergeCell ref="U8:U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T10:T11"/>
    <mergeCell ref="U10:U11"/>
    <mergeCell ref="K8:K9"/>
    <mergeCell ref="L13:L14"/>
    <mergeCell ref="M13:M14"/>
    <mergeCell ref="N13:N14"/>
    <mergeCell ref="O13:O14"/>
    <mergeCell ref="P13:P14"/>
    <mergeCell ref="Q13:Q14"/>
    <mergeCell ref="R13:R14"/>
    <mergeCell ref="S13:S14"/>
    <mergeCell ref="A13:A14"/>
    <mergeCell ref="C13:C14"/>
    <mergeCell ref="D13:D14"/>
    <mergeCell ref="E13:E14"/>
    <mergeCell ref="F13:F14"/>
    <mergeCell ref="G13:G14"/>
    <mergeCell ref="H13:H14"/>
    <mergeCell ref="I13:I14"/>
    <mergeCell ref="J13:J14"/>
    <mergeCell ref="T13:T14"/>
    <mergeCell ref="U13:U14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R15:R16"/>
    <mergeCell ref="S15:S16"/>
    <mergeCell ref="T15:T16"/>
    <mergeCell ref="U15:U16"/>
    <mergeCell ref="K13:K14"/>
    <mergeCell ref="A17:A18"/>
    <mergeCell ref="C17:C18"/>
    <mergeCell ref="D17:D18"/>
    <mergeCell ref="E17:E18"/>
    <mergeCell ref="F17:F18"/>
    <mergeCell ref="G17:G18"/>
    <mergeCell ref="H17:H18"/>
    <mergeCell ref="K17:K18"/>
    <mergeCell ref="L17:L18"/>
    <mergeCell ref="M17:M18"/>
    <mergeCell ref="N17:N18"/>
    <mergeCell ref="O17:O18"/>
    <mergeCell ref="P17:P18"/>
    <mergeCell ref="Q17:Q18"/>
    <mergeCell ref="R17:R18"/>
    <mergeCell ref="S17:S18"/>
    <mergeCell ref="T17:T18"/>
    <mergeCell ref="U17:U18"/>
    <mergeCell ref="M19:M20"/>
    <mergeCell ref="N19:N20"/>
    <mergeCell ref="O19:O20"/>
    <mergeCell ref="P19:P20"/>
    <mergeCell ref="Q19:Q20"/>
    <mergeCell ref="R19:R20"/>
    <mergeCell ref="S19:S20"/>
    <mergeCell ref="A19:A20"/>
    <mergeCell ref="C19:C20"/>
    <mergeCell ref="D19:D20"/>
    <mergeCell ref="E19:E20"/>
    <mergeCell ref="F19:F20"/>
    <mergeCell ref="G19:G20"/>
    <mergeCell ref="H19:H20"/>
    <mergeCell ref="I19:I20"/>
    <mergeCell ref="J19:J20"/>
    <mergeCell ref="T19:T20"/>
    <mergeCell ref="U19:U20"/>
    <mergeCell ref="A21:A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R21:R22"/>
    <mergeCell ref="S21:S22"/>
    <mergeCell ref="T21:T22"/>
    <mergeCell ref="U21:U22"/>
    <mergeCell ref="K19:K20"/>
    <mergeCell ref="L19:L20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  <mergeCell ref="T23:T24"/>
    <mergeCell ref="U23:U24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R26:R27"/>
    <mergeCell ref="S26:S27"/>
    <mergeCell ref="T26:T27"/>
    <mergeCell ref="U26:U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/>
  </sheetViews>
  <sheetFormatPr defaultRowHeight="15"/>
  <cols>
    <col min="1" max="1" width="14.28515625"/>
    <col min="2" max="2" width="17.7109375"/>
    <col min="3" max="4" width="14.42578125"/>
    <col min="5" max="6" width="10.140625"/>
    <col min="8" max="1025" width="8.7109375"/>
  </cols>
  <sheetData>
    <row r="1" spans="1:5">
      <c r="A1" t="s">
        <v>639</v>
      </c>
    </row>
    <row r="2" spans="1:5">
      <c r="A2" s="51" t="s">
        <v>355</v>
      </c>
      <c r="B2" s="51" t="s">
        <v>356</v>
      </c>
      <c r="C2" s="51" t="s">
        <v>357</v>
      </c>
      <c r="D2" s="51" t="s">
        <v>358</v>
      </c>
      <c r="E2" s="51" t="s">
        <v>359</v>
      </c>
    </row>
    <row r="3" spans="1:5">
      <c r="A3" t="s">
        <v>360</v>
      </c>
      <c r="B3" s="3">
        <v>12141</v>
      </c>
      <c r="C3" s="3">
        <v>11735</v>
      </c>
      <c r="D3" s="3">
        <v>405</v>
      </c>
      <c r="E3" s="4" t="s">
        <v>361</v>
      </c>
    </row>
    <row r="4" spans="1:5">
      <c r="A4" t="s">
        <v>362</v>
      </c>
      <c r="B4" s="3">
        <v>479</v>
      </c>
      <c r="C4" s="3">
        <v>246</v>
      </c>
      <c r="D4" s="3">
        <v>233</v>
      </c>
      <c r="E4" s="4" t="s">
        <v>361</v>
      </c>
    </row>
    <row r="5" spans="1:5">
      <c r="A5" t="s">
        <v>363</v>
      </c>
      <c r="B5" s="3">
        <v>196</v>
      </c>
      <c r="C5" s="3">
        <v>3.8</v>
      </c>
      <c r="D5" s="3">
        <v>193</v>
      </c>
      <c r="E5" s="4" t="s">
        <v>361</v>
      </c>
    </row>
    <row r="6" spans="1:5">
      <c r="A6" t="s">
        <v>364</v>
      </c>
      <c r="B6" s="3">
        <v>340</v>
      </c>
      <c r="C6" s="3">
        <v>277</v>
      </c>
      <c r="D6" s="3">
        <v>63</v>
      </c>
      <c r="E6" s="4" t="s">
        <v>361</v>
      </c>
    </row>
    <row r="7" spans="1:5">
      <c r="A7" t="s">
        <v>365</v>
      </c>
      <c r="B7" s="3">
        <v>2219</v>
      </c>
      <c r="C7" s="3">
        <v>2171</v>
      </c>
      <c r="D7" s="3">
        <v>47.6</v>
      </c>
      <c r="E7" s="4" t="s">
        <v>361</v>
      </c>
    </row>
    <row r="8" spans="1:5">
      <c r="A8" t="s">
        <v>366</v>
      </c>
      <c r="B8" s="3">
        <v>14862</v>
      </c>
      <c r="C8" s="3">
        <v>14425</v>
      </c>
      <c r="D8" s="3">
        <v>437.1</v>
      </c>
      <c r="E8" s="4" t="s">
        <v>361</v>
      </c>
    </row>
    <row r="9" spans="1:5">
      <c r="A9" t="s">
        <v>367</v>
      </c>
      <c r="B9" s="3">
        <v>565</v>
      </c>
      <c r="C9" s="3">
        <v>485.7</v>
      </c>
      <c r="D9" s="3">
        <v>79.599999999999994</v>
      </c>
      <c r="E9" s="4" t="s">
        <v>361</v>
      </c>
    </row>
    <row r="10" spans="1:5">
      <c r="A10" t="s">
        <v>368</v>
      </c>
      <c r="B10" s="3">
        <v>493</v>
      </c>
      <c r="C10" s="3">
        <v>418</v>
      </c>
      <c r="D10" s="3">
        <v>75.5</v>
      </c>
      <c r="E10" s="4" t="s">
        <v>361</v>
      </c>
    </row>
    <row r="11" spans="1:5">
      <c r="A11" t="s">
        <v>369</v>
      </c>
      <c r="B11" s="3">
        <v>1051</v>
      </c>
      <c r="C11" s="3">
        <v>873</v>
      </c>
      <c r="D11" s="3">
        <v>178.6</v>
      </c>
      <c r="E11" s="4" t="s">
        <v>361</v>
      </c>
    </row>
    <row r="12" spans="1:5">
      <c r="A12" s="2" t="s">
        <v>370</v>
      </c>
      <c r="B12" s="40">
        <v>32351</v>
      </c>
      <c r="C12" s="40">
        <v>30637</v>
      </c>
      <c r="D12" s="40">
        <v>1713</v>
      </c>
      <c r="E12" s="4" t="s">
        <v>361</v>
      </c>
    </row>
    <row r="13" spans="1:5">
      <c r="A13" s="2" t="s">
        <v>371</v>
      </c>
      <c r="B13" s="2"/>
      <c r="C13" s="2"/>
      <c r="D13" s="40">
        <v>92</v>
      </c>
      <c r="E13" s="4" t="s">
        <v>361</v>
      </c>
    </row>
    <row r="14" spans="1:5">
      <c r="A14" s="2" t="s">
        <v>372</v>
      </c>
      <c r="B14" s="2"/>
      <c r="C14" s="2"/>
      <c r="D14" s="40">
        <v>25</v>
      </c>
      <c r="E14" s="4" t="s">
        <v>361</v>
      </c>
    </row>
    <row r="15" spans="1:5" s="4" customFormat="1">
      <c r="A15" s="2"/>
      <c r="B15" s="2"/>
      <c r="C15" s="2"/>
      <c r="D15" s="40">
        <f>SUM(D12:D14)</f>
        <v>1830</v>
      </c>
    </row>
    <row r="17" spans="1:9">
      <c r="A17" s="2" t="s">
        <v>643</v>
      </c>
    </row>
    <row r="18" spans="1:9">
      <c r="A18" s="2" t="s">
        <v>182</v>
      </c>
      <c r="B18" s="2" t="s">
        <v>356</v>
      </c>
      <c r="C18" s="2" t="s">
        <v>5</v>
      </c>
      <c r="D18" s="2" t="s">
        <v>373</v>
      </c>
      <c r="E18" s="2" t="s">
        <v>374</v>
      </c>
      <c r="F18" s="2" t="s">
        <v>359</v>
      </c>
      <c r="H18" s="2" t="s">
        <v>640</v>
      </c>
    </row>
    <row r="19" spans="1:9">
      <c r="A19" s="2" t="s">
        <v>375</v>
      </c>
      <c r="B19">
        <v>16300</v>
      </c>
      <c r="C19" s="5">
        <v>0.06</v>
      </c>
      <c r="D19">
        <v>15322</v>
      </c>
      <c r="E19">
        <v>978</v>
      </c>
      <c r="F19" s="4" t="s">
        <v>376</v>
      </c>
      <c r="H19" s="3">
        <f>ROUND(SUM('PV Cells'!H15:H17),-1)</f>
        <v>9210</v>
      </c>
    </row>
    <row r="20" spans="1:9">
      <c r="A20" s="2" t="s">
        <v>377</v>
      </c>
      <c r="B20">
        <v>8200</v>
      </c>
      <c r="C20" s="5">
        <v>0.36</v>
      </c>
      <c r="D20">
        <v>5248</v>
      </c>
      <c r="E20">
        <v>2952</v>
      </c>
      <c r="F20" s="4" t="s">
        <v>378</v>
      </c>
      <c r="H20" s="3">
        <f>ROUND('CCK Cells'!H33,-1)</f>
        <v>3600</v>
      </c>
    </row>
    <row r="21" spans="1:9" s="53" customFormat="1">
      <c r="A21" s="52" t="s">
        <v>145</v>
      </c>
      <c r="B21" s="53">
        <v>3800</v>
      </c>
      <c r="C21" s="54">
        <v>0.28999999999999998</v>
      </c>
      <c r="D21" s="53">
        <v>2698</v>
      </c>
      <c r="E21" s="53">
        <v>1102</v>
      </c>
      <c r="F21" s="53" t="s">
        <v>376</v>
      </c>
      <c r="I21" s="53" t="s">
        <v>379</v>
      </c>
    </row>
    <row r="22" spans="1:9">
      <c r="A22" s="2" t="s">
        <v>380</v>
      </c>
      <c r="B22">
        <v>2200</v>
      </c>
      <c r="C22" s="5">
        <v>0.21</v>
      </c>
      <c r="D22">
        <v>1738</v>
      </c>
      <c r="E22">
        <v>462</v>
      </c>
      <c r="F22" s="4" t="s">
        <v>376</v>
      </c>
      <c r="H22" s="3">
        <f>ROUND(SUM('IS Cells'!H57,'IS Cells'!H59),-1)</f>
        <v>6190</v>
      </c>
      <c r="I22" s="96" t="s">
        <v>634</v>
      </c>
    </row>
    <row r="23" spans="1:9">
      <c r="A23" s="2" t="s">
        <v>381</v>
      </c>
      <c r="B23">
        <v>22000</v>
      </c>
      <c r="C23" s="5">
        <v>0.14000000000000001</v>
      </c>
      <c r="D23" s="13">
        <f>B23-E23</f>
        <v>18920</v>
      </c>
      <c r="E23" s="13">
        <f>B23*C23</f>
        <v>3080.0000000000005</v>
      </c>
      <c r="F23" s="4" t="s">
        <v>382</v>
      </c>
      <c r="H23" s="3">
        <f>ROUND(SUM('SOM+ and Projection Cells'!D27:D28),-1)</f>
        <v>950</v>
      </c>
    </row>
    <row r="24" spans="1:9">
      <c r="C24" s="4" t="s">
        <v>383</v>
      </c>
      <c r="D24" s="13">
        <f>ROUND((D19*$H19+D20*$H20+D22*$H22+D23*$H23)/SUM($H19:$H23),0)</f>
        <v>9461</v>
      </c>
      <c r="E24" s="4">
        <f>ROUND((E19*$H19+E20*$H20+E22*$H22+E23*$H23)/SUM($H19:$H23),0)</f>
        <v>1274</v>
      </c>
    </row>
    <row r="26" spans="1:9">
      <c r="C26" s="4" t="s">
        <v>384</v>
      </c>
    </row>
    <row r="27" spans="1:9">
      <c r="C27" s="34" t="s">
        <v>385</v>
      </c>
      <c r="D27" s="55">
        <f>ROUND(E27/SUM(E$27:E$28),2)</f>
        <v>0.92</v>
      </c>
      <c r="E27" s="13">
        <f>'Cell Numbers'!A5*D15</f>
        <v>570045000</v>
      </c>
    </row>
    <row r="28" spans="1:9">
      <c r="C28" s="34" t="s">
        <v>386</v>
      </c>
      <c r="D28" s="55">
        <f>ROUND(E28/SUM(E$27:E$28),2)</f>
        <v>0.08</v>
      </c>
      <c r="E28" s="13">
        <f>E24*'Cell Numbers'!A4</f>
        <v>49049000</v>
      </c>
    </row>
  </sheetData>
  <pageMargins left="0.7" right="0.7" top="0.75" bottom="0.75" header="0.51180555555555496" footer="0.51180555555555496"/>
  <pageSetup firstPageNumber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13</vt:i4>
      </vt:variant>
    </vt:vector>
  </HeadingPairs>
  <TitlesOfParts>
    <vt:vector size="28" baseType="lpstr">
      <vt:lpstr>Cell Numbers</vt:lpstr>
      <vt:lpstr>Neurogliaform Family Cells</vt:lpstr>
      <vt:lpstr>SOM+ and Projection Cells</vt:lpstr>
      <vt:lpstr>PV Cells</vt:lpstr>
      <vt:lpstr>CCK Cells</vt:lpstr>
      <vt:lpstr>IS Cells</vt:lpstr>
      <vt:lpstr>Divergence</vt:lpstr>
      <vt:lpstr>Div. Table</vt:lpstr>
      <vt:lpstr>Input Synapses</vt:lpstr>
      <vt:lpstr>Glutamatergic Boutons</vt:lpstr>
      <vt:lpstr>Local Inhibitory Boutons</vt:lpstr>
      <vt:lpstr>Inh. Conv. - Pyramidal Cell</vt:lpstr>
      <vt:lpstr>Inh. Conv. - Avg. Interneuron</vt:lpstr>
      <vt:lpstr>Rat Types</vt:lpstr>
      <vt:lpstr>Expression Detection</vt:lpstr>
      <vt:lpstr>Another_Area</vt:lpstr>
      <vt:lpstr>grrarea</vt:lpstr>
      <vt:lpstr>newprint2</vt:lpstr>
      <vt:lpstr>newprint3</vt:lpstr>
      <vt:lpstr>newprintarea</vt:lpstr>
      <vt:lpstr>'Cell Numbers'!Print_Area</vt:lpstr>
      <vt:lpstr>'Glutamatergic Boutons'!Print_Area</vt:lpstr>
      <vt:lpstr>'Inh. Conv. - Avg. Interneuron'!Print_Area</vt:lpstr>
      <vt:lpstr>'Inh. Conv. - Pyramidal Cell'!Print_Area</vt:lpstr>
      <vt:lpstr>Print_Area</vt:lpstr>
      <vt:lpstr>Print_Area_1</vt:lpstr>
      <vt:lpstr>Print_Area_2</vt:lpstr>
      <vt:lpstr>Print_Area_3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Adella</dc:creator>
  <cp:lastModifiedBy>M B</cp:lastModifiedBy>
  <cp:revision>0</cp:revision>
  <cp:lastPrinted>2013-03-18T15:04:36Z</cp:lastPrinted>
  <dcterms:created xsi:type="dcterms:W3CDTF">2013-04-18T21:57:54Z</dcterms:created>
  <dcterms:modified xsi:type="dcterms:W3CDTF">2013-07-22T21:14:23Z</dcterms:modified>
</cp:coreProperties>
</file>