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D90F6105-2A02-4356-B4E3-613B6512F86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_CIQHiddenCacheSheet" sheetId="8" state="veryHidden" r:id="rId1"/>
    <sheet name="Cover Page" sheetId="9" r:id="rId2"/>
    <sheet name="Valuation " sheetId="25" r:id="rId3"/>
    <sheet name="Investment Offer" sheetId="34" r:id="rId4"/>
    <sheet name="Comparable Analysis Method" sheetId="1" r:id="rId5"/>
    <sheet name="Berkus Method" sheetId="10" r:id="rId6"/>
    <sheet name="Scorecard Method" sheetId="13" r:id="rId7"/>
    <sheet name="Risk Summutation Method" sheetId="26" r:id="rId8"/>
    <sheet name=" DCF " sheetId="42" r:id="rId9"/>
    <sheet name="Venture Capital Method " sheetId="18" r:id="rId10"/>
    <sheet name="RETURN ANALYSIS" sheetId="43" r:id="rId11"/>
    <sheet name="Returns Analysis " sheetId="41" state="hidden" r:id="rId12"/>
  </sheets>
  <externalReferences>
    <externalReference r:id="rId13"/>
    <externalReference r:id="rId14"/>
  </externalReferences>
  <definedNames>
    <definedName name="Basic_Shares" localSheetId="8">#REF!</definedName>
    <definedName name="Basic_Shares" localSheetId="3">#REF!</definedName>
    <definedName name="Basic_Shares" localSheetId="10">'RETURN ANALYSIS'!#REF!</definedName>
    <definedName name="Basic_Shares" localSheetId="11">'Returns Analysis '!#REF!</definedName>
    <definedName name="Basic_Shares" localSheetId="7">#REF!</definedName>
    <definedName name="Basic_Shares" localSheetId="2">#REF!</definedName>
    <definedName name="Basic_Shares">#REF!</definedName>
    <definedName name="CapEx_Toggle" localSheetId="8">#REF!</definedName>
    <definedName name="CapEx_Toggle" localSheetId="3">#REF!</definedName>
    <definedName name="CapEx_Toggle" localSheetId="10">'RETURN ANALYSIS'!#REF!</definedName>
    <definedName name="CapEx_Toggle" localSheetId="11">'Returns Analysis '!#REF!</definedName>
    <definedName name="CapEx_Toggle" localSheetId="7">#REF!</definedName>
    <definedName name="CapEx_Toggle" localSheetId="2">#REF!</definedName>
    <definedName name="CapEx_Toggle">#REF!</definedName>
    <definedName name="CIQWBGuid" hidden="1">"2cd8126d-26c3-430c-b7fa-a069e3a1fc62"</definedName>
    <definedName name="Circ_Ref" localSheetId="8">#REF!</definedName>
    <definedName name="Circ_Ref" localSheetId="3">#REF!</definedName>
    <definedName name="Circ_Ref" localSheetId="10">'RETURN ANALYSIS'!#REF!</definedName>
    <definedName name="Circ_Ref" localSheetId="11">'Returns Analysis '!#REF!</definedName>
    <definedName name="Circ_Ref" localSheetId="7">#REF!</definedName>
    <definedName name="Circ_Ref" localSheetId="2">#REF!</definedName>
    <definedName name="Circ_Ref">#REF!</definedName>
    <definedName name="Company_Name" localSheetId="8">' DCF '!$E$10</definedName>
    <definedName name="Company_Name" localSheetId="3">'[1] DCF valuation'!$E$8</definedName>
    <definedName name="Company_name" localSheetId="10">'RETURN ANALYSIS'!#REF!</definedName>
    <definedName name="Company_name" localSheetId="11">'Returns Analysis '!#REF!</definedName>
    <definedName name="Company_Name" localSheetId="9">'[1] DCF valuation'!$E$8</definedName>
    <definedName name="Company_Name">#REF!</definedName>
    <definedName name="Diluted_Shares" localSheetId="8">#REF!</definedName>
    <definedName name="Diluted_Shares" localSheetId="3">#REF!</definedName>
    <definedName name="Diluted_Shares" localSheetId="10">'RETURN ANALYSIS'!#REF!</definedName>
    <definedName name="Diluted_Shares" localSheetId="11">'Returns Analysis '!#REF!</definedName>
    <definedName name="Diluted_Shares" localSheetId="7">#REF!</definedName>
    <definedName name="Diluted_Shares" localSheetId="2">#REF!</definedName>
    <definedName name="Diluted_Shares">#REF!</definedName>
    <definedName name="Discount_Rate" localSheetId="8">' DCF '!$K$11</definedName>
    <definedName name="Discount_Rate" localSheetId="3">'[1] DCF valuation'!$K$9</definedName>
    <definedName name="Discount_Rate" localSheetId="9">'[1] DCF valuation'!$K$9</definedName>
    <definedName name="Discount_Rate">#REF!</definedName>
    <definedName name="Expense_Toggle" localSheetId="8">#REF!</definedName>
    <definedName name="Expense_Toggle" localSheetId="3">#REF!</definedName>
    <definedName name="Expense_Toggle" localSheetId="10">'RETURN ANALYSIS'!#REF!</definedName>
    <definedName name="Expense_Toggle" localSheetId="11">'Returns Analysis '!#REF!</definedName>
    <definedName name="Expense_Toggle" localSheetId="7">#REF!</definedName>
    <definedName name="Expense_Toggle" localSheetId="2">#REF!</definedName>
    <definedName name="Expense_Toggle">#REF!</definedName>
    <definedName name="Hist_Year" localSheetId="8">#REF!</definedName>
    <definedName name="Hist_Year" localSheetId="3">#REF!</definedName>
    <definedName name="Hist_Year" localSheetId="10">'RETURN ANALYSIS'!#REF!</definedName>
    <definedName name="Hist_Year" localSheetId="11">'Returns Analysis '!#REF!</definedName>
    <definedName name="Hist_Year" localSheetId="7">#REF!</definedName>
    <definedName name="Hist_Year" localSheetId="2">#REF!</definedName>
    <definedName name="Hist_Year">#REF!</definedName>
    <definedName name="Investor_Ownership" localSheetId="8">#REF!</definedName>
    <definedName name="Investor_Ownership" localSheetId="3">#REF!</definedName>
    <definedName name="Investor_Ownership" localSheetId="10">'RETURN ANALYSIS'!#REF!</definedName>
    <definedName name="Investor_Ownership" localSheetId="11">'Returns Analysis '!#REF!</definedName>
    <definedName name="Investor_Ownership" localSheetId="7">#REF!</definedName>
    <definedName name="Investor_Ownership" localSheetId="2">#REF!</definedName>
    <definedName name="Investor_Ownership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1" hidden="1">41666.7099189815</definedName>
    <definedName name="IQ_NAMES_REVISION_DATE_" hidden="1">41743.6402893519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BO_Exit_Date" localSheetId="8">#REF!</definedName>
    <definedName name="LBO_Exit_Date" localSheetId="3">#REF!</definedName>
    <definedName name="LBO_Exit_Date" localSheetId="10">'RETURN ANALYSIS'!#REF!</definedName>
    <definedName name="LBO_Exit_Date" localSheetId="11">'Returns Analysis '!#REF!</definedName>
    <definedName name="LBO_Exit_Date" localSheetId="7">#REF!</definedName>
    <definedName name="LBO_Exit_Date" localSheetId="2">#REF!</definedName>
    <definedName name="LBO_Exit_Date">#REF!</definedName>
    <definedName name="LBO_Exit_Multiple" localSheetId="8">#REF!</definedName>
    <definedName name="LBO_Exit_Multiple" localSheetId="3">#REF!</definedName>
    <definedName name="LBO_Exit_Multiple" localSheetId="10">'RETURN ANALYSIS'!#REF!</definedName>
    <definedName name="LBO_Exit_Multiple" localSheetId="11">'Returns Analysis '!#REF!</definedName>
    <definedName name="LBO_Exit_Multiple" localSheetId="7">#REF!</definedName>
    <definedName name="LBO_Exit_Multiple" localSheetId="2">#REF!</definedName>
    <definedName name="LBO_Exit_Multiple">#REF!</definedName>
    <definedName name="LIBOR_Units" localSheetId="8">#REF!</definedName>
    <definedName name="LIBOR_Units" localSheetId="3">#REF!</definedName>
    <definedName name="LIBOR_Units" localSheetId="10">'RETURN ANALYSIS'!#REF!</definedName>
    <definedName name="LIBOR_Units" localSheetId="11">'Returns Analysis '!#REF!</definedName>
    <definedName name="LIBOR_Units" localSheetId="7">#REF!</definedName>
    <definedName name="LIBOR_Units" localSheetId="2">#REF!</definedName>
    <definedName name="LIBOR_Units">#REF!</definedName>
    <definedName name="LTM_EBITDA" localSheetId="8">#REF!</definedName>
    <definedName name="LTM_EBITDA" localSheetId="3">#REF!</definedName>
    <definedName name="LTM_EBITDA" localSheetId="10">'RETURN ANALYSIS'!#REF!</definedName>
    <definedName name="LTM_EBITDA" localSheetId="11">'Returns Analysis '!#REF!</definedName>
    <definedName name="LTM_EBITDA" localSheetId="7">#REF!</definedName>
    <definedName name="LTM_EBITDA" localSheetId="2">#REF!</definedName>
    <definedName name="LTM_EBITDA">#REF!</definedName>
    <definedName name="Min_Cash" localSheetId="8">#REF!</definedName>
    <definedName name="Min_Cash" localSheetId="3">#REF!</definedName>
    <definedName name="Min_Cash" localSheetId="10">'RETURN ANALYSIS'!#REF!</definedName>
    <definedName name="Min_Cash" localSheetId="11">'Returns Analysis '!#REF!</definedName>
    <definedName name="Min_Cash" localSheetId="7">#REF!</definedName>
    <definedName name="Min_Cash" localSheetId="2">#REF!</definedName>
    <definedName name="Min_Cash">#REF!</definedName>
    <definedName name="Multiples_Method" localSheetId="8">' DCF '!$F$13</definedName>
    <definedName name="Multiples_Method">#REF!</definedName>
    <definedName name="Num_Store_Toggle" localSheetId="8">#REF!</definedName>
    <definedName name="Num_Store_Toggle" localSheetId="3">#REF!</definedName>
    <definedName name="Num_Store_Toggle" localSheetId="10">'RETURN ANALYSIS'!#REF!</definedName>
    <definedName name="Num_Store_Toggle" localSheetId="11">'Returns Analysis '!#REF!</definedName>
    <definedName name="Num_Store_Toggle" localSheetId="7">#REF!</definedName>
    <definedName name="Num_Store_Toggle" localSheetId="2">#REF!</definedName>
    <definedName name="Num_Store_Toggle">#REF!</definedName>
    <definedName name="Offer_Price" localSheetId="8">#REF!</definedName>
    <definedName name="Offer_Price" localSheetId="3">#REF!</definedName>
    <definedName name="Offer_Price" localSheetId="10">'RETURN ANALYSIS'!#REF!</definedName>
    <definedName name="Offer_Price" localSheetId="11">'Returns Analysis '!#REF!</definedName>
    <definedName name="Offer_Price" localSheetId="7">#REF!</definedName>
    <definedName name="Offer_Price" localSheetId="2">#REF!</definedName>
    <definedName name="Offer_Price">#REF!</definedName>
    <definedName name="PPE_Useful_Life" localSheetId="8">#REF!</definedName>
    <definedName name="PPE_Useful_Life" localSheetId="3">#REF!</definedName>
    <definedName name="PPE_Useful_Life" localSheetId="10">'RETURN ANALYSIS'!#REF!</definedName>
    <definedName name="PPE_Useful_Life" localSheetId="11">'Returns Analysis '!#REF!</definedName>
    <definedName name="PPE_Useful_Life" localSheetId="7">#REF!</definedName>
    <definedName name="PPE_Useful_Life" localSheetId="2">#REF!</definedName>
    <definedName name="PPE_Useful_Life">#REF!</definedName>
    <definedName name="PPE_Writeup" localSheetId="8">#REF!</definedName>
    <definedName name="PPE_Writeup" localSheetId="3">#REF!</definedName>
    <definedName name="PPE_Writeup" localSheetId="10">'RETURN ANALYSIS'!#REF!</definedName>
    <definedName name="PPE_Writeup" localSheetId="11">'Returns Analysis '!#REF!</definedName>
    <definedName name="PPE_Writeup" localSheetId="7">#REF!</definedName>
    <definedName name="PPE_Writeup" localSheetId="2">#REF!</definedName>
    <definedName name="PPE_Writeup">#REF!</definedName>
    <definedName name="_xlnm.Print_Area" localSheetId="8">' DCF '!$A$1:$R$256</definedName>
    <definedName name="_xlnm.Print_Area" localSheetId="1">'Cover Page'!$A$1:$P$21</definedName>
    <definedName name="_xlnm.Print_Area" localSheetId="10">'RETURN ANALYSIS'!$A$1:$L$27</definedName>
    <definedName name="_xlnm.Print_Area" localSheetId="11">'Returns Analysis '!$A$1:$L$27</definedName>
    <definedName name="Refinance_Debt" localSheetId="8">#REF!</definedName>
    <definedName name="Refinance_Debt" localSheetId="3">#REF!</definedName>
    <definedName name="Refinance_Debt" localSheetId="10">'RETURN ANALYSIS'!#REF!</definedName>
    <definedName name="Refinance_Debt" localSheetId="11">'Returns Analysis '!#REF!</definedName>
    <definedName name="Refinance_Debt" localSheetId="7">#REF!</definedName>
    <definedName name="Refinance_Debt" localSheetId="2">#REF!</definedName>
    <definedName name="Refinance_Debt">#REF!</definedName>
    <definedName name="Revolver" localSheetId="8">#REF!</definedName>
    <definedName name="Revolver" localSheetId="3">#REF!</definedName>
    <definedName name="Revolver" localSheetId="10">'RETURN ANALYSIS'!#REF!</definedName>
    <definedName name="Revolver" localSheetId="11">'Returns Analysis '!#REF!</definedName>
    <definedName name="Revolver" localSheetId="7">#REF!</definedName>
    <definedName name="Revolver" localSheetId="2">#REF!</definedName>
    <definedName name="Revolver">#REF!</definedName>
    <definedName name="Revolver_Undrawn_Fee" localSheetId="8">#REF!</definedName>
    <definedName name="Revolver_Undrawn_Fee" localSheetId="3">#REF!</definedName>
    <definedName name="Revolver_Undrawn_Fee" localSheetId="10">'RETURN ANALYSIS'!#REF!</definedName>
    <definedName name="Revolver_Undrawn_Fee" localSheetId="11">'Returns Analysis '!#REF!</definedName>
    <definedName name="Revolver_Undrawn_Fee" localSheetId="7">#REF!</definedName>
    <definedName name="Revolver_Undrawn_Fee" localSheetId="2">#REF!</definedName>
    <definedName name="Revolver_Undrawn_Fee">#REF!</definedName>
    <definedName name="Rollover_Shares" localSheetId="8">#REF!</definedName>
    <definedName name="Rollover_Shares" localSheetId="3">#REF!</definedName>
    <definedName name="Rollover_Shares" localSheetId="10">'RETURN ANALYSIS'!#REF!</definedName>
    <definedName name="Rollover_Shares" localSheetId="11">'Returns Analysis '!#REF!</definedName>
    <definedName name="Rollover_Shares" localSheetId="7">#REF!</definedName>
    <definedName name="Rollover_Shares" localSheetId="2">#REF!</definedName>
    <definedName name="Rollover_Shares">#REF!</definedName>
    <definedName name="Sales_per_Store_Toggle" localSheetId="8">#REF!</definedName>
    <definedName name="Sales_per_Store_Toggle" localSheetId="3">#REF!</definedName>
    <definedName name="Sales_per_Store_Toggle" localSheetId="10">'RETURN ANALYSIS'!#REF!</definedName>
    <definedName name="Sales_per_Store_Toggle" localSheetId="11">'Returns Analysis '!#REF!</definedName>
    <definedName name="Sales_per_Store_Toggle" localSheetId="7">#REF!</definedName>
    <definedName name="Sales_per_Store_Toggle" localSheetId="2">#REF!</definedName>
    <definedName name="Sales_per_Store_Toggle">#REF!</definedName>
    <definedName name="Share_Price" localSheetId="8">' DCF '!$G$11</definedName>
    <definedName name="Share_Price" localSheetId="10">'RETURN ANALYSIS'!#REF!</definedName>
    <definedName name="Share_Price" localSheetId="11">'Returns Analysis '!#REF!</definedName>
    <definedName name="Share_Price">#REF!</definedName>
    <definedName name="Tax_Rate" localSheetId="8">' DCF '!$K$10</definedName>
    <definedName name="Tax_Rate" localSheetId="3">'[1] DCF valuation'!$K$8</definedName>
    <definedName name="Tax_Rate" localSheetId="10">'RETURN ANALYSIS'!#REF!</definedName>
    <definedName name="Tax_Rate" localSheetId="11">'Returns Analysis '!#REF!</definedName>
    <definedName name="Tax_Rate" localSheetId="9">'[1] DCF valuation'!$K$8</definedName>
    <definedName name="Tax_Rate">#REF!</definedName>
    <definedName name="Terminal_Growth_Rate" localSheetId="8">' DCF '!$K$15</definedName>
    <definedName name="Terminal_Growth_Rate" localSheetId="3">'[1] DCF valuation'!$K$13</definedName>
    <definedName name="Terminal_Growth_Rate" localSheetId="9">'[1] DCF valuation'!$K$13</definedName>
    <definedName name="Terminal_Growth_Rate">#REF!</definedName>
    <definedName name="Terminal_Multiple" localSheetId="8">' DCF '!$F$15</definedName>
    <definedName name="Terminal_Multiple" localSheetId="3">'[1] DCF valuation'!$F$13</definedName>
    <definedName name="Terminal_Multiple" localSheetId="9">'[1] DCF valuation'!$F$13</definedName>
    <definedName name="Terminal_Multiple">#REF!</definedName>
    <definedName name="Units" localSheetId="8">#REF!</definedName>
    <definedName name="Units" localSheetId="3">#REF!</definedName>
    <definedName name="Units" localSheetId="10">'RETURN ANALYSIS'!#REF!</definedName>
    <definedName name="Units" localSheetId="11">'Returns Analysis '!#REF!</definedName>
    <definedName name="Units" localSheetId="7">#REF!</definedName>
    <definedName name="Units" localSheetId="2">#REF!</definedName>
    <definedName name="Unit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5" l="1"/>
  <c r="C23" i="26"/>
  <c r="C22" i="26"/>
  <c r="C8" i="25"/>
  <c r="C18" i="13"/>
  <c r="C17" i="13"/>
  <c r="C16" i="13"/>
  <c r="C7" i="25"/>
  <c r="D13" i="10"/>
  <c r="D12" i="10"/>
  <c r="H90" i="42"/>
  <c r="I90" i="42"/>
  <c r="J90" i="42"/>
  <c r="K90" i="42"/>
  <c r="G90" i="42"/>
  <c r="G88" i="42"/>
  <c r="H78" i="42"/>
  <c r="I78" i="42" s="1"/>
  <c r="J78" i="42" s="1"/>
  <c r="K78" i="42" s="1"/>
  <c r="K82" i="42" s="1"/>
  <c r="K88" i="42" s="1"/>
  <c r="G66" i="42"/>
  <c r="G70" i="42" s="1"/>
  <c r="G76" i="42" s="1"/>
  <c r="H58" i="42"/>
  <c r="H62" i="42" s="1"/>
  <c r="H66" i="42" s="1"/>
  <c r="H70" i="42" s="1"/>
  <c r="H76" i="42" s="1"/>
  <c r="H82" i="42" l="1"/>
  <c r="H88" i="42" s="1"/>
  <c r="I82" i="42"/>
  <c r="I88" i="42" s="1"/>
  <c r="J82" i="42"/>
  <c r="J88" i="42" s="1"/>
  <c r="H42" i="42" l="1"/>
  <c r="I42" i="42" s="1"/>
  <c r="J42" i="42" s="1"/>
  <c r="K42" i="42" s="1"/>
  <c r="G37" i="42"/>
  <c r="G39" i="42" s="1"/>
  <c r="G33" i="42"/>
  <c r="H30" i="42"/>
  <c r="I30" i="42" s="1"/>
  <c r="J30" i="42" s="1"/>
  <c r="K30" i="42" s="1"/>
  <c r="K33" i="42" s="1"/>
  <c r="I37" i="42" l="1"/>
  <c r="I39" i="42" s="1"/>
  <c r="K37" i="42"/>
  <c r="K39" i="42" s="1"/>
  <c r="I33" i="42"/>
  <c r="H33" i="42"/>
  <c r="J37" i="42"/>
  <c r="J39" i="42" s="1"/>
  <c r="J33" i="42"/>
  <c r="H37" i="42"/>
  <c r="H39" i="42" s="1"/>
  <c r="K233" i="42" l="1"/>
  <c r="J233" i="42"/>
  <c r="I233" i="42"/>
  <c r="H233" i="42"/>
  <c r="G233" i="42"/>
  <c r="K229" i="42"/>
  <c r="J229" i="42"/>
  <c r="I229" i="42"/>
  <c r="H229" i="42"/>
  <c r="G229" i="42"/>
  <c r="I225" i="42"/>
  <c r="J225" i="42"/>
  <c r="K225" i="42"/>
  <c r="G225" i="42"/>
  <c r="H225" i="42"/>
  <c r="I221" i="42" l="1"/>
  <c r="K221" i="42"/>
  <c r="G221" i="42"/>
  <c r="H221" i="42"/>
  <c r="J221" i="42"/>
  <c r="K199" i="42"/>
  <c r="K194" i="42" s="1"/>
  <c r="J199" i="42"/>
  <c r="J194" i="42" s="1"/>
  <c r="I199" i="42"/>
  <c r="I194" i="42" s="1"/>
  <c r="H199" i="42"/>
  <c r="H194" i="42" s="1"/>
  <c r="G199" i="42"/>
  <c r="G194" i="42" s="1"/>
  <c r="K185" i="42"/>
  <c r="J185" i="42"/>
  <c r="I185" i="42"/>
  <c r="H185" i="42"/>
  <c r="G185" i="42"/>
  <c r="K180" i="42"/>
  <c r="J180" i="42"/>
  <c r="I180" i="42"/>
  <c r="H180" i="42"/>
  <c r="G180" i="42"/>
  <c r="K113" i="42"/>
  <c r="J113" i="42"/>
  <c r="I113" i="42"/>
  <c r="H113" i="42"/>
  <c r="G113" i="42"/>
  <c r="K128" i="42"/>
  <c r="J128" i="42"/>
  <c r="I128" i="42"/>
  <c r="H128" i="42"/>
  <c r="G128" i="42"/>
  <c r="K123" i="42"/>
  <c r="J123" i="42"/>
  <c r="I123" i="42"/>
  <c r="H123" i="42"/>
  <c r="G123" i="42"/>
  <c r="E5" i="1" l="1"/>
  <c r="E6" i="1" l="1"/>
  <c r="E12" i="1" s="1"/>
  <c r="E7" i="1"/>
  <c r="E8" i="1"/>
  <c r="K10" i="43"/>
  <c r="G43" i="42" l="1"/>
  <c r="G45" i="42" s="1"/>
  <c r="G175" i="42" l="1"/>
  <c r="H175" i="42"/>
  <c r="G170" i="42"/>
  <c r="H170" i="42"/>
  <c r="G165" i="42"/>
  <c r="H165" i="42"/>
  <c r="G160" i="42"/>
  <c r="H160" i="42"/>
  <c r="G155" i="42"/>
  <c r="H155" i="42"/>
  <c r="I165" i="42" l="1"/>
  <c r="J160" i="42"/>
  <c r="I160" i="42" l="1"/>
  <c r="K160" i="42"/>
  <c r="I175" i="42"/>
  <c r="I170" i="42"/>
  <c r="J165" i="42"/>
  <c r="I155" i="42"/>
  <c r="J175" i="42" l="1"/>
  <c r="K175" i="42"/>
  <c r="K170" i="42"/>
  <c r="J170" i="42"/>
  <c r="K165" i="42"/>
  <c r="K155" i="42"/>
  <c r="J155" i="42"/>
  <c r="K219" i="42"/>
  <c r="J219" i="42"/>
  <c r="I219" i="42"/>
  <c r="H219" i="42"/>
  <c r="G219" i="42"/>
  <c r="K215" i="42"/>
  <c r="J215" i="42"/>
  <c r="I215" i="42"/>
  <c r="H215" i="42"/>
  <c r="G215" i="42"/>
  <c r="K211" i="42"/>
  <c r="J211" i="42"/>
  <c r="I211" i="42"/>
  <c r="H211" i="42"/>
  <c r="G211" i="42"/>
  <c r="H150" i="42" l="1"/>
  <c r="G145" i="42"/>
  <c r="E9" i="1" l="1"/>
  <c r="G150" i="42"/>
  <c r="H145" i="42"/>
  <c r="H140" i="42"/>
  <c r="G140" i="42"/>
  <c r="I150" i="42" l="1"/>
  <c r="I145" i="42"/>
  <c r="I140" i="42"/>
  <c r="J150" i="42" l="1"/>
  <c r="K150" i="42"/>
  <c r="K145" i="42"/>
  <c r="J140" i="42"/>
  <c r="K140" i="42"/>
  <c r="J145" i="42" l="1"/>
  <c r="G207" i="42" l="1"/>
  <c r="G203" i="42" s="1"/>
  <c r="G192" i="42"/>
  <c r="G187" i="42" s="1"/>
  <c r="G118" i="42"/>
  <c r="G108" i="42"/>
  <c r="H192" i="42" l="1"/>
  <c r="H187" i="42" s="1"/>
  <c r="I192" i="42"/>
  <c r="I187" i="42" s="1"/>
  <c r="H118" i="42"/>
  <c r="H108" i="42"/>
  <c r="G48" i="42"/>
  <c r="G52" i="42" s="1"/>
  <c r="G56" i="42" s="1"/>
  <c r="J192" i="42" l="1"/>
  <c r="J187" i="42" s="1"/>
  <c r="K192" i="42"/>
  <c r="K187" i="42" s="1"/>
  <c r="I118" i="42"/>
  <c r="I108" i="42"/>
  <c r="K118" i="42" l="1"/>
  <c r="J118" i="42"/>
  <c r="J108" i="42"/>
  <c r="K108" i="42"/>
  <c r="K207" i="42" l="1"/>
  <c r="K203" i="42" s="1"/>
  <c r="J207" i="42"/>
  <c r="J203" i="42" s="1"/>
  <c r="I207" i="42"/>
  <c r="I203" i="42" s="1"/>
  <c r="H207" i="42"/>
  <c r="H203" i="42" s="1"/>
  <c r="C4" i="26" l="1"/>
  <c r="C4" i="13"/>
  <c r="H43" i="42" l="1"/>
  <c r="H45" i="42" s="1"/>
  <c r="H48" i="42" l="1"/>
  <c r="H52" i="42" s="1"/>
  <c r="H56" i="42" s="1"/>
  <c r="I43" i="42"/>
  <c r="I45" i="42" s="1"/>
  <c r="J43" i="42" l="1"/>
  <c r="J45" i="42" s="1"/>
  <c r="K43" i="42" l="1"/>
  <c r="K45" i="42" s="1"/>
  <c r="K135" i="42" l="1"/>
  <c r="K130" i="42" s="1"/>
  <c r="J135" i="42"/>
  <c r="J130" i="42" s="1"/>
  <c r="I135" i="42"/>
  <c r="I130" i="42" s="1"/>
  <c r="H135" i="42"/>
  <c r="H130" i="42" s="1"/>
  <c r="G135" i="42"/>
  <c r="G130" i="42" s="1"/>
  <c r="H28" i="42"/>
  <c r="I28" i="42" s="1"/>
  <c r="J28" i="42" s="1"/>
  <c r="K28" i="42" s="1"/>
  <c r="H25" i="42"/>
  <c r="I25" i="42" s="1"/>
  <c r="J25" i="42" s="1"/>
  <c r="K25" i="42" s="1"/>
  <c r="B8" i="42"/>
  <c r="G103" i="42" l="1"/>
  <c r="H103" i="42"/>
  <c r="G98" i="42"/>
  <c r="G93" i="42" l="1"/>
  <c r="H34" i="42"/>
  <c r="I98" i="42"/>
  <c r="H98" i="42"/>
  <c r="H93" i="42" s="1"/>
  <c r="H201" i="42" s="1"/>
  <c r="I103" i="42"/>
  <c r="J98" i="42"/>
  <c r="K98" i="42"/>
  <c r="G201" i="42" l="1"/>
  <c r="G235" i="42" s="1"/>
  <c r="I93" i="42"/>
  <c r="I201" i="42" s="1"/>
  <c r="I34" i="42"/>
  <c r="J103" i="42"/>
  <c r="J93" i="42" s="1"/>
  <c r="J201" i="42" s="1"/>
  <c r="K103" i="42"/>
  <c r="K93" i="42" s="1"/>
  <c r="K201" i="42" s="1"/>
  <c r="C10" i="18" l="1"/>
  <c r="F20" i="43" s="1"/>
  <c r="F23" i="43" s="1"/>
  <c r="G237" i="42"/>
  <c r="G238" i="42" s="1"/>
  <c r="H235" i="42"/>
  <c r="J34" i="42"/>
  <c r="C5" i="34" l="1"/>
  <c r="K34" i="42"/>
  <c r="G254" i="42"/>
  <c r="G240" i="42"/>
  <c r="G242" i="42" s="1"/>
  <c r="G251" i="42" s="1"/>
  <c r="F20" i="41" l="1"/>
  <c r="E7" i="13" l="1"/>
  <c r="E7" i="26" l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D11" i="10"/>
  <c r="E8" i="13"/>
  <c r="E10" i="13"/>
  <c r="E11" i="13"/>
  <c r="E13" i="13"/>
  <c r="E12" i="13"/>
  <c r="E9" i="13"/>
  <c r="E14" i="13" l="1"/>
  <c r="C21" i="26"/>
  <c r="C6" i="25"/>
  <c r="E6" i="25" s="1"/>
  <c r="F23" i="41" l="1"/>
  <c r="E7" i="25" l="1"/>
  <c r="E9" i="25" l="1"/>
  <c r="E8" i="25" l="1"/>
  <c r="H40" i="42" l="1"/>
  <c r="I48" i="42"/>
  <c r="I52" i="42" s="1"/>
  <c r="I56" i="42" s="1"/>
  <c r="I235" i="42" l="1"/>
  <c r="K48" i="42"/>
  <c r="K52" i="42" s="1"/>
  <c r="K56" i="42" s="1"/>
  <c r="J48" i="42"/>
  <c r="J52" i="42" s="1"/>
  <c r="J56" i="42" s="1"/>
  <c r="J40" i="42"/>
  <c r="K40" i="42"/>
  <c r="I40" i="42"/>
  <c r="K235" i="42" l="1"/>
  <c r="J235" i="42"/>
  <c r="K46" i="42"/>
  <c r="H46" i="42"/>
  <c r="C5" i="18" l="1"/>
  <c r="K11" i="43" s="1"/>
  <c r="K13" i="43" s="1"/>
  <c r="K15" i="43" s="1"/>
  <c r="K16" i="43" s="1"/>
  <c r="K22" i="43" s="1"/>
  <c r="I46" i="42"/>
  <c r="J46" i="42"/>
  <c r="H237" i="42"/>
  <c r="H91" i="42"/>
  <c r="F16" i="42" l="1"/>
  <c r="H238" i="42"/>
  <c r="H240" i="42"/>
  <c r="H242" i="42" s="1"/>
  <c r="H251" i="42" s="1"/>
  <c r="H254" i="42"/>
  <c r="H255" i="42" s="1"/>
  <c r="I91" i="42"/>
  <c r="I237" i="42"/>
  <c r="H252" i="42" l="1"/>
  <c r="J91" i="42"/>
  <c r="J237" i="42"/>
  <c r="I238" i="42"/>
  <c r="I240" i="42"/>
  <c r="I242" i="42" s="1"/>
  <c r="I251" i="42" s="1"/>
  <c r="I252" i="42" s="1"/>
  <c r="I254" i="42"/>
  <c r="I255" i="42" s="1"/>
  <c r="J240" i="42" l="1"/>
  <c r="J242" i="42" s="1"/>
  <c r="J251" i="42" s="1"/>
  <c r="J252" i="42" s="1"/>
  <c r="J238" i="42"/>
  <c r="J254" i="42"/>
  <c r="J255" i="42" s="1"/>
  <c r="K91" i="42"/>
  <c r="K237" i="42"/>
  <c r="K238" i="42" l="1"/>
  <c r="K240" i="42"/>
  <c r="K242" i="42" s="1"/>
  <c r="K251" i="42" s="1"/>
  <c r="F20" i="42" s="1"/>
  <c r="K254" i="42"/>
  <c r="K16" i="42" l="1"/>
  <c r="K20" i="42"/>
  <c r="K252" i="42"/>
  <c r="K255" i="42"/>
  <c r="F19" i="42" l="1"/>
  <c r="F17" i="42"/>
  <c r="C7" i="18"/>
  <c r="C12" i="18" s="1"/>
  <c r="K11" i="41"/>
  <c r="K13" i="41" s="1"/>
  <c r="K15" i="41" s="1"/>
  <c r="K16" i="41" s="1"/>
  <c r="K17" i="42"/>
  <c r="K19" i="42"/>
  <c r="F21" i="42" l="1"/>
  <c r="C10" i="25" s="1"/>
  <c r="E10" i="25" s="1"/>
  <c r="K21" i="42"/>
  <c r="C11" i="25" s="1"/>
  <c r="E11" i="25" s="1"/>
  <c r="C12" i="25"/>
  <c r="E12" i="25" s="1"/>
  <c r="C13" i="18"/>
  <c r="C14" i="18"/>
  <c r="E14" i="25" l="1"/>
  <c r="C6" i="34" s="1"/>
  <c r="C8" i="34" s="1"/>
  <c r="K23" i="42"/>
  <c r="C16" i="18"/>
  <c r="C17" i="18" s="1"/>
  <c r="C15" i="18"/>
  <c r="F23" i="42"/>
  <c r="H21" i="43" l="1"/>
  <c r="H23" i="43" s="1"/>
  <c r="I21" i="43"/>
  <c r="I23" i="43" s="1"/>
  <c r="J21" i="43"/>
  <c r="J23" i="43" s="1"/>
  <c r="G21" i="43"/>
  <c r="G23" i="43" s="1"/>
  <c r="F25" i="43" s="1"/>
  <c r="K21" i="43"/>
  <c r="K23" i="43" s="1"/>
  <c r="K22" i="41"/>
  <c r="G21" i="41"/>
  <c r="G23" i="41" s="1"/>
  <c r="K21" i="41"/>
  <c r="J21" i="41"/>
  <c r="J23" i="41" s="1"/>
  <c r="I21" i="41"/>
  <c r="I23" i="41" s="1"/>
  <c r="H21" i="41"/>
  <c r="H23" i="41" s="1"/>
  <c r="F26" i="43" l="1"/>
  <c r="K23" i="41"/>
  <c r="F26" i="41" s="1"/>
  <c r="F25" i="41" l="1"/>
  <c r="I58" i="42" l="1"/>
  <c r="J58" i="42" l="1"/>
  <c r="I62" i="42"/>
  <c r="I66" i="42" s="1"/>
  <c r="I70" i="42" s="1"/>
  <c r="I76" i="42" s="1"/>
  <c r="K58" i="42" l="1"/>
  <c r="K62" i="42" s="1"/>
  <c r="K66" i="42" s="1"/>
  <c r="K70" i="42" s="1"/>
  <c r="K76" i="42" s="1"/>
  <c r="J62" i="42"/>
  <c r="J66" i="42" s="1"/>
  <c r="J70" i="42" s="1"/>
  <c r="J76" i="4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BIWS</author>
  </authors>
  <commentList>
    <comment ref="G81" authorId="0" shapeId="0" xr:uid="{DB46A4AC-AC9E-4A39-9ABE-AA1420B2777E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2" authorId="0" shapeId="0" xr:uid="{D58892AA-3021-406F-B038-D7BF0074DEB5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4" authorId="0" shapeId="0" xr:uid="{20D91720-C7C2-41DA-8FBC-77289403898F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5" authorId="0" shapeId="0" xr:uid="{092C60DE-A114-4E6E-8D73-03FFE6186DC8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7" authorId="0" shapeId="0" xr:uid="{FC465D53-5F33-4DD7-9973-C28E80BEE6AF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Company's estimates on pg. 40 of 10-K would imply ~1.5%, but we disagree and are using a higher %.</t>
        </r>
      </text>
    </comment>
    <comment ref="G92" authorId="0" shapeId="0" xr:uid="{A81A9E77-5C7F-4743-9691-E573E48DB1B1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Gradually declines over time as existing assets are depreciated away and hit end of useful lives.</t>
        </r>
      </text>
    </comment>
    <comment ref="G340" authorId="0" shapeId="0" xr:uid="{2B547431-02B8-4825-BB6E-6FC1BC240233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H340" authorId="0" shapeId="0" xr:uid="{EC287CD8-4062-4095-A13F-517608DA6163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I340" authorId="0" shapeId="0" xr:uid="{AD6DB628-685B-48A0-B024-41AA9EB374C4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G341" authorId="0" shapeId="0" xr:uid="{5CD078CC-2D30-499A-8A09-FA6B45D484EB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H341" authorId="0" shapeId="0" xr:uid="{48A50AC1-C5C5-4DF9-B609-52C281B9D09D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I341" authorId="0" shapeId="0" xr:uid="{DF9116B8-6491-43F0-8A54-C5B62577D11F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J341" authorId="0" shapeId="0" xr:uid="{00BEE059-C758-4448-AE32-DE47B893A0EC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K341" authorId="0" shapeId="0" xr:uid="{52AF2146-EFD8-45C9-8C17-F85CB1464AB1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BIWS</author>
  </authors>
  <commentList>
    <comment ref="G8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7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Company's estimates on pg. 40 of 10-K would imply ~1.5%, but we disagree and are using a higher %.</t>
        </r>
      </text>
    </comment>
    <comment ref="G92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Gradually declines over time as existing assets are depreciated away and hit end of useful lives.</t>
        </r>
      </text>
    </comment>
    <comment ref="G340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H3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I340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G341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H341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I341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J341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K341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</commentList>
</comments>
</file>

<file path=xl/sharedStrings.xml><?xml version="1.0" encoding="utf-8"?>
<sst xmlns="http://schemas.openxmlformats.org/spreadsheetml/2006/main" count="544" uniqueCount="240">
  <si>
    <t>Company Name</t>
  </si>
  <si>
    <t>Average</t>
  </si>
  <si>
    <t>Median</t>
  </si>
  <si>
    <t>AwABTAVMT0NBTAFI/////wFQPgAAACxDSVEuTkFTREFRR1M6TU5TVC5JUV9NQVJLRVRDQVAuMy8xOS8yMDE0LlVTRAEAAACxPgUAAgAAAAsxMTYxNy45NzY3NAEGAAAABQAAAAExAQAAAAoxNjYxMjI3MjI2AwAAAAMxNjACAAAABjEwMDA1NAQAAAABMAcAAAAJMy8xOS8yMDE0TEhDuK8R0QhT00YnshHRCDFDSVEuTkFTREFRR1M6TU5TVC5JUV9OSV9OT1JNLjIwMDAuMy8xOS8yMDE0Li4uVVNEAQAAALE+BQACAAAACjM1Ny40ODY4NzUBCAAAAAUAAAABMQEAAAAKMTY2MTIyNzE2MQMAAAADMTYwAgAAAAQ0Mzc4BAAAAAEwBwAAAAkzLzE5LzIwMTQIAAAACjEyLzMxLzIwMTMJAAAAATBw0vpIsRHRCFPTRieyEdEIHUNJUS5OWVNFOktPLklRX01BUktFVENBUC4uVVNEAQAAABJoAAACAAAADDE2ODA0MC43NTkwMgEGAAAABQAAAAExAQAAAAoxNjYwNzU3ODQzAwAAAAMxNjACAAAABjEwMDA1NAQAAAABMAcAAAAJMy8xOS8yMDE0TEhDuK8R0Qg3fBTtsRHRCDNDSVEuTllTRTpEUFMuSVFfRElMVVRfRVBTX05PUk0uMjAwMC4zLzE5LzIwMTQuLi5VU0QBAAAAxxqNAAIAAAAIMy4wMzE3ODQBCAAAAAUAAAABMQEAAAAKMTY1OTQyMTUwMQMAAAADMTYwAgAAAAQ0MzgwBAAAAAEwBwAAAAkzLzE5LzIwMTQIAAAACjEyLzMxLzIwMTMJAAAAATCD2ZMZsRHRCIC3mhmxEdEIKkNJUS5OWVNFOlBFUC5JUV9ESUxVVF9FUFNfTk9</t>
  </si>
  <si>
    <t>STS4yMDAwLi4uLlVTRAEAAABWgAAAAgAAAAgzLjYwMTI4MgEIAAAABQAAAAExAQAAAAoxNjU4MzQyMjU4AwAAAAMxNjACAAAABDQzODAEAAAAATAHAAAACTMvMTkvMjAxNAgAAAAKMTIvMjgvMjAxMwkAAAABMOXbLBexEdEIN300F7ER0QgmQ0lRLk5BU0RBUUdTOk1OU1QuSVFfVEVWLjMvMTkvMjAxNC5VU0QBAAAAsT4FAAIAAAALMTEwMDQuMzgwNzQBBgAAAAUAAAABMQEAAAAKMTY2MTIyNzIyNgMAAAADMTYwAgAAAAYxMDAwNjAEAAAAATAHAAAACTMvMTkvMjAxNBQVWmCwEdEIMYVGJ7IR0QggQ0lRLk5ZU0U6UEVQLklRX0VCSVQuMjAwMC4uLi5VU0QBAAAAVoAAAAIAAAAEOTg3OAEIAAAABQAAAAExAQAAAAoxNjU4MzQyMjU4AwAAAAMxNjACAAAAAzQwMAQAAAABMAcAAAAJMy8xOS8yMDE0CAAAAAoxMi8yOC8yMDEzCQAAAAEw16lM67AR0QiQ61LrsBHRCB5DSVEuT1RDUEs6SlNEQS5JUV9DT01QQU5ZX05BTUUBAAAAaFYGAAMAAAAOSm9uZXMgU29kYSBDby4ADZZ0O68R0QidZhXtsRHRCCxDSVEuTkFTREFRR1M6RklaWi5JUV9NQVJLRVRDQVAuMy8xOS8yMDE0LlVTRAEAAACa6AQAAgAAAAk5NjQuMTg5NzMBBgAAAAUAAAABMQEAAAAKMTY2MTQwMzUyNAMAAAADMTYwAgAAAAYxMDAwNTQEAAAAATAHAAAACTMvMTkvMjAxNExIQ7ivEdEIU9NGJ7IR0QguQ0lRLk5BU0RBUUdTOkZJWlouSVFfRUJJVC4yMDAwLj</t>
  </si>
  <si>
    <t>MvMTkvMjAxNC4uLlVTRAEAAACa6AQAAgAAAAY2Ni4xMzkBCAAAAAUAAAABMQEAAAAKMTY2MTQwMzg0NQMAAAADMTYwAgAAAAM0MDAEAAAAATAHAAAACTMvMTkvMjAxNAgAAAAJMS8yNS8yMDE0CQAAAAEw+/vx7rAR0QhCrEYnshHRCDNDSVEuTllTRTpQRVAuSVFfRElMVVRfRVBTX05PUk0uMjAwMC4zLzE5LzIwMTQuLi5VU0QBAAAAVoAAAAIAAAAIMy42MDEyODIBCAAAAAUAAAABMQEAAAAKMTY1ODM0MjI1OAMAAAADMTYwAgAAAAQ0MzgwBAAAAAEwBwAAAAkzLzE5LzIwMTQIAAAACjEyLzI4LzIwMTMJAAAAATDl2ywXsRHRCDd9NBexEdEIJ0NJUS5OWVNFOkRQUy5JUV9NQVJLRVRDQVAuMy8xOS8yMDE0LlVTRAEAAADHGo0AAgAAAAsxMDMyNS44ODkzOAEGAAAABQAAAAExAQAAAAoxNjU5NDIxNjE1AwAAAAMxNjACAAAABjEwMDA1NAQAAAABMAcAAAAJMy8xOS8yMDE0TEhDuK8R0QhCrEYnshHRCCxDSVEuTllTRTpQRVAuSVFfTklfTk9STS4yMDAwLjMvMTkvMjAxNC4uLlVTRAEAAABWgAAAAgAAAAQ1NjE4AQgAAAAFAAAAATEBAAAACjE2NTgzNDIyNTgDAAAAAzE2MAIAAAAENDM3OAQAAAABMAcAAAAJMy8xOS8yMDE0CAAAAAoxMi8yOC8yMDEzCQAAAAEwLkDjPrER0QhCrEYnshHRCCNDSVEuT1RDUEs6SlNEQS5JUV9URVYuMy8xOS8yMDE0LlVTRAEAAABoVgYAAgAAAAkxNi4zNzE3OTEBBgAAAAUAAAABMQEAA</t>
  </si>
  <si>
    <t>AAKMTY2MTY3NTAwNgMAAAADMTYwAgAAAAYxMDAwNjAEAAAAATAHAAAACTMvMTkvMjAxNBQVWmCwEdEISKMU7bER0QgpQ0lRLk5ZU0U6S08uSVFfRElMVVRfRVBTX05PUk0uMjAwMC4uLi5VU0QBAAAAEmgAAAIAAAAIMS42MzY4MzcBCAAAAAUAAAABMQEAAAAKMTY2MDc1NjM1NQMAAAADMTYwAgAAAAQ0MzgwBAAAAAEwBwAAAAkzLzE5LzIwMTQIAAAACjEyLzMxLzIwMTMJAAAAATCD2ZMZsRHRCG+QmhmxEdEIM0NJUS5OQVNEQVFHUzpNTlNULklRX1RPVEFMX1JFVi4yMDAwLjMvMTkvMjAxNC4uLlVTRAEAAACxPgUAAgAAAAgyMjQ2LjQyOAEIAAAABQAAAAExAQAAAAoxNjYxMjI3MTYxAwAAAAMxNjACAAAAAjI4BAAAAAEwBwAAAAkzLzE5LzIwMTQIAAAACjEyLzMxLzIwMTMJAAAAATBcdHmtsBHRCFPTRieyEdEIJkNJUS5OQVNEQVFHUzpGSVpaLklRX1RFVi4zLzE5LzIwMTQuVVNEAQAAAJroBAACAAAACTk2Ny41MjQ3MwEGAAAABQAAAAExAQAAAAoxNjYxNDAzNTI0AwAAAAMxNjACAAAABjEwMDA2MAQAAAABMAcAAAAJMy8xOS8yMDE0FBVaYLAR0QgxhUYnshHRCCxDSVEuTllTRTpEUFMuSVFfTklfTk9STS4yMDAwLjMvMTkvMjAxNC4uLlVTRAEAAADHGo0AAgAAAAM2MjABCAAAAAUAAAABMQEAAAAKMTY1OTQyMTUwMQMAAAADMTYwAgAAAAQ0Mzc4BAAAAAEwBwAAAAkzLzE5LzIwMTQIAAAACjEyLzMxLzIwMTMJ</t>
  </si>
  <si>
    <t>AAAAATBw0vpIsRHRCEKsRieyEdEII0NJUS5OWVNFOlBFUC5JUV9OSV9OT1JNLjIwMDAuLi4uVVNEAQAAAFaAAAACAAAABDU2MTgBCAAAAAUAAAABMQEAAAAKMTY1ODM0MjI1OAMAAAADMTYwAgAAAAQ0Mzc4BAAAAAEwBwAAAAkzLzE5LzIwMTQIAAAACjEyLzI4LzIwMTMJAAAAATAuQOM+sRHRCE1s6j6xEdEILkNJUS5OWVNFOkRQUy5JUV9UT1RBTF9SRVYuMjAwMC4zLzE5LzIwMTQuLi5VU0QBAAAAxxqNAAIAAAAENTk5NwEIAAAABQAAAAExAQAAAAoxNjU5NDIxNTAxAwAAAAMxNjACAAAAAjI4BAAAAAEwBwAAAAkzLzE5LzIwMTQIAAAACjEyLzMxLzIwMTMJAAAAATBcdHmtsBHRCFPTRieyEdEIK0NJUS5OWVNFOlBFUC5JUV9MQVNUU0FMRVBSSUNFLjMvMTkvMjAxNC5VU0QBAAAAVoAAAAIAAAAFODEuMzcAp8xSi68R0Qhk+kYnshHRCDNDSVEuTkFTREFRR1M6RklaWi5JUV9UT1RBTF9SRVYuMjAwMC4zLzE5LzIwMTQuLi5VU0QBAAAAmugEAAIAAAAGNjQ0LjY2AQgAAAAFAAAAATEBAAAACjE2NjE0MDM4NDUDAAAAAzE2MAIAAAACMjgEAAAAATAHAAAACTMvMTkvMjAxNAgAAAAJMS8yNS8yMDE0CQAAAAEwXHR5rbAR0QhT00YnshHRCCtDSVEuTllTRTpEUFMuSVFfRUJJVERBLjIwMDAuMy8xOS8yMDE0Li4uVVNEAQAAAMcajQACAAAABDEzMTkBCAAAAAUAAAABMQEAAAAKMTY1OTQyMTUwMQMAAAADMTYwAgAAAAQ</t>
  </si>
  <si>
    <t>0MDUxBAAAAAEwBwAAAAkzLzE5LzIwMTQIAAAACjEyLzMxLzIwMTMJAAAAATDu+DTdsBHRCDGFRieyEdEIIENJUS5OWVNFOktPLklRX1RFVi4zLzE5LzIwMTQuVVNEAQAAABJoAAACAAAADDE4NTEyMS43NTkwMgEGAAAABQAAAAExAQAAAAoxNjYwNzU3ODQzAwAAAAMxNjACAAAABjEwMDA2MAQAAAABMAcAAAAJMy8xOS8yMDE0FBVaYLAR0QggXkYnshHRCDVDSVEuT1RDUEs6SlNEQS5JUV9ESUxVVF9FUFNfTk9STS4yMDAwLjMvMTkvMjAxNC4uLlVTRAEAAABoVgYAAgAAAAktMC4wMjk2MDMBCAAAAAUAAAABMQEAAAAKMTY2MjUxMTgyNgMAAAADMTYwAgAAAAQ0MzgwBAAAAAEwBwAAAAkzLzE5LzIwMTQIAAAACjEyLzMxLzIwMTMJAAAAATCD2ZMZsRHRCJHemhmxEdEIG0NJUS5OWVNFOktPLklRX0NPTVBBTllfTkFNRQEAAAASaAAAAwAAABVUaGUgQ29jYS1Db2xhIENvbXBhbnkADZZ0O68R0Qhk+kYnshHRCDhDSVEuTkFTREFRR1M6RklaWi5JUV9ESUxVVF9FUFNfTk9STS4yMDAwLjMvMTkvMjAxNC4uLlVTRAEAAACa6AQAAgAAAAgwLjg4MTMxOQEIAAAABQAAAAExAQAAAAoxNjYxNDAzODQ1AwAAAAMxNjACAAAABDQzODAEAAAAATAHAAAACTMvMTkvMjAxNAgAAAAJMS8yNS8yMDE0CQAAAAEwg9mTGbER0QiAt5oZsRHRCCZDSVEuTllTRTpLTy5JUV9NQVJLRVRDQVAuMy8xOS8yMDE0LlVTRAEAAAASaAAAAgAAAA</t>
  </si>
  <si>
    <t>wxNjgwNDAuNzU5MDIBBgAAAAUAAAABMQEAAAAKMTY2MDc1Nzg0MwMAAAADMTYwAgAAAAYxMDAwNTQEAAAAATAHAAAACTMvMTkvMjAxNExIQ7ivEdEIQqxGJ7IR0QgqQ0lRLk5ZU0U6S08uSVFfTEFTVFNBTEVQUklDRS4zLzE5LzIwMTQuVVNEAQAAABJoAAACAAAABTM4LjE0AENdCJCvEdEIZPpGJ7IR0QgpQ0lRLk5ZU0U6UEVQLklRX0VCSVQuMjAwMC4zLzE5LzIwMTQuLi5VU0QBAAAAVoAAAAIAAAAEOTg3OAEIAAAABQAAAAExAQAAAAoxNjU4MzQyMjU4AwAAAAMxNjACAAAAAzQwMAQAAAABMAcAAAAJMy8xOS8yMDE0CAAAAAoxMi8yOC8yMDEzCQAAAAEw16lM67AR0QgxhUYnshHRCDJDSVEuTllTRTpLTy5JUV9ESUxVVF9FUFNfTk9STS4yMDAwLjMvMTkvMjAxNC4uLlVTRAEAAAASaAAAAgAAAAgxLjYzNjgzNwEIAAAABQAAAAExAQAAAAoxNjYwNzU2MzU1AwAAAAMxNjACAAAABDQzODAEAAAAATAHAAAACTMvMTkvMjAxNAgAAAAKMTIvMzEvMjAxMwkAAAABMIPZkxmxEdEIgLeaGbER0QgtQ0lRLk9UQ1BLOkpTREEuSVFfTEFTVFNBTEVQUklDRS4zLzE5LzIwMTQuVVNEAQAAAGhWBgACAAAABDAuNDYAQ10IkK8R0QiMPxXtsRHRCCtDSVEuTllTRTpEUFMuSVFfTEFTVFNBTEVQUklDRS4zLzE5LzIwMTQuVVNEAQAAAMcajQACAAAABTUyLjMxAENdCJCvEdEIZPpGJ7IR0QgrQ0lRLk5ZU0U6UEVQLklRX0VCSVREQ</t>
  </si>
  <si>
    <t>S4yMDAwLjMvMTkvMjAxNC4uLlVTRAEAAABWgAAAAgAAAAUxMjM0NAEIAAAABQAAAAExAQAAAAoxNjU4MzQyMjU4AwAAAAMxNjACAAAABDQwNTEEAAAAATAHAAAACTMvMTkvMjAxNAgAAAAKMTIvMjgvMjAxMwkAAAABMBkFBtewEdEIIF5GJ7IR0QgcQ0lRLk5ZU0U6RFBTLklRX0NPTVBBTllfTkFNRQEAAADHGo0AAwAAAB1EciBQZXBwZXIgU25hcHBsZSBHcm91cCwgSW5jLgCV7i1LrxHRCGT6RieyEdEILkNJUS5PVENQSzpKU0RBLklRX05JX05PUk0uMjAwMC4zLzE5LzIwMTQuLi5VU0QBAAAAaFYGAAIAAAAHLTEuMTQyNQEIAAAABQAAAAExAQAAAAoxNjYyNTExODI2AwAAAAMxNjACAAAABDQzNzgEAAAAATAHAAAACTMvMTkvMjAxNAgAAAAKMTIvMzEvMjAxMwkAAAABMHDS+kixEdEISKMU7bER0QgtQ0lRLk5ZU0U6S08uSVFfVE9UQUxfUkVWLjIwMDAuMy8xOS8yMDE0Li4uVVNEAQAAABJoAAACAAAABTQ2ODU0AQgAAAAFAAAAATEBAAAACjE2NjA3NTYzNTUDAAAAAzE2MAIAAAACMjgEAAAAATAHAAAACTMvMTkvMjAxNAgAAAAKMTIvMzEvMjAxMwkAAAABMFx0ea2wEdEIU9NGJ7IR0QgXQ0lRLk5ZU0U6S08uSVFfVEVWLi5VU0QBAAAAEmgAAAIAAAAMMTg1MTIxLjc1OTAyAQYAAAAFAAAAATEBAAAACjE2NjA3NTc4NDMDAAAAAzE2MAIAAAAGMTAwMDYwBAAAAAEwBwAAAAkzLzE5LzIwMTQUFVpgsBHRCCBeRiey</t>
  </si>
  <si>
    <t>EdEIOENJUS5OQVNEQVFHUzpNTlNULklRX0RJTFVUX0VQU19OT1JNLjIwMDAuMy8xOS8yMDE0Li4uVVNEAQAAALE+BQACAAAACDIuMDYxNzg1AQgAAAAFAAAAATEBAAAACjE2NjEyMjcxNjEDAAAAAzE2MAIAAAAENDM4MAQAAAABMAcAAAAJMy8xOS8yMDE0CAAAAAoxMi8zMS8yMDEzCQAAAAEwg9mTGbER0QiAt5oZsRHRCCtDSVEuTllTRTpLTy5JUV9OSV9OT1JNLjIwMDAuMy8xOS8yMDE0Li4uVVNEAQAAABJoAAACAAAABjczODAuNQEIAAAABQAAAAExAQAAAAoxNjYwNzU2MzU1AwAAAAMxNjACAAAABDQzNzgEAAAAATAHAAAACTMvMTkvMjAxNAgAAAAKMTIvMzEvMjAxMwkAAAABMHDS+kixEdEIQqxGJ7IR0QgfQ0lRLk5ZU0U6S08uSVFfRUJJVC4yMDAwLi4uLlVTRAEAAAASaAAAAgAAAAUxMTEyNwEIAAAABQAAAAExAQAAAAoxNjYwNzU2MzU1AwAAAAMxNjACAAAAAzQwMAQAAAABMAcAAAAJMy8xOS8yMDE0CAAAAAoxMi8zMS8yMDEzCQAAAAEw+/vx7rAR0QiAEvrusBHRCCFDSVEuTllTRTpEUFMuSVFfVEVWLjMvMTkvMjAxNC5VU0QBAAAAxxqNAAIAAAALMTI3NjMuODg5MzgBBgAAAAUAAAABMQEAAAAKMTY1OTQyMTYxNQMAAAADMTYwAgAAAAYxMDAwNjAEAAAAATAHAAAACTMvMTkvMjAxNBQVWmCwEdEIMYVGJ7IR0QgwQ0lRLk5BU0RBUUdTOkZJWlouSVFfTEFTVFNBTEVQUklDRS4zLzE5LzIwMTQuVVNEAQA</t>
  </si>
  <si>
    <t>AAJroBAACAAAABTIwLjgxAENdCJCvEdEIZPpGJ7IR0QgwQ0lRLk5BU0RBUUdTOkZJWlouSVFfRUJJVERBLjIwMDAuMy8xOS8yMDE0Li4uVVNEAQAAAJroBAACAAAABjc3LjYxNQEIAAAABQAAAAExAQAAAAoxNjYxNDAzODQ1AwAAAAMxNjACAAAABDQwNTEEAAAAATAHAAAACTMvMTkvMjAxNAgAAAAJMS8yNS8yMDE0CQAAAAEw/x813bAR0QgxhUYnshHRCCtDSVEuT1RDUEs6SlNEQS5JUV9FQklULjIwMDAuMy8xOS8yMDE0Li4uVVNEAQAAAGhWBgACAAAABi0xLjgzOAEIAAAABQAAAAExAQAAAAoxNjYyNTExODI2AwAAAAMxNjACAAAAAzQwMAQAAAABMAcAAAAJMy8xOS8yMDE0CAAAAAoxMi8zMS8yMDEzCQAAAAEw+/vx7rAR0QhZyhTtsRHRCCFDSVEuTkFTREFRR1M6RklaWi5JUV9DT01QQU5ZX05BTUUBAAAAmugEAAMAAAAXTmF0aW9uYWwgQmV2ZXJhZ2UgQ29ycC4ADZZ0O68R0Qhk+kYnshHRCCFDSVEuTllTRTpQRVAuSVFfVEVWLjMvMTkvMjAxNC5VU0QBAAAAVoAAAAIAAAAMMTQzODI0LjA1ODQyAQYAAAAFAAAAATEBAAAACjE2NTgzNDM0MDQDAAAAAzE2MAIAAAAGMTAwMDYwBAAAAAEwBwAAAAkzLzE5LzIwMTR8F0ldsBHRCCBeRieyEdEIMUNJUS5OQVNEQVFHUzpGSVpaLklRX05JX05PUk0uMjAwMC4zLzE5LzIwMTQuLi5VU0QBAAAAmugEAAIAAAAJNDAuOTkwNjI1AQgAAAAFAAAAATEBAAAACjE2NjE0MD</t>
  </si>
  <si>
    <t>M4NDUDAAAAAzE2MAIAAAAENDM3OAQAAAABMAcAAAAJMy8xOS8yMDE0CAAAAAkxLzI1LzIwMTQJAAAAATBw0vpIsRHRCFPTRieyEdEILkNJUS5OQVNEQVFHUzpNTlNULklRX0VCSVQuMjAwMC4zLzE5LzIwMTQuLi5VU0QBAAAAsT4FAAIAAAAHNTgzLjcxNgEIAAAABQAAAAExAQAAAAoxNjYxMjI3MTYxAwAAAAMxNjACAAAAAzQwMAQAAAABMAcAAAAJMy8xOS8yMDE0CAAAAAoxMi8zMS8yMDEzCQAAAAEw+/vx7rAR0QhCrEYnshHRCDBDSVEuT1RDUEs6SlNEQS5JUV9UT1RBTF9SRVYuMjAwMC4zLzE5LzIwMTQuLi5VU0QBAAAAaFYGAAIAAAAGMTMuNjk2AQgAAAAFAAAAATEBAAAACjE2NjI1MTE4MjYDAAAAAzE2MAIAAAACMjgEAAAAATAHAAAACTMvMTkvMjAxNAgAAAAKMTIvMzEvMjAxMwkAAAABMFx0ea2wEdEIexgV7bER0QgoQ0lRLk5ZU0U6S08uSVFfRUJJVC4yMDAwLjMvMTkvMjAxNC4uLlVTRAEAAAASaAAAAgAAAAUxMTEyNwEIAAAABQAAAAExAQAAAAoxNjYwNzU2MzU1AwAAAAMxNjACAAAAAzQwMAQAAAABMAcAAAAJMy8xOS8yMDE0CAAAAAoxMi8zMS8yMDEzCQAAAAEw+/vx7rAR0QgxhUYnshHRCDBDSVEuTkFTREFRR1M6TU5TVC5JUV9MQVNUU0FMRVBSSUNFLjMvMTkvMjAxNC5VU0QBAAAAsT4FAAIAAAAFNjkuNjIAQ10IkK8R0Qhk+kYnshHRCBxDSVEuTllTRTpQRVAuSVFfQ09NUEFOWV9OQU1FAQAAA</t>
  </si>
  <si>
    <t>FaAAAADAAAADVBlcHNpY28sIEluYy4A6ytnM68R0Qh1IUcnshHRCC5DSVEuTllTRTpQRVAuSVFfVE9UQUxfUkVWLjIwMDAuMy8xOS8yMDE0Li4uVVNEAQAAAFaAAAACAAAABTY2NDE1AQgAAAAFAAAAATEBAAAACjE2NTgzNDIyNTgDAAAAAzE2MAIAAAACMjgEAAAAATAHAAAACTMvMTkvMjAxNAgAAAAKMTIvMjgvMjAxMwkAAAABMN56ZauwEdEIU9NGJ7IR0QgtQ0lRLk9UQ1BLOkpTREEuSVFfRUJJVERBLjIwMDAuMy8xOS8yMDE0Li4uVVNEAQAAAGhWBgACAAAABi0xLjYwNgEIAAAABQAAAAExAQAAAAoxNjYyNTExODI2AwAAAAMxNjACAAAABDQwNTEEAAAAATAHAAAACTMvMTkvMjAxNAgAAAAKMTIvMzEvMjAxMwkAAAABMP8fNd2wEdEIavEU7bER0QgqQ0lRLk5ZU0U6S08uSVFfRUJJVERBLjIwMDAuMy8xOS8yMDE0Li4uVVNEAQAAABJoAAACAAAABTEzMTA0AQgAAAAFAAAAATEBAAAACjE2NjA3NTYzNTUDAAAAAzE2MAIAAAAENDA1MQQAAAABMAcAAAAJMy8xOS8yMDE0CAAAAAoxMi8zMS8yMDEzCQAAAAEw7vg03bAR0QggXkYnshHRCCJDSVEuTllTRTpLTy5JUV9OSV9OT1JNLjIwMDAuLi4uVVNEAQAAABJoAAACAAAABjczODAuNQEIAAAABQAAAAExAQAAAAoxNjYwNzU2MzU1AwAAAAMxNjACAAAABDQzNzgEAAAAATAHAAAACTMvMTkvMjAxNAgAAAAKMTIvMzEvMjAxMwkAAAABMHDS+kixEdEIoCUCSbER0Qgw</t>
  </si>
  <si>
    <t>Q0lRLk5BU0RBUUdTOk1OU1QuSVFfRUJJVERBLjIwMDAuMy8xOS8yMDE0Li4uVVNEAQAAALE+BQACAAAABzYwNi40NzgBCAAAAAUAAAABMQEAAAAKMTY2MTIyNzE2MQMAAAADMTYwAgAAAAQ0MDUxBAAAAAEwBwAAAAkzLzE5LzIwMTQIAAAACjEyLzMxLzIwMTMJAAAAATD/HzXdsBHRCDGFRieyEdEIKUNJUS5OWVNFOkRQUy5JUV9FQklULjIwMDAuMy8xOS8yMDE0Li4uVVNEAQAAAMcajQACAAAABDExMDMBCAAAAAUAAAABMQEAAAAKMTY1OTQyMTUwMQMAAAADMTYwAgAAAAM0MDAEAAAAATAHAAAACTMvMTkvMjAxNAgAAAAKMTIvMzEvMjAxMwkAAAABMPv78e6wEdEIQqxGJ7IR0QgpQ0lRLk9UQ1BLOkpTREEuSVFfTUFSS0VUQ0FQLjMvMTkvMjAxNC5VU0QBAAAAaFYGAAIAAAAJMTcuODA2NzkxAQYAAAAFAAAAATEBAAAACjE2NjE2NzUwMDYDAAAAAzE2MAIAAAAGMTAwMDU0BAAAAAEwBwAAAAkzLzE5LzIwMTRMSEO4rxHRCEijFO2xEdEIIUNJUS5OQVNEQVFHUzpNTlNULklRX0NPTVBBTllfTkFNRQEAAACxPgUAAwAAABxNb25zdGVyIEJldmVyYWdlIENvcnBvcmF0aW9uAA2WdDuvEdEIZPpGJ7IR0QgnQ0lRLk5ZU0U6UEVQLklRX01BUktFVENBUC4zLzE5LzIwMTQuVVNEAQAAAFaAAAACAAAADDEyMzg4My4wNTg0MgEGAAAABQAAAAExAQAAAAoxNjU4MzQzNDA0AwAAAAMxNjACAAAABjEwMDA1NAQAAAABMAcAAAA</t>
  </si>
  <si>
    <t>JMy8xOS8yMDE0tJ/1ta8R0QhCrEYnshHRCA==</t>
  </si>
  <si>
    <t>Notes</t>
  </si>
  <si>
    <t>All content is Copyright material of INVESTO</t>
  </si>
  <si>
    <t>http://investo.ge/</t>
  </si>
  <si>
    <t>© INVESTO®. All rights reserved.</t>
  </si>
  <si>
    <t>Min</t>
  </si>
  <si>
    <t xml:space="preserve">Max </t>
  </si>
  <si>
    <t>Value Driver</t>
  </si>
  <si>
    <t>Add to Pre-Money Valuation</t>
  </si>
  <si>
    <t>Assigned Value</t>
  </si>
  <si>
    <t>1. Sound Idea (basic value, product risk)</t>
  </si>
  <si>
    <t>2. Prototype (reduces technology risk)</t>
  </si>
  <si>
    <t>3. Quality Management Team (reduces execution risk)</t>
  </si>
  <si>
    <t>4. Strategic Relationships (reduces market risk and competitive risk)</t>
  </si>
  <si>
    <t>5. Product Rollout or Sales (reduces financial or production risk)</t>
  </si>
  <si>
    <t xml:space="preserve"> </t>
  </si>
  <si>
    <t xml:space="preserve">Comparable Company Analysis Method Valuation </t>
  </si>
  <si>
    <t xml:space="preserve">Checklist / Berkus Valuation Method </t>
  </si>
  <si>
    <t>Weight</t>
  </si>
  <si>
    <t>Venture Score</t>
  </si>
  <si>
    <t>Factor</t>
  </si>
  <si>
    <t xml:space="preserve">Scorecard Valuation Method </t>
  </si>
  <si>
    <t xml:space="preserve">1. Strength of management team </t>
  </si>
  <si>
    <t>2. Size of oportunity</t>
  </si>
  <si>
    <t xml:space="preserve">3. Product &amp; technology </t>
  </si>
  <si>
    <t xml:space="preserve">4. Competitive Environment </t>
  </si>
  <si>
    <t>5. Marketing &amp; sales channels / partnerships</t>
  </si>
  <si>
    <t>6. Need for aditional investments</t>
  </si>
  <si>
    <t>7. Other</t>
  </si>
  <si>
    <t>Company Name:</t>
  </si>
  <si>
    <t>Effective Tax Rate:</t>
  </si>
  <si>
    <t>Terminal Value - Multiples Method:</t>
  </si>
  <si>
    <t>Terminal Value - Perpetuity Growth Method:</t>
  </si>
  <si>
    <t>Baseline Terminal FCF Growth Rate:</t>
  </si>
  <si>
    <t>Baseline Terminal Value:</t>
  </si>
  <si>
    <t>Implied Terminal FCF Growth Rate:</t>
  </si>
  <si>
    <t>Implied Terminal EBITDA Multiple:</t>
  </si>
  <si>
    <t>(+) PV of Terminal Value:</t>
  </si>
  <si>
    <t>(+) Sum of PV of Free Cash Flows:</t>
  </si>
  <si>
    <t>Implied Enterprise Value:</t>
  </si>
  <si>
    <t>% Implied EV from Terminal Value:</t>
  </si>
  <si>
    <t>Projected</t>
  </si>
  <si>
    <t>Units:</t>
  </si>
  <si>
    <t>Growth Rate:</t>
  </si>
  <si>
    <t>%</t>
  </si>
  <si>
    <t>Quantity</t>
  </si>
  <si>
    <t>Total marketing expenses :</t>
  </si>
  <si>
    <t>Total Operating Expenses :</t>
  </si>
  <si>
    <t>Operating Income:</t>
  </si>
  <si>
    <t>Operating Margin:</t>
  </si>
  <si>
    <t>(-) Cash Taxes:</t>
  </si>
  <si>
    <t>Net Operating Profit After Tax (NOPAT):</t>
  </si>
  <si>
    <t>Adjustments for Non-Cash Charges:</t>
  </si>
  <si>
    <t>Depreciation &amp; Amortization:</t>
  </si>
  <si>
    <t>Net Change in Working Capital:</t>
  </si>
  <si>
    <t>Unlevered Free Cash Flow:</t>
  </si>
  <si>
    <t>EBITDA:</t>
  </si>
  <si>
    <t>Management Team salaries  :</t>
  </si>
  <si>
    <t>Exit Value</t>
  </si>
  <si>
    <t>Time to exit</t>
  </si>
  <si>
    <t>IRR</t>
  </si>
  <si>
    <t>Investment Amount</t>
  </si>
  <si>
    <t>Number of existing shares</t>
  </si>
  <si>
    <t>Post-Money</t>
  </si>
  <si>
    <t>Pre-Money</t>
  </si>
  <si>
    <t>Ownership fraction of investors</t>
  </si>
  <si>
    <t>Ownership fraction of entrepreneurs</t>
  </si>
  <si>
    <t>Number of new shares</t>
  </si>
  <si>
    <t>Price per share</t>
  </si>
  <si>
    <t>Comparable Analysis Method</t>
  </si>
  <si>
    <t xml:space="preserve">% </t>
  </si>
  <si>
    <t>Berkus Method</t>
  </si>
  <si>
    <t xml:space="preserve">ScoreCard Method </t>
  </si>
  <si>
    <t xml:space="preserve">Venture Capital Method </t>
  </si>
  <si>
    <t>Risk Criteria</t>
  </si>
  <si>
    <t xml:space="preserve">1. Management Risk </t>
  </si>
  <si>
    <t>Risk Condition</t>
  </si>
  <si>
    <t>Risk Value</t>
  </si>
  <si>
    <t>Cummultavie Value</t>
  </si>
  <si>
    <t>2. Stage of The business</t>
  </si>
  <si>
    <t xml:space="preserve">3. Legislation / Political Risk </t>
  </si>
  <si>
    <t xml:space="preserve">high </t>
  </si>
  <si>
    <t xml:space="preserve">4. Manufacturing Risk </t>
  </si>
  <si>
    <t xml:space="preserve">5. Sales Risk </t>
  </si>
  <si>
    <t>6. Fundraising / capital rising Risks</t>
  </si>
  <si>
    <t>7. Competition Risks</t>
  </si>
  <si>
    <t>8. Technology Risks</t>
  </si>
  <si>
    <t>9. Litigation  Risks</t>
  </si>
  <si>
    <t>10. International Risks</t>
  </si>
  <si>
    <t>11. Reputation Risks</t>
  </si>
  <si>
    <t xml:space="preserve">12. Potential lucrative exit </t>
  </si>
  <si>
    <t>Cummulative Risk Wehgted Value</t>
  </si>
  <si>
    <t>$</t>
  </si>
  <si>
    <t>Annual Salaries</t>
  </si>
  <si>
    <t>Total Salaries :</t>
  </si>
  <si>
    <t xml:space="preserve">Pre Money Value </t>
  </si>
  <si>
    <t>Post Money Value</t>
  </si>
  <si>
    <t>Weighted Averge Percent %</t>
  </si>
  <si>
    <t xml:space="preserve">Low </t>
  </si>
  <si>
    <t>Growth Rate %</t>
  </si>
  <si>
    <t>Requested Investment</t>
  </si>
  <si>
    <t>Ownership Fraction To Investors</t>
  </si>
  <si>
    <t>Returns Calculations:</t>
  </si>
  <si>
    <t>Units</t>
  </si>
  <si>
    <t>Total Cash Flows:</t>
  </si>
  <si>
    <t>Money-on-Money (MoM) Multiple:</t>
  </si>
  <si>
    <t>x</t>
  </si>
  <si>
    <t>Internal Rate of Return (IRR):</t>
  </si>
  <si>
    <t>EBITDA Exit Multiple:</t>
  </si>
  <si>
    <t>Exit Enterprise Value:</t>
  </si>
  <si>
    <t>Equity Value on Exit:</t>
  </si>
  <si>
    <t>Investor Equity:</t>
  </si>
  <si>
    <t>Returns to Investors:</t>
  </si>
  <si>
    <t>Sponsor Common Equity:</t>
  </si>
  <si>
    <t>Initial Investment:</t>
  </si>
  <si>
    <t>Dividends:</t>
  </si>
  <si>
    <t xml:space="preserve">$ </t>
  </si>
  <si>
    <t>Less: Net Debt:</t>
  </si>
  <si>
    <t>Valuation Methods</t>
  </si>
  <si>
    <t>Post Money Valuation</t>
  </si>
  <si>
    <t xml:space="preserve"> Investments</t>
  </si>
  <si>
    <t xml:space="preserve">DCF Method - Multiple Method </t>
  </si>
  <si>
    <t>DCF Method - Perpetuity Growth Method</t>
  </si>
  <si>
    <t>Risk Factor Summation Method</t>
  </si>
  <si>
    <t xml:space="preserve">Risk  Summation  Method </t>
  </si>
  <si>
    <t xml:space="preserve">Quantity </t>
  </si>
  <si>
    <t xml:space="preserve">Number Of CEO </t>
  </si>
  <si>
    <t xml:space="preserve">Monthly Slalary </t>
  </si>
  <si>
    <t>Number Of Months</t>
  </si>
  <si>
    <t>Discount Rate (WACC):</t>
  </si>
  <si>
    <t xml:space="preserve">Number Of Months </t>
  </si>
  <si>
    <t>Monthly Salaries</t>
  </si>
  <si>
    <t xml:space="preserve">Number Of Back End Developers </t>
  </si>
  <si>
    <t xml:space="preserve"> Total Adressable Market T.A.M </t>
  </si>
  <si>
    <t>Servicable Obtainable Market S.O.M</t>
  </si>
  <si>
    <t xml:space="preserve">Total Revenue </t>
  </si>
  <si>
    <t xml:space="preserve">Growth Rate </t>
  </si>
  <si>
    <t>Development Team  Salaries :</t>
  </si>
  <si>
    <t>Number Of Front End Developers</t>
  </si>
  <si>
    <t>Marketing  Team  Salaries :</t>
  </si>
  <si>
    <t>Number Of Digital Marrketing Managers</t>
  </si>
  <si>
    <t>Office &amp; Business Process Expenses :</t>
  </si>
  <si>
    <t>Office Rent Annual Costs</t>
  </si>
  <si>
    <t>Office Rent Monthly Costs</t>
  </si>
  <si>
    <t>Growth Rate :</t>
  </si>
  <si>
    <t>Servicable Avaliable Market - S.A.M</t>
  </si>
  <si>
    <t xml:space="preserve">  Investment Offer </t>
  </si>
  <si>
    <t>Iliquidity Discount</t>
  </si>
  <si>
    <t>Number Of CTO</t>
  </si>
  <si>
    <t xml:space="preserve">(-) Capital Expenditures: </t>
  </si>
  <si>
    <t>Number Of Potential Users</t>
  </si>
  <si>
    <t>Number Of Users</t>
  </si>
  <si>
    <t>Total Active Users</t>
  </si>
  <si>
    <t>Number Of CFO</t>
  </si>
  <si>
    <t>Valuation</t>
  </si>
  <si>
    <t>Comparable Companies Valuation</t>
  </si>
  <si>
    <t>Neutral</t>
  </si>
  <si>
    <t>Number Of Software Architect</t>
  </si>
  <si>
    <t>Number Of Game Developers</t>
  </si>
  <si>
    <t>Number Of Blockchain Developers</t>
  </si>
  <si>
    <t>Number Of DevOps Architect</t>
  </si>
  <si>
    <t>Number Of DevOps Engineer</t>
  </si>
  <si>
    <t>Number Of Project Managers</t>
  </si>
  <si>
    <t>Cloud and other IT Services Monthly Costs</t>
  </si>
  <si>
    <t>Accounting  Monthly Costs</t>
  </si>
  <si>
    <t>Legal Monthly Costs</t>
  </si>
  <si>
    <t>Baseline Terminal Revenue Multiple:</t>
  </si>
  <si>
    <t>Terminal Year Revenue</t>
  </si>
  <si>
    <t xml:space="preserve">Revenue Multiple </t>
  </si>
  <si>
    <t xml:space="preserve"> PROJECTIONS</t>
  </si>
  <si>
    <t>Cloud &amp; Other IT Services  Annual Costs</t>
  </si>
  <si>
    <t>Accounting  Annual Costs</t>
  </si>
  <si>
    <t>Legal  Annual Costs</t>
  </si>
  <si>
    <t>Revenue  Exit Multiple:</t>
  </si>
  <si>
    <t>Revenue:</t>
  </si>
  <si>
    <t>Start-up Valuation - TINCOIN</t>
  </si>
  <si>
    <t>© 2023 INVESTO   All rights reserved. </t>
  </si>
  <si>
    <t>TINCOIN   Valuation</t>
  </si>
  <si>
    <t xml:space="preserve">Weighted average  post Money Value </t>
  </si>
  <si>
    <t xml:space="preserve"> Post Money Valuation </t>
  </si>
  <si>
    <t xml:space="preserve"> Post Money Value  </t>
  </si>
  <si>
    <t xml:space="preserve">TURISMO AI </t>
  </si>
  <si>
    <t>0-1,500,000</t>
  </si>
  <si>
    <t>Number Of President</t>
  </si>
  <si>
    <t>Number Of Vice President</t>
  </si>
  <si>
    <t>Number Of COO</t>
  </si>
  <si>
    <t>Number Of Head Of HR</t>
  </si>
  <si>
    <t>Number Of Junior Developers</t>
  </si>
  <si>
    <t>Number Of Chief Designers</t>
  </si>
  <si>
    <t>Number Of UX/UI  Designers</t>
  </si>
  <si>
    <t>Customers Support  Team  Salaries :</t>
  </si>
  <si>
    <t>Number Of Customers Supports Specialists</t>
  </si>
  <si>
    <t>Social Media Advertsing  Monthly  Costs</t>
  </si>
  <si>
    <t>Content Marketing Annual Costs</t>
  </si>
  <si>
    <t>Paid Article Monthly  Costs</t>
  </si>
  <si>
    <t>Paid Article Annual Costs</t>
  </si>
  <si>
    <t>Google Adwords &amp; SEO Monthly  Costs</t>
  </si>
  <si>
    <t>Google Adwords &amp; SEO Annual Costs</t>
  </si>
  <si>
    <t xml:space="preserve">Total Number Of Internet Users  - Worldwide : </t>
  </si>
  <si>
    <t xml:space="preserve">Share % Of Crypto Owners - Worldwide : </t>
  </si>
  <si>
    <t xml:space="preserve">Acquired Share  % Of   Users  </t>
  </si>
  <si>
    <t>Quantity Of Sold Token Per User</t>
  </si>
  <si>
    <t xml:space="preserve">Total Quantity Of Sold Token </t>
  </si>
  <si>
    <t>Token Price</t>
  </si>
  <si>
    <t>Revenue  From Token Sale</t>
  </si>
  <si>
    <t>TINCOIN</t>
  </si>
  <si>
    <t xml:space="preserve">total Number Of Tourists in wordwide </t>
  </si>
  <si>
    <t xml:space="preserve">Share Of Tourists Using Tincoin </t>
  </si>
  <si>
    <t xml:space="preserve">Number Of Tourists </t>
  </si>
  <si>
    <t>Number Of NFT issued by per tourists</t>
  </si>
  <si>
    <t>Total Number Of NFT</t>
  </si>
  <si>
    <t xml:space="preserve">Share Of NFT'S Sold </t>
  </si>
  <si>
    <t xml:space="preserve">NFT's Sold </t>
  </si>
  <si>
    <t xml:space="preserve">Price Per NFT </t>
  </si>
  <si>
    <t>Comission From NFT Sale</t>
  </si>
  <si>
    <t>Revenue From NFT sale</t>
  </si>
  <si>
    <t>Total Number Of Tourism Companies In Worldwide</t>
  </si>
  <si>
    <t xml:space="preserve">Share Of Tourist Coompanies Using Tincoin </t>
  </si>
  <si>
    <t>Number Of Companies</t>
  </si>
  <si>
    <t>Average Service Price Sale tourist companies at Tincooin platform</t>
  </si>
  <si>
    <t xml:space="preserve">Comission </t>
  </si>
  <si>
    <t>Revenue From Tourists Companies Comissions</t>
  </si>
  <si>
    <t xml:space="preserve">  Pre Money Valuation</t>
  </si>
  <si>
    <t>Seed Stage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</si>
</sst>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_(* #,##0_);_(* \(#,##0\);_(* &quot;-&quot;_);_(@_)"/>
    <numFmt numFmtId="165" formatCode="_(* #,##0.00_);_(* \(#,##0.00\);_(* &quot;-&quot;??_);_(@_)"/>
    <numFmt numFmtId="166" formatCode="_-* #,##0_-;\(#,##0\)_-;_-* &quot;-&quot;_-;_-@_-"/>
    <numFmt numFmtId="167" formatCode="_ * #,##0_ ;_ * \-#,##0_ ;_ * &quot;-&quot;??_ ;_ @_ "/>
    <numFmt numFmtId="168" formatCode="_-* #,##0.00_-;\(#,##0.00\)_-;_-* &quot;-&quot;_-;_-@_-"/>
    <numFmt numFmtId="169" formatCode="0%;\(0%\)"/>
    <numFmt numFmtId="170" formatCode="_(&quot;$&quot;* #,##0.0_);_(&quot;$&quot;* \(#,##0.0\);_(&quot;$&quot;* &quot;-&quot;?_);_(@_)"/>
    <numFmt numFmtId="171" formatCode="_(0.0\ \x_);\(0.0\ \x\);_(&quot;–&quot;_);_(@_)"/>
    <numFmt numFmtId="172" formatCode="_(0.0%_);\(0.0%\);_(&quot;–&quot;_);_(@_)"/>
    <numFmt numFmtId="173" formatCode="_(* #,##0_);_(* \(#,##0\);_(* &quot;-&quot;?_);_(@_)"/>
    <numFmt numFmtId="174" formatCode="0&quot;E&quot;"/>
    <numFmt numFmtId="175" formatCode="_(* #,##0.0_);_(* \(#,##0.0\);_(* &quot;-&quot;?_);_(@_)"/>
    <numFmt numFmtId="176" formatCode="0.0%;\(0.0%\)"/>
    <numFmt numFmtId="177" formatCode="_-* #,##0.00\ &quot;₾&quot;_-;\-* #,##0.00\ &quot;₾&quot;_-;_-* &quot;-&quot;??\ &quot;₾&quot;_-;_-@_-"/>
    <numFmt numFmtId="178" formatCode="_-* #,##0.00\ _₾_-;\-* #,##0.00\ _₾_-;_-* &quot;-&quot;??\ _₾_-;_-@_-"/>
    <numFmt numFmtId="179" formatCode="0.0%"/>
    <numFmt numFmtId="180" formatCode="_(* #,##0_);_(* \(#,##0\);_(* &quot;-&quot;??_);_(@_)"/>
    <numFmt numFmtId="181" formatCode="_(0.0%_);\(0.0%\);_(&quot;–&quot;_)_%;_(@_)_%"/>
    <numFmt numFmtId="182" formatCode="0.0\ \x"/>
    <numFmt numFmtId="183" formatCode="0.0%;\(0.0%\);&quot;–&quot;;@"/>
    <numFmt numFmtId="184" formatCode="_(0.0\x_);\(0.0\x\);_(&quot;–&quot;_);_(@_)"/>
    <numFmt numFmtId="185" formatCode="_(#,##0.0_);\(#,##0.0\);_(&quot;–&quot;_);_(@_)"/>
    <numFmt numFmtId="186" formatCode="0.0000"/>
    <numFmt numFmtId="187" formatCode="_(0%_);\(0%\);_(&quot;–&quot;_);_(@_)"/>
    <numFmt numFmtId="188" formatCode="_(0.00%_);\(0.00%\);_(&quot;–&quot;_);_(@_)"/>
    <numFmt numFmtId="189" formatCode="_(* #,##0.00_);_(* \(#,##0.00\);_(* &quot;-&quot;?_);_(@_)"/>
    <numFmt numFmtId="190" formatCode="0.0"/>
    <numFmt numFmtId="191" formatCode="_(* #,##0.000_);_(* \(#,##0.000\);_(* &quot;-&quot;?_);_(@_)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1"/>
      <color rgb="FF0000FF"/>
      <name val="Arial Narrow"/>
      <family val="2"/>
    </font>
    <font>
      <u/>
      <sz val="10"/>
      <color theme="10"/>
      <name val="Arial"/>
      <family val="2"/>
    </font>
    <font>
      <b/>
      <sz val="22"/>
      <color theme="0"/>
      <name val="Arial Narrow"/>
      <family val="2"/>
    </font>
    <font>
      <b/>
      <u/>
      <sz val="11"/>
      <color theme="0"/>
      <name val="Calibri"/>
      <family val="2"/>
      <scheme val="minor"/>
    </font>
    <font>
      <u/>
      <sz val="10"/>
      <color theme="0"/>
      <name val="Arial"/>
      <family val="2"/>
    </font>
    <font>
      <sz val="12"/>
      <color theme="0"/>
      <name val="Open Sans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2"/>
      <color theme="0"/>
      <name val="Open Sans"/>
      <family val="2"/>
    </font>
    <font>
      <i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FF"/>
      <name val="Calibri"/>
      <family val="2"/>
    </font>
    <font>
      <b/>
      <i/>
      <sz val="11"/>
      <color theme="1"/>
      <name val="Calibri"/>
      <family val="2"/>
    </font>
    <font>
      <b/>
      <sz val="11"/>
      <color rgb="FF0000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16">
    <xf numFmtId="0" fontId="0" fillId="0" borderId="0"/>
    <xf numFmtId="165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0" fillId="0" borderId="0"/>
    <xf numFmtId="0" fontId="24" fillId="0" borderId="0"/>
    <xf numFmtId="165" fontId="24" fillId="0" borderId="0" applyFont="0" applyFill="0" applyBorder="0" applyAlignment="0" applyProtection="0"/>
    <xf numFmtId="0" fontId="4" fillId="4" borderId="2" applyNumberFormat="0" applyFont="0" applyAlignment="0" applyProtection="0"/>
    <xf numFmtId="0" fontId="22" fillId="0" borderId="0"/>
    <xf numFmtId="0" fontId="39" fillId="0" borderId="0"/>
    <xf numFmtId="177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8" fontId="4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166" fontId="5" fillId="2" borderId="0" xfId="1" applyNumberFormat="1" applyFont="1" applyFill="1"/>
    <xf numFmtId="166" fontId="6" fillId="2" borderId="0" xfId="1" applyNumberFormat="1" applyFont="1" applyFill="1"/>
    <xf numFmtId="0" fontId="10" fillId="0" borderId="0" xfId="0" applyFont="1"/>
    <xf numFmtId="0" fontId="11" fillId="0" borderId="0" xfId="0" applyFont="1"/>
    <xf numFmtId="167" fontId="11" fillId="0" borderId="0" xfId="1" applyNumberFormat="1" applyFont="1"/>
    <xf numFmtId="0" fontId="13" fillId="0" borderId="0" xfId="0" applyFont="1"/>
    <xf numFmtId="3" fontId="14" fillId="0" borderId="0" xfId="0" applyNumberFormat="1" applyFont="1" applyAlignment="1">
      <alignment horizontal="center" vertical="center"/>
    </xf>
    <xf numFmtId="0" fontId="21" fillId="0" borderId="0" xfId="7" applyFont="1"/>
    <xf numFmtId="0" fontId="22" fillId="0" borderId="0" xfId="7" applyFont="1" applyAlignment="1">
      <alignment horizontal="right"/>
    </xf>
    <xf numFmtId="0" fontId="23" fillId="0" borderId="0" xfId="7" applyFont="1" applyAlignment="1">
      <alignment horizontal="right"/>
    </xf>
    <xf numFmtId="0" fontId="22" fillId="0" borderId="0" xfId="7" applyFont="1"/>
    <xf numFmtId="0" fontId="20" fillId="0" borderId="0" xfId="7"/>
    <xf numFmtId="0" fontId="22" fillId="0" borderId="0" xfId="7" applyFont="1" applyAlignment="1">
      <alignment horizontal="center"/>
    </xf>
    <xf numFmtId="0" fontId="12" fillId="0" borderId="0" xfId="2" applyFont="1" applyAlignment="1">
      <alignment horizontal="center"/>
    </xf>
    <xf numFmtId="9" fontId="14" fillId="0" borderId="0" xfId="6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0" fontId="22" fillId="0" borderId="0" xfId="11"/>
    <xf numFmtId="0" fontId="27" fillId="0" borderId="0" xfId="11" applyFont="1"/>
    <xf numFmtId="0" fontId="27" fillId="0" borderId="0" xfId="11" applyFont="1" applyAlignment="1">
      <alignment horizontal="left" indent="1"/>
    </xf>
    <xf numFmtId="0" fontId="27" fillId="0" borderId="3" xfId="11" applyFont="1" applyBorder="1" applyAlignment="1">
      <alignment horizontal="left" indent="1"/>
    </xf>
    <xf numFmtId="0" fontId="27" fillId="0" borderId="3" xfId="11" applyFont="1" applyBorder="1"/>
    <xf numFmtId="173" fontId="30" fillId="0" borderId="3" xfId="0" applyNumberFormat="1" applyFont="1" applyBorder="1" applyAlignment="1">
      <alignment horizontal="center"/>
    </xf>
    <xf numFmtId="9" fontId="27" fillId="0" borderId="0" xfId="6" applyFont="1"/>
    <xf numFmtId="0" fontId="31" fillId="0" borderId="0" xfId="11" applyFont="1" applyAlignment="1">
      <alignment horizontal="center"/>
    </xf>
    <xf numFmtId="0" fontId="27" fillId="0" borderId="0" xfId="11" applyFont="1" applyAlignment="1">
      <alignment horizontal="center"/>
    </xf>
    <xf numFmtId="0" fontId="33" fillId="0" borderId="0" xfId="11" applyFont="1" applyAlignment="1">
      <alignment horizontal="center"/>
    </xf>
    <xf numFmtId="173" fontId="30" fillId="0" borderId="0" xfId="0" applyNumberFormat="1" applyFont="1"/>
    <xf numFmtId="0" fontId="34" fillId="0" borderId="0" xfId="11" applyFont="1" applyAlignment="1">
      <alignment horizontal="center"/>
    </xf>
    <xf numFmtId="0" fontId="34" fillId="0" borderId="0" xfId="11" applyFont="1" applyAlignment="1">
      <alignment horizontal="left" indent="1"/>
    </xf>
    <xf numFmtId="173" fontId="31" fillId="0" borderId="0" xfId="0" applyNumberFormat="1" applyFont="1"/>
    <xf numFmtId="0" fontId="27" fillId="0" borderId="0" xfId="11" applyFont="1" applyAlignment="1">
      <alignment horizontal="left" indent="2"/>
    </xf>
    <xf numFmtId="0" fontId="33" fillId="0" borderId="0" xfId="11" applyFont="1" applyAlignment="1">
      <alignment horizontal="left" indent="1"/>
    </xf>
    <xf numFmtId="170" fontId="27" fillId="0" borderId="0" xfId="11" applyNumberFormat="1" applyFont="1"/>
    <xf numFmtId="0" fontId="36" fillId="0" borderId="0" xfId="11" applyFont="1" applyAlignment="1">
      <alignment horizontal="center"/>
    </xf>
    <xf numFmtId="166" fontId="37" fillId="2" borderId="0" xfId="1" applyNumberFormat="1" applyFont="1" applyFill="1"/>
    <xf numFmtId="166" fontId="6" fillId="3" borderId="0" xfId="1" applyNumberFormat="1" applyFont="1" applyFill="1"/>
    <xf numFmtId="0" fontId="25" fillId="3" borderId="4" xfId="10" applyFont="1" applyFill="1" applyBorder="1" applyAlignment="1">
      <alignment horizontal="centerContinuous"/>
    </xf>
    <xf numFmtId="0" fontId="25" fillId="3" borderId="3" xfId="0" applyFont="1" applyFill="1" applyBorder="1"/>
    <xf numFmtId="171" fontId="28" fillId="3" borderId="5" xfId="0" applyNumberFormat="1" applyFont="1" applyFill="1" applyBorder="1" applyAlignment="1">
      <alignment horizontal="center"/>
    </xf>
    <xf numFmtId="172" fontId="28" fillId="3" borderId="5" xfId="0" applyNumberFormat="1" applyFont="1" applyFill="1" applyBorder="1" applyAlignment="1">
      <alignment horizontal="center"/>
    </xf>
    <xf numFmtId="0" fontId="25" fillId="3" borderId="1" xfId="11" applyFont="1" applyFill="1" applyBorder="1" applyAlignment="1">
      <alignment horizontal="centerContinuous"/>
    </xf>
    <xf numFmtId="0" fontId="17" fillId="3" borderId="1" xfId="11" applyFont="1" applyFill="1" applyBorder="1" applyAlignment="1">
      <alignment horizontal="centerContinuous"/>
    </xf>
    <xf numFmtId="0" fontId="25" fillId="3" borderId="3" xfId="11" applyFont="1" applyFill="1" applyBorder="1"/>
    <xf numFmtId="0" fontId="32" fillId="3" borderId="3" xfId="11" applyFont="1" applyFill="1" applyBorder="1" applyAlignment="1">
      <alignment horizontal="center"/>
    </xf>
    <xf numFmtId="174" fontId="25" fillId="3" borderId="3" xfId="11" applyNumberFormat="1" applyFont="1" applyFill="1" applyBorder="1" applyAlignment="1">
      <alignment horizontal="center"/>
    </xf>
    <xf numFmtId="0" fontId="23" fillId="0" borderId="0" xfId="12" applyFont="1"/>
    <xf numFmtId="0" fontId="39" fillId="0" borderId="0" xfId="12" applyAlignment="1">
      <alignment wrapText="1"/>
    </xf>
    <xf numFmtId="0" fontId="40" fillId="0" borderId="0" xfId="12" applyFont="1" applyAlignment="1">
      <alignment wrapText="1"/>
    </xf>
    <xf numFmtId="0" fontId="39" fillId="0" borderId="0" xfId="12"/>
    <xf numFmtId="0" fontId="22" fillId="0" borderId="0" xfId="12" applyFont="1" applyAlignment="1">
      <alignment wrapText="1"/>
    </xf>
    <xf numFmtId="172" fontId="41" fillId="3" borderId="5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3" fontId="20" fillId="0" borderId="0" xfId="7" applyNumberFormat="1"/>
    <xf numFmtId="3" fontId="14" fillId="0" borderId="0" xfId="6" applyNumberFormat="1" applyFont="1" applyAlignment="1">
      <alignment horizontal="center" vertical="center"/>
    </xf>
    <xf numFmtId="9" fontId="1" fillId="0" borderId="0" xfId="6" applyFont="1"/>
    <xf numFmtId="180" fontId="20" fillId="0" borderId="0" xfId="1" applyNumberFormat="1" applyFont="1" applyAlignment="1"/>
    <xf numFmtId="0" fontId="25" fillId="3" borderId="3" xfId="11" applyFont="1" applyFill="1" applyBorder="1" applyAlignment="1">
      <alignment horizontal="center"/>
    </xf>
    <xf numFmtId="180" fontId="30" fillId="0" borderId="0" xfId="0" applyNumberFormat="1" applyFont="1"/>
    <xf numFmtId="0" fontId="42" fillId="0" borderId="0" xfId="11" applyFont="1"/>
    <xf numFmtId="0" fontId="4" fillId="0" borderId="0" xfId="11" applyFont="1"/>
    <xf numFmtId="0" fontId="35" fillId="0" borderId="0" xfId="11" applyFont="1"/>
    <xf numFmtId="0" fontId="25" fillId="3" borderId="0" xfId="11" applyFont="1" applyFill="1"/>
    <xf numFmtId="0" fontId="35" fillId="0" borderId="0" xfId="11" applyFont="1" applyAlignment="1">
      <alignment horizontal="center"/>
    </xf>
    <xf numFmtId="182" fontId="29" fillId="0" borderId="0" xfId="11" applyNumberFormat="1" applyFont="1"/>
    <xf numFmtId="184" fontId="4" fillId="0" borderId="0" xfId="11" applyNumberFormat="1" applyFont="1"/>
    <xf numFmtId="184" fontId="31" fillId="5" borderId="5" xfId="11" applyNumberFormat="1" applyFont="1" applyFill="1" applyBorder="1"/>
    <xf numFmtId="170" fontId="31" fillId="0" borderId="0" xfId="11" applyNumberFormat="1" applyFont="1" applyAlignment="1">
      <alignment horizontal="center"/>
    </xf>
    <xf numFmtId="175" fontId="4" fillId="0" borderId="0" xfId="11" applyNumberFormat="1" applyFont="1" applyAlignment="1">
      <alignment horizontal="center"/>
    </xf>
    <xf numFmtId="170" fontId="42" fillId="0" borderId="0" xfId="11" applyNumberFormat="1" applyFont="1"/>
    <xf numFmtId="0" fontId="4" fillId="0" borderId="3" xfId="11" applyFont="1" applyBorder="1"/>
    <xf numFmtId="0" fontId="35" fillId="0" borderId="3" xfId="11" applyFont="1" applyBorder="1" applyAlignment="1">
      <alignment horizontal="center"/>
    </xf>
    <xf numFmtId="185" fontId="4" fillId="0" borderId="3" xfId="11" applyNumberFormat="1" applyFont="1" applyBorder="1"/>
    <xf numFmtId="175" fontId="31" fillId="0" borderId="3" xfId="11" applyNumberFormat="1" applyFont="1" applyBorder="1" applyAlignment="1">
      <alignment horizontal="center"/>
    </xf>
    <xf numFmtId="0" fontId="42" fillId="0" borderId="0" xfId="11" applyFont="1" applyAlignment="1">
      <alignment horizontal="left"/>
    </xf>
    <xf numFmtId="0" fontId="4" fillId="0" borderId="0" xfId="11" applyFont="1" applyAlignment="1">
      <alignment horizontal="left" indent="1"/>
    </xf>
    <xf numFmtId="185" fontId="4" fillId="0" borderId="0" xfId="11" applyNumberFormat="1" applyFont="1"/>
    <xf numFmtId="0" fontId="35" fillId="0" borderId="0" xfId="11" applyFont="1" applyAlignment="1">
      <alignment horizontal="left" indent="1"/>
    </xf>
    <xf numFmtId="0" fontId="27" fillId="0" borderId="3" xfId="11" applyFont="1" applyBorder="1" applyAlignment="1">
      <alignment horizontal="left" indent="2"/>
    </xf>
    <xf numFmtId="175" fontId="4" fillId="0" borderId="3" xfId="11" applyNumberFormat="1" applyFont="1" applyBorder="1"/>
    <xf numFmtId="0" fontId="42" fillId="0" borderId="0" xfId="11" applyFont="1" applyAlignment="1">
      <alignment horizontal="left" indent="1"/>
    </xf>
    <xf numFmtId="181" fontId="33" fillId="0" borderId="0" xfId="11" applyNumberFormat="1" applyFont="1" applyAlignment="1">
      <alignment horizontal="center"/>
    </xf>
    <xf numFmtId="176" fontId="42" fillId="0" borderId="0" xfId="11" applyNumberFormat="1" applyFont="1"/>
    <xf numFmtId="183" fontId="42" fillId="0" borderId="0" xfId="11" applyNumberFormat="1" applyFont="1"/>
    <xf numFmtId="173" fontId="31" fillId="5" borderId="5" xfId="11" applyNumberFormat="1" applyFont="1" applyFill="1" applyBorder="1" applyAlignment="1">
      <alignment horizontal="center"/>
    </xf>
    <xf numFmtId="179" fontId="14" fillId="0" borderId="0" xfId="6" applyNumberFormat="1" applyFont="1" applyAlignment="1">
      <alignment horizontal="center" vertical="center"/>
    </xf>
    <xf numFmtId="179" fontId="31" fillId="5" borderId="5" xfId="6" applyNumberFormat="1" applyFont="1" applyFill="1" applyBorder="1" applyAlignment="1">
      <alignment horizontal="center"/>
    </xf>
    <xf numFmtId="184" fontId="31" fillId="5" borderId="5" xfId="11" applyNumberFormat="1" applyFont="1" applyFill="1" applyBorder="1" applyAlignment="1">
      <alignment horizontal="center"/>
    </xf>
    <xf numFmtId="180" fontId="30" fillId="0" borderId="3" xfId="0" applyNumberFormat="1" applyFont="1" applyBorder="1"/>
    <xf numFmtId="173" fontId="39" fillId="0" borderId="0" xfId="12" applyNumberFormat="1" applyAlignment="1">
      <alignment wrapText="1"/>
    </xf>
    <xf numFmtId="172" fontId="41" fillId="3" borderId="0" xfId="0" applyNumberFormat="1" applyFont="1" applyFill="1" applyAlignment="1">
      <alignment horizontal="center"/>
    </xf>
    <xf numFmtId="0" fontId="27" fillId="0" borderId="0" xfId="11" applyFont="1" applyAlignment="1">
      <alignment horizontal="left"/>
    </xf>
    <xf numFmtId="173" fontId="27" fillId="0" borderId="0" xfId="11" applyNumberFormat="1" applyFont="1"/>
    <xf numFmtId="165" fontId="27" fillId="0" borderId="0" xfId="11" applyNumberFormat="1" applyFont="1"/>
    <xf numFmtId="175" fontId="27" fillId="0" borderId="0" xfId="11" applyNumberFormat="1" applyFont="1"/>
    <xf numFmtId="186" fontId="1" fillId="0" borderId="0" xfId="0" applyNumberFormat="1" applyFont="1"/>
    <xf numFmtId="0" fontId="25" fillId="3" borderId="6" xfId="10" applyFont="1" applyFill="1" applyBorder="1" applyAlignment="1">
      <alignment horizontal="centerContinuous"/>
    </xf>
    <xf numFmtId="169" fontId="28" fillId="3" borderId="2" xfId="10" applyNumberFormat="1" applyFont="1" applyFill="1" applyAlignment="1">
      <alignment horizontal="center"/>
    </xf>
    <xf numFmtId="0" fontId="26" fillId="3" borderId="3" xfId="0" applyFont="1" applyFill="1" applyBorder="1"/>
    <xf numFmtId="170" fontId="29" fillId="0" borderId="0" xfId="11" applyNumberFormat="1" applyFont="1"/>
    <xf numFmtId="173" fontId="30" fillId="0" borderId="0" xfId="0" applyNumberFormat="1" applyFont="1" applyAlignment="1">
      <alignment horizontal="center"/>
    </xf>
    <xf numFmtId="0" fontId="29" fillId="0" borderId="0" xfId="11" applyFont="1"/>
    <xf numFmtId="0" fontId="29" fillId="0" borderId="0" xfId="11" applyFont="1" applyAlignment="1">
      <alignment horizontal="left" indent="1"/>
    </xf>
    <xf numFmtId="0" fontId="35" fillId="0" borderId="0" xfId="0" applyFont="1" applyAlignment="1">
      <alignment horizontal="center"/>
    </xf>
    <xf numFmtId="164" fontId="27" fillId="0" borderId="0" xfId="11" applyNumberFormat="1" applyFont="1"/>
    <xf numFmtId="0" fontId="29" fillId="3" borderId="0" xfId="11" applyFont="1" applyFill="1"/>
    <xf numFmtId="37" fontId="25" fillId="3" borderId="0" xfId="11" applyNumberFormat="1" applyFont="1" applyFill="1"/>
    <xf numFmtId="176" fontId="33" fillId="0" borderId="0" xfId="11" applyNumberFormat="1" applyFont="1"/>
    <xf numFmtId="0" fontId="38" fillId="3" borderId="0" xfId="11" applyFont="1" applyFill="1" applyAlignment="1">
      <alignment horizontal="center"/>
    </xf>
    <xf numFmtId="0" fontId="1" fillId="3" borderId="0" xfId="3" applyFont="1" applyFill="1"/>
    <xf numFmtId="0" fontId="16" fillId="3" borderId="0" xfId="3" applyFont="1" applyFill="1" applyProtection="1">
      <protection locked="0"/>
    </xf>
    <xf numFmtId="0" fontId="2" fillId="3" borderId="0" xfId="3" applyFont="1" applyFill="1"/>
    <xf numFmtId="0" fontId="3" fillId="3" borderId="0" xfId="3" applyFont="1" applyFill="1"/>
    <xf numFmtId="0" fontId="2" fillId="3" borderId="0" xfId="3" applyFont="1" applyFill="1" applyAlignment="1">
      <alignment horizontal="right"/>
    </xf>
    <xf numFmtId="0" fontId="1" fillId="3" borderId="0" xfId="3" applyFont="1" applyFill="1" applyProtection="1">
      <protection locked="0"/>
    </xf>
    <xf numFmtId="0" fontId="4" fillId="3" borderId="0" xfId="3" applyFill="1"/>
    <xf numFmtId="0" fontId="17" fillId="3" borderId="0" xfId="5" applyFont="1" applyFill="1" applyBorder="1"/>
    <xf numFmtId="0" fontId="18" fillId="3" borderId="0" xfId="4" applyFont="1" applyFill="1" applyBorder="1"/>
    <xf numFmtId="166" fontId="5" fillId="3" borderId="0" xfId="1" applyNumberFormat="1" applyFont="1" applyFill="1"/>
    <xf numFmtId="166" fontId="6" fillId="3" borderId="0" xfId="1" applyNumberFormat="1" applyFont="1" applyFill="1" applyAlignment="1">
      <alignment horizontal="center"/>
    </xf>
    <xf numFmtId="0" fontId="7" fillId="3" borderId="0" xfId="0" applyFont="1" applyFill="1" applyAlignment="1">
      <alignment vertical="center"/>
    </xf>
    <xf numFmtId="0" fontId="8" fillId="3" borderId="0" xfId="0" applyFont="1" applyFill="1"/>
    <xf numFmtId="0" fontId="2" fillId="3" borderId="0" xfId="0" applyFont="1" applyFill="1" applyAlignment="1">
      <alignment horizontal="centerContinuous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166" fontId="19" fillId="3" borderId="0" xfId="1" applyNumberFormat="1" applyFont="1" applyFill="1" applyAlignment="1">
      <alignment horizontal="center"/>
    </xf>
    <xf numFmtId="179" fontId="19" fillId="3" borderId="0" xfId="6" applyNumberFormat="1" applyFont="1" applyFill="1" applyAlignment="1">
      <alignment horizontal="center"/>
    </xf>
    <xf numFmtId="0" fontId="2" fillId="3" borderId="0" xfId="0" applyFont="1" applyFill="1" applyAlignment="1">
      <alignment vertical="center"/>
    </xf>
    <xf numFmtId="166" fontId="19" fillId="3" borderId="1" xfId="1" applyNumberFormat="1" applyFont="1" applyFill="1" applyBorder="1" applyAlignment="1">
      <alignment horizontal="center"/>
    </xf>
    <xf numFmtId="168" fontId="19" fillId="3" borderId="0" xfId="1" applyNumberFormat="1" applyFont="1" applyFill="1" applyAlignment="1">
      <alignment horizontal="center"/>
    </xf>
    <xf numFmtId="37" fontId="19" fillId="3" borderId="0" xfId="1" applyNumberFormat="1" applyFont="1" applyFill="1" applyAlignment="1">
      <alignment horizontal="center"/>
    </xf>
    <xf numFmtId="187" fontId="41" fillId="3" borderId="0" xfId="0" applyNumberFormat="1" applyFont="1" applyFill="1" applyAlignment="1">
      <alignment horizontal="center"/>
    </xf>
    <xf numFmtId="173" fontId="22" fillId="0" borderId="0" xfId="11" applyNumberFormat="1"/>
    <xf numFmtId="9" fontId="22" fillId="0" borderId="0" xfId="6" applyFont="1"/>
    <xf numFmtId="3" fontId="39" fillId="0" borderId="0" xfId="12" applyNumberFormat="1" applyAlignment="1">
      <alignment wrapText="1"/>
    </xf>
    <xf numFmtId="165" fontId="27" fillId="0" borderId="0" xfId="11" applyNumberFormat="1" applyFont="1" applyAlignment="1">
      <alignment horizontal="left" indent="1"/>
    </xf>
    <xf numFmtId="165" fontId="22" fillId="0" borderId="0" xfId="11" applyNumberFormat="1"/>
    <xf numFmtId="173" fontId="27" fillId="0" borderId="0" xfId="11" applyNumberFormat="1" applyFont="1" applyAlignment="1">
      <alignment horizontal="left" indent="1"/>
    </xf>
    <xf numFmtId="188" fontId="41" fillId="3" borderId="5" xfId="0" applyNumberFormat="1" applyFont="1" applyFill="1" applyBorder="1" applyAlignment="1">
      <alignment horizontal="center"/>
    </xf>
    <xf numFmtId="189" fontId="31" fillId="0" borderId="0" xfId="0" applyNumberFormat="1" applyFont="1"/>
    <xf numFmtId="189" fontId="22" fillId="0" borderId="0" xfId="11" applyNumberFormat="1"/>
    <xf numFmtId="9" fontId="39" fillId="0" borderId="0" xfId="6" applyFont="1" applyAlignment="1">
      <alignment wrapText="1"/>
    </xf>
    <xf numFmtId="9" fontId="19" fillId="3" borderId="0" xfId="6" applyFont="1" applyFill="1" applyAlignment="1">
      <alignment horizontal="center"/>
    </xf>
    <xf numFmtId="9" fontId="20" fillId="0" borderId="0" xfId="6" applyFont="1" applyAlignment="1"/>
    <xf numFmtId="175" fontId="22" fillId="0" borderId="0" xfId="11" applyNumberFormat="1"/>
    <xf numFmtId="3" fontId="29" fillId="0" borderId="0" xfId="11" applyNumberFormat="1" applyFont="1"/>
    <xf numFmtId="9" fontId="29" fillId="0" borderId="0" xfId="6" applyFont="1" applyAlignment="1">
      <alignment horizontal="left" indent="1"/>
    </xf>
    <xf numFmtId="190" fontId="31" fillId="5" borderId="5" xfId="11" applyNumberFormat="1" applyFont="1" applyFill="1" applyBorder="1" applyAlignment="1">
      <alignment horizontal="center"/>
    </xf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173" fontId="49" fillId="0" borderId="0" xfId="0" applyNumberFormat="1" applyFont="1"/>
    <xf numFmtId="0" fontId="50" fillId="0" borderId="0" xfId="0" applyFont="1" applyAlignment="1">
      <alignment horizontal="center"/>
    </xf>
    <xf numFmtId="173" fontId="51" fillId="0" borderId="0" xfId="0" applyNumberFormat="1" applyFont="1"/>
    <xf numFmtId="173" fontId="47" fillId="0" borderId="0" xfId="0" applyNumberFormat="1" applyFont="1"/>
    <xf numFmtId="175" fontId="51" fillId="0" borderId="0" xfId="0" applyNumberFormat="1" applyFont="1"/>
    <xf numFmtId="191" fontId="31" fillId="0" borderId="0" xfId="0" applyNumberFormat="1" applyFont="1"/>
    <xf numFmtId="191" fontId="30" fillId="0" borderId="0" xfId="0" applyNumberFormat="1" applyFont="1"/>
    <xf numFmtId="188" fontId="41" fillId="3" borderId="0" xfId="0" applyNumberFormat="1" applyFont="1" applyFill="1" applyAlignment="1">
      <alignment horizontal="center"/>
    </xf>
    <xf numFmtId="166" fontId="19" fillId="3" borderId="0" xfId="1" applyNumberFormat="1" applyFont="1" applyFill="1" applyAlignment="1">
      <alignment horizontal="center"/>
    </xf>
    <xf numFmtId="0" fontId="22" fillId="0" borderId="0" xfId="7" applyFont="1" applyAlignment="1">
      <alignment horizontal="left" wrapText="1"/>
    </xf>
    <xf numFmtId="0" fontId="20" fillId="0" borderId="0" xfId="7"/>
  </cellXfs>
  <cellStyles count="16">
    <cellStyle name="Comma" xfId="1" builtinId="3"/>
    <cellStyle name="Comma 2" xfId="9" xr:uid="{00000000-0005-0000-0000-000001000000}"/>
    <cellStyle name="Comma 2 2" xfId="15" xr:uid="{00000000-0005-0000-0000-000002000000}"/>
    <cellStyle name="Currency 2" xfId="13" xr:uid="{00000000-0005-0000-0000-000003000000}"/>
    <cellStyle name="Hyperlink" xfId="5" builtinId="8"/>
    <cellStyle name="Hyperlink 2 2" xfId="4" xr:uid="{00000000-0005-0000-0000-000005000000}"/>
    <cellStyle name="Hyperlink 3" xfId="2" xr:uid="{00000000-0005-0000-0000-000006000000}"/>
    <cellStyle name="Normal" xfId="0" builtinId="0"/>
    <cellStyle name="Normal 2" xfId="7" xr:uid="{00000000-0005-0000-0000-000008000000}"/>
    <cellStyle name="Normal 2 2" xfId="11" xr:uid="{00000000-0005-0000-0000-000009000000}"/>
    <cellStyle name="Normal 2 2 2" xfId="3" xr:uid="{00000000-0005-0000-0000-00000A000000}"/>
    <cellStyle name="Normal 3" xfId="8" xr:uid="{00000000-0005-0000-0000-00000B000000}"/>
    <cellStyle name="Normal 3 2" xfId="12" xr:uid="{00000000-0005-0000-0000-00000C000000}"/>
    <cellStyle name="Note" xfId="10" builtinId="10"/>
    <cellStyle name="Percent" xfId="6" builtinId="5"/>
    <cellStyle name="Percent 2" xfId="14" xr:uid="{00000000-0005-0000-0000-00000F000000}"/>
  </cellStyles>
  <dxfs count="0"/>
  <tableStyles count="0" defaultTableStyle="TableStyleMedium2" defaultPivotStyle="PivotStyleLight16"/>
  <colors>
    <mruColors>
      <color rgb="FF132E5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588612</xdr:colOff>
      <xdr:row>7</xdr:row>
      <xdr:rowOff>1</xdr:rowOff>
    </xdr:from>
    <xdr:to>
      <xdr:col>9</xdr:col>
      <xdr:colOff>492443</xdr:colOff>
      <xdr:row>21</xdr:row>
      <xdr:rowOff>232886</xdr:rowOff>
    </xdr:to>
    <xdr:pic>
      <xdr:nvPicPr>
        <xdr:cNvPr id="3" name="Picture 2" descr="No photo description available.">
          <a:extLst>
            <a:ext uri="{FF2B5EF4-FFF2-40B4-BE49-F238E27FC236}">
              <a16:creationId xmlns:a16="http://schemas.microsoft.com/office/drawing/2014/main" id="{A689F5E0-7793-4990-B54C-8C499B394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2987" y="1666876"/>
          <a:ext cx="3654300" cy="368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654844</xdr:colOff>
      <xdr:row>7</xdr:row>
      <xdr:rowOff>11907</xdr:rowOff>
    </xdr:from>
    <xdr:to>
      <xdr:col>14</xdr:col>
      <xdr:colOff>610836</xdr:colOff>
      <xdr:row>21</xdr:row>
      <xdr:rowOff>214312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8F7143-CF4E-4A14-81FE-244003ADE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9688" y="1678782"/>
          <a:ext cx="3706461" cy="36552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316230</xdr:colOff>
      <xdr:row>2</xdr:row>
      <xdr:rowOff>51435</xdr:rowOff>
    </xdr:from>
    <xdr:to>
      <xdr:col>17</xdr:col>
      <xdr:colOff>142876</xdr:colOff>
      <xdr:row>7</xdr:row>
      <xdr:rowOff>147256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3E9424-04B9-446B-BFA3-43410857B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4810" y="417195"/>
          <a:ext cx="1655446" cy="10102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316230</xdr:colOff>
      <xdr:row>2</xdr:row>
      <xdr:rowOff>51435</xdr:rowOff>
    </xdr:from>
    <xdr:to>
      <xdr:col>17</xdr:col>
      <xdr:colOff>142876</xdr:colOff>
      <xdr:row>7</xdr:row>
      <xdr:rowOff>147256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8890" y="417195"/>
          <a:ext cx="1655446" cy="1010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831850</xdr:colOff>
      <xdr:row>14</xdr:row>
      <xdr:rowOff>114300</xdr:rowOff>
    </xdr:from>
    <xdr:to>
      <xdr:col>1</xdr:col>
      <xdr:colOff>2152650</xdr:colOff>
      <xdr:row>21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31D7A4-B293-47C2-A49D-B71773D0F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4150" y="3498850"/>
          <a:ext cx="1320800" cy="1320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104774</xdr:colOff>
      <xdr:row>1</xdr:row>
      <xdr:rowOff>136556</xdr:rowOff>
    </xdr:from>
    <xdr:to>
      <xdr:col>10</xdr:col>
      <xdr:colOff>240791</xdr:colOff>
      <xdr:row>8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6024" y="298481"/>
          <a:ext cx="1907667" cy="12350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857250</xdr:colOff>
      <xdr:row>12</xdr:row>
      <xdr:rowOff>76200</xdr:rowOff>
    </xdr:from>
    <xdr:to>
      <xdr:col>1</xdr:col>
      <xdr:colOff>2174100</xdr:colOff>
      <xdr:row>19</xdr:row>
      <xdr:rowOff>97397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C3CBB0-87F4-47EC-A3A6-D3E417CE6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9550" y="3035300"/>
          <a:ext cx="1316850" cy="13229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914400</xdr:colOff>
      <xdr:row>53</xdr:row>
      <xdr:rowOff>9525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059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2062480</xdr:colOff>
      <xdr:row>13</xdr:row>
      <xdr:rowOff>91440</xdr:rowOff>
    </xdr:from>
    <xdr:to>
      <xdr:col>1</xdr:col>
      <xdr:colOff>2946400</xdr:colOff>
      <xdr:row>19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60F221-07EF-4DEC-9FE3-12A4F2076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4920" y="2001520"/>
          <a:ext cx="883920" cy="8839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914400</xdr:colOff>
      <xdr:row>59</xdr:row>
      <xdr:rowOff>9525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457200" y="381000"/>
          <a:ext cx="111442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1943100</xdr:colOff>
      <xdr:row>18</xdr:row>
      <xdr:rowOff>133350</xdr:rowOff>
    </xdr:from>
    <xdr:to>
      <xdr:col>1</xdr:col>
      <xdr:colOff>3048000</xdr:colOff>
      <xdr:row>24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A12ED6-90BF-4523-8C7D-F037D823A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0" y="3397250"/>
          <a:ext cx="1104900" cy="1104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914400</xdr:colOff>
      <xdr:row>65</xdr:row>
      <xdr:rowOff>9525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457200" y="381000"/>
          <a:ext cx="11239500" cy="1082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1911927</xdr:colOff>
      <xdr:row>24</xdr:row>
      <xdr:rowOff>48185</xdr:rowOff>
    </xdr:from>
    <xdr:to>
      <xdr:col>1</xdr:col>
      <xdr:colOff>3070817</xdr:colOff>
      <xdr:row>30</xdr:row>
      <xdr:rowOff>70477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1E426E-144F-442C-9D6B-C4AD73BB0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2982" y="4266894"/>
          <a:ext cx="1158890" cy="116529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175261</xdr:colOff>
      <xdr:row>0</xdr:row>
      <xdr:rowOff>45720</xdr:rowOff>
    </xdr:from>
    <xdr:to>
      <xdr:col>5</xdr:col>
      <xdr:colOff>868681</xdr:colOff>
      <xdr:row>5</xdr:row>
      <xdr:rowOff>36499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B1596-D4C4-48BF-A276-009C6EBAA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2981" y="45720"/>
          <a:ext cx="2407920" cy="9204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140473</xdr:colOff>
      <xdr:row>1</xdr:row>
      <xdr:rowOff>104775</xdr:rowOff>
    </xdr:from>
    <xdr:to>
      <xdr:col>7</xdr:col>
      <xdr:colOff>193167</xdr:colOff>
      <xdr:row>7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1723" y="266700"/>
          <a:ext cx="1824344" cy="1181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%20Chikhladze/Desktop/INVESTO%20-%20Completed%20projects/GOTRIP/EXPAGO/GOTRIP%20DCF%20&amp;%20VC%20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ICKSHIFFER%20Start-Up%20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CF valuation"/>
      <sheetName val="Sheet1"/>
      <sheetName val="Venture Capital Method  "/>
      <sheetName val="requesting amount "/>
    </sheetNames>
    <sheetDataSet>
      <sheetData sheetId="0">
        <row r="8">
          <cell r="E8" t="str">
            <v>GOTRIP</v>
          </cell>
          <cell r="K8">
            <v>0.15</v>
          </cell>
        </row>
        <row r="9">
          <cell r="K9">
            <v>0.5</v>
          </cell>
        </row>
        <row r="13">
          <cell r="F13">
            <v>5.5</v>
          </cell>
          <cell r="K13">
            <v>0.3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IQHiddenCacheSheet"/>
      <sheetName val="Cover Page"/>
      <sheetName val="Valuation "/>
      <sheetName val="Investment Offer"/>
      <sheetName val="Comparable Analysis Method"/>
      <sheetName val="Berkus Method"/>
      <sheetName val="Scorecard Method"/>
      <sheetName val="Risk Summation Method"/>
      <sheetName val=" DCF "/>
      <sheetName val="Venture Capital Method "/>
      <sheetName val="Returns Analysis "/>
    </sheetNames>
    <sheetDataSet>
      <sheetData sheetId="0"/>
      <sheetData sheetId="1"/>
      <sheetData sheetId="2"/>
      <sheetData sheetId="3">
        <row r="8">
          <cell r="C8">
            <v>4.0465339227045496E-2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esto.g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/>
  </sheetViews>
  <sheetFormatPr defaultRowHeight="14.4" x14ac:dyDescent="0.3"/>
  <sheetData>
    <row r="1" spans="1:15" x14ac:dyDescent="0.3">
      <c r="A1">
        <v>15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/>
  </sheetPr>
  <dimension ref="B2:F31"/>
  <sheetViews>
    <sheetView showGridLines="0" workbookViewId="0">
      <selection activeCell="C10" sqref="C10"/>
    </sheetView>
  </sheetViews>
  <sheetFormatPr defaultColWidth="12.6640625" defaultRowHeight="12.75" customHeight="1" x14ac:dyDescent="0.25"/>
  <cols>
    <col min="1" max="1" width="12.6640625" style="48"/>
    <col min="2" max="2" width="57.44140625" style="48" bestFit="1" customWidth="1"/>
    <col min="3" max="3" width="14.33203125" style="48" bestFit="1" customWidth="1"/>
    <col min="4" max="4" width="12.6640625" style="48"/>
    <col min="5" max="5" width="26.33203125" style="48" customWidth="1"/>
    <col min="6" max="6" width="13.88671875" style="48" customWidth="1"/>
    <col min="7" max="16384" width="12.6640625" style="48"/>
  </cols>
  <sheetData>
    <row r="2" spans="2:6" ht="15" customHeight="1" x14ac:dyDescent="0.4">
      <c r="B2" s="36" t="s">
        <v>89</v>
      </c>
      <c r="C2" s="36"/>
    </row>
    <row r="3" spans="2:6" ht="15" customHeight="1" x14ac:dyDescent="0.25">
      <c r="B3" s="49"/>
    </row>
    <row r="4" spans="2:6" ht="14.25" customHeight="1" x14ac:dyDescent="0.3">
      <c r="E4" s="2" t="s">
        <v>20</v>
      </c>
    </row>
    <row r="5" spans="2:6" ht="15" customHeight="1" x14ac:dyDescent="0.3">
      <c r="B5" s="47" t="s">
        <v>183</v>
      </c>
      <c r="C5" s="28">
        <f>' DCF '!K90</f>
        <v>20363774.557950005</v>
      </c>
      <c r="E5" s="18"/>
    </row>
    <row r="6" spans="2:6" ht="15" customHeight="1" x14ac:dyDescent="0.3">
      <c r="B6" s="47" t="s">
        <v>184</v>
      </c>
      <c r="C6" s="40">
        <v>10</v>
      </c>
      <c r="E6" s="15" t="s">
        <v>19</v>
      </c>
    </row>
    <row r="7" spans="2:6" ht="15" customHeight="1" x14ac:dyDescent="0.3">
      <c r="B7" s="50" t="s">
        <v>74</v>
      </c>
      <c r="C7" s="28">
        <f>C5*C6</f>
        <v>203637745.57950005</v>
      </c>
    </row>
    <row r="8" spans="2:6" ht="15" customHeight="1" x14ac:dyDescent="0.3">
      <c r="B8" s="50" t="s">
        <v>75</v>
      </c>
      <c r="C8" s="28">
        <v>5</v>
      </c>
    </row>
    <row r="9" spans="2:6" ht="15" customHeight="1" x14ac:dyDescent="0.3">
      <c r="B9" s="50" t="s">
        <v>76</v>
      </c>
      <c r="C9" s="41">
        <v>0.6</v>
      </c>
    </row>
    <row r="10" spans="2:6" ht="15" customHeight="1" x14ac:dyDescent="0.3">
      <c r="B10" s="50" t="s">
        <v>77</v>
      </c>
      <c r="C10" s="28">
        <f>' DCF '!G235</f>
        <v>798700</v>
      </c>
      <c r="E10" s="90"/>
    </row>
    <row r="11" spans="2:6" ht="15" customHeight="1" x14ac:dyDescent="0.3">
      <c r="B11" s="50" t="s">
        <v>78</v>
      </c>
      <c r="C11" s="28">
        <v>100000</v>
      </c>
    </row>
    <row r="12" spans="2:6" ht="15" customHeight="1" x14ac:dyDescent="0.3">
      <c r="B12" s="50" t="s">
        <v>79</v>
      </c>
      <c r="C12" s="28">
        <f>C7/(1+C9)^C8</f>
        <v>19420408.781003945</v>
      </c>
    </row>
    <row r="13" spans="2:6" ht="15" customHeight="1" x14ac:dyDescent="0.3">
      <c r="B13" s="50" t="s">
        <v>80</v>
      </c>
      <c r="C13" s="28">
        <f>C12-C10</f>
        <v>18621708.781003945</v>
      </c>
      <c r="F13" s="135"/>
    </row>
    <row r="14" spans="2:6" ht="15" customHeight="1" x14ac:dyDescent="0.3">
      <c r="B14" s="50" t="s">
        <v>81</v>
      </c>
      <c r="C14" s="41">
        <f>C10/C12</f>
        <v>4.112683769979382E-2</v>
      </c>
    </row>
    <row r="15" spans="2:6" ht="15" customHeight="1" x14ac:dyDescent="0.3">
      <c r="B15" s="50" t="s">
        <v>82</v>
      </c>
      <c r="C15" s="41">
        <f>1-C14</f>
        <v>0.95887316230020614</v>
      </c>
    </row>
    <row r="16" spans="2:6" ht="15" customHeight="1" x14ac:dyDescent="0.3">
      <c r="B16" s="50" t="s">
        <v>83</v>
      </c>
      <c r="C16" s="28">
        <f>C11*(C14/(1-C14))</f>
        <v>4289.0800698953899</v>
      </c>
    </row>
    <row r="17" spans="2:5" ht="15" customHeight="1" x14ac:dyDescent="0.3">
      <c r="B17" s="50" t="s">
        <v>84</v>
      </c>
      <c r="C17" s="28">
        <f>C10/C16</f>
        <v>186.21708781003946</v>
      </c>
    </row>
    <row r="18" spans="2:5" ht="15" customHeight="1" x14ac:dyDescent="0.25">
      <c r="B18" s="50"/>
    </row>
    <row r="19" spans="2:5" ht="15" customHeight="1" x14ac:dyDescent="0.25">
      <c r="B19" s="47"/>
      <c r="C19" s="90"/>
    </row>
    <row r="20" spans="2:5" ht="15" customHeight="1" x14ac:dyDescent="0.25"/>
    <row r="21" spans="2:5" ht="15" customHeight="1" x14ac:dyDescent="0.25">
      <c r="C21" s="90"/>
    </row>
    <row r="22" spans="2:5" ht="15" customHeight="1" x14ac:dyDescent="0.25">
      <c r="E22" s="90"/>
    </row>
    <row r="23" spans="2:5" ht="15" customHeight="1" x14ac:dyDescent="0.25"/>
    <row r="24" spans="2:5" ht="15" customHeight="1" x14ac:dyDescent="0.25"/>
    <row r="25" spans="2:5" ht="15" customHeight="1" x14ac:dyDescent="0.25"/>
    <row r="26" spans="2:5" ht="15" customHeight="1" x14ac:dyDescent="0.25"/>
    <row r="27" spans="2:5" ht="15" customHeight="1" x14ac:dyDescent="0.25"/>
    <row r="28" spans="2:5" ht="15" customHeight="1" x14ac:dyDescent="0.25"/>
    <row r="29" spans="2:5" ht="15" customHeight="1" x14ac:dyDescent="0.25"/>
    <row r="30" spans="2:5" ht="15" customHeight="1" x14ac:dyDescent="0.25"/>
    <row r="31" spans="2:5" ht="15" customHeight="1" x14ac:dyDescent="0.25">
      <c r="B31" s="51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EB1A-F1D4-44C1-89B8-C179B51DBF8A}">
  <sheetPr>
    <pageSetUpPr autoPageBreaks="0"/>
  </sheetPr>
  <dimension ref="B2:L341"/>
  <sheetViews>
    <sheetView showGridLines="0" topLeftCell="A7" zoomScale="120" zoomScaleNormal="120" zoomScaleSheetLayoutView="85" workbookViewId="0">
      <selection activeCell="F28" sqref="F28"/>
    </sheetView>
  </sheetViews>
  <sheetFormatPr defaultColWidth="8.88671875" defaultRowHeight="14.4" x14ac:dyDescent="0.3"/>
  <cols>
    <col min="1" max="1" width="25.44140625" style="61" customWidth="1"/>
    <col min="2" max="2" width="2.6640625" style="61" customWidth="1"/>
    <col min="3" max="3" width="20.6640625" style="61" customWidth="1"/>
    <col min="4" max="4" width="20.6640625" style="62" customWidth="1"/>
    <col min="5" max="5" width="10.6640625" style="62" customWidth="1"/>
    <col min="6" max="6" width="11.88671875" style="61" customWidth="1"/>
    <col min="7" max="10" width="10.6640625" style="61" customWidth="1"/>
    <col min="11" max="11" width="12.5546875" style="61" bestFit="1" customWidth="1"/>
    <col min="12" max="12" width="2.6640625" style="61" customWidth="1"/>
    <col min="13" max="13" width="8.88671875" style="61" customWidth="1"/>
    <col min="14" max="16384" width="8.88671875" style="61"/>
  </cols>
  <sheetData>
    <row r="2" spans="2:12" x14ac:dyDescent="0.3">
      <c r="B2" s="60"/>
    </row>
    <row r="5" spans="2:12" x14ac:dyDescent="0.3">
      <c r="D5" s="61"/>
    </row>
    <row r="6" spans="2:12" x14ac:dyDescent="0.3">
      <c r="D6" s="61"/>
    </row>
    <row r="7" spans="2:12" x14ac:dyDescent="0.3">
      <c r="B7" s="63"/>
      <c r="C7" s="63"/>
      <c r="D7" s="63"/>
      <c r="E7" s="63"/>
      <c r="F7" s="63"/>
      <c r="G7" s="63" t="s">
        <v>57</v>
      </c>
      <c r="H7" s="63"/>
      <c r="I7" s="63"/>
      <c r="J7" s="63"/>
      <c r="K7" s="63"/>
    </row>
    <row r="8" spans="2:12" x14ac:dyDescent="0.3">
      <c r="B8" s="63" t="s">
        <v>118</v>
      </c>
      <c r="C8" s="63"/>
      <c r="D8" s="63"/>
      <c r="E8" s="44" t="s">
        <v>119</v>
      </c>
      <c r="F8" s="46">
        <v>2023</v>
      </c>
      <c r="G8" s="46">
        <v>2023</v>
      </c>
      <c r="H8" s="46">
        <v>2024</v>
      </c>
      <c r="I8" s="46">
        <v>2025</v>
      </c>
      <c r="J8" s="46">
        <v>2026</v>
      </c>
      <c r="K8" s="46">
        <v>2027</v>
      </c>
    </row>
    <row r="9" spans="2:12" x14ac:dyDescent="0.3">
      <c r="D9" s="61"/>
      <c r="L9" s="19"/>
    </row>
    <row r="10" spans="2:12" x14ac:dyDescent="0.3">
      <c r="C10" s="20" t="s">
        <v>189</v>
      </c>
      <c r="D10" s="61"/>
      <c r="E10" s="64" t="s">
        <v>122</v>
      </c>
      <c r="G10" s="66"/>
      <c r="H10" s="66"/>
      <c r="I10" s="66"/>
      <c r="J10" s="66"/>
      <c r="K10" s="67">
        <f>'Venture Capital Method '!C6</f>
        <v>10</v>
      </c>
      <c r="L10" s="19"/>
    </row>
    <row r="11" spans="2:12" x14ac:dyDescent="0.3">
      <c r="C11" s="20" t="s">
        <v>190</v>
      </c>
      <c r="D11" s="61"/>
      <c r="E11" s="64" t="s">
        <v>132</v>
      </c>
      <c r="F11" s="68"/>
      <c r="G11" s="69"/>
      <c r="H11" s="69"/>
      <c r="I11" s="69"/>
      <c r="J11" s="69"/>
      <c r="K11" s="85">
        <f>'Venture Capital Method '!C5</f>
        <v>20363774.557950005</v>
      </c>
      <c r="L11" s="19"/>
    </row>
    <row r="12" spans="2:12" x14ac:dyDescent="0.3">
      <c r="C12" s="20"/>
      <c r="D12" s="61"/>
      <c r="E12" s="64"/>
      <c r="G12" s="69"/>
      <c r="H12" s="69"/>
      <c r="I12" s="69"/>
      <c r="J12" s="69"/>
      <c r="K12" s="69"/>
      <c r="L12" s="19"/>
    </row>
    <row r="13" spans="2:12" x14ac:dyDescent="0.3">
      <c r="C13" s="60" t="s">
        <v>125</v>
      </c>
      <c r="D13" s="61"/>
      <c r="E13" s="64" t="s">
        <v>132</v>
      </c>
      <c r="G13" s="70"/>
      <c r="H13" s="70"/>
      <c r="I13" s="70"/>
      <c r="J13" s="70"/>
      <c r="K13" s="59">
        <f>+K10*K11</f>
        <v>203637745.57950005</v>
      </c>
      <c r="L13" s="19"/>
    </row>
    <row r="14" spans="2:12" x14ac:dyDescent="0.3">
      <c r="C14" s="21" t="s">
        <v>133</v>
      </c>
      <c r="D14" s="71"/>
      <c r="E14" s="72" t="s">
        <v>132</v>
      </c>
      <c r="F14" s="71"/>
      <c r="G14" s="73"/>
      <c r="H14" s="73"/>
      <c r="I14" s="73"/>
      <c r="J14" s="73"/>
      <c r="K14" s="74">
        <v>0</v>
      </c>
      <c r="L14" s="19"/>
    </row>
    <row r="15" spans="2:12" x14ac:dyDescent="0.3">
      <c r="C15" s="75" t="s">
        <v>126</v>
      </c>
      <c r="D15" s="61"/>
      <c r="E15" s="64" t="s">
        <v>132</v>
      </c>
      <c r="G15" s="70"/>
      <c r="H15" s="70"/>
      <c r="I15" s="70"/>
      <c r="J15" s="70"/>
      <c r="K15" s="28">
        <f>SUM(K13:K14)</f>
        <v>203637745.57950005</v>
      </c>
      <c r="L15" s="19"/>
    </row>
    <row r="16" spans="2:12" x14ac:dyDescent="0.3">
      <c r="C16" s="76" t="s">
        <v>127</v>
      </c>
      <c r="D16" s="61"/>
      <c r="E16" s="64" t="s">
        <v>132</v>
      </c>
      <c r="G16" s="77"/>
      <c r="H16" s="77"/>
      <c r="I16" s="77"/>
      <c r="J16" s="77"/>
      <c r="K16" s="28">
        <f>+K15</f>
        <v>203637745.57950005</v>
      </c>
      <c r="L16" s="19"/>
    </row>
    <row r="17" spans="3:12" x14ac:dyDescent="0.3">
      <c r="D17" s="61"/>
      <c r="L17" s="19"/>
    </row>
    <row r="18" spans="3:12" x14ac:dyDescent="0.3">
      <c r="C18" s="75" t="s">
        <v>128</v>
      </c>
      <c r="D18" s="61"/>
      <c r="L18" s="19"/>
    </row>
    <row r="19" spans="3:12" x14ac:dyDescent="0.3">
      <c r="C19" s="78" t="s">
        <v>129</v>
      </c>
      <c r="D19" s="61"/>
      <c r="L19" s="19"/>
    </row>
    <row r="20" spans="3:12" x14ac:dyDescent="0.3">
      <c r="C20" s="32" t="s">
        <v>130</v>
      </c>
      <c r="D20" s="61"/>
      <c r="E20" s="64" t="s">
        <v>132</v>
      </c>
      <c r="F20" s="28">
        <f>-'Venture Capital Method '!C10</f>
        <v>-798700</v>
      </c>
      <c r="L20" s="19"/>
    </row>
    <row r="21" spans="3:12" x14ac:dyDescent="0.3">
      <c r="C21" s="32" t="s">
        <v>131</v>
      </c>
      <c r="D21" s="61"/>
      <c r="E21" s="64" t="s">
        <v>132</v>
      </c>
      <c r="G21" s="28">
        <f>' DCF '!G251*'Investment Offer'!$C$8</f>
        <v>262159.97440872376</v>
      </c>
      <c r="H21" s="28">
        <f>' DCF '!H251*'Investment Offer'!$C$8</f>
        <v>179388.13799794344</v>
      </c>
      <c r="I21" s="28">
        <f>' DCF '!I251*'Investment Offer'!$C$8</f>
        <v>456379.56053963053</v>
      </c>
      <c r="J21" s="28">
        <f>' DCF '!J251*'Investment Offer'!$C$8</f>
        <v>739437.83906707156</v>
      </c>
      <c r="K21" s="28">
        <f>' DCF '!K251*'Investment Offer'!$C$8</f>
        <v>977805.39767557092</v>
      </c>
      <c r="L21" s="19"/>
    </row>
    <row r="22" spans="3:12" x14ac:dyDescent="0.3">
      <c r="C22" s="79" t="s">
        <v>127</v>
      </c>
      <c r="D22" s="71"/>
      <c r="E22" s="72" t="s">
        <v>132</v>
      </c>
      <c r="F22" s="71"/>
      <c r="G22" s="80"/>
      <c r="H22" s="80"/>
      <c r="I22" s="80"/>
      <c r="J22" s="80"/>
      <c r="K22" s="89">
        <f>K16*'[2]Investment Offer'!$C$8</f>
        <v>8240270.4543052539</v>
      </c>
      <c r="L22" s="19"/>
    </row>
    <row r="23" spans="3:12" x14ac:dyDescent="0.3">
      <c r="C23" s="81" t="s">
        <v>120</v>
      </c>
      <c r="D23" s="61"/>
      <c r="E23" s="64" t="s">
        <v>132</v>
      </c>
      <c r="F23" s="28">
        <f t="shared" ref="F23:K23" si="0">SUM(F20:F22)</f>
        <v>-798700</v>
      </c>
      <c r="G23" s="28">
        <f>SUM(G20:G22)</f>
        <v>262159.97440872376</v>
      </c>
      <c r="H23" s="28">
        <f t="shared" si="0"/>
        <v>179388.13799794344</v>
      </c>
      <c r="I23" s="28">
        <f t="shared" si="0"/>
        <v>456379.56053963053</v>
      </c>
      <c r="J23" s="28">
        <f t="shared" si="0"/>
        <v>739437.83906707156</v>
      </c>
      <c r="K23" s="28">
        <f t="shared" si="0"/>
        <v>9218075.851980824</v>
      </c>
      <c r="L23" s="19"/>
    </row>
    <row r="24" spans="3:12" x14ac:dyDescent="0.3">
      <c r="C24" s="81"/>
      <c r="D24" s="61"/>
      <c r="E24" s="64"/>
      <c r="F24" s="70"/>
      <c r="G24" s="70"/>
      <c r="H24" s="70"/>
      <c r="I24" s="70"/>
      <c r="J24" s="70"/>
      <c r="K24" s="70"/>
      <c r="L24" s="19"/>
    </row>
    <row r="25" spans="3:12" x14ac:dyDescent="0.3">
      <c r="C25" s="60" t="s">
        <v>121</v>
      </c>
      <c r="D25" s="61"/>
      <c r="E25" s="82" t="s">
        <v>122</v>
      </c>
      <c r="F25" s="148">
        <f>-SUMIF($F23:K23,"&gt;0",$F23:K23)/SUMIF($F23:K23,"&lt;=0",$F23:K23)</f>
        <v>13.591387710021525</v>
      </c>
      <c r="G25" s="65"/>
      <c r="H25" s="65"/>
      <c r="I25" s="65"/>
      <c r="J25" s="65"/>
      <c r="K25" s="65"/>
      <c r="L25" s="19"/>
    </row>
    <row r="26" spans="3:12" x14ac:dyDescent="0.3">
      <c r="C26" s="60" t="s">
        <v>123</v>
      </c>
      <c r="D26" s="61"/>
      <c r="E26" s="82" t="s">
        <v>60</v>
      </c>
      <c r="F26" s="87">
        <f>IRR(F23:K23)</f>
        <v>0.82251890332441824</v>
      </c>
      <c r="G26" s="84"/>
      <c r="H26" s="84"/>
      <c r="I26" s="84"/>
      <c r="J26" s="84"/>
      <c r="K26" s="83"/>
      <c r="L26" s="19"/>
    </row>
    <row r="27" spans="3:12" x14ac:dyDescent="0.3">
      <c r="L27" s="19"/>
    </row>
    <row r="81" spans="7:7" x14ac:dyDescent="0.3"/>
    <row r="82" spans="7:7" x14ac:dyDescent="0.3"/>
    <row r="84" spans="7:7" x14ac:dyDescent="0.3"/>
    <row r="85" spans="7:7" x14ac:dyDescent="0.3"/>
    <row r="87" spans="7:7" x14ac:dyDescent="0.3"/>
    <row r="92" spans="7:7" x14ac:dyDescent="0.3"/>
    <row r="340" spans="7:11" x14ac:dyDescent="0.3"/>
    <row r="341" spans="7:11" x14ac:dyDescent="0.3"/>
  </sheetData>
  <pageMargins left="0.7" right="0.7" top="0.75" bottom="0.75" header="0.3" footer="0.3"/>
  <pageSetup scale="48" orientation="portrait" r:id="rId1"/>
  <rowBreaks count="1" manualBreakCount="1">
    <brk id="4" max="22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B2:L341"/>
  <sheetViews>
    <sheetView showGridLines="0" topLeftCell="A7" zoomScale="120" zoomScaleNormal="120" zoomScaleSheetLayoutView="85" workbookViewId="0">
      <selection activeCell="G27" sqref="G27"/>
    </sheetView>
  </sheetViews>
  <sheetFormatPr defaultColWidth="8.88671875" defaultRowHeight="14.4" x14ac:dyDescent="0.3"/>
  <cols>
    <col min="1" max="1" width="25.44140625" style="61" customWidth="1"/>
    <col min="2" max="2" width="2.6640625" style="61" customWidth="1"/>
    <col min="3" max="3" width="20.6640625" style="61" customWidth="1"/>
    <col min="4" max="4" width="20.6640625" style="62" customWidth="1"/>
    <col min="5" max="5" width="10.6640625" style="62" customWidth="1"/>
    <col min="6" max="6" width="11.88671875" style="61" customWidth="1"/>
    <col min="7" max="10" width="10.6640625" style="61" customWidth="1"/>
    <col min="11" max="11" width="12.5546875" style="61" bestFit="1" customWidth="1"/>
    <col min="12" max="12" width="2.6640625" style="61" customWidth="1"/>
    <col min="13" max="13" width="8.88671875" style="61" customWidth="1"/>
    <col min="14" max="16384" width="8.88671875" style="61"/>
  </cols>
  <sheetData>
    <row r="2" spans="2:12" x14ac:dyDescent="0.3">
      <c r="B2" s="60"/>
    </row>
    <row r="5" spans="2:12" x14ac:dyDescent="0.3">
      <c r="D5" s="61"/>
    </row>
    <row r="6" spans="2:12" x14ac:dyDescent="0.3">
      <c r="D6" s="61"/>
    </row>
    <row r="7" spans="2:12" x14ac:dyDescent="0.3">
      <c r="B7" s="63"/>
      <c r="C7" s="63"/>
      <c r="D7" s="63"/>
      <c r="E7" s="63"/>
      <c r="F7" s="63"/>
      <c r="G7" s="63" t="s">
        <v>57</v>
      </c>
      <c r="H7" s="63"/>
      <c r="I7" s="63"/>
      <c r="J7" s="63"/>
      <c r="K7" s="63"/>
    </row>
    <row r="8" spans="2:12" x14ac:dyDescent="0.3">
      <c r="B8" s="63" t="s">
        <v>118</v>
      </c>
      <c r="C8" s="63"/>
      <c r="D8" s="63"/>
      <c r="E8" s="44" t="s">
        <v>119</v>
      </c>
      <c r="F8" s="46">
        <v>2021</v>
      </c>
      <c r="G8" s="46">
        <v>2022</v>
      </c>
      <c r="H8" s="46">
        <v>2023</v>
      </c>
      <c r="I8" s="46">
        <v>2024</v>
      </c>
      <c r="J8" s="46">
        <v>2025</v>
      </c>
      <c r="K8" s="46">
        <v>2026</v>
      </c>
    </row>
    <row r="9" spans="2:12" x14ac:dyDescent="0.3">
      <c r="D9" s="61"/>
      <c r="L9" s="19"/>
    </row>
    <row r="10" spans="2:12" x14ac:dyDescent="0.3">
      <c r="C10" s="20" t="s">
        <v>124</v>
      </c>
      <c r="D10" s="61"/>
      <c r="E10" s="64" t="s">
        <v>122</v>
      </c>
      <c r="G10" s="66"/>
      <c r="H10" s="66"/>
      <c r="I10" s="66"/>
      <c r="J10" s="66"/>
      <c r="K10" s="67">
        <v>5.12</v>
      </c>
      <c r="L10" s="19"/>
    </row>
    <row r="11" spans="2:12" x14ac:dyDescent="0.3">
      <c r="C11" s="20" t="s">
        <v>72</v>
      </c>
      <c r="D11" s="61"/>
      <c r="E11" s="64" t="s">
        <v>132</v>
      </c>
      <c r="F11" s="68"/>
      <c r="G11" s="69"/>
      <c r="H11" s="69"/>
      <c r="I11" s="69"/>
      <c r="J11" s="69"/>
      <c r="K11" s="85">
        <f>'Venture Capital Method '!C5</f>
        <v>20363774.557950005</v>
      </c>
      <c r="L11" s="19"/>
    </row>
    <row r="12" spans="2:12" x14ac:dyDescent="0.3">
      <c r="C12" s="20"/>
      <c r="D12" s="61"/>
      <c r="E12" s="64"/>
      <c r="G12" s="69"/>
      <c r="H12" s="69"/>
      <c r="I12" s="69"/>
      <c r="J12" s="69"/>
      <c r="K12" s="69"/>
      <c r="L12" s="19"/>
    </row>
    <row r="13" spans="2:12" x14ac:dyDescent="0.3">
      <c r="C13" s="60" t="s">
        <v>125</v>
      </c>
      <c r="D13" s="61"/>
      <c r="E13" s="64" t="s">
        <v>132</v>
      </c>
      <c r="G13" s="70"/>
      <c r="H13" s="70"/>
      <c r="I13" s="70"/>
      <c r="J13" s="70"/>
      <c r="K13" s="59">
        <f>+K10*K11</f>
        <v>104262525.73670402</v>
      </c>
      <c r="L13" s="19"/>
    </row>
    <row r="14" spans="2:12" x14ac:dyDescent="0.3">
      <c r="C14" s="21" t="s">
        <v>133</v>
      </c>
      <c r="D14" s="71"/>
      <c r="E14" s="72" t="s">
        <v>132</v>
      </c>
      <c r="F14" s="71"/>
      <c r="G14" s="73"/>
      <c r="H14" s="73"/>
      <c r="I14" s="73"/>
      <c r="J14" s="73"/>
      <c r="K14" s="74">
        <v>0</v>
      </c>
      <c r="L14" s="19"/>
    </row>
    <row r="15" spans="2:12" x14ac:dyDescent="0.3">
      <c r="C15" s="75" t="s">
        <v>126</v>
      </c>
      <c r="D15" s="61"/>
      <c r="E15" s="64" t="s">
        <v>132</v>
      </c>
      <c r="G15" s="70"/>
      <c r="H15" s="70"/>
      <c r="I15" s="70"/>
      <c r="J15" s="70"/>
      <c r="K15" s="28">
        <f>SUM(K13:K14)</f>
        <v>104262525.73670402</v>
      </c>
      <c r="L15" s="19"/>
    </row>
    <row r="16" spans="2:12" x14ac:dyDescent="0.3">
      <c r="C16" s="76" t="s">
        <v>127</v>
      </c>
      <c r="D16" s="61"/>
      <c r="E16" s="64" t="s">
        <v>132</v>
      </c>
      <c r="G16" s="77"/>
      <c r="H16" s="77"/>
      <c r="I16" s="77"/>
      <c r="J16" s="77"/>
      <c r="K16" s="28">
        <f>+K15</f>
        <v>104262525.73670402</v>
      </c>
      <c r="L16" s="19"/>
    </row>
    <row r="17" spans="3:12" x14ac:dyDescent="0.3">
      <c r="D17" s="61"/>
      <c r="L17" s="19"/>
    </row>
    <row r="18" spans="3:12" x14ac:dyDescent="0.3">
      <c r="C18" s="75" t="s">
        <v>128</v>
      </c>
      <c r="D18" s="61"/>
      <c r="L18" s="19"/>
    </row>
    <row r="19" spans="3:12" x14ac:dyDescent="0.3">
      <c r="C19" s="78" t="s">
        <v>129</v>
      </c>
      <c r="D19" s="61"/>
      <c r="L19" s="19"/>
    </row>
    <row r="20" spans="3:12" x14ac:dyDescent="0.3">
      <c r="C20" s="32" t="s">
        <v>130</v>
      </c>
      <c r="D20" s="61"/>
      <c r="E20" s="64" t="s">
        <v>132</v>
      </c>
      <c r="F20" s="28">
        <f>-'Venture Capital Method '!C10</f>
        <v>-798700</v>
      </c>
      <c r="L20" s="19"/>
    </row>
    <row r="21" spans="3:12" x14ac:dyDescent="0.3">
      <c r="C21" s="32" t="s">
        <v>131</v>
      </c>
      <c r="D21" s="61"/>
      <c r="E21" s="64" t="s">
        <v>132</v>
      </c>
      <c r="G21" s="28">
        <f>'Investment Offer'!$C$8*' DCF '!G251</f>
        <v>262159.97440872376</v>
      </c>
      <c r="H21" s="28">
        <f>'Investment Offer'!$C$8*' DCF '!H251</f>
        <v>179388.13799794344</v>
      </c>
      <c r="I21" s="28">
        <f>'Investment Offer'!$C$8*' DCF '!I251</f>
        <v>456379.56053963053</v>
      </c>
      <c r="J21" s="28">
        <f>'Investment Offer'!$C$8*' DCF '!J251</f>
        <v>739437.83906707156</v>
      </c>
      <c r="K21" s="28">
        <f>'Investment Offer'!$C$8*' DCF '!K251</f>
        <v>977805.39767557092</v>
      </c>
      <c r="L21" s="19"/>
    </row>
    <row r="22" spans="3:12" x14ac:dyDescent="0.3">
      <c r="C22" s="79" t="s">
        <v>127</v>
      </c>
      <c r="D22" s="71"/>
      <c r="E22" s="72" t="s">
        <v>132</v>
      </c>
      <c r="F22" s="71"/>
      <c r="G22" s="80"/>
      <c r="H22" s="80"/>
      <c r="I22" s="80"/>
      <c r="J22" s="80"/>
      <c r="K22" s="89">
        <f>K16*'Investment Offer'!$C$8</f>
        <v>6801887.8333102064</v>
      </c>
      <c r="L22" s="19"/>
    </row>
    <row r="23" spans="3:12" x14ac:dyDescent="0.3">
      <c r="C23" s="81" t="s">
        <v>120</v>
      </c>
      <c r="D23" s="61"/>
      <c r="E23" s="64" t="s">
        <v>132</v>
      </c>
      <c r="F23" s="28">
        <f t="shared" ref="F23:K23" si="0">SUM(F20:F22)</f>
        <v>-798700</v>
      </c>
      <c r="G23" s="28">
        <f>SUM(G20:G22)</f>
        <v>262159.97440872376</v>
      </c>
      <c r="H23" s="28">
        <f t="shared" si="0"/>
        <v>179388.13799794344</v>
      </c>
      <c r="I23" s="28">
        <f t="shared" si="0"/>
        <v>456379.56053963053</v>
      </c>
      <c r="J23" s="28">
        <f t="shared" si="0"/>
        <v>739437.83906707156</v>
      </c>
      <c r="K23" s="28">
        <f t="shared" si="0"/>
        <v>7779693.2309857775</v>
      </c>
      <c r="L23" s="19"/>
    </row>
    <row r="24" spans="3:12" x14ac:dyDescent="0.3">
      <c r="C24" s="81"/>
      <c r="D24" s="61"/>
      <c r="E24" s="64"/>
      <c r="F24" s="70"/>
      <c r="G24" s="70"/>
      <c r="H24" s="70"/>
      <c r="I24" s="70"/>
      <c r="J24" s="70"/>
      <c r="K24" s="70"/>
      <c r="L24" s="19"/>
    </row>
    <row r="25" spans="3:12" x14ac:dyDescent="0.3">
      <c r="C25" s="60" t="s">
        <v>121</v>
      </c>
      <c r="D25" s="61"/>
      <c r="E25" s="82" t="s">
        <v>122</v>
      </c>
      <c r="F25" s="88">
        <f>-SUMIF($F23:K23,"&gt;0",$F23:K23)/SUMIF($F23:K23,"&lt;=0",$F23:K23)</f>
        <v>11.790482963564727</v>
      </c>
      <c r="G25" s="65"/>
      <c r="H25" s="65"/>
      <c r="I25" s="65"/>
      <c r="J25" s="65"/>
      <c r="K25" s="65"/>
      <c r="L25" s="19"/>
    </row>
    <row r="26" spans="3:12" x14ac:dyDescent="0.3">
      <c r="C26" s="60" t="s">
        <v>123</v>
      </c>
      <c r="D26" s="61"/>
      <c r="E26" s="82" t="s">
        <v>60</v>
      </c>
      <c r="F26" s="87">
        <f>IRR(F23:K23)</f>
        <v>0.77711246901268582</v>
      </c>
      <c r="G26" s="84"/>
      <c r="H26" s="84"/>
      <c r="I26" s="84"/>
      <c r="J26" s="84"/>
      <c r="K26" s="83"/>
      <c r="L26" s="19"/>
    </row>
    <row r="27" spans="3:12" x14ac:dyDescent="0.3">
      <c r="L27" s="19"/>
    </row>
    <row r="81" spans="7:7" x14ac:dyDescent="0.3"/>
    <row r="82" spans="7:7" x14ac:dyDescent="0.3"/>
    <row r="84" spans="7:7" x14ac:dyDescent="0.3"/>
    <row r="85" spans="7:7" x14ac:dyDescent="0.3"/>
    <row r="87" spans="7:7" x14ac:dyDescent="0.3"/>
    <row r="92" spans="7:7" x14ac:dyDescent="0.3"/>
    <row r="340" spans="7:11" x14ac:dyDescent="0.3"/>
    <row r="341" spans="7:11" x14ac:dyDescent="0.3"/>
  </sheetData>
  <pageMargins left="0.7" right="0.7" top="0.75" bottom="0.75" header="0.3" footer="0.3"/>
  <pageSetup scale="48" orientation="portrait" r:id="rId1"/>
  <rowBreaks count="1" manualBreakCount="1">
    <brk id="4" max="22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C1:O39"/>
  <sheetViews>
    <sheetView showGridLines="0" tabSelected="1" topLeftCell="A4" zoomScale="64" zoomScaleNormal="64" workbookViewId="0">
      <selection activeCell="F31" sqref="F31"/>
    </sheetView>
  </sheetViews>
  <sheetFormatPr defaultColWidth="9.109375" defaultRowHeight="13.8" x14ac:dyDescent="0.25"/>
  <cols>
    <col min="1" max="2" width="11" style="110" customWidth="1"/>
    <col min="3" max="3" width="33.109375" style="110" customWidth="1"/>
    <col min="4" max="22" width="11" style="110" customWidth="1"/>
    <col min="23" max="25" width="9.109375" style="110"/>
    <col min="26" max="26" width="9.109375" style="110" customWidth="1"/>
    <col min="27" max="16384" width="9.109375" style="110"/>
  </cols>
  <sheetData>
    <row r="1" spans="3:15" ht="19.5" customHeight="1" x14ac:dyDescent="0.25"/>
    <row r="2" spans="3:15" ht="19.5" customHeight="1" x14ac:dyDescent="0.25"/>
    <row r="3" spans="3:15" ht="19.5" customHeight="1" x14ac:dyDescent="0.25"/>
    <row r="4" spans="3:15" ht="19.5" customHeight="1" x14ac:dyDescent="0.25"/>
    <row r="5" spans="3:15" ht="19.5" customHeight="1" x14ac:dyDescent="0.25"/>
    <row r="6" spans="3:15" ht="19.5" customHeight="1" x14ac:dyDescent="0.25"/>
    <row r="7" spans="3:15" ht="19.5" customHeight="1" x14ac:dyDescent="0.25"/>
    <row r="8" spans="3:15" ht="19.5" customHeight="1" x14ac:dyDescent="0.25"/>
    <row r="9" spans="3:15" ht="19.5" customHeight="1" x14ac:dyDescent="0.25"/>
    <row r="10" spans="3:15" ht="19.5" customHeight="1" x14ac:dyDescent="0.25"/>
    <row r="11" spans="3:15" ht="19.5" customHeight="1" x14ac:dyDescent="0.25"/>
    <row r="12" spans="3:15" ht="28.2" x14ac:dyDescent="0.5">
      <c r="C12" s="111" t="s">
        <v>191</v>
      </c>
      <c r="D12" s="112"/>
      <c r="E12" s="112"/>
      <c r="F12" s="112"/>
      <c r="G12" s="112"/>
      <c r="M12" s="113"/>
      <c r="N12" s="114"/>
      <c r="O12" s="113"/>
    </row>
    <row r="13" spans="3:15" ht="19.5" customHeight="1" x14ac:dyDescent="0.25">
      <c r="C13" s="115"/>
    </row>
    <row r="14" spans="3:15" ht="19.5" customHeight="1" x14ac:dyDescent="0.3">
      <c r="C14" s="116"/>
    </row>
    <row r="15" spans="3:15" ht="19.5" customHeight="1" x14ac:dyDescent="0.3">
      <c r="C15" s="116"/>
    </row>
    <row r="16" spans="3:15" ht="19.5" customHeight="1" x14ac:dyDescent="0.25"/>
    <row r="17" spans="3:4" ht="19.5" customHeight="1" x14ac:dyDescent="0.25">
      <c r="C17" s="113" t="s">
        <v>17</v>
      </c>
      <c r="D17" s="113"/>
    </row>
    <row r="18" spans="3:4" ht="19.5" customHeight="1" x14ac:dyDescent="0.25">
      <c r="C18" s="113" t="s">
        <v>18</v>
      </c>
      <c r="D18" s="113"/>
    </row>
    <row r="19" spans="3:4" ht="19.5" customHeight="1" x14ac:dyDescent="0.3">
      <c r="C19" s="117" t="s">
        <v>19</v>
      </c>
      <c r="D19" s="112"/>
    </row>
    <row r="20" spans="3:4" ht="19.5" customHeight="1" x14ac:dyDescent="0.25">
      <c r="C20" s="118"/>
      <c r="D20" s="113"/>
    </row>
    <row r="21" spans="3:4" ht="19.5" customHeight="1" x14ac:dyDescent="0.25">
      <c r="C21" s="113" t="s">
        <v>192</v>
      </c>
      <c r="D21" s="113"/>
    </row>
    <row r="22" spans="3:4" ht="19.5" customHeight="1" x14ac:dyDescent="0.25"/>
    <row r="23" spans="3:4" ht="19.5" customHeight="1" x14ac:dyDescent="0.25"/>
    <row r="24" spans="3:4" ht="19.5" customHeight="1" x14ac:dyDescent="0.25"/>
    <row r="25" spans="3:4" ht="19.5" customHeight="1" x14ac:dyDescent="0.25"/>
    <row r="26" spans="3:4" ht="19.5" customHeight="1" x14ac:dyDescent="0.25"/>
    <row r="27" spans="3:4" ht="19.5" customHeight="1" x14ac:dyDescent="0.25"/>
    <row r="28" spans="3:4" ht="19.5" customHeight="1" x14ac:dyDescent="0.25"/>
    <row r="29" spans="3:4" ht="19.5" customHeight="1" x14ac:dyDescent="0.25"/>
    <row r="30" spans="3:4" ht="19.5" customHeight="1" x14ac:dyDescent="0.25"/>
    <row r="31" spans="3:4" ht="19.5" customHeight="1" x14ac:dyDescent="0.25"/>
    <row r="32" spans="3:4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</sheetData>
  <hyperlinks>
    <hyperlink ref="C19" r:id="rId1" xr:uid="{00000000-0004-0000-0100-000000000000}"/>
  </hyperlinks>
  <pageMargins left="0.7" right="0.7" top="0.75" bottom="0.75" header="0.3" footer="0.3"/>
  <pageSetup scale="64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F26"/>
  <sheetViews>
    <sheetView showGridLines="0" topLeftCell="A4" zoomScale="140" zoomScaleNormal="140" workbookViewId="0">
      <selection activeCell="C9" sqref="C9"/>
    </sheetView>
  </sheetViews>
  <sheetFormatPr defaultColWidth="9.109375" defaultRowHeight="13.8" x14ac:dyDescent="0.25"/>
  <cols>
    <col min="1" max="1" width="9.109375" style="1"/>
    <col min="2" max="2" width="43.88671875" style="1" bestFit="1" customWidth="1"/>
    <col min="3" max="3" width="20" style="1" bestFit="1" customWidth="1"/>
    <col min="4" max="4" width="8.33203125" style="1" bestFit="1" customWidth="1"/>
    <col min="5" max="5" width="31.109375" style="1" bestFit="1" customWidth="1"/>
    <col min="6" max="6" width="2" style="1" customWidth="1"/>
    <col min="7" max="16384" width="9.109375" style="1"/>
  </cols>
  <sheetData>
    <row r="1" spans="1:6" ht="17.399999999999999" x14ac:dyDescent="0.4">
      <c r="A1" s="119" t="s">
        <v>20</v>
      </c>
      <c r="B1" s="37"/>
      <c r="C1" s="37"/>
      <c r="D1" s="120"/>
      <c r="E1" s="120"/>
      <c r="F1" s="120"/>
    </row>
    <row r="2" spans="1:6" ht="17.399999999999999" x14ac:dyDescent="0.4">
      <c r="A2" s="37"/>
      <c r="B2" s="121" t="s">
        <v>193</v>
      </c>
      <c r="C2" s="122"/>
      <c r="D2" s="122"/>
      <c r="E2" s="122"/>
      <c r="F2" s="120"/>
    </row>
    <row r="4" spans="1:6" ht="16.5" customHeight="1" x14ac:dyDescent="0.25">
      <c r="A4" s="123"/>
      <c r="B4" s="124" t="s">
        <v>134</v>
      </c>
      <c r="C4" s="124" t="s">
        <v>135</v>
      </c>
      <c r="D4" s="124" t="s">
        <v>86</v>
      </c>
      <c r="E4" s="124" t="s">
        <v>194</v>
      </c>
      <c r="F4" s="125"/>
    </row>
    <row r="5" spans="1:6" ht="16.5" customHeight="1" x14ac:dyDescent="0.25"/>
    <row r="6" spans="1:6" ht="21" customHeight="1" x14ac:dyDescent="0.25">
      <c r="B6" s="53" t="s">
        <v>85</v>
      </c>
      <c r="C6" s="8">
        <f>'Comparable Analysis Method'!E12</f>
        <v>6500000</v>
      </c>
      <c r="D6" s="86">
        <v>0.15</v>
      </c>
      <c r="E6" s="8">
        <f t="shared" ref="E6:E12" si="0">C6*D6</f>
        <v>975000</v>
      </c>
      <c r="F6" s="8"/>
    </row>
    <row r="7" spans="1:6" ht="21" customHeight="1" x14ac:dyDescent="0.25">
      <c r="B7" s="53" t="s">
        <v>87</v>
      </c>
      <c r="C7" s="8">
        <f>'Berkus Method'!D13</f>
        <v>5298700</v>
      </c>
      <c r="D7" s="86">
        <v>0.15</v>
      </c>
      <c r="E7" s="8">
        <f t="shared" si="0"/>
        <v>794805</v>
      </c>
      <c r="F7" s="8"/>
    </row>
    <row r="8" spans="1:6" ht="21" customHeight="1" x14ac:dyDescent="0.25">
      <c r="B8" s="53" t="s">
        <v>88</v>
      </c>
      <c r="C8" s="8">
        <f>'Scorecard Method'!C18</f>
        <v>7071200.0000000009</v>
      </c>
      <c r="D8" s="86">
        <v>0.15</v>
      </c>
      <c r="E8" s="8">
        <f t="shared" si="0"/>
        <v>1060680</v>
      </c>
      <c r="F8" s="8"/>
    </row>
    <row r="9" spans="1:6" ht="21" customHeight="1" x14ac:dyDescent="0.25">
      <c r="B9" s="53" t="s">
        <v>139</v>
      </c>
      <c r="C9" s="8">
        <f>'Risk Summutation Method'!$C$23</f>
        <v>6798700</v>
      </c>
      <c r="D9" s="86">
        <v>0.15</v>
      </c>
      <c r="E9" s="8">
        <f t="shared" si="0"/>
        <v>1019805</v>
      </c>
      <c r="F9" s="8"/>
    </row>
    <row r="10" spans="1:6" ht="21" customHeight="1" x14ac:dyDescent="0.25">
      <c r="B10" s="53" t="s">
        <v>137</v>
      </c>
      <c r="C10" s="8">
        <f>' DCF '!F21</f>
        <v>27872899.230298631</v>
      </c>
      <c r="D10" s="86">
        <v>0.12</v>
      </c>
      <c r="E10" s="8">
        <f t="shared" si="0"/>
        <v>3344747.9076358355</v>
      </c>
      <c r="F10" s="8"/>
    </row>
    <row r="11" spans="1:6" ht="21" customHeight="1" x14ac:dyDescent="0.25">
      <c r="B11" s="53" t="s">
        <v>138</v>
      </c>
      <c r="C11" s="8">
        <f>' DCF '!K21</f>
        <v>16171206.279238388</v>
      </c>
      <c r="D11" s="86">
        <v>0.12</v>
      </c>
      <c r="E11" s="8">
        <f>C11*D11</f>
        <v>1940544.7535086065</v>
      </c>
      <c r="F11" s="8"/>
    </row>
    <row r="12" spans="1:6" ht="21" customHeight="1" x14ac:dyDescent="0.25">
      <c r="B12" s="53" t="s">
        <v>89</v>
      </c>
      <c r="C12" s="8">
        <f>'Venture Capital Method '!C12</f>
        <v>19420408.781003945</v>
      </c>
      <c r="D12" s="86">
        <v>0.16</v>
      </c>
      <c r="E12" s="8">
        <f t="shared" si="0"/>
        <v>3107265.4049606314</v>
      </c>
      <c r="F12" s="8"/>
    </row>
    <row r="13" spans="1:6" ht="21" customHeight="1" x14ac:dyDescent="0.25">
      <c r="D13" s="16"/>
      <c r="E13" s="8"/>
      <c r="F13" s="8"/>
    </row>
    <row r="14" spans="1:6" ht="17.399999999999999" x14ac:dyDescent="0.4">
      <c r="A14" s="123"/>
      <c r="B14" s="126" t="s">
        <v>195</v>
      </c>
      <c r="C14" s="126"/>
      <c r="D14" s="126"/>
      <c r="E14" s="126">
        <f>SUM(E6:E12)</f>
        <v>12242848.066105075</v>
      </c>
      <c r="F14" s="126"/>
    </row>
    <row r="19" spans="2:4" ht="15.6" x14ac:dyDescent="0.3">
      <c r="B19" s="4"/>
      <c r="C19" s="5"/>
      <c r="D19" s="5"/>
    </row>
    <row r="20" spans="2:4" ht="15.6" x14ac:dyDescent="0.3">
      <c r="B20" s="5"/>
      <c r="C20" s="5"/>
      <c r="D20" s="5"/>
    </row>
    <row r="21" spans="2:4" ht="15.6" x14ac:dyDescent="0.3">
      <c r="B21" s="5"/>
      <c r="C21" s="5"/>
      <c r="D21" s="5"/>
    </row>
    <row r="22" spans="2:4" ht="15.6" x14ac:dyDescent="0.3">
      <c r="B22" s="5"/>
      <c r="C22" s="5"/>
      <c r="D22" s="5"/>
    </row>
    <row r="23" spans="2:4" ht="15.6" x14ac:dyDescent="0.3">
      <c r="B23" s="15" t="s">
        <v>19</v>
      </c>
      <c r="C23" s="5"/>
      <c r="D23" s="5"/>
    </row>
    <row r="24" spans="2:4" ht="15.6" x14ac:dyDescent="0.3">
      <c r="C24" s="5"/>
      <c r="D24" s="5"/>
    </row>
    <row r="25" spans="2:4" ht="15.6" x14ac:dyDescent="0.3">
      <c r="C25" s="6"/>
      <c r="D25" s="6"/>
    </row>
    <row r="26" spans="2:4" ht="15.6" x14ac:dyDescent="0.35">
      <c r="C26" s="7"/>
      <c r="D26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/>
  </sheetPr>
  <dimension ref="B2:H31"/>
  <sheetViews>
    <sheetView showGridLines="0" zoomScale="210" zoomScaleNormal="210" workbookViewId="0">
      <selection activeCell="A11" sqref="A11"/>
    </sheetView>
  </sheetViews>
  <sheetFormatPr defaultColWidth="12.6640625" defaultRowHeight="12.75" customHeight="1" x14ac:dyDescent="0.25"/>
  <cols>
    <col min="1" max="1" width="12.6640625" style="48"/>
    <col min="2" max="2" width="45.88671875" style="48" bestFit="1" customWidth="1"/>
    <col min="3" max="3" width="14.33203125" style="48" bestFit="1" customWidth="1"/>
    <col min="4" max="7" width="12.6640625" style="48"/>
    <col min="8" max="8" width="26.33203125" style="48" customWidth="1"/>
    <col min="9" max="9" width="13.88671875" style="48" customWidth="1"/>
    <col min="10" max="16384" width="12.6640625" style="48"/>
  </cols>
  <sheetData>
    <row r="2" spans="2:8" ht="15" customHeight="1" x14ac:dyDescent="0.25">
      <c r="B2" s="47"/>
    </row>
    <row r="3" spans="2:8" ht="15" customHeight="1" x14ac:dyDescent="0.4">
      <c r="B3" s="160" t="s">
        <v>162</v>
      </c>
      <c r="C3" s="160"/>
    </row>
    <row r="4" spans="2:8" ht="14.25" customHeight="1" x14ac:dyDescent="0.3">
      <c r="H4" s="2" t="s">
        <v>20</v>
      </c>
    </row>
    <row r="5" spans="2:8" ht="15" customHeight="1" x14ac:dyDescent="0.4">
      <c r="B5" s="126" t="s">
        <v>116</v>
      </c>
      <c r="C5" s="126">
        <f>'Venture Capital Method '!C10</f>
        <v>798700</v>
      </c>
      <c r="H5" s="18"/>
    </row>
    <row r="6" spans="2:8" ht="15" customHeight="1" x14ac:dyDescent="0.4">
      <c r="B6" s="126" t="s">
        <v>196</v>
      </c>
      <c r="C6" s="126">
        <f>'Valuation '!E14</f>
        <v>12242848.066105075</v>
      </c>
      <c r="D6" s="28"/>
      <c r="E6" s="28"/>
      <c r="H6" s="15" t="s">
        <v>19</v>
      </c>
    </row>
    <row r="7" spans="2:8" ht="15" customHeight="1" x14ac:dyDescent="0.3">
      <c r="D7" s="28"/>
      <c r="E7" s="28"/>
    </row>
    <row r="8" spans="2:8" ht="15" customHeight="1" x14ac:dyDescent="0.4">
      <c r="B8" s="126" t="s">
        <v>117</v>
      </c>
      <c r="C8" s="127">
        <f>C5/C6</f>
        <v>6.5238088040252662E-2</v>
      </c>
    </row>
    <row r="9" spans="2:8" ht="15" customHeight="1" x14ac:dyDescent="0.25"/>
    <row r="10" spans="2:8" ht="15" customHeight="1" x14ac:dyDescent="0.25">
      <c r="C10" s="135"/>
    </row>
    <row r="11" spans="2:8" ht="15" customHeight="1" x14ac:dyDescent="0.25">
      <c r="C11" s="135"/>
    </row>
    <row r="12" spans="2:8" ht="15" customHeight="1" x14ac:dyDescent="0.25"/>
    <row r="13" spans="2:8" ht="15" customHeight="1" x14ac:dyDescent="0.25">
      <c r="C13" s="142"/>
    </row>
    <row r="14" spans="2:8" ht="15" customHeight="1" x14ac:dyDescent="0.25"/>
    <row r="15" spans="2:8" ht="15" customHeight="1" x14ac:dyDescent="0.25"/>
    <row r="16" spans="2:8" ht="15" customHeight="1" x14ac:dyDescent="0.3">
      <c r="B16" s="50"/>
      <c r="C16" s="28"/>
      <c r="D16" s="28"/>
      <c r="E16" s="28"/>
    </row>
    <row r="17" spans="2:2" ht="15" customHeight="1" x14ac:dyDescent="0.25">
      <c r="B17" s="50"/>
    </row>
    <row r="18" spans="2:2" ht="15" customHeight="1" x14ac:dyDescent="0.25">
      <c r="B18" s="50"/>
    </row>
    <row r="19" spans="2:2" ht="15" customHeight="1" x14ac:dyDescent="0.25"/>
    <row r="20" spans="2:2" ht="15" customHeight="1" x14ac:dyDescent="0.25"/>
    <row r="21" spans="2:2" ht="15" customHeight="1" x14ac:dyDescent="0.25"/>
    <row r="22" spans="2:2" ht="15" customHeight="1" x14ac:dyDescent="0.25"/>
    <row r="23" spans="2:2" ht="15" customHeight="1" x14ac:dyDescent="0.25"/>
    <row r="24" spans="2:2" ht="15" customHeight="1" x14ac:dyDescent="0.25"/>
    <row r="25" spans="2:2" ht="15" customHeight="1" x14ac:dyDescent="0.25"/>
    <row r="26" spans="2:2" ht="15" customHeight="1" x14ac:dyDescent="0.25"/>
    <row r="27" spans="2:2" ht="15" customHeight="1" x14ac:dyDescent="0.25"/>
    <row r="28" spans="2:2" ht="15" customHeight="1" x14ac:dyDescent="0.25"/>
    <row r="29" spans="2:2" ht="15" customHeight="1" x14ac:dyDescent="0.25"/>
    <row r="30" spans="2:2" ht="15" customHeight="1" x14ac:dyDescent="0.25"/>
    <row r="31" spans="2:2" ht="15" customHeight="1" x14ac:dyDescent="0.25">
      <c r="B31" s="51"/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/>
  </sheetPr>
  <dimension ref="A1:K24"/>
  <sheetViews>
    <sheetView showGridLines="0" topLeftCell="A4" zoomScale="120" zoomScaleNormal="120" workbookViewId="0">
      <selection activeCell="C19" sqref="C19"/>
    </sheetView>
  </sheetViews>
  <sheetFormatPr defaultColWidth="9.109375" defaultRowHeight="13.8" x14ac:dyDescent="0.25"/>
  <cols>
    <col min="1" max="1" width="9.109375" style="1"/>
    <col min="2" max="2" width="43.88671875" style="1" bestFit="1" customWidth="1"/>
    <col min="3" max="3" width="15.88671875" style="1" bestFit="1" customWidth="1"/>
    <col min="4" max="4" width="19.44140625" style="1" bestFit="1" customWidth="1"/>
    <col min="5" max="5" width="15.5546875" style="1" bestFit="1" customWidth="1"/>
    <col min="6" max="6" width="2" style="1" customWidth="1"/>
    <col min="7" max="16384" width="9.109375" style="1"/>
  </cols>
  <sheetData>
    <row r="1" spans="1:11" ht="17.399999999999999" x14ac:dyDescent="0.4">
      <c r="A1" s="119" t="s">
        <v>20</v>
      </c>
      <c r="B1" s="37"/>
      <c r="C1" s="37"/>
      <c r="D1" s="120"/>
      <c r="E1" s="120"/>
      <c r="F1" s="120"/>
      <c r="I1" s="8"/>
    </row>
    <row r="2" spans="1:11" ht="17.399999999999999" x14ac:dyDescent="0.4">
      <c r="A2" s="37"/>
      <c r="B2" s="121" t="s">
        <v>32</v>
      </c>
      <c r="C2" s="122"/>
      <c r="D2" s="122"/>
      <c r="E2" s="122"/>
      <c r="F2" s="120"/>
      <c r="H2" s="8"/>
    </row>
    <row r="4" spans="1:11" ht="16.5" customHeight="1" x14ac:dyDescent="0.25">
      <c r="B4" s="128" t="s">
        <v>0</v>
      </c>
      <c r="C4" s="124" t="s">
        <v>111</v>
      </c>
      <c r="D4" s="124" t="s">
        <v>136</v>
      </c>
      <c r="E4" s="124" t="s">
        <v>112</v>
      </c>
      <c r="F4" s="125"/>
    </row>
    <row r="5" spans="1:11" ht="21" customHeight="1" x14ac:dyDescent="0.25">
      <c r="B5" s="8" t="s">
        <v>197</v>
      </c>
      <c r="C5" s="8">
        <v>9500000</v>
      </c>
      <c r="D5" s="8">
        <v>500000</v>
      </c>
      <c r="E5" s="8">
        <f>C5+D5</f>
        <v>10000000</v>
      </c>
      <c r="F5" s="8"/>
      <c r="H5" s="56"/>
      <c r="I5" s="96"/>
    </row>
    <row r="6" spans="1:11" ht="21" customHeight="1" x14ac:dyDescent="0.4">
      <c r="B6" s="126" t="s">
        <v>21</v>
      </c>
      <c r="C6" s="126"/>
      <c r="D6" s="126"/>
      <c r="E6" s="126">
        <f>MIN(E5:E5)</f>
        <v>10000000</v>
      </c>
      <c r="F6" s="126"/>
    </row>
    <row r="7" spans="1:11" ht="21" customHeight="1" x14ac:dyDescent="0.4">
      <c r="B7" s="126" t="s">
        <v>1</v>
      </c>
      <c r="C7" s="126"/>
      <c r="D7" s="126"/>
      <c r="E7" s="126">
        <f>AVERAGE(E5:E5)</f>
        <v>10000000</v>
      </c>
      <c r="F7" s="126"/>
      <c r="K7" s="56"/>
    </row>
    <row r="8" spans="1:11" ht="17.399999999999999" x14ac:dyDescent="0.4">
      <c r="B8" s="126" t="s">
        <v>2</v>
      </c>
      <c r="C8" s="126"/>
      <c r="D8" s="126"/>
      <c r="E8" s="126">
        <f>MEDIAN(E5:E5)</f>
        <v>10000000</v>
      </c>
      <c r="F8" s="126"/>
    </row>
    <row r="9" spans="1:11" ht="17.399999999999999" x14ac:dyDescent="0.4">
      <c r="B9" s="126" t="s">
        <v>22</v>
      </c>
      <c r="C9" s="126"/>
      <c r="D9" s="126"/>
      <c r="E9" s="126">
        <f>MAX(E5:E5)</f>
        <v>10000000</v>
      </c>
      <c r="F9" s="126"/>
    </row>
    <row r="11" spans="1:11" ht="17.399999999999999" x14ac:dyDescent="0.4">
      <c r="B11" s="126" t="s">
        <v>163</v>
      </c>
      <c r="C11" s="126"/>
      <c r="D11" s="126"/>
      <c r="E11" s="143">
        <v>0.35</v>
      </c>
      <c r="F11" s="126"/>
    </row>
    <row r="12" spans="1:11" ht="17.399999999999999" x14ac:dyDescent="0.4">
      <c r="B12" s="126" t="s">
        <v>170</v>
      </c>
      <c r="C12" s="126"/>
      <c r="D12" s="126"/>
      <c r="E12" s="126">
        <f>E6*(1-E11)</f>
        <v>6500000</v>
      </c>
      <c r="F12" s="126"/>
    </row>
    <row r="17" spans="2:4" ht="15.6" x14ac:dyDescent="0.3">
      <c r="B17" s="4"/>
      <c r="C17" s="5"/>
      <c r="D17" s="5"/>
    </row>
    <row r="18" spans="2:4" ht="15.6" x14ac:dyDescent="0.3">
      <c r="B18" s="5"/>
      <c r="C18" s="5"/>
      <c r="D18" s="5"/>
    </row>
    <row r="19" spans="2:4" ht="15.6" x14ac:dyDescent="0.3">
      <c r="B19" s="5"/>
      <c r="C19" s="5"/>
      <c r="D19" s="5"/>
    </row>
    <row r="20" spans="2:4" ht="15.6" x14ac:dyDescent="0.3">
      <c r="B20" s="5"/>
      <c r="C20" s="5"/>
      <c r="D20" s="5"/>
    </row>
    <row r="21" spans="2:4" ht="15.6" x14ac:dyDescent="0.3">
      <c r="B21" s="15" t="s">
        <v>19</v>
      </c>
      <c r="C21" s="5"/>
      <c r="D21" s="5"/>
    </row>
    <row r="22" spans="2:4" ht="15.6" x14ac:dyDescent="0.3">
      <c r="C22" s="5"/>
      <c r="D22" s="5"/>
    </row>
    <row r="23" spans="2:4" ht="15.6" x14ac:dyDescent="0.3">
      <c r="C23" s="6"/>
      <c r="D23" s="6"/>
    </row>
    <row r="24" spans="2:4" ht="15.6" x14ac:dyDescent="0.35">
      <c r="C24" s="7"/>
      <c r="D24" s="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/>
  </sheetPr>
  <dimension ref="B1:G24"/>
  <sheetViews>
    <sheetView showGridLines="0" topLeftCell="A7" zoomScale="150" zoomScaleNormal="150" workbookViewId="0">
      <selection activeCell="B13" sqref="B13"/>
    </sheetView>
  </sheetViews>
  <sheetFormatPr defaultColWidth="17.33203125" defaultRowHeight="15" customHeight="1" x14ac:dyDescent="0.3"/>
  <cols>
    <col min="1" max="1" width="6.88671875" style="13" customWidth="1"/>
    <col min="2" max="2" width="72.33203125" style="13" bestFit="1" customWidth="1"/>
    <col min="3" max="3" width="35" style="13" bestFit="1" customWidth="1"/>
    <col min="4" max="4" width="18.6640625" style="13" bestFit="1" customWidth="1"/>
    <col min="5" max="6" width="9.109375" style="13" customWidth="1"/>
    <col min="7" max="7" width="9" style="13" customWidth="1"/>
    <col min="8" max="16384" width="17.33203125" style="13"/>
  </cols>
  <sheetData>
    <row r="1" spans="2:7" ht="15" customHeight="1" x14ac:dyDescent="0.4">
      <c r="B1" s="119" t="s">
        <v>20</v>
      </c>
      <c r="C1" s="37"/>
      <c r="D1" s="37"/>
    </row>
    <row r="2" spans="2:7" ht="15" customHeight="1" x14ac:dyDescent="0.4">
      <c r="B2" s="37"/>
      <c r="C2" s="121" t="s">
        <v>33</v>
      </c>
      <c r="D2" s="122"/>
    </row>
    <row r="3" spans="2:7" ht="12.75" customHeight="1" x14ac:dyDescent="0.3">
      <c r="B3" s="9"/>
      <c r="C3" s="10"/>
      <c r="D3" s="11"/>
    </row>
    <row r="4" spans="2:7" ht="12.75" customHeight="1" x14ac:dyDescent="0.4">
      <c r="B4" s="129" t="s">
        <v>23</v>
      </c>
      <c r="C4" s="129" t="s">
        <v>24</v>
      </c>
      <c r="D4" s="129" t="s">
        <v>25</v>
      </c>
    </row>
    <row r="5" spans="2:7" ht="12.75" customHeight="1" x14ac:dyDescent="0.3">
      <c r="B5" s="8" t="s">
        <v>26</v>
      </c>
      <c r="C5" s="8" t="s">
        <v>198</v>
      </c>
      <c r="D5" s="8">
        <v>1200000</v>
      </c>
      <c r="E5" s="54"/>
      <c r="F5" s="144"/>
      <c r="G5" s="54"/>
    </row>
    <row r="6" spans="2:7" ht="12.75" customHeight="1" x14ac:dyDescent="0.3">
      <c r="B6" s="8" t="s">
        <v>27</v>
      </c>
      <c r="C6" s="8" t="s">
        <v>198</v>
      </c>
      <c r="D6" s="8">
        <v>900000</v>
      </c>
      <c r="E6" s="54"/>
      <c r="F6" s="144"/>
      <c r="G6" s="54"/>
    </row>
    <row r="7" spans="2:7" ht="12.75" customHeight="1" x14ac:dyDescent="0.3">
      <c r="B7" s="8" t="s">
        <v>28</v>
      </c>
      <c r="C7" s="8" t="s">
        <v>198</v>
      </c>
      <c r="D7" s="8">
        <v>900000</v>
      </c>
      <c r="E7" s="54"/>
      <c r="F7" s="144"/>
      <c r="G7" s="54"/>
    </row>
    <row r="8" spans="2:7" ht="12.75" customHeight="1" x14ac:dyDescent="0.3">
      <c r="B8" s="8" t="s">
        <v>29</v>
      </c>
      <c r="C8" s="8" t="s">
        <v>198</v>
      </c>
      <c r="D8" s="8">
        <v>900000</v>
      </c>
      <c r="E8" s="54"/>
      <c r="F8" s="144"/>
      <c r="G8" s="54"/>
    </row>
    <row r="9" spans="2:7" ht="12.75" customHeight="1" x14ac:dyDescent="0.3">
      <c r="B9" s="8" t="s">
        <v>30</v>
      </c>
      <c r="C9" s="8" t="s">
        <v>198</v>
      </c>
      <c r="D9" s="8">
        <v>600000</v>
      </c>
      <c r="E9" s="54"/>
      <c r="F9" s="144"/>
      <c r="G9" s="54"/>
    </row>
    <row r="10" spans="2:7" ht="12.75" customHeight="1" x14ac:dyDescent="0.3">
      <c r="B10" s="8"/>
      <c r="C10" s="8"/>
      <c r="D10" s="8"/>
      <c r="F10" s="54"/>
    </row>
    <row r="11" spans="2:7" ht="17.399999999999999" x14ac:dyDescent="0.4">
      <c r="B11" s="126" t="s">
        <v>238</v>
      </c>
      <c r="C11" s="126"/>
      <c r="D11" s="126">
        <f>SUM(D5:D9)</f>
        <v>4500000</v>
      </c>
    </row>
    <row r="12" spans="2:7" ht="17.399999999999999" x14ac:dyDescent="0.4">
      <c r="B12" s="126" t="s">
        <v>239</v>
      </c>
      <c r="C12" s="126"/>
      <c r="D12" s="126">
        <f>'Venture Capital Method '!C10</f>
        <v>798700</v>
      </c>
    </row>
    <row r="13" spans="2:7" ht="17.399999999999999" x14ac:dyDescent="0.4">
      <c r="B13" s="126" t="s">
        <v>135</v>
      </c>
      <c r="C13" s="126"/>
      <c r="D13" s="126">
        <f>D11+D12</f>
        <v>5298700</v>
      </c>
    </row>
    <row r="14" spans="2:7" ht="12.75" customHeight="1" x14ac:dyDescent="0.3">
      <c r="B14" s="12"/>
      <c r="C14" s="14"/>
      <c r="D14" s="12"/>
    </row>
    <row r="15" spans="2:7" ht="12.75" customHeight="1" x14ac:dyDescent="0.3">
      <c r="B15" s="12"/>
      <c r="C15" s="14"/>
      <c r="D15" s="12"/>
    </row>
    <row r="16" spans="2:7" ht="12.75" customHeight="1" x14ac:dyDescent="0.3">
      <c r="B16" s="12"/>
      <c r="C16" s="14"/>
      <c r="D16" s="12"/>
    </row>
    <row r="17" spans="2:7" ht="12.75" customHeight="1" x14ac:dyDescent="0.3">
      <c r="B17" s="12"/>
      <c r="C17" s="14"/>
      <c r="D17" s="12"/>
    </row>
    <row r="18" spans="2:7" ht="12.75" customHeight="1" x14ac:dyDescent="0.3">
      <c r="B18" s="12"/>
      <c r="C18" s="14"/>
      <c r="D18" s="12"/>
    </row>
    <row r="19" spans="2:7" ht="12.75" customHeight="1" x14ac:dyDescent="0.3">
      <c r="B19" s="12"/>
      <c r="C19" s="14"/>
      <c r="D19" s="12"/>
    </row>
    <row r="20" spans="2:7" ht="12.75" customHeight="1" x14ac:dyDescent="0.3">
      <c r="B20" s="15" t="s">
        <v>19</v>
      </c>
      <c r="C20" s="5"/>
      <c r="D20" s="12"/>
    </row>
    <row r="21" spans="2:7" ht="12.75" customHeight="1" x14ac:dyDescent="0.3">
      <c r="B21" s="1"/>
      <c r="D21" s="12"/>
      <c r="G21" s="54"/>
    </row>
    <row r="22" spans="2:7" ht="15" customHeight="1" x14ac:dyDescent="0.3">
      <c r="G22" s="54"/>
    </row>
    <row r="23" spans="2:7" ht="15" customHeight="1" x14ac:dyDescent="0.3">
      <c r="G23" s="54"/>
    </row>
    <row r="24" spans="2:7" ht="15" customHeight="1" x14ac:dyDescent="0.3">
      <c r="G24" s="54"/>
    </row>
  </sheetData>
  <phoneticPr fontId="45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/>
  </sheetPr>
  <dimension ref="B1:E27"/>
  <sheetViews>
    <sheetView showGridLines="0" topLeftCell="A4" zoomScale="120" zoomScaleNormal="120" workbookViewId="0">
      <selection activeCell="B17" sqref="B17:B18"/>
    </sheetView>
  </sheetViews>
  <sheetFormatPr defaultColWidth="17.33203125" defaultRowHeight="15" customHeight="1" x14ac:dyDescent="0.3"/>
  <cols>
    <col min="1" max="1" width="6.88671875" style="13" customWidth="1"/>
    <col min="2" max="2" width="72.33203125" style="13" bestFit="1" customWidth="1"/>
    <col min="3" max="3" width="31.33203125" style="13" bestFit="1" customWidth="1"/>
    <col min="4" max="4" width="18.6640625" style="13" bestFit="1" customWidth="1"/>
    <col min="5" max="5" width="14.33203125" style="13" bestFit="1" customWidth="1"/>
    <col min="6" max="7" width="9.109375" style="13" customWidth="1"/>
    <col min="8" max="16384" width="17.33203125" style="13"/>
  </cols>
  <sheetData>
    <row r="1" spans="2:5" ht="15" customHeight="1" x14ac:dyDescent="0.4">
      <c r="B1" s="119" t="s">
        <v>20</v>
      </c>
      <c r="C1" s="37"/>
      <c r="D1" s="37"/>
      <c r="E1" s="37"/>
    </row>
    <row r="2" spans="2:5" ht="15" customHeight="1" x14ac:dyDescent="0.4">
      <c r="B2" s="37"/>
      <c r="C2" s="121" t="s">
        <v>37</v>
      </c>
      <c r="D2" s="122"/>
      <c r="E2" s="37"/>
    </row>
    <row r="3" spans="2:5" ht="12.75" customHeight="1" x14ac:dyDescent="0.3">
      <c r="B3" s="9"/>
      <c r="C3" s="10"/>
      <c r="D3" s="11"/>
    </row>
    <row r="4" spans="2:5" ht="16.95" customHeight="1" x14ac:dyDescent="0.4">
      <c r="B4" s="129" t="s">
        <v>171</v>
      </c>
      <c r="C4" s="129">
        <f>'Comparable Analysis Method'!E12</f>
        <v>6500000</v>
      </c>
      <c r="D4" s="129"/>
      <c r="E4" s="129"/>
    </row>
    <row r="5" spans="2:5" ht="12.75" customHeight="1" x14ac:dyDescent="0.3">
      <c r="B5" s="9"/>
      <c r="C5" s="10"/>
      <c r="D5" s="11"/>
    </row>
    <row r="6" spans="2:5" ht="14.4" customHeight="1" x14ac:dyDescent="0.4">
      <c r="B6" s="129" t="s">
        <v>23</v>
      </c>
      <c r="C6" s="129" t="s">
        <v>34</v>
      </c>
      <c r="D6" s="129" t="s">
        <v>35</v>
      </c>
      <c r="E6" s="129" t="s">
        <v>36</v>
      </c>
    </row>
    <row r="7" spans="2:5" ht="12.75" customHeight="1" x14ac:dyDescent="0.3">
      <c r="B7" s="8" t="s">
        <v>38</v>
      </c>
      <c r="C7" s="16">
        <v>0.3</v>
      </c>
      <c r="D7" s="16">
        <v>0.8</v>
      </c>
      <c r="E7" s="17">
        <f>C7*D7</f>
        <v>0.24</v>
      </c>
    </row>
    <row r="8" spans="2:5" ht="12.75" customHeight="1" x14ac:dyDescent="0.3">
      <c r="B8" s="8" t="s">
        <v>39</v>
      </c>
      <c r="C8" s="16">
        <v>0.25</v>
      </c>
      <c r="D8" s="16">
        <v>1.125</v>
      </c>
      <c r="E8" s="17">
        <f t="shared" ref="E8:E13" si="0">C8*D8</f>
        <v>0.28125</v>
      </c>
    </row>
    <row r="9" spans="2:5" ht="12.75" customHeight="1" x14ac:dyDescent="0.3">
      <c r="B9" s="8" t="s">
        <v>40</v>
      </c>
      <c r="C9" s="16">
        <v>0.15</v>
      </c>
      <c r="D9" s="16">
        <v>0.875</v>
      </c>
      <c r="E9" s="17">
        <f t="shared" si="0"/>
        <v>0.13125000000000001</v>
      </c>
    </row>
    <row r="10" spans="2:5" ht="12.75" customHeight="1" x14ac:dyDescent="0.3">
      <c r="B10" s="8" t="s">
        <v>41</v>
      </c>
      <c r="C10" s="16">
        <v>0.1</v>
      </c>
      <c r="D10" s="16">
        <v>0.75</v>
      </c>
      <c r="E10" s="17">
        <f t="shared" si="0"/>
        <v>7.5000000000000011E-2</v>
      </c>
    </row>
    <row r="11" spans="2:5" ht="12.75" customHeight="1" x14ac:dyDescent="0.3">
      <c r="B11" s="8" t="s">
        <v>42</v>
      </c>
      <c r="C11" s="16">
        <v>0.1</v>
      </c>
      <c r="D11" s="16">
        <v>1.25</v>
      </c>
      <c r="E11" s="17">
        <f t="shared" si="0"/>
        <v>0.125</v>
      </c>
    </row>
    <row r="12" spans="2:5" ht="12.75" customHeight="1" x14ac:dyDescent="0.3">
      <c r="B12" s="8" t="s">
        <v>43</v>
      </c>
      <c r="C12" s="16">
        <v>0.05</v>
      </c>
      <c r="D12" s="16">
        <v>1.125</v>
      </c>
      <c r="E12" s="17">
        <f t="shared" si="0"/>
        <v>5.6250000000000001E-2</v>
      </c>
    </row>
    <row r="13" spans="2:5" ht="12.75" customHeight="1" x14ac:dyDescent="0.3">
      <c r="B13" s="8" t="s">
        <v>44</v>
      </c>
      <c r="C13" s="16">
        <v>0.05</v>
      </c>
      <c r="D13" s="16">
        <v>1.125</v>
      </c>
      <c r="E13" s="17">
        <f t="shared" si="0"/>
        <v>5.6250000000000001E-2</v>
      </c>
    </row>
    <row r="14" spans="2:5" ht="18" customHeight="1" x14ac:dyDescent="0.4">
      <c r="B14" s="126" t="s">
        <v>113</v>
      </c>
      <c r="C14" s="126"/>
      <c r="D14" s="126"/>
      <c r="E14" s="130">
        <f>SUM(E7:E13)</f>
        <v>0.96500000000000008</v>
      </c>
    </row>
    <row r="15" spans="2:5" ht="12.75" customHeight="1" x14ac:dyDescent="0.3"/>
    <row r="16" spans="2:5" ht="17.399999999999999" customHeight="1" x14ac:dyDescent="0.4">
      <c r="B16" s="126" t="s">
        <v>238</v>
      </c>
      <c r="C16" s="126">
        <f>C4*E14</f>
        <v>6272500.0000000009</v>
      </c>
      <c r="D16" s="126"/>
      <c r="E16" s="130"/>
    </row>
    <row r="17" spans="2:5" ht="17.399999999999999" customHeight="1" x14ac:dyDescent="0.4">
      <c r="B17" s="126" t="s">
        <v>239</v>
      </c>
      <c r="C17" s="126">
        <f>'Venture Capital Method '!C10</f>
        <v>798700</v>
      </c>
      <c r="D17" s="126"/>
      <c r="E17" s="130"/>
    </row>
    <row r="18" spans="2:5" ht="17.399999999999999" customHeight="1" x14ac:dyDescent="0.4">
      <c r="B18" s="126" t="s">
        <v>135</v>
      </c>
      <c r="C18" s="126">
        <f>C16+C17</f>
        <v>7071200.0000000009</v>
      </c>
      <c r="D18" s="126"/>
      <c r="E18" s="130"/>
    </row>
    <row r="19" spans="2:5" ht="27" customHeight="1" x14ac:dyDescent="0.3">
      <c r="B19" s="161"/>
      <c r="C19" s="162"/>
      <c r="D19" s="162"/>
    </row>
    <row r="20" spans="2:5" ht="12.75" customHeight="1" x14ac:dyDescent="0.3">
      <c r="B20" s="12"/>
      <c r="C20" s="14"/>
      <c r="D20" s="12"/>
    </row>
    <row r="21" spans="2:5" ht="12.75" customHeight="1" x14ac:dyDescent="0.3">
      <c r="B21" s="12"/>
      <c r="C21" s="14"/>
      <c r="D21" s="12"/>
      <c r="E21" s="13" t="s">
        <v>31</v>
      </c>
    </row>
    <row r="22" spans="2:5" ht="12.75" customHeight="1" x14ac:dyDescent="0.3">
      <c r="B22" s="12"/>
      <c r="C22" s="14"/>
      <c r="D22" s="12"/>
    </row>
    <row r="23" spans="2:5" ht="12.75" customHeight="1" x14ac:dyDescent="0.3">
      <c r="B23" s="12"/>
      <c r="C23" s="14"/>
      <c r="D23" s="12"/>
    </row>
    <row r="24" spans="2:5" ht="12.75" customHeight="1" x14ac:dyDescent="0.3">
      <c r="B24" s="12"/>
      <c r="C24" s="14"/>
      <c r="D24" s="12"/>
    </row>
    <row r="25" spans="2:5" ht="12.75" customHeight="1" x14ac:dyDescent="0.3">
      <c r="B25" s="12"/>
      <c r="C25" s="14"/>
      <c r="D25" s="12"/>
    </row>
    <row r="26" spans="2:5" ht="12.75" customHeight="1" x14ac:dyDescent="0.3">
      <c r="B26" s="15" t="s">
        <v>19</v>
      </c>
      <c r="C26" s="5"/>
      <c r="D26" s="12"/>
    </row>
    <row r="27" spans="2:5" ht="12.75" customHeight="1" x14ac:dyDescent="0.3">
      <c r="B27" s="1"/>
      <c r="D27" s="12"/>
    </row>
  </sheetData>
  <mergeCells count="1">
    <mergeCell ref="B19:D1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</sheetPr>
  <dimension ref="B1:F46"/>
  <sheetViews>
    <sheetView showGridLines="0" topLeftCell="A7" zoomScale="110" zoomScaleNormal="110" workbookViewId="0">
      <selection activeCell="B25" sqref="B25:D25"/>
    </sheetView>
  </sheetViews>
  <sheetFormatPr defaultColWidth="17.33203125" defaultRowHeight="15" customHeight="1" x14ac:dyDescent="0.3"/>
  <cols>
    <col min="1" max="1" width="6.88671875" style="13" customWidth="1"/>
    <col min="2" max="2" width="72.33203125" style="13" bestFit="1" customWidth="1"/>
    <col min="3" max="3" width="31.33203125" style="13" bestFit="1" customWidth="1"/>
    <col min="4" max="4" width="18.6640625" style="13" bestFit="1" customWidth="1"/>
    <col min="5" max="5" width="22.33203125" style="13" bestFit="1" customWidth="1"/>
    <col min="6" max="7" width="9.109375" style="13" customWidth="1"/>
    <col min="8" max="16384" width="17.33203125" style="13"/>
  </cols>
  <sheetData>
    <row r="1" spans="2:5" ht="15" customHeight="1" x14ac:dyDescent="0.4">
      <c r="B1" s="119" t="s">
        <v>20</v>
      </c>
      <c r="C1" s="37"/>
      <c r="D1" s="37"/>
      <c r="E1" s="37"/>
    </row>
    <row r="2" spans="2:5" ht="15" customHeight="1" x14ac:dyDescent="0.4">
      <c r="B2" s="37"/>
      <c r="C2" s="121" t="s">
        <v>140</v>
      </c>
      <c r="D2" s="122"/>
      <c r="E2" s="37"/>
    </row>
    <row r="3" spans="2:5" ht="12.75" customHeight="1" x14ac:dyDescent="0.3">
      <c r="B3" s="9"/>
      <c r="C3" s="10"/>
      <c r="D3" s="11"/>
    </row>
    <row r="4" spans="2:5" ht="16.95" customHeight="1" x14ac:dyDescent="0.4">
      <c r="B4" s="129" t="s">
        <v>171</v>
      </c>
      <c r="C4" s="129">
        <f>'Comparable Analysis Method'!E12</f>
        <v>6500000</v>
      </c>
      <c r="D4" s="129"/>
      <c r="E4" s="129"/>
    </row>
    <row r="5" spans="2:5" ht="12.75" customHeight="1" x14ac:dyDescent="0.3">
      <c r="B5" s="9"/>
      <c r="C5" s="10"/>
      <c r="D5" s="11"/>
    </row>
    <row r="6" spans="2:5" ht="15.6" customHeight="1" x14ac:dyDescent="0.4">
      <c r="B6" s="129" t="s">
        <v>90</v>
      </c>
      <c r="C6" s="129" t="s">
        <v>92</v>
      </c>
      <c r="D6" s="129" t="s">
        <v>93</v>
      </c>
      <c r="E6" s="129" t="s">
        <v>94</v>
      </c>
    </row>
    <row r="7" spans="2:5" ht="12.75" customHeight="1" x14ac:dyDescent="0.3">
      <c r="B7" s="8" t="s">
        <v>91</v>
      </c>
      <c r="C7" s="16" t="s">
        <v>114</v>
      </c>
      <c r="D7" s="55">
        <v>250000</v>
      </c>
      <c r="E7" s="55">
        <f>D7</f>
        <v>250000</v>
      </c>
    </row>
    <row r="8" spans="2:5" ht="12.75" customHeight="1" x14ac:dyDescent="0.3">
      <c r="B8" s="8" t="s">
        <v>95</v>
      </c>
      <c r="C8" s="16" t="s">
        <v>114</v>
      </c>
      <c r="D8" s="55">
        <v>250000</v>
      </c>
      <c r="E8" s="55">
        <f>E7+D8</f>
        <v>500000</v>
      </c>
    </row>
    <row r="9" spans="2:5" ht="12.75" customHeight="1" x14ac:dyDescent="0.3">
      <c r="B9" s="8" t="s">
        <v>96</v>
      </c>
      <c r="C9" s="16" t="s">
        <v>97</v>
      </c>
      <c r="D9" s="55">
        <v>-250000</v>
      </c>
      <c r="E9" s="55">
        <f t="shared" ref="E9:E18" si="0">E8+D9</f>
        <v>250000</v>
      </c>
    </row>
    <row r="10" spans="2:5" ht="12.75" customHeight="1" x14ac:dyDescent="0.3">
      <c r="B10" s="8" t="s">
        <v>98</v>
      </c>
      <c r="C10" s="16" t="s">
        <v>172</v>
      </c>
      <c r="D10" s="55">
        <v>0</v>
      </c>
      <c r="E10" s="55">
        <f t="shared" si="0"/>
        <v>250000</v>
      </c>
    </row>
    <row r="11" spans="2:5" ht="12.75" customHeight="1" x14ac:dyDescent="0.3">
      <c r="B11" s="8" t="s">
        <v>99</v>
      </c>
      <c r="C11" s="16" t="s">
        <v>97</v>
      </c>
      <c r="D11" s="55">
        <v>-250000</v>
      </c>
      <c r="E11" s="55">
        <f t="shared" si="0"/>
        <v>0</v>
      </c>
    </row>
    <row r="12" spans="2:5" ht="12.75" customHeight="1" x14ac:dyDescent="0.3">
      <c r="B12" s="8" t="s">
        <v>100</v>
      </c>
      <c r="C12" s="16" t="s">
        <v>97</v>
      </c>
      <c r="D12" s="55">
        <v>-250000</v>
      </c>
      <c r="E12" s="55">
        <f t="shared" si="0"/>
        <v>-250000</v>
      </c>
    </row>
    <row r="13" spans="2:5" ht="12.75" customHeight="1" x14ac:dyDescent="0.3">
      <c r="B13" s="8" t="s">
        <v>101</v>
      </c>
      <c r="C13" s="16" t="s">
        <v>97</v>
      </c>
      <c r="D13" s="55">
        <v>-250000</v>
      </c>
      <c r="E13" s="55">
        <f t="shared" si="0"/>
        <v>-500000</v>
      </c>
    </row>
    <row r="14" spans="2:5" ht="12.75" customHeight="1" x14ac:dyDescent="0.3">
      <c r="B14" s="8" t="s">
        <v>102</v>
      </c>
      <c r="C14" s="16" t="s">
        <v>114</v>
      </c>
      <c r="D14" s="55">
        <v>250000</v>
      </c>
      <c r="E14" s="55">
        <f t="shared" si="0"/>
        <v>-250000</v>
      </c>
    </row>
    <row r="15" spans="2:5" ht="12.75" customHeight="1" x14ac:dyDescent="0.3">
      <c r="B15" s="8" t="s">
        <v>103</v>
      </c>
      <c r="C15" s="16" t="s">
        <v>97</v>
      </c>
      <c r="D15" s="55">
        <v>-250000</v>
      </c>
      <c r="E15" s="55">
        <f t="shared" si="0"/>
        <v>-500000</v>
      </c>
    </row>
    <row r="16" spans="2:5" ht="12.75" customHeight="1" x14ac:dyDescent="0.3">
      <c r="B16" s="8" t="s">
        <v>104</v>
      </c>
      <c r="C16" s="16" t="s">
        <v>172</v>
      </c>
      <c r="D16" s="55">
        <v>0</v>
      </c>
      <c r="E16" s="55">
        <f t="shared" si="0"/>
        <v>-500000</v>
      </c>
    </row>
    <row r="17" spans="2:5" ht="12.75" customHeight="1" x14ac:dyDescent="0.3">
      <c r="B17" s="8" t="s">
        <v>105</v>
      </c>
      <c r="C17" s="16" t="s">
        <v>114</v>
      </c>
      <c r="D17" s="55">
        <v>250000</v>
      </c>
      <c r="E17" s="55">
        <f t="shared" si="0"/>
        <v>-250000</v>
      </c>
    </row>
    <row r="18" spans="2:5" ht="12.75" customHeight="1" x14ac:dyDescent="0.3">
      <c r="B18" s="8" t="s">
        <v>106</v>
      </c>
      <c r="C18" s="16" t="s">
        <v>97</v>
      </c>
      <c r="D18" s="55">
        <v>-250000</v>
      </c>
      <c r="E18" s="55">
        <f t="shared" si="0"/>
        <v>-500000</v>
      </c>
    </row>
    <row r="19" spans="2:5" ht="17.399999999999999" customHeight="1" x14ac:dyDescent="0.4">
      <c r="B19" s="126" t="s">
        <v>107</v>
      </c>
      <c r="C19" s="126"/>
      <c r="D19" s="126"/>
      <c r="E19" s="131">
        <f>E18</f>
        <v>-500000</v>
      </c>
    </row>
    <row r="20" spans="2:5" ht="12.75" customHeight="1" x14ac:dyDescent="0.3"/>
    <row r="21" spans="2:5" ht="16.95" customHeight="1" x14ac:dyDescent="0.4">
      <c r="B21" s="126" t="s">
        <v>238</v>
      </c>
      <c r="C21" s="126">
        <f>C4+E19</f>
        <v>6000000</v>
      </c>
      <c r="D21" s="126"/>
      <c r="E21" s="131"/>
    </row>
    <row r="22" spans="2:5" ht="16.95" customHeight="1" x14ac:dyDescent="0.4">
      <c r="B22" s="126" t="s">
        <v>239</v>
      </c>
      <c r="C22" s="126">
        <f>'Venture Capital Method '!C10</f>
        <v>798700</v>
      </c>
      <c r="D22" s="126"/>
      <c r="E22" s="131"/>
    </row>
    <row r="23" spans="2:5" ht="16.95" customHeight="1" x14ac:dyDescent="0.4">
      <c r="B23" s="126" t="s">
        <v>135</v>
      </c>
      <c r="C23" s="126">
        <f>C21+C22</f>
        <v>6798700</v>
      </c>
      <c r="D23" s="126"/>
      <c r="E23" s="131"/>
    </row>
    <row r="24" spans="2:5" ht="12.75" customHeight="1" x14ac:dyDescent="0.3">
      <c r="B24" s="12"/>
      <c r="C24" s="14"/>
      <c r="D24" s="12"/>
    </row>
    <row r="25" spans="2:5" ht="27" customHeight="1" x14ac:dyDescent="0.3">
      <c r="B25" s="161"/>
      <c r="C25" s="162"/>
      <c r="D25" s="162"/>
    </row>
    <row r="26" spans="2:5" ht="12.75" customHeight="1" x14ac:dyDescent="0.3">
      <c r="B26" s="12"/>
      <c r="C26" s="14"/>
      <c r="D26" s="12"/>
    </row>
    <row r="27" spans="2:5" ht="12.75" customHeight="1" x14ac:dyDescent="0.3">
      <c r="B27" s="12"/>
      <c r="C27" s="14"/>
      <c r="D27" s="12"/>
      <c r="E27" s="13" t="s">
        <v>31</v>
      </c>
    </row>
    <row r="28" spans="2:5" ht="12.75" customHeight="1" x14ac:dyDescent="0.3">
      <c r="B28" s="12"/>
      <c r="C28" s="14"/>
      <c r="D28" s="12"/>
    </row>
    <row r="29" spans="2:5" ht="12.75" customHeight="1" x14ac:dyDescent="0.3">
      <c r="B29" s="12"/>
      <c r="C29" s="14"/>
      <c r="D29" s="12"/>
    </row>
    <row r="30" spans="2:5" ht="12.75" customHeight="1" x14ac:dyDescent="0.3">
      <c r="B30" s="12"/>
      <c r="C30" s="14"/>
      <c r="D30" s="12"/>
    </row>
    <row r="31" spans="2:5" ht="12.75" customHeight="1" x14ac:dyDescent="0.3">
      <c r="B31" s="12"/>
      <c r="C31" s="14"/>
      <c r="D31" s="12"/>
    </row>
    <row r="32" spans="2:5" ht="12.75" customHeight="1" x14ac:dyDescent="0.3">
      <c r="B32" s="15" t="s">
        <v>19</v>
      </c>
      <c r="C32" s="5"/>
      <c r="D32" s="12"/>
    </row>
    <row r="33" spans="2:6" ht="12.75" customHeight="1" x14ac:dyDescent="0.3">
      <c r="B33" s="1"/>
      <c r="D33" s="12"/>
    </row>
    <row r="46" spans="2:6" ht="15" customHeight="1" x14ac:dyDescent="0.3">
      <c r="B46" s="57"/>
      <c r="C46" s="57"/>
      <c r="D46" s="57"/>
      <c r="E46" s="57"/>
      <c r="F46" s="57"/>
    </row>
  </sheetData>
  <mergeCells count="1">
    <mergeCell ref="B25:D25"/>
  </mergeCells>
  <pageMargins left="0.7" right="0.7" top="0.75" bottom="0.75" header="0.3" footer="0.3"/>
  <pageSetup scale="59" orientation="portrait" r:id="rId1"/>
  <colBreaks count="1" manualBreakCount="1">
    <brk id="5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/>
    <pageSetUpPr autoPageBreaks="0"/>
  </sheetPr>
  <dimension ref="A2:Z275"/>
  <sheetViews>
    <sheetView showGridLines="0" topLeftCell="A232" zoomScale="90" zoomScaleNormal="90" workbookViewId="0">
      <selection activeCell="J262" sqref="J262"/>
    </sheetView>
  </sheetViews>
  <sheetFormatPr defaultColWidth="9.109375" defaultRowHeight="14.4" outlineLevelRow="1" x14ac:dyDescent="0.3"/>
  <cols>
    <col min="1" max="2" width="2.6640625" style="18" customWidth="1"/>
    <col min="3" max="3" width="62" style="18" customWidth="1"/>
    <col min="4" max="4" width="13.33203125" style="18" customWidth="1"/>
    <col min="5" max="5" width="11.6640625" style="18" customWidth="1"/>
    <col min="6" max="6" width="15.44140625" style="18" customWidth="1"/>
    <col min="7" max="7" width="17.44140625" style="18" customWidth="1"/>
    <col min="8" max="8" width="15" style="18" customWidth="1"/>
    <col min="9" max="9" width="16.33203125" style="18" customWidth="1"/>
    <col min="10" max="10" width="14.88671875" style="18" customWidth="1"/>
    <col min="11" max="11" width="15.88671875" style="18" customWidth="1"/>
    <col min="12" max="13" width="11.5546875" style="19" bestFit="1" customWidth="1"/>
    <col min="14" max="16" width="11.109375" style="19" customWidth="1"/>
    <col min="17" max="28" width="10.6640625" style="18" customWidth="1"/>
    <col min="29" max="16384" width="9.109375" style="18"/>
  </cols>
  <sheetData>
    <row r="2" spans="2:18" x14ac:dyDescent="0.3">
      <c r="C2" s="2" t="s">
        <v>20</v>
      </c>
      <c r="D2" s="19"/>
      <c r="E2" s="19"/>
      <c r="F2" s="19"/>
      <c r="G2" s="19"/>
      <c r="H2" s="19"/>
      <c r="I2" s="19"/>
      <c r="J2" s="19"/>
      <c r="K2" s="19"/>
      <c r="Q2" s="19"/>
      <c r="R2" s="19"/>
    </row>
    <row r="3" spans="2:18" x14ac:dyDescent="0.3">
      <c r="B3"/>
      <c r="D3" s="19"/>
      <c r="E3" s="19"/>
      <c r="F3" s="19"/>
      <c r="G3" s="19"/>
      <c r="H3" s="19"/>
      <c r="I3" s="19"/>
      <c r="J3" s="19"/>
      <c r="K3" s="19"/>
      <c r="Q3" s="19"/>
      <c r="R3" s="19"/>
    </row>
    <row r="4" spans="2:18" ht="15.6" x14ac:dyDescent="0.3">
      <c r="B4"/>
      <c r="C4" s="15" t="s">
        <v>19</v>
      </c>
      <c r="D4" s="19"/>
      <c r="E4" s="19"/>
      <c r="F4" s="19"/>
      <c r="G4" s="19"/>
      <c r="H4" s="19"/>
      <c r="I4" s="19"/>
      <c r="J4" s="19"/>
      <c r="K4" s="19"/>
      <c r="Q4" s="19"/>
      <c r="R4" s="19"/>
    </row>
    <row r="5" spans="2:18" x14ac:dyDescent="0.3">
      <c r="B5"/>
      <c r="D5" s="19"/>
      <c r="E5" s="19"/>
      <c r="F5" s="19"/>
      <c r="G5" s="19"/>
      <c r="H5" s="19"/>
      <c r="I5" s="19"/>
      <c r="J5" s="19"/>
      <c r="K5" s="19"/>
      <c r="Q5" s="19"/>
      <c r="R5" s="19"/>
    </row>
    <row r="6" spans="2:18" x14ac:dyDescent="0.3">
      <c r="C6" s="19"/>
      <c r="D6" s="19"/>
      <c r="E6" s="19"/>
      <c r="F6" s="19"/>
      <c r="G6" s="19"/>
      <c r="H6" s="19"/>
      <c r="I6" s="19"/>
      <c r="J6" s="19"/>
      <c r="K6" s="19"/>
      <c r="Q6" s="19"/>
      <c r="R6" s="19"/>
    </row>
    <row r="7" spans="2:18" ht="17.399999999999999" x14ac:dyDescent="0.4">
      <c r="B7" s="3"/>
      <c r="C7" s="3"/>
      <c r="D7" s="3"/>
      <c r="E7" s="3"/>
      <c r="F7" s="3"/>
      <c r="G7" s="3"/>
      <c r="H7" s="3"/>
      <c r="I7" s="3"/>
      <c r="J7" s="3"/>
      <c r="K7" s="3"/>
    </row>
    <row r="8" spans="2:18" ht="17.399999999999999" x14ac:dyDescent="0.4">
      <c r="B8" s="36" t="str">
        <f>Company_Name&amp;" - DCF Assumptions &amp; Output:"</f>
        <v>TINCOIN - DCF Assumptions &amp; Output:</v>
      </c>
      <c r="C8" s="3"/>
      <c r="D8" s="3"/>
      <c r="E8" s="3"/>
      <c r="F8" s="3"/>
      <c r="G8" s="37"/>
      <c r="H8" s="3"/>
      <c r="I8" s="3"/>
      <c r="J8" s="3"/>
      <c r="K8" s="3"/>
    </row>
    <row r="9" spans="2:18" x14ac:dyDescent="0.3">
      <c r="C9" s="19"/>
      <c r="D9" s="19"/>
      <c r="E9" s="19"/>
      <c r="F9" s="19"/>
      <c r="G9" s="19"/>
      <c r="H9" s="19"/>
      <c r="I9" s="19"/>
      <c r="J9" s="19"/>
      <c r="K9" s="19"/>
      <c r="Q9" s="19"/>
      <c r="R9" s="19"/>
    </row>
    <row r="10" spans="2:18" x14ac:dyDescent="0.3">
      <c r="C10" t="s">
        <v>45</v>
      </c>
      <c r="D10"/>
      <c r="E10" s="97" t="s">
        <v>221</v>
      </c>
      <c r="F10" s="38"/>
      <c r="H10" s="19" t="s">
        <v>46</v>
      </c>
      <c r="K10" s="98">
        <v>0.15</v>
      </c>
    </row>
    <row r="11" spans="2:18" x14ac:dyDescent="0.3">
      <c r="C11"/>
      <c r="H11" s="19" t="s">
        <v>145</v>
      </c>
      <c r="I11" s="19"/>
      <c r="J11" s="19"/>
      <c r="K11" s="98">
        <v>0.6</v>
      </c>
    </row>
    <row r="12" spans="2:18" x14ac:dyDescent="0.3">
      <c r="C12" s="19"/>
      <c r="D12" s="19"/>
      <c r="E12" s="19"/>
      <c r="F12" s="19"/>
      <c r="G12" s="19"/>
    </row>
    <row r="13" spans="2:18" x14ac:dyDescent="0.3">
      <c r="C13" s="39" t="s">
        <v>47</v>
      </c>
      <c r="D13" s="99"/>
      <c r="E13" s="99"/>
      <c r="F13" s="99"/>
      <c r="G13" s="19"/>
      <c r="H13" s="39" t="s">
        <v>48</v>
      </c>
      <c r="I13" s="39"/>
      <c r="J13" s="39"/>
      <c r="K13" s="39"/>
    </row>
    <row r="14" spans="2:18" x14ac:dyDescent="0.3">
      <c r="G14" s="19"/>
      <c r="H14" s="19"/>
      <c r="I14" s="19"/>
      <c r="J14" s="19"/>
      <c r="K14" s="19"/>
    </row>
    <row r="15" spans="2:18" x14ac:dyDescent="0.3">
      <c r="C15" s="19" t="s">
        <v>182</v>
      </c>
      <c r="D15" s="19"/>
      <c r="E15" s="100"/>
      <c r="F15" s="40">
        <v>10</v>
      </c>
      <c r="G15" s="19"/>
      <c r="H15" s="19" t="s">
        <v>49</v>
      </c>
      <c r="I15" s="19"/>
      <c r="J15" s="100"/>
      <c r="K15" s="41">
        <v>0.35</v>
      </c>
    </row>
    <row r="16" spans="2:18" x14ac:dyDescent="0.3">
      <c r="C16" s="19" t="s">
        <v>50</v>
      </c>
      <c r="F16" s="101">
        <f>+Terminal_Multiple*K90</f>
        <v>203637745.57950005</v>
      </c>
      <c r="G16" s="19"/>
      <c r="H16" s="19" t="s">
        <v>50</v>
      </c>
      <c r="I16" s="19"/>
      <c r="J16" s="19"/>
      <c r="K16" s="101">
        <f>+K251*(1+Terminal_Growth_Rate)/(Discount_Rate-Terminal_Growth_Rate)</f>
        <v>80936601.700990528</v>
      </c>
    </row>
    <row r="17" spans="2:26" x14ac:dyDescent="0.3">
      <c r="C17" s="19" t="s">
        <v>51</v>
      </c>
      <c r="D17" s="19"/>
      <c r="E17" s="100"/>
      <c r="F17" s="41">
        <f>(F16*Discount_Rate-K251)/(K251+F16)</f>
        <v>0.49030941080432655</v>
      </c>
      <c r="G17" s="19"/>
      <c r="H17" s="19" t="s">
        <v>52</v>
      </c>
      <c r="K17" s="40">
        <f>+K16/K254</f>
        <v>4.59</v>
      </c>
      <c r="Q17" s="19"/>
      <c r="R17" s="19"/>
    </row>
    <row r="18" spans="2:26" x14ac:dyDescent="0.3">
      <c r="G18" s="19"/>
      <c r="H18" s="19"/>
      <c r="I18" s="19"/>
      <c r="J18" s="19"/>
      <c r="K18" s="19"/>
      <c r="Q18" s="19"/>
      <c r="R18" s="19"/>
    </row>
    <row r="19" spans="2:26" x14ac:dyDescent="0.3">
      <c r="C19" s="20" t="s">
        <v>53</v>
      </c>
      <c r="D19" s="19"/>
      <c r="E19" s="19"/>
      <c r="F19" s="101">
        <f>F16/((1+Discount_Rate)^$K$25)</f>
        <v>19420408.781003945</v>
      </c>
      <c r="G19" s="19"/>
      <c r="H19" s="20" t="s">
        <v>53</v>
      </c>
      <c r="I19" s="19"/>
      <c r="J19" s="19"/>
      <c r="K19" s="101">
        <f>K16/((1+Discount_Rate)^$K$25)</f>
        <v>7718715.8299437026</v>
      </c>
      <c r="Q19" s="19"/>
      <c r="R19" s="19"/>
    </row>
    <row r="20" spans="2:26" x14ac:dyDescent="0.3">
      <c r="C20" s="21" t="s">
        <v>54</v>
      </c>
      <c r="D20" s="22"/>
      <c r="E20" s="22"/>
      <c r="F20" s="23">
        <f>NPV(Discount_Rate,$G$251:$K$251)</f>
        <v>8452490.4492946845</v>
      </c>
      <c r="G20" s="19"/>
      <c r="H20" s="21" t="s">
        <v>54</v>
      </c>
      <c r="I20" s="22"/>
      <c r="J20" s="22"/>
      <c r="K20" s="23">
        <f>NPV(Discount_Rate,$G$251:$K$251)</f>
        <v>8452490.4492946845</v>
      </c>
      <c r="Q20" s="19"/>
      <c r="R20" s="19"/>
    </row>
    <row r="21" spans="2:26" x14ac:dyDescent="0.3">
      <c r="C21" s="102" t="s">
        <v>55</v>
      </c>
      <c r="D21" s="19"/>
      <c r="E21" s="19"/>
      <c r="F21" s="101">
        <f>SUM(F19:F20)</f>
        <v>27872899.230298631</v>
      </c>
      <c r="G21" s="19"/>
      <c r="H21" s="102" t="s">
        <v>55</v>
      </c>
      <c r="I21" s="19"/>
      <c r="J21" s="19"/>
      <c r="K21" s="101">
        <f>SUM(K19:K20)</f>
        <v>16171206.279238388</v>
      </c>
      <c r="Q21" s="19"/>
      <c r="R21" s="19"/>
    </row>
    <row r="22" spans="2:26" x14ac:dyDescent="0.3">
      <c r="G22" s="19"/>
      <c r="Q22" s="19"/>
      <c r="R22" s="19"/>
    </row>
    <row r="23" spans="2:26" x14ac:dyDescent="0.3">
      <c r="C23" s="19" t="s">
        <v>56</v>
      </c>
      <c r="F23" s="41">
        <f>+F19/F21</f>
        <v>0.69674878886992175</v>
      </c>
      <c r="G23" s="19"/>
      <c r="H23" s="19" t="s">
        <v>56</v>
      </c>
      <c r="K23" s="41">
        <f>+K19/K21</f>
        <v>0.47731231032860399</v>
      </c>
      <c r="Q23" s="19"/>
      <c r="R23" s="19"/>
    </row>
    <row r="24" spans="2:26" x14ac:dyDescent="0.3">
      <c r="C24" s="19"/>
      <c r="D24" s="19"/>
      <c r="E24" s="19"/>
      <c r="F24" s="19"/>
      <c r="G24" s="25"/>
      <c r="H24" s="26"/>
      <c r="I24" s="26"/>
      <c r="J24" s="26"/>
      <c r="K24" s="26"/>
      <c r="N24" s="24"/>
      <c r="Q24" s="19"/>
      <c r="R24" s="19"/>
    </row>
    <row r="25" spans="2:26" hidden="1" outlineLevel="1" x14ac:dyDescent="0.3">
      <c r="C25" s="19"/>
      <c r="D25" s="19"/>
      <c r="E25" s="19"/>
      <c r="F25" s="19"/>
      <c r="G25" s="25">
        <v>1</v>
      </c>
      <c r="H25" s="26">
        <f>+G25+1</f>
        <v>2</v>
      </c>
      <c r="I25" s="26">
        <f>+H25+1</f>
        <v>3</v>
      </c>
      <c r="J25" s="26">
        <f>+I25+1</f>
        <v>4</v>
      </c>
      <c r="K25" s="26">
        <f>+J25+1</f>
        <v>5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2:26" hidden="1" outlineLevel="1" x14ac:dyDescent="0.3">
      <c r="C26" s="19"/>
      <c r="D26" s="19"/>
      <c r="E26" s="19"/>
      <c r="F26" s="19"/>
      <c r="G26" s="25"/>
      <c r="H26" s="26"/>
      <c r="I26" s="26"/>
      <c r="J26" s="26"/>
      <c r="K26" s="26"/>
      <c r="Q26" s="19"/>
      <c r="R26" s="19"/>
    </row>
    <row r="27" spans="2:26" collapsed="1" x14ac:dyDescent="0.3">
      <c r="B27" s="63"/>
      <c r="C27" s="63"/>
      <c r="D27" s="63"/>
      <c r="E27" s="63"/>
      <c r="F27" s="63"/>
      <c r="G27" s="42" t="s">
        <v>57</v>
      </c>
      <c r="H27" s="43"/>
      <c r="I27" s="43"/>
      <c r="J27" s="43"/>
      <c r="K27" s="43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2:26" x14ac:dyDescent="0.3">
      <c r="B28" s="44"/>
      <c r="C28" s="44" t="s">
        <v>185</v>
      </c>
      <c r="D28" s="44"/>
      <c r="E28" s="44"/>
      <c r="F28" s="45" t="s">
        <v>58</v>
      </c>
      <c r="G28" s="46">
        <v>2023</v>
      </c>
      <c r="H28" s="46">
        <f>G28+1</f>
        <v>2024</v>
      </c>
      <c r="I28" s="46">
        <f>H28+1</f>
        <v>2025</v>
      </c>
      <c r="J28" s="46">
        <f>I28+1</f>
        <v>2026</v>
      </c>
      <c r="K28" s="46">
        <f>J28+1</f>
        <v>2027</v>
      </c>
      <c r="O28" s="2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2:26" x14ac:dyDescent="0.3">
      <c r="C29" s="19"/>
      <c r="D29" s="19"/>
      <c r="E29" s="19"/>
      <c r="F29" s="19"/>
      <c r="G29" s="102"/>
      <c r="H29" s="146"/>
      <c r="I29" s="146"/>
      <c r="J29" s="146"/>
      <c r="K29" s="146"/>
      <c r="N29" s="24"/>
      <c r="O29" s="24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2:26" x14ac:dyDescent="0.3">
      <c r="C30" s="19" t="s">
        <v>214</v>
      </c>
      <c r="D30" s="19"/>
      <c r="E30" s="19"/>
      <c r="F30" s="27" t="s">
        <v>61</v>
      </c>
      <c r="G30" s="31">
        <v>5160000000</v>
      </c>
      <c r="H30" s="31">
        <f>G30*(1+H31)</f>
        <v>5258000000</v>
      </c>
      <c r="I30" s="31">
        <f t="shared" ref="I30:J30" si="0">H30*(1+I31)</f>
        <v>5356000000</v>
      </c>
      <c r="J30" s="31">
        <f t="shared" si="0"/>
        <v>5454000000</v>
      </c>
      <c r="K30" s="31">
        <f>J30*(1+K31)</f>
        <v>5552000000</v>
      </c>
      <c r="N30" s="24"/>
      <c r="O30" s="24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2:26" x14ac:dyDescent="0.3">
      <c r="C31" s="20" t="s">
        <v>59</v>
      </c>
      <c r="D31" s="19"/>
      <c r="E31" s="19"/>
      <c r="F31" s="27" t="s">
        <v>60</v>
      </c>
      <c r="G31" s="52">
        <v>0</v>
      </c>
      <c r="H31" s="139">
        <v>1.8992248062015493E-2</v>
      </c>
      <c r="I31" s="139">
        <v>1.863826550019021E-2</v>
      </c>
      <c r="J31" s="139">
        <v>1.8297236743838763E-2</v>
      </c>
      <c r="K31" s="139">
        <v>1.7968463513017952E-2</v>
      </c>
      <c r="N31" s="24"/>
      <c r="O31" s="24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2:26" x14ac:dyDescent="0.3">
      <c r="C32" s="20"/>
      <c r="D32" s="19"/>
      <c r="E32" s="19"/>
      <c r="F32" s="27"/>
      <c r="G32" s="20"/>
      <c r="H32" s="20"/>
      <c r="I32" s="20"/>
      <c r="J32" s="20"/>
      <c r="K32" s="20"/>
      <c r="N32" s="24"/>
      <c r="O32" s="24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3:26" outlineLevel="1" x14ac:dyDescent="0.3">
      <c r="C33" s="103" t="s">
        <v>149</v>
      </c>
      <c r="D33" s="19"/>
      <c r="E33" s="19"/>
      <c r="F33" s="29" t="s">
        <v>61</v>
      </c>
      <c r="G33" s="28">
        <f>G30</f>
        <v>5160000000</v>
      </c>
      <c r="H33" s="28">
        <f t="shared" ref="H33:K33" si="1">H30</f>
        <v>5258000000</v>
      </c>
      <c r="I33" s="28">
        <f t="shared" si="1"/>
        <v>5356000000</v>
      </c>
      <c r="J33" s="28">
        <f t="shared" si="1"/>
        <v>5454000000</v>
      </c>
      <c r="K33" s="28">
        <f t="shared" si="1"/>
        <v>5552000000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3:26" outlineLevel="1" x14ac:dyDescent="0.3">
      <c r="C34" s="103" t="s">
        <v>115</v>
      </c>
      <c r="D34" s="19"/>
      <c r="E34" s="19"/>
      <c r="F34" s="29" t="s">
        <v>60</v>
      </c>
      <c r="G34" s="91">
        <v>0</v>
      </c>
      <c r="H34" s="91">
        <f>H33/G33-1</f>
        <v>1.8992248062015493E-2</v>
      </c>
      <c r="I34" s="91">
        <f>I33/H33-1</f>
        <v>1.863826550019021E-2</v>
      </c>
      <c r="J34" s="91">
        <f>J33/I33-1</f>
        <v>1.8297236743838763E-2</v>
      </c>
      <c r="K34" s="91">
        <f>K33/J33-1</f>
        <v>1.7968463513017952E-2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3:26" outlineLevel="1" x14ac:dyDescent="0.3">
      <c r="C35" s="103"/>
      <c r="D35" s="19"/>
      <c r="E35" s="19"/>
      <c r="F35" s="29"/>
      <c r="G35" s="103"/>
      <c r="H35" s="147"/>
      <c r="I35" s="147"/>
      <c r="J35" s="147"/>
      <c r="K35" s="147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3:26" outlineLevel="1" x14ac:dyDescent="0.3">
      <c r="C36" s="20" t="s">
        <v>215</v>
      </c>
      <c r="D36" s="19"/>
      <c r="E36" s="19"/>
      <c r="F36" s="27" t="s">
        <v>60</v>
      </c>
      <c r="G36" s="52">
        <v>0.11899999999999999</v>
      </c>
      <c r="H36" s="52">
        <v>0.1275</v>
      </c>
      <c r="I36" s="52">
        <v>0.13600000000000001</v>
      </c>
      <c r="J36" s="52">
        <v>0.14450000000000002</v>
      </c>
      <c r="K36" s="52">
        <v>0.15300000000000002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3:26" outlineLevel="1" x14ac:dyDescent="0.3">
      <c r="C37" s="20" t="s">
        <v>166</v>
      </c>
      <c r="D37" s="19"/>
      <c r="E37" s="19"/>
      <c r="F37" s="27" t="s">
        <v>61</v>
      </c>
      <c r="G37" s="31">
        <f>G36*G30</f>
        <v>614040000</v>
      </c>
      <c r="H37" s="31">
        <f>H36*H30</f>
        <v>670395000</v>
      </c>
      <c r="I37" s="31">
        <f>I36*I30</f>
        <v>728416000</v>
      </c>
      <c r="J37" s="31">
        <f>J36*J30</f>
        <v>788103000.00000012</v>
      </c>
      <c r="K37" s="31">
        <f>K36*K30</f>
        <v>849456000.00000012</v>
      </c>
      <c r="M37" s="93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3:26" outlineLevel="1" x14ac:dyDescent="0.3">
      <c r="C38" s="20"/>
      <c r="D38" s="19"/>
      <c r="E38" s="19"/>
      <c r="F38" s="27"/>
      <c r="G38" s="31"/>
      <c r="H38" s="31"/>
      <c r="I38" s="31"/>
      <c r="J38" s="31"/>
      <c r="K38" s="31"/>
      <c r="M38" s="93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3:26" outlineLevel="1" x14ac:dyDescent="0.3">
      <c r="C39" s="103" t="s">
        <v>161</v>
      </c>
      <c r="D39" s="19"/>
      <c r="E39" s="19"/>
      <c r="F39" s="29" t="s">
        <v>61</v>
      </c>
      <c r="G39" s="28">
        <f>G37</f>
        <v>614040000</v>
      </c>
      <c r="H39" s="28">
        <f t="shared" ref="H39:K39" si="2">H37</f>
        <v>670395000</v>
      </c>
      <c r="I39" s="28">
        <f t="shared" si="2"/>
        <v>728416000</v>
      </c>
      <c r="J39" s="28">
        <f t="shared" si="2"/>
        <v>788103000.00000012</v>
      </c>
      <c r="K39" s="28">
        <f t="shared" si="2"/>
        <v>849456000.00000012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3:26" outlineLevel="1" x14ac:dyDescent="0.3">
      <c r="C40" s="103" t="s">
        <v>160</v>
      </c>
      <c r="D40" s="19"/>
      <c r="E40" s="19"/>
      <c r="F40" s="27" t="s">
        <v>60</v>
      </c>
      <c r="G40" s="52"/>
      <c r="H40" s="52">
        <f>H39/G39-1</f>
        <v>9.1777408637873759E-2</v>
      </c>
      <c r="I40" s="52">
        <f t="shared" ref="I40:K40" si="3">I39/H39-1</f>
        <v>8.654748320020289E-2</v>
      </c>
      <c r="J40" s="52">
        <f t="shared" si="3"/>
        <v>8.1940814040328824E-2</v>
      </c>
      <c r="K40" s="52">
        <f t="shared" si="3"/>
        <v>7.7848961366724811E-2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3:26" outlineLevel="1" x14ac:dyDescent="0.3">
      <c r="C41" s="103"/>
      <c r="D41" s="19"/>
      <c r="E41" s="19"/>
      <c r="F41" s="27"/>
      <c r="G41" s="31"/>
      <c r="H41" s="31"/>
      <c r="I41" s="31"/>
      <c r="J41" s="31"/>
      <c r="K41" s="31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3:26" outlineLevel="1" x14ac:dyDescent="0.3">
      <c r="C42" s="20" t="s">
        <v>216</v>
      </c>
      <c r="D42" s="19"/>
      <c r="E42" s="19"/>
      <c r="F42" s="27" t="s">
        <v>60</v>
      </c>
      <c r="G42" s="139">
        <v>4.4999999999999998E-2</v>
      </c>
      <c r="H42" s="139">
        <f>G42*0.75</f>
        <v>3.3750000000000002E-2</v>
      </c>
      <c r="I42" s="139">
        <f t="shared" ref="I42:K42" si="4">H42*0.75</f>
        <v>2.5312500000000002E-2</v>
      </c>
      <c r="J42" s="139">
        <f t="shared" si="4"/>
        <v>1.8984375000000001E-2</v>
      </c>
      <c r="K42" s="139">
        <f t="shared" si="4"/>
        <v>1.4238281250000002E-2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3:26" outlineLevel="1" x14ac:dyDescent="0.3">
      <c r="C43" s="20" t="s">
        <v>167</v>
      </c>
      <c r="D43" s="19"/>
      <c r="E43" s="19"/>
      <c r="F43" s="27" t="s">
        <v>61</v>
      </c>
      <c r="G43" s="31">
        <f>G42*G37</f>
        <v>27631800</v>
      </c>
      <c r="H43" s="31">
        <f>H42*H37</f>
        <v>22625831.25</v>
      </c>
      <c r="I43" s="31">
        <f>I42*I37</f>
        <v>18438030</v>
      </c>
      <c r="J43" s="31">
        <f>J42*J37</f>
        <v>14961642.890625004</v>
      </c>
      <c r="K43" s="31">
        <f>K42*K37</f>
        <v>12094793.437500004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3:26" outlineLevel="1" x14ac:dyDescent="0.3">
      <c r="C44" s="20"/>
      <c r="D44" s="19"/>
      <c r="E44" s="19"/>
      <c r="F44" s="27"/>
      <c r="G44" s="31"/>
      <c r="H44" s="31"/>
      <c r="I44" s="31"/>
      <c r="J44" s="31"/>
      <c r="K44" s="31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3:26" outlineLevel="1" x14ac:dyDescent="0.3">
      <c r="C45" s="103" t="s">
        <v>150</v>
      </c>
      <c r="D45" s="19"/>
      <c r="E45" s="19"/>
      <c r="F45" s="29" t="s">
        <v>61</v>
      </c>
      <c r="G45" s="28">
        <f>G43</f>
        <v>27631800</v>
      </c>
      <c r="H45" s="28">
        <f t="shared" ref="H45:K45" si="5">H43</f>
        <v>22625831.25</v>
      </c>
      <c r="I45" s="28">
        <f t="shared" si="5"/>
        <v>18438030</v>
      </c>
      <c r="J45" s="28">
        <f t="shared" si="5"/>
        <v>14961642.890625004</v>
      </c>
      <c r="K45" s="28">
        <f t="shared" si="5"/>
        <v>12094793.437500004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3:26" outlineLevel="1" x14ac:dyDescent="0.3">
      <c r="C46" s="103" t="s">
        <v>115</v>
      </c>
      <c r="D46" s="19"/>
      <c r="E46" s="19"/>
      <c r="F46" s="29" t="s">
        <v>60</v>
      </c>
      <c r="G46" s="91">
        <v>0</v>
      </c>
      <c r="H46" s="132">
        <f>H45/G45-1</f>
        <v>-0.18116694352159468</v>
      </c>
      <c r="I46" s="132">
        <f>I45/H45-1</f>
        <v>-0.18508938759984783</v>
      </c>
      <c r="J46" s="132">
        <f>J45/I45-1</f>
        <v>-0.18854438946975338</v>
      </c>
      <c r="K46" s="132">
        <f>K45/J45-1</f>
        <v>-0.19161327897495628</v>
      </c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3:26" outlineLevel="1" x14ac:dyDescent="0.3">
      <c r="C47" s="103"/>
      <c r="D47" s="19"/>
      <c r="E47" s="19"/>
      <c r="F47" s="29"/>
      <c r="G47" s="103"/>
      <c r="H47" s="103"/>
      <c r="I47" s="103"/>
      <c r="J47" s="103"/>
      <c r="K47" s="103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3:26" outlineLevel="1" x14ac:dyDescent="0.3">
      <c r="C48" s="103" t="s">
        <v>168</v>
      </c>
      <c r="D48" s="19"/>
      <c r="E48" s="19"/>
      <c r="F48" s="29" t="s">
        <v>61</v>
      </c>
      <c r="G48" s="28">
        <f>G45</f>
        <v>27631800</v>
      </c>
      <c r="H48" s="28">
        <f>H45</f>
        <v>22625831.25</v>
      </c>
      <c r="I48" s="28">
        <f t="shared" ref="I48:K48" si="6">I45</f>
        <v>18438030</v>
      </c>
      <c r="J48" s="28">
        <f t="shared" si="6"/>
        <v>14961642.890625004</v>
      </c>
      <c r="K48" s="28">
        <f t="shared" si="6"/>
        <v>12094793.437500004</v>
      </c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3:26" outlineLevel="1" x14ac:dyDescent="0.3">
      <c r="C49" s="103"/>
      <c r="D49" s="19"/>
      <c r="E49" s="19"/>
      <c r="F49" s="29"/>
      <c r="G49" s="103"/>
      <c r="H49" s="103"/>
      <c r="I49" s="103"/>
      <c r="J49" s="103"/>
      <c r="K49" s="103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3:26" outlineLevel="1" x14ac:dyDescent="0.3">
      <c r="C50" s="20" t="s">
        <v>217</v>
      </c>
      <c r="D50" s="19"/>
      <c r="E50" s="19"/>
      <c r="F50" s="27" t="s">
        <v>61</v>
      </c>
      <c r="G50" s="140">
        <v>10</v>
      </c>
      <c r="H50" s="140">
        <v>5</v>
      </c>
      <c r="I50" s="140">
        <v>5</v>
      </c>
      <c r="J50" s="140">
        <v>5</v>
      </c>
      <c r="K50" s="140">
        <v>5</v>
      </c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3:26" outlineLevel="1" x14ac:dyDescent="0.3">
      <c r="C51" s="20"/>
      <c r="D51" s="19"/>
      <c r="E51" s="19"/>
      <c r="F51" s="27"/>
      <c r="G51" s="140"/>
      <c r="H51" s="140"/>
      <c r="I51" s="140"/>
      <c r="J51" s="140"/>
      <c r="K51" s="140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3:26" outlineLevel="1" x14ac:dyDescent="0.3">
      <c r="C52" s="103" t="s">
        <v>218</v>
      </c>
      <c r="D52" s="102"/>
      <c r="E52" s="102"/>
      <c r="F52" s="29" t="s">
        <v>61</v>
      </c>
      <c r="G52" s="28">
        <f>G48*G50</f>
        <v>276318000</v>
      </c>
      <c r="H52" s="28">
        <f t="shared" ref="H52:K52" si="7">H48*H50</f>
        <v>113129156.25</v>
      </c>
      <c r="I52" s="28">
        <f t="shared" si="7"/>
        <v>92190150</v>
      </c>
      <c r="J52" s="28">
        <f t="shared" si="7"/>
        <v>74808214.453125015</v>
      </c>
      <c r="K52" s="28">
        <f t="shared" si="7"/>
        <v>60473967.187500015</v>
      </c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3:26" outlineLevel="1" x14ac:dyDescent="0.3">
      <c r="C53" s="20"/>
      <c r="D53" s="19"/>
      <c r="E53" s="19"/>
      <c r="F53" s="27"/>
      <c r="G53" s="140"/>
      <c r="H53" s="140"/>
      <c r="I53" s="140"/>
      <c r="J53" s="140"/>
      <c r="K53" s="140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3:26" outlineLevel="1" x14ac:dyDescent="0.3">
      <c r="C54" s="20" t="s">
        <v>219</v>
      </c>
      <c r="D54" s="19"/>
      <c r="E54" s="19"/>
      <c r="F54" s="27" t="s">
        <v>108</v>
      </c>
      <c r="G54" s="157">
        <v>0.02</v>
      </c>
      <c r="H54" s="157">
        <v>0.03</v>
      </c>
      <c r="I54" s="157">
        <v>0.05</v>
      </c>
      <c r="J54" s="157">
        <v>7.4999999999999997E-2</v>
      </c>
      <c r="K54" s="157">
        <v>0.1</v>
      </c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3:26" outlineLevel="1" x14ac:dyDescent="0.3">
      <c r="C55" s="103"/>
      <c r="D55" s="19"/>
      <c r="E55" s="19"/>
      <c r="F55" s="29"/>
      <c r="G55" s="103"/>
      <c r="H55" s="103"/>
      <c r="I55" s="103"/>
      <c r="J55" s="103"/>
      <c r="K55" s="103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3:26" outlineLevel="1" x14ac:dyDescent="0.3">
      <c r="C56" s="103" t="s">
        <v>220</v>
      </c>
      <c r="D56" s="19"/>
      <c r="E56" s="19"/>
      <c r="F56" s="29" t="s">
        <v>108</v>
      </c>
      <c r="G56" s="28">
        <f>G52*G54</f>
        <v>5526360</v>
      </c>
      <c r="H56" s="28">
        <f t="shared" ref="H56:K56" si="8">H52*H54</f>
        <v>3393874.6875</v>
      </c>
      <c r="I56" s="28">
        <f t="shared" si="8"/>
        <v>4609507.5</v>
      </c>
      <c r="J56" s="28">
        <f t="shared" si="8"/>
        <v>5610616.0839843759</v>
      </c>
      <c r="K56" s="28">
        <f t="shared" si="8"/>
        <v>6047396.7187500019</v>
      </c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3:26" outlineLevel="1" x14ac:dyDescent="0.3">
      <c r="C57" s="103"/>
      <c r="D57" s="19"/>
      <c r="E57" s="19"/>
      <c r="F57" s="29"/>
      <c r="G57" s="28"/>
      <c r="H57" s="28"/>
      <c r="I57" s="28"/>
      <c r="J57" s="28"/>
      <c r="K57" s="28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3:26" outlineLevel="1" x14ac:dyDescent="0.3">
      <c r="C58" s="20" t="s">
        <v>222</v>
      </c>
      <c r="D58" s="19"/>
      <c r="E58" s="19"/>
      <c r="F58" s="27" t="s">
        <v>61</v>
      </c>
      <c r="G58" s="31">
        <v>963000000</v>
      </c>
      <c r="H58" s="31">
        <f>G58*(1+H59)</f>
        <v>1001520000</v>
      </c>
      <c r="I58" s="31">
        <f t="shared" ref="I58" si="9">H58*(1+I59)</f>
        <v>1041580800</v>
      </c>
      <c r="J58" s="31">
        <f t="shared" ref="J58" si="10">I58*(1+J59)</f>
        <v>1083244032</v>
      </c>
      <c r="K58" s="31">
        <f>J58*(1+K59)</f>
        <v>1126573793.28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3:26" outlineLevel="1" x14ac:dyDescent="0.3">
      <c r="C59" s="103" t="s">
        <v>115</v>
      </c>
      <c r="D59" s="19"/>
      <c r="E59" s="19"/>
      <c r="F59" s="29" t="s">
        <v>60</v>
      </c>
      <c r="G59" s="91">
        <v>0</v>
      </c>
      <c r="H59" s="132">
        <v>0.04</v>
      </c>
      <c r="I59" s="132">
        <v>0.04</v>
      </c>
      <c r="J59" s="132">
        <v>0.04</v>
      </c>
      <c r="K59" s="132">
        <v>0.04</v>
      </c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3:26" outlineLevel="1" x14ac:dyDescent="0.3">
      <c r="C60" s="103"/>
      <c r="D60" s="19"/>
      <c r="E60" s="19"/>
      <c r="F60" s="29"/>
      <c r="G60" s="28"/>
      <c r="H60" s="28"/>
      <c r="I60" s="28"/>
      <c r="J60" s="28"/>
      <c r="K60" s="28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3:26" outlineLevel="1" x14ac:dyDescent="0.3">
      <c r="C61" s="20" t="s">
        <v>223</v>
      </c>
      <c r="D61" s="19"/>
      <c r="E61" s="19"/>
      <c r="F61" s="29" t="s">
        <v>60</v>
      </c>
      <c r="G61" s="132">
        <v>0</v>
      </c>
      <c r="H61" s="159">
        <v>1E-3</v>
      </c>
      <c r="I61" s="159">
        <v>2E-3</v>
      </c>
      <c r="J61" s="159">
        <v>3.0000000000000001E-3</v>
      </c>
      <c r="K61" s="159">
        <v>4.0000000000000001E-3</v>
      </c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3:26" outlineLevel="1" x14ac:dyDescent="0.3">
      <c r="C62" s="20" t="s">
        <v>224</v>
      </c>
      <c r="D62" s="19"/>
      <c r="E62" s="19"/>
      <c r="F62" s="27" t="s">
        <v>61</v>
      </c>
      <c r="G62" s="28"/>
      <c r="H62" s="28">
        <f t="shared" ref="H62:K62" si="11">H58*H61</f>
        <v>1001520</v>
      </c>
      <c r="I62" s="28">
        <f t="shared" si="11"/>
        <v>2083161.6</v>
      </c>
      <c r="J62" s="28">
        <f t="shared" si="11"/>
        <v>3249732.0959999999</v>
      </c>
      <c r="K62" s="28">
        <f t="shared" si="11"/>
        <v>4506295.1731200004</v>
      </c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3:26" outlineLevel="1" x14ac:dyDescent="0.3">
      <c r="C63" s="103"/>
      <c r="D63" s="19"/>
      <c r="E63" s="19"/>
      <c r="F63" s="29"/>
      <c r="G63" s="28"/>
      <c r="H63" s="28"/>
      <c r="I63" s="28"/>
      <c r="J63" s="28"/>
      <c r="K63" s="28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3:26" outlineLevel="1" x14ac:dyDescent="0.3">
      <c r="C64" s="20" t="s">
        <v>225</v>
      </c>
      <c r="D64" s="19"/>
      <c r="E64" s="19"/>
      <c r="F64" s="27" t="s">
        <v>61</v>
      </c>
      <c r="G64" s="31">
        <v>0</v>
      </c>
      <c r="H64" s="31">
        <v>10</v>
      </c>
      <c r="I64" s="31">
        <v>10</v>
      </c>
      <c r="J64" s="31">
        <v>10</v>
      </c>
      <c r="K64" s="31">
        <v>10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3:26" outlineLevel="1" x14ac:dyDescent="0.3">
      <c r="C65" s="103"/>
      <c r="D65" s="19"/>
      <c r="E65" s="19"/>
      <c r="F65" s="29"/>
      <c r="G65" s="28"/>
      <c r="H65" s="28"/>
      <c r="I65" s="28"/>
      <c r="J65" s="28"/>
      <c r="K65" s="28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3:26" outlineLevel="1" x14ac:dyDescent="0.3">
      <c r="C66" s="103" t="s">
        <v>226</v>
      </c>
      <c r="D66" s="19"/>
      <c r="E66" s="19"/>
      <c r="F66" s="29" t="s">
        <v>141</v>
      </c>
      <c r="G66" s="28">
        <f>G62*G64</f>
        <v>0</v>
      </c>
      <c r="H66" s="28">
        <f t="shared" ref="H66:K66" si="12">H62*H64</f>
        <v>10015200</v>
      </c>
      <c r="I66" s="28">
        <f t="shared" si="12"/>
        <v>20831616</v>
      </c>
      <c r="J66" s="28">
        <f t="shared" si="12"/>
        <v>32497320.960000001</v>
      </c>
      <c r="K66" s="28">
        <f t="shared" si="12"/>
        <v>45062951.731200002</v>
      </c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3:26" outlineLevel="1" x14ac:dyDescent="0.3">
      <c r="C67" s="103"/>
      <c r="D67" s="19"/>
      <c r="E67" s="19"/>
      <c r="F67" s="29"/>
      <c r="G67" s="28"/>
      <c r="H67" s="28"/>
      <c r="I67" s="28"/>
      <c r="J67" s="28"/>
      <c r="K67" s="28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3:26" outlineLevel="1" x14ac:dyDescent="0.3">
      <c r="C68" s="103" t="s">
        <v>227</v>
      </c>
      <c r="D68" s="19"/>
      <c r="E68" s="19"/>
      <c r="F68" s="29" t="s">
        <v>60</v>
      </c>
      <c r="G68" s="132">
        <v>0</v>
      </c>
      <c r="H68" s="132">
        <v>0.1</v>
      </c>
      <c r="I68" s="132">
        <v>0.1</v>
      </c>
      <c r="J68" s="132">
        <v>0.1</v>
      </c>
      <c r="K68" s="132">
        <v>0.1</v>
      </c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3:26" outlineLevel="1" x14ac:dyDescent="0.3">
      <c r="C69" s="103"/>
      <c r="D69" s="19"/>
      <c r="E69" s="19"/>
      <c r="F69" s="29"/>
      <c r="G69" s="28"/>
      <c r="H69" s="28"/>
      <c r="I69" s="28"/>
      <c r="J69" s="28"/>
      <c r="K69" s="28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3:26" outlineLevel="1" x14ac:dyDescent="0.3">
      <c r="C70" s="103" t="s">
        <v>228</v>
      </c>
      <c r="D70" s="19"/>
      <c r="E70" s="19"/>
      <c r="F70" s="27" t="s">
        <v>61</v>
      </c>
      <c r="G70" s="28">
        <f>G66*G68</f>
        <v>0</v>
      </c>
      <c r="H70" s="28">
        <f t="shared" ref="H70:K70" si="13">H66*H68</f>
        <v>1001520</v>
      </c>
      <c r="I70" s="28">
        <f t="shared" si="13"/>
        <v>2083161.6</v>
      </c>
      <c r="J70" s="28">
        <f t="shared" si="13"/>
        <v>3249732.0960000004</v>
      </c>
      <c r="K70" s="28">
        <f t="shared" si="13"/>
        <v>4506295.1731200004</v>
      </c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3:26" outlineLevel="1" x14ac:dyDescent="0.3">
      <c r="C71" s="103"/>
      <c r="D71" s="19"/>
      <c r="E71" s="19"/>
      <c r="F71" s="29"/>
      <c r="G71" s="28"/>
      <c r="H71" s="28"/>
      <c r="I71" s="28"/>
      <c r="J71" s="28"/>
      <c r="K71" s="28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3:26" outlineLevel="1" x14ac:dyDescent="0.3">
      <c r="C72" s="103" t="s">
        <v>229</v>
      </c>
      <c r="D72" s="19"/>
      <c r="E72" s="19"/>
      <c r="F72" s="29" t="s">
        <v>108</v>
      </c>
      <c r="G72" s="28">
        <v>0</v>
      </c>
      <c r="H72" s="28">
        <v>10</v>
      </c>
      <c r="I72" s="28">
        <v>10</v>
      </c>
      <c r="J72" s="28">
        <v>10</v>
      </c>
      <c r="K72" s="28">
        <v>10</v>
      </c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3:26" outlineLevel="1" x14ac:dyDescent="0.3">
      <c r="C73" s="103"/>
      <c r="D73" s="19"/>
      <c r="E73" s="19"/>
      <c r="F73" s="29"/>
      <c r="G73" s="28"/>
      <c r="H73" s="28"/>
      <c r="I73" s="28"/>
      <c r="J73" s="28"/>
      <c r="K73" s="28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3:26" outlineLevel="1" x14ac:dyDescent="0.3">
      <c r="C74" s="103" t="s">
        <v>230</v>
      </c>
      <c r="D74" s="19"/>
      <c r="E74" s="19"/>
      <c r="F74" s="29" t="s">
        <v>60</v>
      </c>
      <c r="G74" s="132">
        <v>0</v>
      </c>
      <c r="H74" s="132">
        <v>0.1</v>
      </c>
      <c r="I74" s="132">
        <v>0.1</v>
      </c>
      <c r="J74" s="132">
        <v>0.1</v>
      </c>
      <c r="K74" s="132">
        <v>0.1</v>
      </c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3:26" outlineLevel="1" x14ac:dyDescent="0.3">
      <c r="C75" s="103"/>
      <c r="D75" s="19"/>
      <c r="E75" s="19"/>
      <c r="F75" s="29"/>
      <c r="G75" s="28"/>
      <c r="H75" s="28"/>
      <c r="I75" s="28"/>
      <c r="J75" s="28"/>
      <c r="K75" s="28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3:26" outlineLevel="1" x14ac:dyDescent="0.3">
      <c r="C76" s="103" t="s">
        <v>231</v>
      </c>
      <c r="D76" s="19"/>
      <c r="E76" s="19"/>
      <c r="F76" s="29" t="s">
        <v>108</v>
      </c>
      <c r="G76" s="28">
        <f>G70*G72*G74</f>
        <v>0</v>
      </c>
      <c r="H76" s="28">
        <f t="shared" ref="H76:K76" si="14">H70*H72*H74</f>
        <v>1001520</v>
      </c>
      <c r="I76" s="28">
        <f t="shared" si="14"/>
        <v>2083161.6</v>
      </c>
      <c r="J76" s="28">
        <f t="shared" si="14"/>
        <v>3249732.0960000008</v>
      </c>
      <c r="K76" s="28">
        <f t="shared" si="14"/>
        <v>4506295.1731200004</v>
      </c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3:26" outlineLevel="1" x14ac:dyDescent="0.3">
      <c r="C77" s="103"/>
      <c r="D77" s="19"/>
      <c r="E77" s="19"/>
      <c r="F77" s="29"/>
      <c r="G77" s="28"/>
      <c r="H77" s="28"/>
      <c r="I77" s="28"/>
      <c r="J77" s="28"/>
      <c r="K77" s="28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3:26" outlineLevel="1" x14ac:dyDescent="0.3">
      <c r="C78" s="20" t="s">
        <v>232</v>
      </c>
      <c r="D78" s="19"/>
      <c r="E78" s="19"/>
      <c r="F78" s="27" t="s">
        <v>61</v>
      </c>
      <c r="G78" s="31">
        <v>201400</v>
      </c>
      <c r="H78" s="31">
        <f>G78*(1+H79)</f>
        <v>205428</v>
      </c>
      <c r="I78" s="31">
        <f t="shared" ref="I78" si="15">H78*(1+I79)</f>
        <v>209536.56</v>
      </c>
      <c r="J78" s="31">
        <f t="shared" ref="J78" si="16">I78*(1+J79)</f>
        <v>213727.29120000001</v>
      </c>
      <c r="K78" s="31">
        <f>J78*(1+K79)</f>
        <v>218001.83702400001</v>
      </c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3:26" outlineLevel="1" x14ac:dyDescent="0.3">
      <c r="C79" s="103" t="s">
        <v>115</v>
      </c>
      <c r="D79" s="19"/>
      <c r="E79" s="19"/>
      <c r="F79" s="29" t="s">
        <v>60</v>
      </c>
      <c r="G79" s="91">
        <v>0</v>
      </c>
      <c r="H79" s="132">
        <v>0.02</v>
      </c>
      <c r="I79" s="132">
        <v>0.02</v>
      </c>
      <c r="J79" s="132">
        <v>0.02</v>
      </c>
      <c r="K79" s="132">
        <v>0.02</v>
      </c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3:26" outlineLevel="1" x14ac:dyDescent="0.3">
      <c r="C80" s="103"/>
      <c r="D80" s="19"/>
      <c r="E80" s="19"/>
      <c r="F80" s="29"/>
      <c r="G80" s="28"/>
      <c r="H80" s="28"/>
      <c r="I80" s="28"/>
      <c r="J80" s="28"/>
      <c r="K80" s="28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3:26" outlineLevel="1" x14ac:dyDescent="0.3">
      <c r="C81" s="20" t="s">
        <v>233</v>
      </c>
      <c r="D81" s="19"/>
      <c r="E81" s="19"/>
      <c r="F81" s="29" t="s">
        <v>60</v>
      </c>
      <c r="G81" s="132">
        <v>0</v>
      </c>
      <c r="H81" s="159">
        <v>0</v>
      </c>
      <c r="I81" s="159">
        <v>2.5000000000000001E-2</v>
      </c>
      <c r="J81" s="159">
        <v>0.05</v>
      </c>
      <c r="K81" s="159">
        <v>7.4999999999999997E-2</v>
      </c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3:26" outlineLevel="1" x14ac:dyDescent="0.3">
      <c r="C82" s="20" t="s">
        <v>234</v>
      </c>
      <c r="D82" s="19"/>
      <c r="E82" s="19"/>
      <c r="F82" s="27" t="s">
        <v>61</v>
      </c>
      <c r="G82" s="28">
        <v>0</v>
      </c>
      <c r="H82" s="28">
        <f t="shared" ref="H82" si="17">H78*H81</f>
        <v>0</v>
      </c>
      <c r="I82" s="28">
        <f t="shared" ref="I82" si="18">I78*I81</f>
        <v>5238.4140000000007</v>
      </c>
      <c r="J82" s="28">
        <f t="shared" ref="J82" si="19">J78*J81</f>
        <v>10686.364560000002</v>
      </c>
      <c r="K82" s="28">
        <f t="shared" ref="K82" si="20">K78*K81</f>
        <v>16350.1377768</v>
      </c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3:26" outlineLevel="1" x14ac:dyDescent="0.3">
      <c r="C83" s="103"/>
      <c r="D83" s="19"/>
      <c r="E83" s="19"/>
      <c r="F83" s="29"/>
      <c r="G83" s="28"/>
      <c r="H83" s="28"/>
      <c r="I83" s="28"/>
      <c r="J83" s="28"/>
      <c r="K83" s="28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3:26" outlineLevel="1" x14ac:dyDescent="0.3">
      <c r="C84" s="103" t="s">
        <v>235</v>
      </c>
      <c r="D84" s="19"/>
      <c r="E84" s="19"/>
      <c r="F84" s="29" t="s">
        <v>108</v>
      </c>
      <c r="G84" s="28">
        <v>0</v>
      </c>
      <c r="H84" s="28">
        <v>0</v>
      </c>
      <c r="I84" s="28">
        <v>12000</v>
      </c>
      <c r="J84" s="28">
        <v>12000</v>
      </c>
      <c r="K84" s="28">
        <v>12000</v>
      </c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3:26" outlineLevel="1" x14ac:dyDescent="0.3">
      <c r="C85" s="103"/>
      <c r="D85" s="19"/>
      <c r="E85" s="19"/>
      <c r="F85" s="29"/>
      <c r="G85" s="28"/>
      <c r="H85" s="28"/>
      <c r="I85" s="28"/>
      <c r="J85" s="28"/>
      <c r="K85" s="28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3:26" outlineLevel="1" x14ac:dyDescent="0.3">
      <c r="C86" s="103" t="s">
        <v>236</v>
      </c>
      <c r="D86" s="19"/>
      <c r="E86" s="19"/>
      <c r="F86" s="29" t="s">
        <v>60</v>
      </c>
      <c r="G86" s="132">
        <v>0</v>
      </c>
      <c r="H86" s="132">
        <v>0</v>
      </c>
      <c r="I86" s="132">
        <v>0.05</v>
      </c>
      <c r="J86" s="132">
        <v>0.05</v>
      </c>
      <c r="K86" s="132">
        <v>0.05</v>
      </c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3:26" outlineLevel="1" x14ac:dyDescent="0.3">
      <c r="C87" s="103"/>
      <c r="D87" s="19"/>
      <c r="E87" s="19"/>
      <c r="F87" s="29"/>
      <c r="G87" s="28"/>
      <c r="H87" s="28"/>
      <c r="I87" s="28"/>
      <c r="J87" s="28"/>
      <c r="K87" s="28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3:26" outlineLevel="1" x14ac:dyDescent="0.3">
      <c r="C88" s="103" t="s">
        <v>237</v>
      </c>
      <c r="D88" s="19"/>
      <c r="E88" s="19"/>
      <c r="F88" s="29" t="s">
        <v>108</v>
      </c>
      <c r="G88" s="28">
        <f>G82*G84*G86</f>
        <v>0</v>
      </c>
      <c r="H88" s="28">
        <f t="shared" ref="H88:K88" si="21">H82*H84*H86</f>
        <v>0</v>
      </c>
      <c r="I88" s="28">
        <f>I82*I84*I86</f>
        <v>3143048.4000000004</v>
      </c>
      <c r="J88" s="28">
        <f t="shared" si="21"/>
        <v>6411818.7360000014</v>
      </c>
      <c r="K88" s="28">
        <f t="shared" si="21"/>
        <v>9810082.6660799999</v>
      </c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3:26" outlineLevel="1" x14ac:dyDescent="0.3">
      <c r="C89" s="103"/>
      <c r="D89" s="19"/>
      <c r="E89" s="19"/>
      <c r="F89" s="29"/>
      <c r="G89" s="28"/>
      <c r="H89" s="28"/>
      <c r="I89" s="28"/>
      <c r="J89" s="28"/>
      <c r="K89" s="28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3:26" outlineLevel="1" x14ac:dyDescent="0.3">
      <c r="C90" s="103" t="s">
        <v>151</v>
      </c>
      <c r="D90" s="93"/>
      <c r="E90" s="19"/>
      <c r="F90" s="29" t="s">
        <v>108</v>
      </c>
      <c r="G90" s="28">
        <f>G56+G76+G88</f>
        <v>5526360</v>
      </c>
      <c r="H90" s="28">
        <f t="shared" ref="H90:K90" si="22">H56+H76+H88</f>
        <v>4395394.6875</v>
      </c>
      <c r="I90" s="28">
        <f t="shared" si="22"/>
        <v>9835717.5</v>
      </c>
      <c r="J90" s="28">
        <f t="shared" si="22"/>
        <v>15272166.915984377</v>
      </c>
      <c r="K90" s="28">
        <f t="shared" si="22"/>
        <v>20363774.557950005</v>
      </c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3:26" outlineLevel="1" x14ac:dyDescent="0.3">
      <c r="C91" s="103" t="s">
        <v>152</v>
      </c>
      <c r="D91" s="93"/>
      <c r="E91" s="19"/>
      <c r="F91" s="29" t="s">
        <v>60</v>
      </c>
      <c r="G91" s="91">
        <v>0</v>
      </c>
      <c r="H91" s="132">
        <f>H90/G90-1</f>
        <v>-0.20464922887759751</v>
      </c>
      <c r="I91" s="132">
        <f>I90/H90-1</f>
        <v>1.237732490320302</v>
      </c>
      <c r="J91" s="132">
        <f>J90/I90-1</f>
        <v>0.5527252501898694</v>
      </c>
      <c r="K91" s="132">
        <f>K90/J90-1</f>
        <v>0.33339130393058869</v>
      </c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3:26" outlineLevel="1" x14ac:dyDescent="0.3">
      <c r="C92" s="20"/>
      <c r="D92" s="93"/>
      <c r="E92" s="19"/>
      <c r="F92" s="29"/>
      <c r="G92" s="28"/>
      <c r="H92" s="28"/>
      <c r="I92" s="28"/>
      <c r="J92" s="28"/>
      <c r="K92" s="28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3:26" outlineLevel="1" x14ac:dyDescent="0.3">
      <c r="C93" s="30" t="s">
        <v>73</v>
      </c>
      <c r="D93" s="19"/>
      <c r="E93" s="19"/>
      <c r="F93" s="29" t="s">
        <v>108</v>
      </c>
      <c r="G93" s="28">
        <f>G98+G103+G108+G113+G118+G123+G128</f>
        <v>75600</v>
      </c>
      <c r="H93" s="28">
        <f t="shared" ref="H93:K93" si="23">H98+H103+H108+H113+H118+H123+H128</f>
        <v>154800</v>
      </c>
      <c r="I93" s="28">
        <f t="shared" si="23"/>
        <v>183600</v>
      </c>
      <c r="J93" s="28">
        <f t="shared" si="23"/>
        <v>219600</v>
      </c>
      <c r="K93" s="28">
        <f t="shared" si="23"/>
        <v>262800</v>
      </c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3:26" outlineLevel="1" x14ac:dyDescent="0.3">
      <c r="C94" s="20"/>
      <c r="D94" s="19"/>
      <c r="E94" s="19"/>
      <c r="F94" s="27"/>
      <c r="G94" s="138"/>
      <c r="H94" s="138"/>
      <c r="I94" s="138"/>
      <c r="J94" s="138"/>
      <c r="K94" s="138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3:26" outlineLevel="1" x14ac:dyDescent="0.3">
      <c r="C95" s="33" t="s">
        <v>142</v>
      </c>
      <c r="D95" s="19"/>
      <c r="E95" s="19"/>
      <c r="F95" s="27" t="s">
        <v>61</v>
      </c>
      <c r="G95" s="31">
        <v>1</v>
      </c>
      <c r="H95" s="31">
        <v>1</v>
      </c>
      <c r="I95" s="31">
        <v>1</v>
      </c>
      <c r="J95" s="31">
        <v>1</v>
      </c>
      <c r="K95" s="31">
        <v>1</v>
      </c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3:26" outlineLevel="1" x14ac:dyDescent="0.3">
      <c r="C96" s="33" t="s">
        <v>143</v>
      </c>
      <c r="D96" s="19"/>
      <c r="E96" s="19"/>
      <c r="F96" s="27" t="s">
        <v>108</v>
      </c>
      <c r="G96" s="31">
        <v>2000</v>
      </c>
      <c r="H96" s="31">
        <v>2400</v>
      </c>
      <c r="I96" s="31">
        <v>3000</v>
      </c>
      <c r="J96" s="31">
        <v>3800</v>
      </c>
      <c r="K96" s="31">
        <v>5000</v>
      </c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3:26" outlineLevel="1" x14ac:dyDescent="0.3">
      <c r="C97" s="33" t="s">
        <v>144</v>
      </c>
      <c r="D97" s="19"/>
      <c r="E97" s="19"/>
      <c r="F97" s="27" t="s">
        <v>141</v>
      </c>
      <c r="G97" s="31">
        <v>7</v>
      </c>
      <c r="H97" s="31">
        <v>12</v>
      </c>
      <c r="I97" s="31">
        <v>12</v>
      </c>
      <c r="J97" s="31">
        <v>12</v>
      </c>
      <c r="K97" s="31">
        <v>12</v>
      </c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3:26" outlineLevel="1" x14ac:dyDescent="0.3">
      <c r="C98" s="30" t="s">
        <v>109</v>
      </c>
      <c r="D98" s="19"/>
      <c r="E98" s="19"/>
      <c r="F98" s="29" t="s">
        <v>108</v>
      </c>
      <c r="G98" s="28">
        <f>G95*G96*G97</f>
        <v>14000</v>
      </c>
      <c r="H98" s="28">
        <f>H95*H96*H97</f>
        <v>28800</v>
      </c>
      <c r="I98" s="28">
        <f>I95*I96*I97</f>
        <v>36000</v>
      </c>
      <c r="J98" s="28">
        <f>J95*J96*J97</f>
        <v>45600</v>
      </c>
      <c r="K98" s="28">
        <f>K95*K96*K97</f>
        <v>60000</v>
      </c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3:26" outlineLevel="1" x14ac:dyDescent="0.3">
      <c r="C99" s="20"/>
      <c r="D99" s="95"/>
      <c r="E99" s="19"/>
      <c r="F99" s="27"/>
      <c r="G99" s="31"/>
      <c r="H99" s="31"/>
      <c r="I99" s="31"/>
      <c r="J99" s="31"/>
      <c r="K99" s="31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3:26" outlineLevel="1" x14ac:dyDescent="0.3">
      <c r="C100" s="33" t="s">
        <v>199</v>
      </c>
      <c r="D100" s="19"/>
      <c r="E100" s="19"/>
      <c r="F100" s="27" t="s">
        <v>61</v>
      </c>
      <c r="G100" s="31">
        <v>1</v>
      </c>
      <c r="H100" s="31">
        <v>1</v>
      </c>
      <c r="I100" s="31">
        <v>1</v>
      </c>
      <c r="J100" s="31">
        <v>1</v>
      </c>
      <c r="K100" s="31">
        <v>1</v>
      </c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3:26" outlineLevel="1" x14ac:dyDescent="0.3">
      <c r="C101" s="33" t="s">
        <v>143</v>
      </c>
      <c r="D101" s="19"/>
      <c r="E101" s="19"/>
      <c r="F101" s="27" t="s">
        <v>108</v>
      </c>
      <c r="G101" s="31">
        <v>1800</v>
      </c>
      <c r="H101" s="31">
        <v>2000</v>
      </c>
      <c r="I101" s="31">
        <v>2200</v>
      </c>
      <c r="J101" s="31">
        <v>2500</v>
      </c>
      <c r="K101" s="31">
        <v>3000</v>
      </c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3:26" outlineLevel="1" x14ac:dyDescent="0.3">
      <c r="C102" s="33" t="s">
        <v>144</v>
      </c>
      <c r="D102" s="19"/>
      <c r="E102" s="19"/>
      <c r="F102" s="27" t="s">
        <v>141</v>
      </c>
      <c r="G102" s="31">
        <v>7</v>
      </c>
      <c r="H102" s="31">
        <v>12</v>
      </c>
      <c r="I102" s="31">
        <v>12</v>
      </c>
      <c r="J102" s="31">
        <v>12</v>
      </c>
      <c r="K102" s="31">
        <v>12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3:26" outlineLevel="1" x14ac:dyDescent="0.3">
      <c r="C103" s="30" t="s">
        <v>109</v>
      </c>
      <c r="D103" s="19"/>
      <c r="E103" s="19"/>
      <c r="F103" s="29" t="s">
        <v>108</v>
      </c>
      <c r="G103" s="28">
        <f>G100*G101*G102</f>
        <v>12600</v>
      </c>
      <c r="H103" s="28">
        <f>H100*H101*H102</f>
        <v>24000</v>
      </c>
      <c r="I103" s="28">
        <f>I100*I101*I102</f>
        <v>26400</v>
      </c>
      <c r="J103" s="28">
        <f>J100*J101*J102</f>
        <v>30000</v>
      </c>
      <c r="K103" s="28">
        <f>K100*K101*K102</f>
        <v>36000</v>
      </c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3:26" outlineLevel="1" x14ac:dyDescent="0.3">
      <c r="C104" s="30"/>
      <c r="D104" s="19"/>
      <c r="E104" s="19"/>
      <c r="F104" s="29"/>
      <c r="G104" s="28"/>
      <c r="H104" s="28"/>
      <c r="I104" s="28"/>
      <c r="J104" s="28"/>
      <c r="K104" s="28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3:26" outlineLevel="1" x14ac:dyDescent="0.3">
      <c r="C105" s="33" t="s">
        <v>200</v>
      </c>
      <c r="D105" s="19"/>
      <c r="E105" s="19"/>
      <c r="F105" s="27" t="s">
        <v>61</v>
      </c>
      <c r="G105" s="31">
        <v>1</v>
      </c>
      <c r="H105" s="31">
        <v>1</v>
      </c>
      <c r="I105" s="31">
        <v>1</v>
      </c>
      <c r="J105" s="31">
        <v>1</v>
      </c>
      <c r="K105" s="31">
        <v>1</v>
      </c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3:26" outlineLevel="1" x14ac:dyDescent="0.3">
      <c r="C106" s="33" t="s">
        <v>143</v>
      </c>
      <c r="D106" s="19"/>
      <c r="E106" s="19"/>
      <c r="F106" s="27" t="s">
        <v>108</v>
      </c>
      <c r="G106" s="31">
        <v>1500</v>
      </c>
      <c r="H106" s="31">
        <v>1700</v>
      </c>
      <c r="I106" s="31">
        <v>2000</v>
      </c>
      <c r="J106" s="31">
        <v>2300</v>
      </c>
      <c r="K106" s="31">
        <v>2800</v>
      </c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3:26" outlineLevel="1" x14ac:dyDescent="0.3">
      <c r="C107" s="33" t="s">
        <v>144</v>
      </c>
      <c r="D107" s="19"/>
      <c r="E107" s="19"/>
      <c r="F107" s="27" t="s">
        <v>141</v>
      </c>
      <c r="G107" s="31">
        <v>7</v>
      </c>
      <c r="H107" s="31">
        <v>12</v>
      </c>
      <c r="I107" s="31">
        <v>12</v>
      </c>
      <c r="J107" s="31">
        <v>12</v>
      </c>
      <c r="K107" s="31">
        <v>12</v>
      </c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3:26" outlineLevel="1" x14ac:dyDescent="0.3">
      <c r="C108" s="30" t="s">
        <v>109</v>
      </c>
      <c r="D108" s="19"/>
      <c r="E108" s="19"/>
      <c r="F108" s="29" t="s">
        <v>108</v>
      </c>
      <c r="G108" s="28">
        <f>G105*G106*G107</f>
        <v>10500</v>
      </c>
      <c r="H108" s="28">
        <f>H105*H106*H107</f>
        <v>20400</v>
      </c>
      <c r="I108" s="28">
        <f>I105*I106*I107</f>
        <v>24000</v>
      </c>
      <c r="J108" s="28">
        <f>J105*J106*J107</f>
        <v>27600</v>
      </c>
      <c r="K108" s="28">
        <f>K105*K106*K107</f>
        <v>33600</v>
      </c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3:26" outlineLevel="1" x14ac:dyDescent="0.3">
      <c r="C109" s="30"/>
      <c r="D109" s="19"/>
      <c r="E109" s="19"/>
      <c r="F109" s="29"/>
      <c r="G109" s="28"/>
      <c r="H109" s="28"/>
      <c r="I109" s="28"/>
      <c r="J109" s="28"/>
      <c r="K109" s="28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3:26" outlineLevel="1" x14ac:dyDescent="0.3">
      <c r="C110" s="33" t="s">
        <v>164</v>
      </c>
      <c r="D110" s="19"/>
      <c r="E110" s="19"/>
      <c r="F110" s="27" t="s">
        <v>61</v>
      </c>
      <c r="G110" s="31">
        <v>1</v>
      </c>
      <c r="H110" s="31">
        <v>1</v>
      </c>
      <c r="I110" s="31">
        <v>1</v>
      </c>
      <c r="J110" s="31">
        <v>1</v>
      </c>
      <c r="K110" s="31">
        <v>1</v>
      </c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3:26" outlineLevel="1" x14ac:dyDescent="0.3">
      <c r="C111" s="33" t="s">
        <v>143</v>
      </c>
      <c r="D111" s="19"/>
      <c r="E111" s="19"/>
      <c r="F111" s="27" t="s">
        <v>108</v>
      </c>
      <c r="G111" s="31">
        <v>2500</v>
      </c>
      <c r="H111" s="31">
        <v>3000</v>
      </c>
      <c r="I111" s="31">
        <v>3500</v>
      </c>
      <c r="J111" s="31">
        <v>4000</v>
      </c>
      <c r="K111" s="31">
        <v>4500</v>
      </c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3:26" outlineLevel="1" x14ac:dyDescent="0.3">
      <c r="C112" s="33" t="s">
        <v>144</v>
      </c>
      <c r="D112" s="19"/>
      <c r="E112" s="19"/>
      <c r="F112" s="27" t="s">
        <v>141</v>
      </c>
      <c r="G112" s="31">
        <v>7</v>
      </c>
      <c r="H112" s="31">
        <v>12</v>
      </c>
      <c r="I112" s="31">
        <v>12</v>
      </c>
      <c r="J112" s="31">
        <v>12</v>
      </c>
      <c r="K112" s="31">
        <v>12</v>
      </c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3:26" outlineLevel="1" x14ac:dyDescent="0.3">
      <c r="C113" s="30" t="s">
        <v>109</v>
      </c>
      <c r="D113" s="19"/>
      <c r="E113" s="19"/>
      <c r="F113" s="29" t="s">
        <v>108</v>
      </c>
      <c r="G113" s="28">
        <f>G110*G111*G112</f>
        <v>17500</v>
      </c>
      <c r="H113" s="28">
        <f>H110*H111*H112</f>
        <v>36000</v>
      </c>
      <c r="I113" s="28">
        <f>I110*I111*I112</f>
        <v>42000</v>
      </c>
      <c r="J113" s="28">
        <f>J110*J111*J112</f>
        <v>48000</v>
      </c>
      <c r="K113" s="28">
        <f>K110*K111*K112</f>
        <v>54000</v>
      </c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3:26" outlineLevel="1" x14ac:dyDescent="0.3">
      <c r="C114" s="30"/>
      <c r="D114" s="19"/>
      <c r="E114" s="19"/>
      <c r="F114" s="29"/>
      <c r="G114" s="28"/>
      <c r="H114" s="28"/>
      <c r="I114" s="28"/>
      <c r="J114" s="28"/>
      <c r="K114" s="28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3:26" outlineLevel="1" x14ac:dyDescent="0.3">
      <c r="C115" s="33" t="s">
        <v>201</v>
      </c>
      <c r="D115" s="19"/>
      <c r="E115" s="19"/>
      <c r="F115" s="27" t="s">
        <v>61</v>
      </c>
      <c r="G115" s="31">
        <v>1</v>
      </c>
      <c r="H115" s="31">
        <v>1</v>
      </c>
      <c r="I115" s="31">
        <v>1</v>
      </c>
      <c r="J115" s="31">
        <v>1</v>
      </c>
      <c r="K115" s="31">
        <v>1</v>
      </c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3:26" outlineLevel="1" x14ac:dyDescent="0.3">
      <c r="C116" s="33" t="s">
        <v>143</v>
      </c>
      <c r="D116" s="19"/>
      <c r="E116" s="19"/>
      <c r="F116" s="27" t="s">
        <v>108</v>
      </c>
      <c r="G116" s="31">
        <v>1200</v>
      </c>
      <c r="H116" s="31">
        <v>1500</v>
      </c>
      <c r="I116" s="31">
        <v>1800</v>
      </c>
      <c r="J116" s="31">
        <v>2200</v>
      </c>
      <c r="K116" s="31">
        <v>2500</v>
      </c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3:26" outlineLevel="1" x14ac:dyDescent="0.3">
      <c r="C117" s="33" t="s">
        <v>144</v>
      </c>
      <c r="D117" s="19"/>
      <c r="E117" s="19"/>
      <c r="F117" s="27" t="s">
        <v>141</v>
      </c>
      <c r="G117" s="31">
        <v>7</v>
      </c>
      <c r="H117" s="31">
        <v>12</v>
      </c>
      <c r="I117" s="31">
        <v>12</v>
      </c>
      <c r="J117" s="31">
        <v>12</v>
      </c>
      <c r="K117" s="31">
        <v>12</v>
      </c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3:26" outlineLevel="1" x14ac:dyDescent="0.3">
      <c r="C118" s="30" t="s">
        <v>109</v>
      </c>
      <c r="D118" s="19"/>
      <c r="E118" s="19"/>
      <c r="F118" s="29" t="s">
        <v>108</v>
      </c>
      <c r="G118" s="28">
        <f>G115*G116*G117</f>
        <v>8400</v>
      </c>
      <c r="H118" s="28">
        <f>H115*H116*H117</f>
        <v>18000</v>
      </c>
      <c r="I118" s="28">
        <f>I115*I116*I117</f>
        <v>21600</v>
      </c>
      <c r="J118" s="28">
        <f>J115*J116*J117</f>
        <v>26400</v>
      </c>
      <c r="K118" s="28">
        <f>K115*K116*K117</f>
        <v>30000</v>
      </c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3:26" outlineLevel="1" x14ac:dyDescent="0.3">
      <c r="C119" s="30"/>
      <c r="D119" s="19"/>
      <c r="E119" s="19"/>
      <c r="F119" s="29"/>
      <c r="G119" s="28"/>
      <c r="H119" s="28"/>
      <c r="I119" s="28"/>
      <c r="J119" s="28"/>
      <c r="K119" s="28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3:26" outlineLevel="1" x14ac:dyDescent="0.3">
      <c r="C120" s="33" t="s">
        <v>169</v>
      </c>
      <c r="D120" s="19"/>
      <c r="E120" s="19"/>
      <c r="F120" s="27" t="s">
        <v>61</v>
      </c>
      <c r="G120" s="31">
        <v>1</v>
      </c>
      <c r="H120" s="31">
        <v>1</v>
      </c>
      <c r="I120" s="31">
        <v>1</v>
      </c>
      <c r="J120" s="31">
        <v>1</v>
      </c>
      <c r="K120" s="31">
        <v>1</v>
      </c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3:26" outlineLevel="1" x14ac:dyDescent="0.3">
      <c r="C121" s="33" t="s">
        <v>143</v>
      </c>
      <c r="D121" s="19"/>
      <c r="E121" s="19"/>
      <c r="F121" s="27" t="s">
        <v>108</v>
      </c>
      <c r="G121" s="31">
        <v>1000</v>
      </c>
      <c r="H121" s="31">
        <v>1300</v>
      </c>
      <c r="I121" s="31">
        <v>1600</v>
      </c>
      <c r="J121" s="31">
        <v>2000</v>
      </c>
      <c r="K121" s="31">
        <v>2300</v>
      </c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3:26" outlineLevel="1" x14ac:dyDescent="0.3">
      <c r="C122" s="33" t="s">
        <v>144</v>
      </c>
      <c r="D122" s="19"/>
      <c r="E122" s="19"/>
      <c r="F122" s="27" t="s">
        <v>141</v>
      </c>
      <c r="G122" s="31">
        <v>7</v>
      </c>
      <c r="H122" s="31">
        <v>12</v>
      </c>
      <c r="I122" s="31">
        <v>12</v>
      </c>
      <c r="J122" s="31">
        <v>12</v>
      </c>
      <c r="K122" s="31">
        <v>12</v>
      </c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3:26" outlineLevel="1" x14ac:dyDescent="0.3">
      <c r="C123" s="30" t="s">
        <v>109</v>
      </c>
      <c r="D123" s="19"/>
      <c r="E123" s="19"/>
      <c r="F123" s="29" t="s">
        <v>108</v>
      </c>
      <c r="G123" s="28">
        <f>G120*G121*G122</f>
        <v>7000</v>
      </c>
      <c r="H123" s="28">
        <f>H120*H121*H122</f>
        <v>15600</v>
      </c>
      <c r="I123" s="28">
        <f>I120*I121*I122</f>
        <v>19200</v>
      </c>
      <c r="J123" s="28">
        <f>J120*J121*J122</f>
        <v>24000</v>
      </c>
      <c r="K123" s="28">
        <f>K120*K121*K122</f>
        <v>27600</v>
      </c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3:26" outlineLevel="1" x14ac:dyDescent="0.3">
      <c r="C124" s="30"/>
      <c r="D124" s="19"/>
      <c r="E124" s="19"/>
      <c r="F124" s="29"/>
      <c r="G124" s="28"/>
      <c r="H124" s="28"/>
      <c r="I124" s="28"/>
      <c r="J124" s="28"/>
      <c r="K124" s="28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3:26" outlineLevel="1" x14ac:dyDescent="0.3">
      <c r="C125" s="33" t="s">
        <v>202</v>
      </c>
      <c r="D125" s="19"/>
      <c r="E125" s="19"/>
      <c r="F125" s="27" t="s">
        <v>61</v>
      </c>
      <c r="G125" s="31">
        <v>1</v>
      </c>
      <c r="H125" s="31">
        <v>1</v>
      </c>
      <c r="I125" s="31">
        <v>1</v>
      </c>
      <c r="J125" s="31">
        <v>1</v>
      </c>
      <c r="K125" s="31">
        <v>1</v>
      </c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3:26" outlineLevel="1" x14ac:dyDescent="0.3">
      <c r="C126" s="33" t="s">
        <v>143</v>
      </c>
      <c r="D126" s="19"/>
      <c r="E126" s="19"/>
      <c r="F126" s="27" t="s">
        <v>108</v>
      </c>
      <c r="G126" s="31">
        <v>800</v>
      </c>
      <c r="H126" s="31">
        <v>1000</v>
      </c>
      <c r="I126" s="31">
        <v>1200</v>
      </c>
      <c r="J126" s="31">
        <v>1500</v>
      </c>
      <c r="K126" s="31">
        <v>1800</v>
      </c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3:26" outlineLevel="1" x14ac:dyDescent="0.3">
      <c r="C127" s="33" t="s">
        <v>144</v>
      </c>
      <c r="D127" s="19"/>
      <c r="E127" s="19"/>
      <c r="F127" s="27" t="s">
        <v>141</v>
      </c>
      <c r="G127" s="31">
        <v>7</v>
      </c>
      <c r="H127" s="31">
        <v>12</v>
      </c>
      <c r="I127" s="31">
        <v>12</v>
      </c>
      <c r="J127" s="31">
        <v>12</v>
      </c>
      <c r="K127" s="31">
        <v>12</v>
      </c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3:26" outlineLevel="1" x14ac:dyDescent="0.3">
      <c r="C128" s="30" t="s">
        <v>109</v>
      </c>
      <c r="D128" s="19"/>
      <c r="E128" s="19"/>
      <c r="F128" s="29" t="s">
        <v>108</v>
      </c>
      <c r="G128" s="28">
        <f>G125*G126*G127</f>
        <v>5600</v>
      </c>
      <c r="H128" s="28">
        <f>H125*H126*H127</f>
        <v>12000</v>
      </c>
      <c r="I128" s="28">
        <f>I125*I126*I127</f>
        <v>14400</v>
      </c>
      <c r="J128" s="28">
        <f>J125*J126*J127</f>
        <v>18000</v>
      </c>
      <c r="K128" s="28">
        <f>K125*K126*K127</f>
        <v>21600</v>
      </c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3:26" outlineLevel="1" x14ac:dyDescent="0.3">
      <c r="C129" s="30"/>
      <c r="D129" s="19"/>
      <c r="E129" s="19"/>
      <c r="F129" s="29"/>
      <c r="G129" s="28"/>
      <c r="H129" s="28"/>
      <c r="I129" s="28"/>
      <c r="J129" s="28"/>
      <c r="K129" s="28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3:26" outlineLevel="1" x14ac:dyDescent="0.3">
      <c r="C130" s="30" t="s">
        <v>153</v>
      </c>
      <c r="D130" s="19"/>
      <c r="E130" s="19"/>
      <c r="F130" s="29" t="s">
        <v>108</v>
      </c>
      <c r="G130" s="28">
        <f>G135+G140+G145+G150+G155+G160+G165+G170+G175+G180+G185</f>
        <v>96600</v>
      </c>
      <c r="H130" s="28">
        <f t="shared" ref="H130:K130" si="24">H135+H140+H145+H150+H155+H160+H165+H170+H175+H180+H185</f>
        <v>242400</v>
      </c>
      <c r="I130" s="28">
        <f t="shared" si="24"/>
        <v>506400</v>
      </c>
      <c r="J130" s="28">
        <f t="shared" si="24"/>
        <v>642000</v>
      </c>
      <c r="K130" s="28">
        <f t="shared" si="24"/>
        <v>1030800</v>
      </c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3:26" outlineLevel="1" x14ac:dyDescent="0.3">
      <c r="C131" s="30"/>
      <c r="D131" s="19"/>
      <c r="E131" s="19"/>
      <c r="F131" s="29"/>
      <c r="G131" s="28"/>
      <c r="H131" s="28"/>
      <c r="I131" s="28"/>
      <c r="J131" s="28"/>
      <c r="K131" s="28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3:26" outlineLevel="1" x14ac:dyDescent="0.3">
      <c r="C132" s="19" t="s">
        <v>173</v>
      </c>
      <c r="D132" s="19"/>
      <c r="E132" s="19"/>
      <c r="F132" s="27" t="s">
        <v>61</v>
      </c>
      <c r="G132" s="31">
        <v>1</v>
      </c>
      <c r="H132" s="31">
        <v>1</v>
      </c>
      <c r="I132" s="31">
        <v>2</v>
      </c>
      <c r="J132" s="31">
        <v>2</v>
      </c>
      <c r="K132" s="31">
        <v>3</v>
      </c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3:26" outlineLevel="1" x14ac:dyDescent="0.3">
      <c r="C133" s="19" t="s">
        <v>146</v>
      </c>
      <c r="D133" s="19"/>
      <c r="E133" s="19"/>
      <c r="F133" s="27" t="s">
        <v>61</v>
      </c>
      <c r="G133" s="31">
        <v>7</v>
      </c>
      <c r="H133" s="31">
        <v>12</v>
      </c>
      <c r="I133" s="31">
        <v>12</v>
      </c>
      <c r="J133" s="31">
        <v>12</v>
      </c>
      <c r="K133" s="31">
        <v>12</v>
      </c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3:26" outlineLevel="1" x14ac:dyDescent="0.3">
      <c r="C134" s="19" t="s">
        <v>147</v>
      </c>
      <c r="D134" s="95"/>
      <c r="E134" s="19"/>
      <c r="F134" s="27" t="s">
        <v>108</v>
      </c>
      <c r="G134" s="31">
        <v>800</v>
      </c>
      <c r="H134" s="31">
        <v>1000</v>
      </c>
      <c r="I134" s="31">
        <v>1200</v>
      </c>
      <c r="J134" s="31">
        <v>1400</v>
      </c>
      <c r="K134" s="31">
        <v>1600</v>
      </c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3:26" outlineLevel="1" x14ac:dyDescent="0.3">
      <c r="C135" s="30" t="s">
        <v>109</v>
      </c>
      <c r="D135" s="19"/>
      <c r="E135" s="19"/>
      <c r="F135" s="29" t="s">
        <v>108</v>
      </c>
      <c r="G135" s="28">
        <f>G132*G133*G134</f>
        <v>5600</v>
      </c>
      <c r="H135" s="28">
        <f>H132*H133*H134</f>
        <v>12000</v>
      </c>
      <c r="I135" s="28">
        <f>I132*I133*I134</f>
        <v>28800</v>
      </c>
      <c r="J135" s="28">
        <f>J132*J133*J134</f>
        <v>33600</v>
      </c>
      <c r="K135" s="28">
        <f>K132*K133*K134</f>
        <v>57600</v>
      </c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3:26" outlineLevel="1" x14ac:dyDescent="0.3">
      <c r="C136" s="102"/>
      <c r="D136" s="19"/>
      <c r="E136" s="19"/>
      <c r="F136" s="29"/>
      <c r="G136" s="28"/>
      <c r="H136" s="28"/>
      <c r="I136" s="28"/>
      <c r="J136" s="28"/>
      <c r="K136" s="28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3:26" outlineLevel="1" x14ac:dyDescent="0.3">
      <c r="C137" s="19" t="s">
        <v>148</v>
      </c>
      <c r="D137" s="19"/>
      <c r="E137" s="19"/>
      <c r="F137" s="27" t="s">
        <v>61</v>
      </c>
      <c r="G137" s="31">
        <v>1</v>
      </c>
      <c r="H137" s="31">
        <v>1</v>
      </c>
      <c r="I137" s="31">
        <v>2</v>
      </c>
      <c r="J137" s="31">
        <v>2</v>
      </c>
      <c r="K137" s="31">
        <v>3</v>
      </c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3:26" outlineLevel="1" x14ac:dyDescent="0.3">
      <c r="C138" s="19" t="s">
        <v>146</v>
      </c>
      <c r="D138" s="19"/>
      <c r="E138" s="19"/>
      <c r="F138" s="27" t="s">
        <v>61</v>
      </c>
      <c r="G138" s="31">
        <v>7</v>
      </c>
      <c r="H138" s="31">
        <v>12</v>
      </c>
      <c r="I138" s="31">
        <v>12</v>
      </c>
      <c r="J138" s="31">
        <v>12</v>
      </c>
      <c r="K138" s="31">
        <v>12</v>
      </c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3:26" outlineLevel="1" x14ac:dyDescent="0.3">
      <c r="C139" s="19" t="s">
        <v>147</v>
      </c>
      <c r="D139" s="95"/>
      <c r="E139" s="19"/>
      <c r="F139" s="27" t="s">
        <v>108</v>
      </c>
      <c r="G139" s="31">
        <v>1500</v>
      </c>
      <c r="H139" s="31">
        <v>2000</v>
      </c>
      <c r="I139" s="31">
        <v>2500</v>
      </c>
      <c r="J139" s="31">
        <v>3000</v>
      </c>
      <c r="K139" s="31">
        <v>3500</v>
      </c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3:26" outlineLevel="1" x14ac:dyDescent="0.3">
      <c r="C140" s="30" t="s">
        <v>109</v>
      </c>
      <c r="D140" s="19"/>
      <c r="E140" s="19"/>
      <c r="F140" s="29" t="s">
        <v>108</v>
      </c>
      <c r="G140" s="28">
        <f>G137*G138*G139</f>
        <v>10500</v>
      </c>
      <c r="H140" s="28">
        <f>H137*H138*H139</f>
        <v>24000</v>
      </c>
      <c r="I140" s="28">
        <f>I137*I138*I139</f>
        <v>60000</v>
      </c>
      <c r="J140" s="28">
        <f>J137*J138*J139</f>
        <v>72000</v>
      </c>
      <c r="K140" s="28">
        <f>K137*K138*K139</f>
        <v>126000</v>
      </c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3:26" outlineLevel="1" x14ac:dyDescent="0.3">
      <c r="C141" s="102"/>
      <c r="D141" s="19"/>
      <c r="E141" s="19"/>
      <c r="F141" s="29"/>
      <c r="G141" s="28"/>
      <c r="H141" s="28"/>
      <c r="I141" s="28"/>
      <c r="J141" s="28"/>
      <c r="K141" s="28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3:26" outlineLevel="1" x14ac:dyDescent="0.3">
      <c r="C142" s="19" t="s">
        <v>154</v>
      </c>
      <c r="D142" s="19"/>
      <c r="E142" s="19"/>
      <c r="F142" s="27" t="s">
        <v>61</v>
      </c>
      <c r="G142" s="31">
        <v>1</v>
      </c>
      <c r="H142" s="31">
        <v>1</v>
      </c>
      <c r="I142" s="31">
        <v>2</v>
      </c>
      <c r="J142" s="31">
        <v>2</v>
      </c>
      <c r="K142" s="31">
        <v>3</v>
      </c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3:26" outlineLevel="1" x14ac:dyDescent="0.3">
      <c r="C143" s="19" t="s">
        <v>146</v>
      </c>
      <c r="D143" s="95"/>
      <c r="E143" s="19"/>
      <c r="F143" s="27" t="s">
        <v>61</v>
      </c>
      <c r="G143" s="31">
        <v>7</v>
      </c>
      <c r="H143" s="31">
        <v>12</v>
      </c>
      <c r="I143" s="31">
        <v>12</v>
      </c>
      <c r="J143" s="31">
        <v>12</v>
      </c>
      <c r="K143" s="31">
        <v>12</v>
      </c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3:26" outlineLevel="1" x14ac:dyDescent="0.3">
      <c r="C144" s="19" t="s">
        <v>147</v>
      </c>
      <c r="D144" s="95"/>
      <c r="E144" s="94"/>
      <c r="F144" s="27" t="s">
        <v>108</v>
      </c>
      <c r="G144" s="31">
        <v>1500</v>
      </c>
      <c r="H144" s="31">
        <v>2000</v>
      </c>
      <c r="I144" s="31">
        <v>2500</v>
      </c>
      <c r="J144" s="31">
        <v>3000</v>
      </c>
      <c r="K144" s="31">
        <v>3500</v>
      </c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3:26" outlineLevel="1" x14ac:dyDescent="0.3">
      <c r="C145" s="30" t="s">
        <v>109</v>
      </c>
      <c r="D145" s="19"/>
      <c r="E145" s="19"/>
      <c r="F145" s="29" t="s">
        <v>108</v>
      </c>
      <c r="G145" s="28">
        <f>G142*G143*G144</f>
        <v>10500</v>
      </c>
      <c r="H145" s="28">
        <f>H142*H143*H144</f>
        <v>24000</v>
      </c>
      <c r="I145" s="28">
        <f>I142*I143*I144</f>
        <v>60000</v>
      </c>
      <c r="J145" s="28">
        <f>J142*J143*J144</f>
        <v>72000</v>
      </c>
      <c r="K145" s="28">
        <f>K142*K143*K144</f>
        <v>126000</v>
      </c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3:26" outlineLevel="1" x14ac:dyDescent="0.3">
      <c r="C146" s="30"/>
      <c r="D146" s="19"/>
      <c r="E146" s="19"/>
      <c r="F146" s="29"/>
      <c r="G146" s="28"/>
      <c r="H146" s="28"/>
      <c r="I146" s="28"/>
      <c r="J146" s="28"/>
      <c r="K146" s="28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3:26" outlineLevel="1" x14ac:dyDescent="0.3">
      <c r="C147" s="19" t="s">
        <v>175</v>
      </c>
      <c r="D147" s="95"/>
      <c r="E147" s="19"/>
      <c r="F147" s="27" t="s">
        <v>61</v>
      </c>
      <c r="G147" s="31">
        <v>1</v>
      </c>
      <c r="H147" s="31">
        <v>1</v>
      </c>
      <c r="I147" s="31">
        <v>2</v>
      </c>
      <c r="J147" s="31">
        <v>2</v>
      </c>
      <c r="K147" s="31">
        <v>3</v>
      </c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3:26" outlineLevel="1" x14ac:dyDescent="0.3">
      <c r="C148" s="19" t="s">
        <v>146</v>
      </c>
      <c r="D148" s="95"/>
      <c r="E148" s="19"/>
      <c r="F148" s="27" t="s">
        <v>61</v>
      </c>
      <c r="G148" s="31">
        <v>7</v>
      </c>
      <c r="H148" s="31">
        <v>12</v>
      </c>
      <c r="I148" s="31">
        <v>12</v>
      </c>
      <c r="J148" s="31">
        <v>12</v>
      </c>
      <c r="K148" s="31">
        <v>12</v>
      </c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3:26" outlineLevel="1" x14ac:dyDescent="0.3">
      <c r="C149" s="19" t="s">
        <v>147</v>
      </c>
      <c r="D149" s="95"/>
      <c r="E149" s="19"/>
      <c r="F149" s="27" t="s">
        <v>108</v>
      </c>
      <c r="G149" s="31">
        <v>1500</v>
      </c>
      <c r="H149" s="31">
        <v>2000</v>
      </c>
      <c r="I149" s="31">
        <v>2500</v>
      </c>
      <c r="J149" s="31">
        <v>3000</v>
      </c>
      <c r="K149" s="31">
        <v>3500</v>
      </c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3:26" outlineLevel="1" x14ac:dyDescent="0.3">
      <c r="C150" s="30" t="s">
        <v>109</v>
      </c>
      <c r="D150" s="95"/>
      <c r="E150" s="19"/>
      <c r="F150" s="29" t="s">
        <v>108</v>
      </c>
      <c r="G150" s="28">
        <f>G147*G148*G149</f>
        <v>10500</v>
      </c>
      <c r="H150" s="28">
        <f>H147*H148*H149</f>
        <v>24000</v>
      </c>
      <c r="I150" s="28">
        <f>I147*I148*I149</f>
        <v>60000</v>
      </c>
      <c r="J150" s="28">
        <f>J147*J148*J149</f>
        <v>72000</v>
      </c>
      <c r="K150" s="28">
        <f>K147*K148*K149</f>
        <v>126000</v>
      </c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3:26" outlineLevel="1" x14ac:dyDescent="0.3">
      <c r="C151" s="30"/>
      <c r="D151" s="95"/>
      <c r="E151" s="19"/>
      <c r="F151" s="29"/>
      <c r="G151" s="28"/>
      <c r="H151" s="28"/>
      <c r="I151" s="28"/>
      <c r="J151" s="28"/>
      <c r="K151" s="28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3:26" outlineLevel="1" x14ac:dyDescent="0.3">
      <c r="C152" s="19" t="s">
        <v>176</v>
      </c>
      <c r="D152" s="95"/>
      <c r="E152" s="19"/>
      <c r="F152" s="27" t="s">
        <v>61</v>
      </c>
      <c r="G152" s="31">
        <v>1</v>
      </c>
      <c r="H152" s="31">
        <v>1</v>
      </c>
      <c r="I152" s="31">
        <v>2</v>
      </c>
      <c r="J152" s="31">
        <v>2</v>
      </c>
      <c r="K152" s="31">
        <v>3</v>
      </c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3:26" outlineLevel="1" x14ac:dyDescent="0.3">
      <c r="C153" s="19" t="s">
        <v>146</v>
      </c>
      <c r="D153" s="95"/>
      <c r="E153" s="19"/>
      <c r="F153" s="27" t="s">
        <v>61</v>
      </c>
      <c r="G153" s="31">
        <v>7</v>
      </c>
      <c r="H153" s="31">
        <v>12</v>
      </c>
      <c r="I153" s="31">
        <v>12</v>
      </c>
      <c r="J153" s="31">
        <v>12</v>
      </c>
      <c r="K153" s="31">
        <v>12</v>
      </c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3:26" outlineLevel="1" x14ac:dyDescent="0.3">
      <c r="C154" s="19" t="s">
        <v>147</v>
      </c>
      <c r="D154" s="95"/>
      <c r="E154" s="19"/>
      <c r="F154" s="27" t="s">
        <v>108</v>
      </c>
      <c r="G154" s="31">
        <v>1500</v>
      </c>
      <c r="H154" s="31">
        <v>2000</v>
      </c>
      <c r="I154" s="31">
        <v>2500</v>
      </c>
      <c r="J154" s="31">
        <v>3000</v>
      </c>
      <c r="K154" s="31">
        <v>3500</v>
      </c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3:26" outlineLevel="1" x14ac:dyDescent="0.3">
      <c r="C155" s="30" t="s">
        <v>109</v>
      </c>
      <c r="D155" s="95"/>
      <c r="E155" s="19"/>
      <c r="F155" s="29" t="s">
        <v>108</v>
      </c>
      <c r="G155" s="28">
        <f>G152*G153*G154</f>
        <v>10500</v>
      </c>
      <c r="H155" s="28">
        <f>H152*H153*H154</f>
        <v>24000</v>
      </c>
      <c r="I155" s="28">
        <f>I152*I153*I154</f>
        <v>60000</v>
      </c>
      <c r="J155" s="28">
        <f>J152*J153*J154</f>
        <v>72000</v>
      </c>
      <c r="K155" s="28">
        <f>K152*K153*K154</f>
        <v>126000</v>
      </c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3:26" outlineLevel="1" x14ac:dyDescent="0.3">
      <c r="C156" s="30"/>
      <c r="D156" s="95"/>
      <c r="E156" s="19"/>
      <c r="F156" s="29"/>
      <c r="G156" s="28"/>
      <c r="H156" s="28"/>
      <c r="I156" s="28"/>
      <c r="J156" s="28"/>
      <c r="K156" s="28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3:26" outlineLevel="1" x14ac:dyDescent="0.3">
      <c r="C157" s="19" t="s">
        <v>177</v>
      </c>
      <c r="D157" s="95"/>
      <c r="E157" s="19"/>
      <c r="F157" s="27" t="s">
        <v>61</v>
      </c>
      <c r="G157" s="31">
        <v>1</v>
      </c>
      <c r="H157" s="31">
        <v>1</v>
      </c>
      <c r="I157" s="31">
        <v>2</v>
      </c>
      <c r="J157" s="31">
        <v>2</v>
      </c>
      <c r="K157" s="31">
        <v>3</v>
      </c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3:26" outlineLevel="1" x14ac:dyDescent="0.3">
      <c r="C158" s="19" t="s">
        <v>146</v>
      </c>
      <c r="D158" s="95"/>
      <c r="E158" s="19"/>
      <c r="F158" s="27" t="s">
        <v>61</v>
      </c>
      <c r="G158" s="31">
        <v>7</v>
      </c>
      <c r="H158" s="31">
        <v>12</v>
      </c>
      <c r="I158" s="31">
        <v>12</v>
      </c>
      <c r="J158" s="31">
        <v>12</v>
      </c>
      <c r="K158" s="31">
        <v>12</v>
      </c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3:26" outlineLevel="1" x14ac:dyDescent="0.3">
      <c r="C159" s="19" t="s">
        <v>147</v>
      </c>
      <c r="D159" s="95"/>
      <c r="E159" s="19"/>
      <c r="F159" s="27" t="s">
        <v>108</v>
      </c>
      <c r="G159" s="31">
        <v>1500</v>
      </c>
      <c r="H159" s="31">
        <v>2000</v>
      </c>
      <c r="I159" s="31">
        <v>2500</v>
      </c>
      <c r="J159" s="31">
        <v>3000</v>
      </c>
      <c r="K159" s="31">
        <v>3500</v>
      </c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3:26" outlineLevel="1" x14ac:dyDescent="0.3">
      <c r="C160" s="30" t="s">
        <v>109</v>
      </c>
      <c r="D160" s="95"/>
      <c r="E160" s="19"/>
      <c r="F160" s="29" t="s">
        <v>108</v>
      </c>
      <c r="G160" s="28">
        <f>G157*G158*G159</f>
        <v>10500</v>
      </c>
      <c r="H160" s="28">
        <f>H157*H158*H159</f>
        <v>24000</v>
      </c>
      <c r="I160" s="28">
        <f>I157*I158*I159</f>
        <v>60000</v>
      </c>
      <c r="J160" s="28">
        <f>J157*J158*J159</f>
        <v>72000</v>
      </c>
      <c r="K160" s="28">
        <f>K157*K158*K159</f>
        <v>126000</v>
      </c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3:26" outlineLevel="1" x14ac:dyDescent="0.3">
      <c r="C161" s="30"/>
      <c r="D161" s="95"/>
      <c r="E161" s="19"/>
      <c r="F161" s="29"/>
      <c r="G161" s="28"/>
      <c r="H161" s="28"/>
      <c r="I161" s="28"/>
      <c r="J161" s="28"/>
      <c r="K161" s="28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3:26" outlineLevel="1" x14ac:dyDescent="0.3">
      <c r="C162" s="19" t="s">
        <v>203</v>
      </c>
      <c r="D162" s="95"/>
      <c r="E162" s="19"/>
      <c r="F162" s="27" t="s">
        <v>61</v>
      </c>
      <c r="G162" s="31">
        <v>1</v>
      </c>
      <c r="H162" s="31">
        <v>1</v>
      </c>
      <c r="I162" s="31">
        <v>2</v>
      </c>
      <c r="J162" s="31">
        <v>2</v>
      </c>
      <c r="K162" s="31">
        <v>3</v>
      </c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3:26" outlineLevel="1" x14ac:dyDescent="0.3">
      <c r="C163" s="19" t="s">
        <v>146</v>
      </c>
      <c r="D163" s="95"/>
      <c r="E163" s="19"/>
      <c r="F163" s="27" t="s">
        <v>61</v>
      </c>
      <c r="G163" s="31">
        <v>7</v>
      </c>
      <c r="H163" s="31">
        <v>12</v>
      </c>
      <c r="I163" s="31">
        <v>12</v>
      </c>
      <c r="J163" s="31">
        <v>12</v>
      </c>
      <c r="K163" s="31">
        <v>12</v>
      </c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3:26" outlineLevel="1" x14ac:dyDescent="0.3">
      <c r="C164" s="19" t="s">
        <v>147</v>
      </c>
      <c r="D164" s="95"/>
      <c r="E164" s="19"/>
      <c r="F164" s="27" t="s">
        <v>108</v>
      </c>
      <c r="G164" s="31">
        <v>500</v>
      </c>
      <c r="H164" s="31">
        <v>700</v>
      </c>
      <c r="I164" s="31">
        <v>900</v>
      </c>
      <c r="J164" s="31">
        <v>1100</v>
      </c>
      <c r="K164" s="31">
        <v>1200</v>
      </c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3:26" outlineLevel="1" x14ac:dyDescent="0.3">
      <c r="C165" s="30" t="s">
        <v>109</v>
      </c>
      <c r="D165" s="95"/>
      <c r="E165" s="19"/>
      <c r="F165" s="29" t="s">
        <v>108</v>
      </c>
      <c r="G165" s="28">
        <f>G162*G163*G164</f>
        <v>3500</v>
      </c>
      <c r="H165" s="28">
        <f>H162*H163*H164</f>
        <v>8400</v>
      </c>
      <c r="I165" s="28">
        <f>I162*I163*I164</f>
        <v>21600</v>
      </c>
      <c r="J165" s="28">
        <f>J162*J163*J164</f>
        <v>26400</v>
      </c>
      <c r="K165" s="28">
        <f>K162*K163*K164</f>
        <v>43200</v>
      </c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3:26" outlineLevel="1" x14ac:dyDescent="0.3">
      <c r="C166" s="30"/>
      <c r="D166" s="95"/>
      <c r="E166" s="19"/>
      <c r="F166" s="29"/>
      <c r="G166" s="28"/>
      <c r="H166" s="28"/>
      <c r="I166" s="28"/>
      <c r="J166" s="28"/>
      <c r="K166" s="28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3:26" outlineLevel="1" x14ac:dyDescent="0.3">
      <c r="C167" s="19" t="s">
        <v>174</v>
      </c>
      <c r="D167" s="95"/>
      <c r="E167" s="19"/>
      <c r="F167" s="27" t="s">
        <v>61</v>
      </c>
      <c r="G167" s="31">
        <v>0</v>
      </c>
      <c r="H167" s="31">
        <v>1</v>
      </c>
      <c r="I167" s="31">
        <v>1</v>
      </c>
      <c r="J167" s="31">
        <v>1</v>
      </c>
      <c r="K167" s="31">
        <v>1</v>
      </c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3:26" outlineLevel="1" x14ac:dyDescent="0.3">
      <c r="C168" s="19" t="s">
        <v>146</v>
      </c>
      <c r="D168" s="95"/>
      <c r="E168" s="19"/>
      <c r="F168" s="27" t="s">
        <v>61</v>
      </c>
      <c r="G168" s="31">
        <v>0</v>
      </c>
      <c r="H168" s="31">
        <v>12</v>
      </c>
      <c r="I168" s="31">
        <v>12</v>
      </c>
      <c r="J168" s="31">
        <v>12</v>
      </c>
      <c r="K168" s="31">
        <v>12</v>
      </c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3:26" outlineLevel="1" x14ac:dyDescent="0.3">
      <c r="C169" s="19" t="s">
        <v>147</v>
      </c>
      <c r="D169" s="95"/>
      <c r="E169" s="19"/>
      <c r="F169" s="27" t="s">
        <v>108</v>
      </c>
      <c r="G169" s="31">
        <v>0</v>
      </c>
      <c r="H169" s="31">
        <v>2000</v>
      </c>
      <c r="I169" s="31">
        <v>2500</v>
      </c>
      <c r="J169" s="31">
        <v>3000</v>
      </c>
      <c r="K169" s="31">
        <v>3500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3:26" outlineLevel="1" x14ac:dyDescent="0.3">
      <c r="C170" s="30" t="s">
        <v>109</v>
      </c>
      <c r="D170" s="95"/>
      <c r="E170" s="19"/>
      <c r="F170" s="29" t="s">
        <v>108</v>
      </c>
      <c r="G170" s="28">
        <f>G167*G168*G169</f>
        <v>0</v>
      </c>
      <c r="H170" s="28">
        <f>H167*H168*H169</f>
        <v>24000</v>
      </c>
      <c r="I170" s="28">
        <f>I167*I168*I169</f>
        <v>30000</v>
      </c>
      <c r="J170" s="28">
        <f>J167*J168*J169</f>
        <v>36000</v>
      </c>
      <c r="K170" s="28">
        <f>K167*K168*K169</f>
        <v>42000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3:26" outlineLevel="1" x14ac:dyDescent="0.3">
      <c r="C171" s="30"/>
      <c r="D171" s="95"/>
      <c r="E171" s="19"/>
      <c r="F171" s="29"/>
      <c r="G171" s="28"/>
      <c r="H171" s="28"/>
      <c r="I171" s="28"/>
      <c r="J171" s="28"/>
      <c r="K171" s="28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3:26" outlineLevel="1" x14ac:dyDescent="0.3">
      <c r="C172" s="19" t="s">
        <v>178</v>
      </c>
      <c r="D172" s="95"/>
      <c r="E172" s="19"/>
      <c r="F172" s="27" t="s">
        <v>61</v>
      </c>
      <c r="G172" s="31">
        <v>1</v>
      </c>
      <c r="H172" s="31">
        <v>1</v>
      </c>
      <c r="I172" s="31">
        <v>2</v>
      </c>
      <c r="J172" s="31">
        <v>2</v>
      </c>
      <c r="K172" s="31">
        <v>3</v>
      </c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3:26" outlineLevel="1" x14ac:dyDescent="0.3">
      <c r="C173" s="19" t="s">
        <v>146</v>
      </c>
      <c r="D173" s="95"/>
      <c r="E173" s="19"/>
      <c r="F173" s="27" t="s">
        <v>61</v>
      </c>
      <c r="G173" s="31">
        <v>7</v>
      </c>
      <c r="H173" s="31">
        <v>12</v>
      </c>
      <c r="I173" s="31">
        <v>12</v>
      </c>
      <c r="J173" s="31">
        <v>12</v>
      </c>
      <c r="K173" s="31">
        <v>12</v>
      </c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3:26" outlineLevel="1" x14ac:dyDescent="0.3">
      <c r="C174" s="19" t="s">
        <v>147</v>
      </c>
      <c r="D174" s="95"/>
      <c r="E174" s="19"/>
      <c r="F174" s="27" t="s">
        <v>108</v>
      </c>
      <c r="G174" s="31">
        <v>1500</v>
      </c>
      <c r="H174" s="31">
        <v>2000</v>
      </c>
      <c r="I174" s="31">
        <v>2500</v>
      </c>
      <c r="J174" s="31">
        <v>3000</v>
      </c>
      <c r="K174" s="31">
        <v>3500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3:26" outlineLevel="1" x14ac:dyDescent="0.3">
      <c r="C175" s="30" t="s">
        <v>109</v>
      </c>
      <c r="D175" s="95"/>
      <c r="E175" s="19"/>
      <c r="F175" s="29" t="s">
        <v>108</v>
      </c>
      <c r="G175" s="28">
        <f>G172*G173*G174</f>
        <v>10500</v>
      </c>
      <c r="H175" s="28">
        <f>H172*H173*H174</f>
        <v>24000</v>
      </c>
      <c r="I175" s="28">
        <f>I172*I173*I174</f>
        <v>60000</v>
      </c>
      <c r="J175" s="28">
        <f>J172*J173*J174</f>
        <v>72000</v>
      </c>
      <c r="K175" s="28">
        <f>K172*K173*K174</f>
        <v>126000</v>
      </c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3:26" outlineLevel="1" x14ac:dyDescent="0.3">
      <c r="C176" s="30"/>
      <c r="D176" s="95"/>
      <c r="E176" s="19"/>
      <c r="F176" s="29"/>
      <c r="G176" s="28"/>
      <c r="H176" s="28"/>
      <c r="I176" s="28"/>
      <c r="J176" s="28"/>
      <c r="K176" s="28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3:26" outlineLevel="1" x14ac:dyDescent="0.3">
      <c r="C177" s="19" t="s">
        <v>204</v>
      </c>
      <c r="D177" s="95"/>
      <c r="E177" s="19"/>
      <c r="F177" s="27" t="s">
        <v>61</v>
      </c>
      <c r="G177" s="31">
        <v>1</v>
      </c>
      <c r="H177" s="31">
        <v>1</v>
      </c>
      <c r="I177" s="31">
        <v>1</v>
      </c>
      <c r="J177" s="31">
        <v>1</v>
      </c>
      <c r="K177" s="31">
        <v>1</v>
      </c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3:26" outlineLevel="1" x14ac:dyDescent="0.3">
      <c r="C178" s="19" t="s">
        <v>146</v>
      </c>
      <c r="D178" s="95"/>
      <c r="E178" s="19"/>
      <c r="F178" s="27" t="s">
        <v>61</v>
      </c>
      <c r="G178" s="31">
        <v>7</v>
      </c>
      <c r="H178" s="31">
        <v>12</v>
      </c>
      <c r="I178" s="31">
        <v>12</v>
      </c>
      <c r="J178" s="31">
        <v>12</v>
      </c>
      <c r="K178" s="31">
        <v>12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3:26" outlineLevel="1" x14ac:dyDescent="0.3">
      <c r="C179" s="19" t="s">
        <v>147</v>
      </c>
      <c r="D179" s="95"/>
      <c r="E179" s="19"/>
      <c r="F179" s="27" t="s">
        <v>108</v>
      </c>
      <c r="G179" s="31">
        <v>2000</v>
      </c>
      <c r="H179" s="31">
        <v>2500</v>
      </c>
      <c r="I179" s="31">
        <v>3000</v>
      </c>
      <c r="J179" s="31">
        <v>3500</v>
      </c>
      <c r="K179" s="31">
        <v>4000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3:26" outlineLevel="1" x14ac:dyDescent="0.3">
      <c r="C180" s="30" t="s">
        <v>109</v>
      </c>
      <c r="D180" s="95"/>
      <c r="E180" s="19"/>
      <c r="F180" s="29" t="s">
        <v>108</v>
      </c>
      <c r="G180" s="28">
        <f>G177*G178*G179</f>
        <v>14000</v>
      </c>
      <c r="H180" s="28">
        <f>H177*H178*H179</f>
        <v>30000</v>
      </c>
      <c r="I180" s="28">
        <f>I177*I178*I179</f>
        <v>36000</v>
      </c>
      <c r="J180" s="28">
        <f>J177*J178*J179</f>
        <v>42000</v>
      </c>
      <c r="K180" s="28">
        <f>K177*K178*K179</f>
        <v>48000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3:26" outlineLevel="1" x14ac:dyDescent="0.3">
      <c r="C181" s="30"/>
      <c r="D181" s="95"/>
      <c r="E181" s="19"/>
      <c r="F181" s="29"/>
      <c r="G181" s="28"/>
      <c r="H181" s="28"/>
      <c r="I181" s="28"/>
      <c r="J181" s="28"/>
      <c r="K181" s="28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3:26" outlineLevel="1" x14ac:dyDescent="0.3">
      <c r="C182" s="19" t="s">
        <v>205</v>
      </c>
      <c r="D182" s="95"/>
      <c r="E182" s="19"/>
      <c r="F182" s="27" t="s">
        <v>61</v>
      </c>
      <c r="G182" s="31">
        <v>1</v>
      </c>
      <c r="H182" s="31">
        <v>1</v>
      </c>
      <c r="I182" s="31">
        <v>1</v>
      </c>
      <c r="J182" s="31">
        <v>2</v>
      </c>
      <c r="K182" s="31">
        <v>2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3:26" outlineLevel="1" x14ac:dyDescent="0.3">
      <c r="C183" s="19" t="s">
        <v>146</v>
      </c>
      <c r="D183" s="95"/>
      <c r="E183" s="19"/>
      <c r="F183" s="27" t="s">
        <v>61</v>
      </c>
      <c r="G183" s="31">
        <v>7</v>
      </c>
      <c r="H183" s="31">
        <v>12</v>
      </c>
      <c r="I183" s="31">
        <v>12</v>
      </c>
      <c r="J183" s="31">
        <v>12</v>
      </c>
      <c r="K183" s="31">
        <v>12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3:26" outlineLevel="1" x14ac:dyDescent="0.3">
      <c r="C184" s="19" t="s">
        <v>147</v>
      </c>
      <c r="D184" s="95"/>
      <c r="E184" s="19"/>
      <c r="F184" s="27" t="s">
        <v>108</v>
      </c>
      <c r="G184" s="31">
        <v>1500</v>
      </c>
      <c r="H184" s="31">
        <v>2000</v>
      </c>
      <c r="I184" s="31">
        <v>2500</v>
      </c>
      <c r="J184" s="31">
        <v>3000</v>
      </c>
      <c r="K184" s="31">
        <v>3500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3:26" outlineLevel="1" x14ac:dyDescent="0.3">
      <c r="C185" s="30" t="s">
        <v>109</v>
      </c>
      <c r="D185" s="95"/>
      <c r="E185" s="19"/>
      <c r="F185" s="29" t="s">
        <v>108</v>
      </c>
      <c r="G185" s="28">
        <f>G182*G183*G184</f>
        <v>10500</v>
      </c>
      <c r="H185" s="28">
        <f>H182*H183*H184</f>
        <v>24000</v>
      </c>
      <c r="I185" s="28">
        <f>I182*I183*I184</f>
        <v>30000</v>
      </c>
      <c r="J185" s="28">
        <f>J182*J183*J184</f>
        <v>72000</v>
      </c>
      <c r="K185" s="28">
        <f>K182*K183*K184</f>
        <v>84000</v>
      </c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3:26" outlineLevel="1" x14ac:dyDescent="0.3">
      <c r="C186" s="30"/>
      <c r="D186" s="95"/>
      <c r="E186" s="19"/>
      <c r="F186" s="29"/>
      <c r="G186" s="28"/>
      <c r="H186" s="28"/>
      <c r="I186" s="28"/>
      <c r="J186" s="28"/>
      <c r="K186" s="28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3:26" outlineLevel="1" x14ac:dyDescent="0.3">
      <c r="C187" s="102" t="s">
        <v>155</v>
      </c>
      <c r="D187" s="19"/>
      <c r="E187" s="19"/>
      <c r="F187" s="29" t="s">
        <v>108</v>
      </c>
      <c r="G187" s="28">
        <f>G192</f>
        <v>21000</v>
      </c>
      <c r="H187" s="28">
        <f t="shared" ref="H187:K187" si="25">H192</f>
        <v>43200</v>
      </c>
      <c r="I187" s="28">
        <f t="shared" si="25"/>
        <v>100800</v>
      </c>
      <c r="J187" s="28">
        <f t="shared" si="25"/>
        <v>120000</v>
      </c>
      <c r="K187" s="28">
        <f t="shared" si="25"/>
        <v>216000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3:26" outlineLevel="1" x14ac:dyDescent="0.3">
      <c r="D188" s="19"/>
      <c r="E188" s="19"/>
      <c r="F188" s="27"/>
      <c r="G188" s="31"/>
      <c r="H188" s="31"/>
      <c r="I188" s="31"/>
      <c r="J188" s="31"/>
      <c r="K188" s="31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3:26" outlineLevel="1" x14ac:dyDescent="0.3">
      <c r="C189" s="19" t="s">
        <v>156</v>
      </c>
      <c r="D189" s="19"/>
      <c r="E189" s="19"/>
      <c r="F189" s="27" t="s">
        <v>61</v>
      </c>
      <c r="G189" s="31">
        <v>2</v>
      </c>
      <c r="H189" s="31">
        <v>2</v>
      </c>
      <c r="I189" s="31">
        <v>4</v>
      </c>
      <c r="J189" s="31">
        <v>4</v>
      </c>
      <c r="K189" s="31">
        <v>6</v>
      </c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3:26" outlineLevel="1" x14ac:dyDescent="0.3">
      <c r="C190" s="19" t="s">
        <v>146</v>
      </c>
      <c r="D190" s="19"/>
      <c r="E190" s="19"/>
      <c r="F190" s="27" t="s">
        <v>61</v>
      </c>
      <c r="G190" s="31">
        <v>7</v>
      </c>
      <c r="H190" s="31">
        <v>12</v>
      </c>
      <c r="I190" s="31">
        <v>12</v>
      </c>
      <c r="J190" s="31">
        <v>12</v>
      </c>
      <c r="K190" s="31">
        <v>12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3:26" outlineLevel="1" x14ac:dyDescent="0.3">
      <c r="C191" s="19" t="s">
        <v>147</v>
      </c>
      <c r="D191" s="19"/>
      <c r="E191" s="19"/>
      <c r="F191" s="27" t="s">
        <v>108</v>
      </c>
      <c r="G191" s="31">
        <v>1500</v>
      </c>
      <c r="H191" s="31">
        <v>1800</v>
      </c>
      <c r="I191" s="31">
        <v>2100</v>
      </c>
      <c r="J191" s="31">
        <v>2500</v>
      </c>
      <c r="K191" s="31">
        <v>3000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3:26" outlineLevel="1" x14ac:dyDescent="0.3">
      <c r="C192" s="30" t="s">
        <v>109</v>
      </c>
      <c r="D192" s="95"/>
      <c r="E192" s="19"/>
      <c r="F192" s="29" t="s">
        <v>108</v>
      </c>
      <c r="G192" s="28">
        <f>G189*G190*G191</f>
        <v>21000</v>
      </c>
      <c r="H192" s="28">
        <f>H189*H190*H191</f>
        <v>43200</v>
      </c>
      <c r="I192" s="28">
        <f>I189*I190*I191</f>
        <v>100800</v>
      </c>
      <c r="J192" s="28">
        <f>J189*J190*J191</f>
        <v>120000</v>
      </c>
      <c r="K192" s="28">
        <f>K189*K190*K191</f>
        <v>216000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3:26" outlineLevel="1" x14ac:dyDescent="0.3">
      <c r="C193" s="30"/>
      <c r="D193" s="95"/>
      <c r="E193" s="19"/>
      <c r="F193" s="29"/>
      <c r="G193" s="28"/>
      <c r="H193" s="28"/>
      <c r="I193" s="28"/>
      <c r="J193" s="28"/>
      <c r="K193" s="28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3:26" outlineLevel="1" x14ac:dyDescent="0.3">
      <c r="C194" s="102" t="s">
        <v>206</v>
      </c>
      <c r="D194" s="19"/>
      <c r="E194" s="19"/>
      <c r="F194" s="29" t="s">
        <v>108</v>
      </c>
      <c r="G194" s="28">
        <f>G199</f>
        <v>73500</v>
      </c>
      <c r="H194" s="28">
        <f t="shared" ref="H194:K194" si="26">H199</f>
        <v>240000</v>
      </c>
      <c r="I194" s="28">
        <f t="shared" si="26"/>
        <v>360000</v>
      </c>
      <c r="J194" s="28">
        <f t="shared" si="26"/>
        <v>540000</v>
      </c>
      <c r="K194" s="28">
        <f t="shared" si="26"/>
        <v>840000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3:26" outlineLevel="1" x14ac:dyDescent="0.3">
      <c r="D195" s="19"/>
      <c r="E195" s="19"/>
      <c r="F195" s="27"/>
      <c r="G195" s="31"/>
      <c r="H195" s="31"/>
      <c r="I195" s="31"/>
      <c r="J195" s="31"/>
      <c r="K195" s="31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3:26" outlineLevel="1" x14ac:dyDescent="0.3">
      <c r="C196" s="19" t="s">
        <v>207</v>
      </c>
      <c r="D196" s="19"/>
      <c r="E196" s="19"/>
      <c r="F196" s="27" t="s">
        <v>61</v>
      </c>
      <c r="G196" s="31">
        <v>15</v>
      </c>
      <c r="H196" s="31">
        <v>20</v>
      </c>
      <c r="I196" s="31">
        <v>25</v>
      </c>
      <c r="J196" s="31">
        <v>30</v>
      </c>
      <c r="K196" s="31">
        <v>35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3:26" outlineLevel="1" x14ac:dyDescent="0.3">
      <c r="C197" s="19" t="s">
        <v>146</v>
      </c>
      <c r="D197" s="19"/>
      <c r="E197" s="19"/>
      <c r="F197" s="27" t="s">
        <v>61</v>
      </c>
      <c r="G197" s="31">
        <v>7</v>
      </c>
      <c r="H197" s="31">
        <v>12</v>
      </c>
      <c r="I197" s="31">
        <v>12</v>
      </c>
      <c r="J197" s="31">
        <v>12</v>
      </c>
      <c r="K197" s="31">
        <v>12</v>
      </c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3:26" outlineLevel="1" x14ac:dyDescent="0.3">
      <c r="C198" s="19" t="s">
        <v>147</v>
      </c>
      <c r="D198" s="19"/>
      <c r="E198" s="19"/>
      <c r="F198" s="27" t="s">
        <v>108</v>
      </c>
      <c r="G198" s="31">
        <v>700</v>
      </c>
      <c r="H198" s="31">
        <v>1000</v>
      </c>
      <c r="I198" s="31">
        <v>1200</v>
      </c>
      <c r="J198" s="31">
        <v>1500</v>
      </c>
      <c r="K198" s="31">
        <v>2000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3:26" outlineLevel="1" x14ac:dyDescent="0.3">
      <c r="C199" s="30" t="s">
        <v>109</v>
      </c>
      <c r="D199" s="95"/>
      <c r="E199" s="19"/>
      <c r="F199" s="29" t="s">
        <v>108</v>
      </c>
      <c r="G199" s="28">
        <f>G196*G197*G198</f>
        <v>73500</v>
      </c>
      <c r="H199" s="28">
        <f>H196*H197*H198</f>
        <v>240000</v>
      </c>
      <c r="I199" s="28">
        <f>I196*I197*I198</f>
        <v>360000</v>
      </c>
      <c r="J199" s="28">
        <f>J196*J197*J198</f>
        <v>540000</v>
      </c>
      <c r="K199" s="28">
        <f>K196*K197*K198</f>
        <v>840000</v>
      </c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3:26" outlineLevel="1" x14ac:dyDescent="0.3">
      <c r="C200" s="30"/>
      <c r="D200" s="95"/>
      <c r="E200" s="19"/>
      <c r="F200" s="29"/>
      <c r="G200" s="28"/>
      <c r="H200" s="28"/>
      <c r="I200" s="28"/>
      <c r="J200" s="28"/>
      <c r="K200" s="28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3:26" outlineLevel="1" x14ac:dyDescent="0.3">
      <c r="C201" s="30" t="s">
        <v>110</v>
      </c>
      <c r="D201" s="19"/>
      <c r="E201" s="19"/>
      <c r="F201" s="29" t="s">
        <v>108</v>
      </c>
      <c r="G201" s="28">
        <f>G93+G130+G187+G194</f>
        <v>266700</v>
      </c>
      <c r="H201" s="28">
        <f t="shared" ref="H201:K201" si="27">H93+H130+H187+H194</f>
        <v>680400</v>
      </c>
      <c r="I201" s="28">
        <f t="shared" si="27"/>
        <v>1150800</v>
      </c>
      <c r="J201" s="28">
        <f t="shared" si="27"/>
        <v>1521600</v>
      </c>
      <c r="K201" s="28">
        <f t="shared" si="27"/>
        <v>2349600</v>
      </c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3:26" outlineLevel="1" x14ac:dyDescent="0.3">
      <c r="C202" s="30"/>
      <c r="D202" s="19"/>
      <c r="E202" s="19"/>
      <c r="F202" s="29"/>
      <c r="G202" s="28"/>
      <c r="H202" s="28"/>
      <c r="I202" s="28"/>
      <c r="J202" s="28"/>
      <c r="K202" s="28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3:26" outlineLevel="1" x14ac:dyDescent="0.3">
      <c r="C203" s="30" t="s">
        <v>157</v>
      </c>
      <c r="D203" s="19"/>
      <c r="E203" s="19"/>
      <c r="F203" s="29" t="s">
        <v>108</v>
      </c>
      <c r="G203" s="28">
        <f>G207+G211+G215+G219</f>
        <v>28000</v>
      </c>
      <c r="H203" s="28">
        <f t="shared" ref="H203:K203" si="28">H207+H211+H215+H219</f>
        <v>48000</v>
      </c>
      <c r="I203" s="28">
        <f t="shared" si="28"/>
        <v>66000</v>
      </c>
      <c r="J203" s="28">
        <f t="shared" si="28"/>
        <v>66000</v>
      </c>
      <c r="K203" s="28">
        <f t="shared" si="28"/>
        <v>66000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3:26" outlineLevel="1" x14ac:dyDescent="0.3">
      <c r="C204" s="30"/>
      <c r="D204" s="19"/>
      <c r="E204" s="19"/>
      <c r="F204" s="29"/>
      <c r="G204" s="28"/>
      <c r="H204" s="28"/>
      <c r="I204" s="28"/>
      <c r="J204" s="28"/>
      <c r="K204" s="28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3:26" outlineLevel="1" x14ac:dyDescent="0.3">
      <c r="C205" s="19" t="s">
        <v>159</v>
      </c>
      <c r="D205" s="19"/>
      <c r="E205" s="19"/>
      <c r="F205" s="27" t="s">
        <v>108</v>
      </c>
      <c r="G205" s="31">
        <v>1000</v>
      </c>
      <c r="H205" s="31">
        <v>1000</v>
      </c>
      <c r="I205" s="31">
        <v>1000</v>
      </c>
      <c r="J205" s="31">
        <v>1000</v>
      </c>
      <c r="K205" s="31">
        <v>1000</v>
      </c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3:26" outlineLevel="1" x14ac:dyDescent="0.3">
      <c r="C206" s="19" t="s">
        <v>146</v>
      </c>
      <c r="D206" s="19"/>
      <c r="E206" s="19"/>
      <c r="F206" s="27" t="s">
        <v>61</v>
      </c>
      <c r="G206" s="31">
        <v>7</v>
      </c>
      <c r="H206" s="31">
        <v>12</v>
      </c>
      <c r="I206" s="31">
        <v>12</v>
      </c>
      <c r="J206" s="31">
        <v>12</v>
      </c>
      <c r="K206" s="31">
        <v>12</v>
      </c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3:26" outlineLevel="1" x14ac:dyDescent="0.3">
      <c r="C207" s="30" t="s">
        <v>158</v>
      </c>
      <c r="D207" s="19"/>
      <c r="E207" s="19"/>
      <c r="F207" s="29" t="s">
        <v>108</v>
      </c>
      <c r="G207" s="28">
        <f>G205*G206</f>
        <v>7000</v>
      </c>
      <c r="H207" s="28">
        <f t="shared" ref="H207:K207" si="29">H205*H206</f>
        <v>12000</v>
      </c>
      <c r="I207" s="28">
        <f t="shared" si="29"/>
        <v>12000</v>
      </c>
      <c r="J207" s="28">
        <f t="shared" si="29"/>
        <v>12000</v>
      </c>
      <c r="K207" s="28">
        <f t="shared" si="29"/>
        <v>12000</v>
      </c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3:26" outlineLevel="1" x14ac:dyDescent="0.3">
      <c r="C208" s="30"/>
      <c r="D208" s="19"/>
      <c r="E208" s="19"/>
      <c r="F208" s="29"/>
      <c r="G208" s="28"/>
      <c r="H208" s="28"/>
      <c r="I208" s="28"/>
      <c r="J208" s="28"/>
      <c r="K208" s="28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3:26" outlineLevel="1" x14ac:dyDescent="0.3">
      <c r="C209" s="19" t="s">
        <v>179</v>
      </c>
      <c r="D209" s="19"/>
      <c r="E209" s="19"/>
      <c r="F209" s="27" t="s">
        <v>108</v>
      </c>
      <c r="G209" s="31">
        <v>2000</v>
      </c>
      <c r="H209" s="31">
        <v>2000</v>
      </c>
      <c r="I209" s="31">
        <v>3000</v>
      </c>
      <c r="J209" s="31">
        <v>3000</v>
      </c>
      <c r="K209" s="31">
        <v>3000</v>
      </c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3:26" outlineLevel="1" x14ac:dyDescent="0.3">
      <c r="C210" s="19" t="s">
        <v>146</v>
      </c>
      <c r="D210" s="19"/>
      <c r="E210" s="19"/>
      <c r="F210" s="27" t="s">
        <v>61</v>
      </c>
      <c r="G210" s="31">
        <v>7</v>
      </c>
      <c r="H210" s="31">
        <v>12</v>
      </c>
      <c r="I210" s="31">
        <v>12</v>
      </c>
      <c r="J210" s="31">
        <v>12</v>
      </c>
      <c r="K210" s="31">
        <v>12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3:26" outlineLevel="1" x14ac:dyDescent="0.3">
      <c r="C211" s="30" t="s">
        <v>186</v>
      </c>
      <c r="D211" s="19"/>
      <c r="E211" s="19"/>
      <c r="F211" s="29" t="s">
        <v>108</v>
      </c>
      <c r="G211" s="28">
        <f>G209*G210</f>
        <v>14000</v>
      </c>
      <c r="H211" s="28">
        <f t="shared" ref="H211:K211" si="30">H209*H210</f>
        <v>24000</v>
      </c>
      <c r="I211" s="28">
        <f t="shared" si="30"/>
        <v>36000</v>
      </c>
      <c r="J211" s="28">
        <f t="shared" si="30"/>
        <v>36000</v>
      </c>
      <c r="K211" s="28">
        <f t="shared" si="30"/>
        <v>36000</v>
      </c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3:26" outlineLevel="1" x14ac:dyDescent="0.3">
      <c r="C212" s="30"/>
      <c r="D212" s="19"/>
      <c r="E212" s="19"/>
      <c r="F212" s="29"/>
      <c r="G212" s="28"/>
      <c r="H212" s="28"/>
      <c r="I212" s="28"/>
      <c r="J212" s="28"/>
      <c r="K212" s="28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3:26" outlineLevel="1" x14ac:dyDescent="0.3">
      <c r="C213" s="19" t="s">
        <v>180</v>
      </c>
      <c r="D213" s="19"/>
      <c r="E213" s="19"/>
      <c r="F213" s="27" t="s">
        <v>108</v>
      </c>
      <c r="G213" s="31">
        <v>500</v>
      </c>
      <c r="H213" s="31">
        <v>500</v>
      </c>
      <c r="I213" s="31">
        <v>1000</v>
      </c>
      <c r="J213" s="31">
        <v>1000</v>
      </c>
      <c r="K213" s="31">
        <v>1000</v>
      </c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3:26" outlineLevel="1" x14ac:dyDescent="0.3">
      <c r="C214" s="19" t="s">
        <v>146</v>
      </c>
      <c r="D214" s="19"/>
      <c r="E214" s="19"/>
      <c r="F214" s="27" t="s">
        <v>61</v>
      </c>
      <c r="G214" s="31">
        <v>7</v>
      </c>
      <c r="H214" s="31">
        <v>12</v>
      </c>
      <c r="I214" s="31">
        <v>12</v>
      </c>
      <c r="J214" s="31">
        <v>12</v>
      </c>
      <c r="K214" s="31">
        <v>12</v>
      </c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3:26" outlineLevel="1" x14ac:dyDescent="0.3">
      <c r="C215" s="30" t="s">
        <v>187</v>
      </c>
      <c r="D215" s="19"/>
      <c r="E215" s="19"/>
      <c r="F215" s="29" t="s">
        <v>108</v>
      </c>
      <c r="G215" s="28">
        <f>G213*G214</f>
        <v>3500</v>
      </c>
      <c r="H215" s="28">
        <f t="shared" ref="H215:K215" si="31">H213*H214</f>
        <v>6000</v>
      </c>
      <c r="I215" s="28">
        <f t="shared" si="31"/>
        <v>12000</v>
      </c>
      <c r="J215" s="28">
        <f t="shared" si="31"/>
        <v>12000</v>
      </c>
      <c r="K215" s="28">
        <f t="shared" si="31"/>
        <v>12000</v>
      </c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3:26" outlineLevel="1" x14ac:dyDescent="0.3">
      <c r="C216" s="30"/>
      <c r="D216" s="19"/>
      <c r="E216" s="19"/>
      <c r="F216" s="29"/>
      <c r="G216" s="28"/>
      <c r="H216" s="28"/>
      <c r="I216" s="28"/>
      <c r="J216" s="28"/>
      <c r="K216" s="28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3:26" outlineLevel="1" x14ac:dyDescent="0.3">
      <c r="C217" s="19" t="s">
        <v>181</v>
      </c>
      <c r="D217" s="19"/>
      <c r="E217" s="19"/>
      <c r="F217" s="27" t="s">
        <v>108</v>
      </c>
      <c r="G217" s="31">
        <v>500</v>
      </c>
      <c r="H217" s="31">
        <v>500</v>
      </c>
      <c r="I217" s="31">
        <v>500</v>
      </c>
      <c r="J217" s="31">
        <v>500</v>
      </c>
      <c r="K217" s="31">
        <v>500</v>
      </c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3:26" outlineLevel="1" x14ac:dyDescent="0.3">
      <c r="C218" s="19" t="s">
        <v>146</v>
      </c>
      <c r="D218" s="19"/>
      <c r="E218" s="19"/>
      <c r="F218" s="27" t="s">
        <v>61</v>
      </c>
      <c r="G218" s="31">
        <v>7</v>
      </c>
      <c r="H218" s="31">
        <v>12</v>
      </c>
      <c r="I218" s="31">
        <v>12</v>
      </c>
      <c r="J218" s="31">
        <v>12</v>
      </c>
      <c r="K218" s="31">
        <v>12</v>
      </c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3:26" outlineLevel="1" x14ac:dyDescent="0.3">
      <c r="C219" s="30" t="s">
        <v>188</v>
      </c>
      <c r="D219" s="19"/>
      <c r="E219" s="19"/>
      <c r="F219" s="29" t="s">
        <v>108</v>
      </c>
      <c r="G219" s="28">
        <f>G217*G218</f>
        <v>3500</v>
      </c>
      <c r="H219" s="28">
        <f t="shared" ref="H219:K219" si="32">H217*H218</f>
        <v>6000</v>
      </c>
      <c r="I219" s="28">
        <f t="shared" si="32"/>
        <v>6000</v>
      </c>
      <c r="J219" s="28">
        <f t="shared" si="32"/>
        <v>6000</v>
      </c>
      <c r="K219" s="28">
        <f t="shared" si="32"/>
        <v>6000</v>
      </c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3:26" outlineLevel="1" x14ac:dyDescent="0.3">
      <c r="C220" s="30"/>
      <c r="D220" s="19"/>
      <c r="E220" s="19"/>
      <c r="F220" s="29"/>
      <c r="G220" s="158"/>
      <c r="H220" s="158"/>
      <c r="I220" s="158"/>
      <c r="J220" s="158"/>
      <c r="K220" s="158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3:26" outlineLevel="1" x14ac:dyDescent="0.3">
      <c r="C221" s="102" t="s">
        <v>62</v>
      </c>
      <c r="D221" s="102"/>
      <c r="E221" s="102"/>
      <c r="F221" s="29" t="s">
        <v>108</v>
      </c>
      <c r="G221" s="28">
        <f>G225+G229+G233</f>
        <v>504000</v>
      </c>
      <c r="H221" s="28">
        <f t="shared" ref="H221:K221" si="33">H225+H229+H233</f>
        <v>432000</v>
      </c>
      <c r="I221" s="28">
        <f t="shared" si="33"/>
        <v>388800</v>
      </c>
      <c r="J221" s="28">
        <f t="shared" si="33"/>
        <v>349920</v>
      </c>
      <c r="K221" s="28">
        <f t="shared" si="33"/>
        <v>314928</v>
      </c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3:26" outlineLevel="1" x14ac:dyDescent="0.3">
      <c r="C222" s="102"/>
      <c r="D222" s="102"/>
      <c r="E222" s="102"/>
      <c r="F222" s="29"/>
      <c r="G222" s="28"/>
      <c r="H222" s="28"/>
      <c r="I222" s="28"/>
      <c r="J222" s="28"/>
      <c r="K222" s="28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3:26" outlineLevel="1" x14ac:dyDescent="0.3">
      <c r="C223" s="149" t="s">
        <v>208</v>
      </c>
      <c r="D223" s="150"/>
      <c r="E223" s="150"/>
      <c r="F223" s="151" t="s">
        <v>108</v>
      </c>
      <c r="G223" s="152">
        <v>40000</v>
      </c>
      <c r="H223" s="152">
        <v>20000</v>
      </c>
      <c r="I223" s="152">
        <v>18000</v>
      </c>
      <c r="J223" s="152">
        <v>16200</v>
      </c>
      <c r="K223" s="152">
        <v>14580</v>
      </c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3:26" outlineLevel="1" x14ac:dyDescent="0.3">
      <c r="C224" s="149" t="s">
        <v>144</v>
      </c>
      <c r="D224" s="150"/>
      <c r="E224" s="150"/>
      <c r="F224" s="151" t="s">
        <v>61</v>
      </c>
      <c r="G224" s="152">
        <v>7</v>
      </c>
      <c r="H224" s="152">
        <v>12</v>
      </c>
      <c r="I224" s="152">
        <v>12</v>
      </c>
      <c r="J224" s="152">
        <v>12</v>
      </c>
      <c r="K224" s="152">
        <v>12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3:26" outlineLevel="1" x14ac:dyDescent="0.3">
      <c r="C225" s="150" t="s">
        <v>209</v>
      </c>
      <c r="D225" s="150"/>
      <c r="E225" s="150"/>
      <c r="F225" s="153" t="s">
        <v>108</v>
      </c>
      <c r="G225" s="154">
        <f t="shared" ref="G225:K225" si="34">G223*G224</f>
        <v>280000</v>
      </c>
      <c r="H225" s="154">
        <f t="shared" si="34"/>
        <v>240000</v>
      </c>
      <c r="I225" s="154">
        <f t="shared" si="34"/>
        <v>216000</v>
      </c>
      <c r="J225" s="154">
        <f t="shared" si="34"/>
        <v>194400</v>
      </c>
      <c r="K225" s="154">
        <f t="shared" si="34"/>
        <v>174960</v>
      </c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3:26" outlineLevel="1" x14ac:dyDescent="0.3">
      <c r="C226" s="150"/>
      <c r="D226" s="150"/>
      <c r="E226" s="150"/>
      <c r="F226" s="153"/>
      <c r="G226" s="154"/>
      <c r="H226" s="154"/>
      <c r="I226" s="31"/>
      <c r="J226" s="31"/>
      <c r="K226" s="31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3:26" outlineLevel="1" x14ac:dyDescent="0.3">
      <c r="C227" s="149" t="s">
        <v>210</v>
      </c>
      <c r="D227" s="150"/>
      <c r="E227" s="150"/>
      <c r="F227" s="151" t="s">
        <v>108</v>
      </c>
      <c r="G227" s="152">
        <v>12000</v>
      </c>
      <c r="H227" s="152">
        <v>6000</v>
      </c>
      <c r="I227" s="152">
        <v>5400</v>
      </c>
      <c r="J227" s="152">
        <v>4860</v>
      </c>
      <c r="K227" s="152">
        <v>4374</v>
      </c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3:26" outlineLevel="1" x14ac:dyDescent="0.3">
      <c r="C228" s="149" t="s">
        <v>144</v>
      </c>
      <c r="D228" s="150"/>
      <c r="E228" s="150"/>
      <c r="F228" s="151" t="s">
        <v>61</v>
      </c>
      <c r="G228" s="152">
        <v>7</v>
      </c>
      <c r="H228" s="152">
        <v>12</v>
      </c>
      <c r="I228" s="152">
        <v>12</v>
      </c>
      <c r="J228" s="152">
        <v>12</v>
      </c>
      <c r="K228" s="152">
        <v>12</v>
      </c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3:26" outlineLevel="1" x14ac:dyDescent="0.3">
      <c r="C229" s="150" t="s">
        <v>211</v>
      </c>
      <c r="D229" s="150"/>
      <c r="E229" s="150"/>
      <c r="F229" s="153" t="s">
        <v>108</v>
      </c>
      <c r="G229" s="154">
        <f t="shared" ref="G229:K229" si="35">G227*G228</f>
        <v>84000</v>
      </c>
      <c r="H229" s="154">
        <f t="shared" si="35"/>
        <v>72000</v>
      </c>
      <c r="I229" s="154">
        <f t="shared" si="35"/>
        <v>64800</v>
      </c>
      <c r="J229" s="154">
        <f t="shared" si="35"/>
        <v>58320</v>
      </c>
      <c r="K229" s="154">
        <f t="shared" si="35"/>
        <v>52488</v>
      </c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3:26" outlineLevel="1" x14ac:dyDescent="0.3">
      <c r="C230" s="150"/>
      <c r="D230" s="150"/>
      <c r="E230" s="150"/>
      <c r="F230" s="153"/>
      <c r="G230" s="154"/>
      <c r="H230" s="154"/>
      <c r="I230" s="31"/>
      <c r="J230" s="31"/>
      <c r="K230" s="31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3:26" outlineLevel="1" x14ac:dyDescent="0.3">
      <c r="C231" s="149" t="s">
        <v>212</v>
      </c>
      <c r="D231" s="150"/>
      <c r="E231" s="150"/>
      <c r="F231" s="151" t="s">
        <v>108</v>
      </c>
      <c r="G231" s="152">
        <v>20000</v>
      </c>
      <c r="H231" s="152">
        <v>10000</v>
      </c>
      <c r="I231" s="152">
        <v>9000</v>
      </c>
      <c r="J231" s="152">
        <v>8100</v>
      </c>
      <c r="K231" s="152">
        <v>7290</v>
      </c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3:26" outlineLevel="1" x14ac:dyDescent="0.3">
      <c r="C232" s="149" t="s">
        <v>144</v>
      </c>
      <c r="D232" s="150"/>
      <c r="E232" s="150"/>
      <c r="F232" s="151" t="s">
        <v>61</v>
      </c>
      <c r="G232" s="152">
        <v>7</v>
      </c>
      <c r="H232" s="152">
        <v>12</v>
      </c>
      <c r="I232" s="152">
        <v>12</v>
      </c>
      <c r="J232" s="152">
        <v>12</v>
      </c>
      <c r="K232" s="152">
        <v>12</v>
      </c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3:26" outlineLevel="1" x14ac:dyDescent="0.3">
      <c r="C233" s="150" t="s">
        <v>213</v>
      </c>
      <c r="D233" s="150"/>
      <c r="E233" s="150"/>
      <c r="F233" s="153" t="s">
        <v>108</v>
      </c>
      <c r="G233" s="154">
        <f t="shared" ref="G233:K233" si="36">G231*G232</f>
        <v>140000</v>
      </c>
      <c r="H233" s="154">
        <f t="shared" si="36"/>
        <v>120000</v>
      </c>
      <c r="I233" s="154">
        <f t="shared" si="36"/>
        <v>108000</v>
      </c>
      <c r="J233" s="154">
        <f t="shared" si="36"/>
        <v>97200</v>
      </c>
      <c r="K233" s="154">
        <f t="shared" si="36"/>
        <v>87480</v>
      </c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3:26" outlineLevel="1" x14ac:dyDescent="0.3">
      <c r="C234" s="150"/>
      <c r="D234" s="155"/>
      <c r="E234" s="150"/>
      <c r="F234" s="153"/>
      <c r="G234" s="156"/>
      <c r="H234" s="156"/>
      <c r="I234" s="31"/>
      <c r="J234" s="31"/>
      <c r="K234" s="31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3:26" x14ac:dyDescent="0.3">
      <c r="C235" s="102" t="s">
        <v>63</v>
      </c>
      <c r="D235" s="19"/>
      <c r="E235" s="19"/>
      <c r="F235" s="29" t="s">
        <v>108</v>
      </c>
      <c r="G235" s="28">
        <f>G201+G203+G221</f>
        <v>798700</v>
      </c>
      <c r="H235" s="28">
        <f>H201+H203+H221</f>
        <v>1160400</v>
      </c>
      <c r="I235" s="28">
        <f>I201+I203+I221</f>
        <v>1605600</v>
      </c>
      <c r="J235" s="28">
        <f>J201+J203+J221</f>
        <v>1937520</v>
      </c>
      <c r="K235" s="28">
        <f>K201+K203+K221</f>
        <v>2730528</v>
      </c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3:26" x14ac:dyDescent="0.3">
      <c r="C236" s="20"/>
      <c r="D236" s="19"/>
      <c r="E236" s="19"/>
      <c r="F236" s="27"/>
      <c r="G236" s="20"/>
      <c r="H236" s="20"/>
      <c r="I236" s="136"/>
      <c r="J236" s="20"/>
      <c r="K236" s="20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3:26" x14ac:dyDescent="0.3">
      <c r="C237" s="102" t="s">
        <v>64</v>
      </c>
      <c r="D237" s="19"/>
      <c r="E237" s="19"/>
      <c r="F237" s="104" t="s">
        <v>108</v>
      </c>
      <c r="G237" s="28">
        <f>G90-G235</f>
        <v>4727660</v>
      </c>
      <c r="H237" s="28">
        <f>H90-H235</f>
        <v>3234994.6875</v>
      </c>
      <c r="I237" s="28">
        <f>I90-I235</f>
        <v>8230117.5</v>
      </c>
      <c r="J237" s="28">
        <f>J90-J235</f>
        <v>13334646.915984377</v>
      </c>
      <c r="K237" s="28">
        <f>K90-K235</f>
        <v>17633246.557950005</v>
      </c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3:26" x14ac:dyDescent="0.3">
      <c r="C238" s="20" t="s">
        <v>65</v>
      </c>
      <c r="D238" s="19"/>
      <c r="E238" s="19"/>
      <c r="F238" s="27" t="s">
        <v>60</v>
      </c>
      <c r="G238" s="41">
        <f>G237/G90</f>
        <v>0.855474489537417</v>
      </c>
      <c r="H238" s="41">
        <f>H237/H90</f>
        <v>0.73599640475972616</v>
      </c>
      <c r="I238" s="41">
        <f>I237/I90</f>
        <v>0.83675822328162641</v>
      </c>
      <c r="J238" s="41">
        <f>J237/J90</f>
        <v>0.87313391670882512</v>
      </c>
      <c r="K238" s="41">
        <f>K237/K90</f>
        <v>0.8659124813904403</v>
      </c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3:26" x14ac:dyDescent="0.3">
      <c r="C239" s="102"/>
      <c r="D239" s="19"/>
      <c r="E239" s="19"/>
      <c r="F239" s="19"/>
      <c r="G239" s="19"/>
      <c r="H239" s="19"/>
      <c r="I239" s="19"/>
      <c r="J239" s="105"/>
      <c r="K239" s="105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3:26" x14ac:dyDescent="0.3">
      <c r="C240" s="19" t="s">
        <v>66</v>
      </c>
      <c r="D240" s="19"/>
      <c r="E240" s="19"/>
      <c r="F240" s="104" t="s">
        <v>108</v>
      </c>
      <c r="G240" s="28">
        <f>MIN(0,-G237*Tax_Rate)</f>
        <v>-709149</v>
      </c>
      <c r="H240" s="28">
        <f>MIN(0,-H237*Tax_Rate)</f>
        <v>-485249.203125</v>
      </c>
      <c r="I240" s="28">
        <f>MIN(0,-I237*Tax_Rate)</f>
        <v>-1234517.625</v>
      </c>
      <c r="J240" s="28">
        <f>MIN(0,-J237*Tax_Rate)</f>
        <v>-2000197.0373976566</v>
      </c>
      <c r="K240" s="28">
        <f>MIN(0,-K237*Tax_Rate)</f>
        <v>-2644986.9836925007</v>
      </c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x14ac:dyDescent="0.3">
      <c r="C241" s="102"/>
      <c r="D241" s="19"/>
      <c r="E241" s="19"/>
      <c r="F241" s="19"/>
      <c r="G241" s="105"/>
      <c r="H241" s="105"/>
      <c r="I241" s="105"/>
      <c r="J241" s="105"/>
      <c r="K241" s="105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x14ac:dyDescent="0.3">
      <c r="C242" s="102" t="s">
        <v>67</v>
      </c>
      <c r="D242" s="19"/>
      <c r="E242" s="19"/>
      <c r="F242" s="104" t="s">
        <v>108</v>
      </c>
      <c r="G242" s="28">
        <f>+G237+G240</f>
        <v>4018511</v>
      </c>
      <c r="H242" s="28">
        <f>+H237+H240</f>
        <v>2749745.484375</v>
      </c>
      <c r="I242" s="28">
        <f>+I237+I240</f>
        <v>6995599.875</v>
      </c>
      <c r="J242" s="28">
        <f>+J237+J240</f>
        <v>11334449.878586721</v>
      </c>
      <c r="K242" s="28">
        <f>+K237+K240</f>
        <v>14988259.574257504</v>
      </c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x14ac:dyDescent="0.3">
      <c r="C243" s="102"/>
      <c r="D243" s="19"/>
      <c r="E243" s="19"/>
      <c r="F243" s="19"/>
      <c r="G243" s="105"/>
      <c r="H243" s="105"/>
      <c r="I243" s="105"/>
      <c r="J243" s="105"/>
      <c r="K243" s="105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x14ac:dyDescent="0.3">
      <c r="C244" s="102" t="s">
        <v>68</v>
      </c>
      <c r="D244" s="19"/>
      <c r="E244" s="19"/>
      <c r="F244" s="19"/>
      <c r="G244" s="105"/>
      <c r="H244" s="105"/>
      <c r="I244" s="105"/>
      <c r="J244" s="105"/>
      <c r="K244" s="105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x14ac:dyDescent="0.3">
      <c r="C245" s="20" t="s">
        <v>69</v>
      </c>
      <c r="D245" s="19"/>
      <c r="E245" s="19"/>
      <c r="F245" s="104" t="s">
        <v>108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x14ac:dyDescent="0.3">
      <c r="C246" s="20"/>
      <c r="D246" s="20"/>
      <c r="E246" s="20"/>
      <c r="F246" s="20"/>
      <c r="G246" s="20"/>
      <c r="H246" s="20"/>
      <c r="I246" s="20"/>
      <c r="J246" s="20"/>
      <c r="K246" s="20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x14ac:dyDescent="0.3">
      <c r="C247" s="92" t="s">
        <v>70</v>
      </c>
      <c r="D247" s="19"/>
      <c r="E247" s="19"/>
      <c r="F247" s="104" t="s">
        <v>108</v>
      </c>
      <c r="G247" s="28">
        <v>0</v>
      </c>
      <c r="H247" s="28">
        <v>0</v>
      </c>
      <c r="I247" s="28">
        <v>0</v>
      </c>
      <c r="J247" s="28">
        <v>0</v>
      </c>
      <c r="K247" s="28">
        <v>0</v>
      </c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x14ac:dyDescent="0.3">
      <c r="C248" s="20"/>
      <c r="D248" s="19"/>
      <c r="E248" s="19"/>
      <c r="F248" s="19"/>
      <c r="G248" s="19"/>
      <c r="H248" s="19"/>
      <c r="I248" s="19"/>
      <c r="J248" s="105"/>
      <c r="K248" s="105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x14ac:dyDescent="0.3">
      <c r="C249" s="19" t="s">
        <v>165</v>
      </c>
      <c r="D249" s="19"/>
      <c r="E249" s="19"/>
      <c r="F249" s="104" t="s">
        <v>108</v>
      </c>
      <c r="G249" s="28">
        <v>0</v>
      </c>
      <c r="H249" s="28"/>
      <c r="I249" s="28">
        <v>0</v>
      </c>
      <c r="J249" s="28">
        <v>0</v>
      </c>
      <c r="K249" s="28">
        <v>0</v>
      </c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x14ac:dyDescent="0.3">
      <c r="C250" s="19"/>
      <c r="D250" s="19"/>
      <c r="E250" s="19"/>
      <c r="F250" s="104"/>
      <c r="G250" s="28"/>
      <c r="H250" s="28"/>
      <c r="I250" s="28"/>
      <c r="J250" s="28"/>
      <c r="K250" s="28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x14ac:dyDescent="0.3">
      <c r="C251" s="44" t="s">
        <v>71</v>
      </c>
      <c r="D251" s="44"/>
      <c r="E251" s="106"/>
      <c r="F251" s="58" t="s">
        <v>108</v>
      </c>
      <c r="G251" s="107">
        <f>+G242+G245+G247+G249</f>
        <v>4018511</v>
      </c>
      <c r="H251" s="107">
        <f>+H242+H245+H247+H249</f>
        <v>2749745.484375</v>
      </c>
      <c r="I251" s="107">
        <f>+I242+I245+I247+I249</f>
        <v>6995599.875</v>
      </c>
      <c r="J251" s="107">
        <f>+J242+J245+J247+J249</f>
        <v>11334449.878586721</v>
      </c>
      <c r="K251" s="107">
        <f>+K242+K245+K247+K249</f>
        <v>14988259.574257504</v>
      </c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x14ac:dyDescent="0.3">
      <c r="A252" s="19"/>
      <c r="B252" s="19"/>
      <c r="C252" s="33" t="s">
        <v>59</v>
      </c>
      <c r="D252" s="19"/>
      <c r="E252" s="19"/>
      <c r="F252" s="27" t="s">
        <v>60</v>
      </c>
      <c r="G252" s="108"/>
      <c r="H252" s="108">
        <f>IFERROR(+H251/G251-1,"N/A")</f>
        <v>-0.31573025820384715</v>
      </c>
      <c r="I252" s="108">
        <f>IFERROR(+I251/H251-1,"N/A")</f>
        <v>1.544089958416663</v>
      </c>
      <c r="J252" s="108">
        <f>IFERROR(+J251/I251-1,"N/A")</f>
        <v>0.62022558195364486</v>
      </c>
      <c r="K252" s="108">
        <f>IFERROR(+K251/J251-1,"N/A")</f>
        <v>0.32236321434299486</v>
      </c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34"/>
      <c r="K253" s="34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x14ac:dyDescent="0.3">
      <c r="A254" s="19"/>
      <c r="B254" s="19"/>
      <c r="C254" s="63" t="s">
        <v>72</v>
      </c>
      <c r="D254" s="63"/>
      <c r="E254" s="63"/>
      <c r="F254" s="109" t="s">
        <v>108</v>
      </c>
      <c r="G254" s="107">
        <f>+G237+G245</f>
        <v>4727660</v>
      </c>
      <c r="H254" s="107">
        <f>+H237+H245</f>
        <v>3234994.6875</v>
      </c>
      <c r="I254" s="107">
        <f>+I237+I245</f>
        <v>8230117.5</v>
      </c>
      <c r="J254" s="107">
        <f>+J237+J245</f>
        <v>13334646.915984377</v>
      </c>
      <c r="K254" s="107">
        <f>+K237+K245</f>
        <v>17633246.557950005</v>
      </c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x14ac:dyDescent="0.3">
      <c r="A255" s="19"/>
      <c r="B255" s="19"/>
      <c r="C255" s="33" t="s">
        <v>59</v>
      </c>
      <c r="F255" s="35" t="s">
        <v>60</v>
      </c>
      <c r="G255" s="108"/>
      <c r="H255" s="108">
        <f>IFERROR(+H254/G254-1,"N/A")</f>
        <v>-0.31573025820384715</v>
      </c>
      <c r="I255" s="108">
        <f>IFERROR(+I254/H254-1,"N/A")</f>
        <v>1.544089958416663</v>
      </c>
      <c r="J255" s="108">
        <f>IFERROR(+J254/I254-1,"N/A")</f>
        <v>0.62022558195364486</v>
      </c>
      <c r="K255" s="108">
        <f>IFERROR(+K254/J254-1,"N/A")</f>
        <v>0.32236321434299486</v>
      </c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x14ac:dyDescent="0.3">
      <c r="Q256" s="19"/>
      <c r="R256" s="19"/>
    </row>
    <row r="258" spans="5:11" x14ac:dyDescent="0.3">
      <c r="G258" s="145"/>
      <c r="H258" s="145"/>
      <c r="I258" s="145"/>
      <c r="J258" s="145"/>
      <c r="K258" s="145"/>
    </row>
    <row r="259" spans="5:11" x14ac:dyDescent="0.3">
      <c r="G259" s="134"/>
    </row>
    <row r="260" spans="5:11" x14ac:dyDescent="0.3">
      <c r="G260" s="133"/>
      <c r="H260" s="133"/>
      <c r="I260" s="133"/>
    </row>
    <row r="262" spans="5:11" x14ac:dyDescent="0.3">
      <c r="G262" s="134"/>
      <c r="H262" s="133"/>
      <c r="I262" s="133"/>
    </row>
    <row r="264" spans="5:11" x14ac:dyDescent="0.3">
      <c r="E264" s="133"/>
      <c r="G264" s="133"/>
      <c r="H264" s="134"/>
    </row>
    <row r="265" spans="5:11" x14ac:dyDescent="0.3">
      <c r="E265" s="133"/>
      <c r="F265" s="133"/>
      <c r="G265" s="134"/>
      <c r="H265" s="134"/>
    </row>
    <row r="266" spans="5:11" x14ac:dyDescent="0.3">
      <c r="E266" s="133"/>
      <c r="F266" s="133"/>
      <c r="G266" s="133"/>
      <c r="H266" s="133"/>
      <c r="I266" s="133"/>
    </row>
    <row r="267" spans="5:11" x14ac:dyDescent="0.3">
      <c r="E267" s="133"/>
      <c r="F267" s="133"/>
      <c r="G267" s="134"/>
      <c r="H267" s="141"/>
      <c r="I267" s="141"/>
      <c r="J267" s="134"/>
    </row>
    <row r="268" spans="5:11" x14ac:dyDescent="0.3">
      <c r="G268" s="133"/>
      <c r="H268" s="133"/>
      <c r="I268" s="133"/>
      <c r="J268" s="134"/>
    </row>
    <row r="269" spans="5:11" x14ac:dyDescent="0.3">
      <c r="G269" s="133"/>
      <c r="H269" s="133"/>
      <c r="I269" s="133"/>
      <c r="J269" s="134"/>
    </row>
    <row r="270" spans="5:11" x14ac:dyDescent="0.3">
      <c r="G270" s="134"/>
      <c r="H270" s="133"/>
      <c r="I270" s="133"/>
      <c r="J270" s="134"/>
    </row>
    <row r="271" spans="5:11" x14ac:dyDescent="0.3">
      <c r="G271" s="137"/>
      <c r="H271" s="137"/>
      <c r="I271" s="137"/>
    </row>
    <row r="272" spans="5:11" x14ac:dyDescent="0.3">
      <c r="G272" s="28"/>
    </row>
    <row r="274" spans="7:9" x14ac:dyDescent="0.3">
      <c r="G274" s="137"/>
    </row>
    <row r="275" spans="7:9" x14ac:dyDescent="0.3">
      <c r="G275" s="133"/>
      <c r="H275" s="133"/>
      <c r="I275" s="133"/>
    </row>
  </sheetData>
  <pageMargins left="0.75" right="0.75" top="1" bottom="1" header="0.5" footer="0.5"/>
  <pageSetup scale="47" orientation="portrait" horizontalDpi="200" verticalDpi="200" r:id="rId1"/>
  <headerFooter alignWithMargins="0"/>
  <rowBreaks count="1" manualBreakCount="1">
    <brk id="24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 Page</vt:lpstr>
      <vt:lpstr>Valuation </vt:lpstr>
      <vt:lpstr>Investment Offer</vt:lpstr>
      <vt:lpstr>Comparable Analysis Method</vt:lpstr>
      <vt:lpstr>Berkus Method</vt:lpstr>
      <vt:lpstr>Scorecard Method</vt:lpstr>
      <vt:lpstr>Risk Summutation Method</vt:lpstr>
      <vt:lpstr> DCF </vt:lpstr>
      <vt:lpstr>Venture Capital Method </vt:lpstr>
      <vt:lpstr>RETURN ANALYSIS</vt:lpstr>
      <vt:lpstr>Returns Analysis </vt:lpstr>
      <vt:lpstr>' DCF '!Company_Name</vt:lpstr>
      <vt:lpstr>' DCF '!Discount_Rate</vt:lpstr>
      <vt:lpstr>' DCF '!Multiples_Method</vt:lpstr>
      <vt:lpstr>' DCF '!Print_Area</vt:lpstr>
      <vt:lpstr>'Cover Page'!Print_Area</vt:lpstr>
      <vt:lpstr>'RETURN ANALYSIS'!Print_Area</vt:lpstr>
      <vt:lpstr>'Returns Analysis '!Print_Area</vt:lpstr>
      <vt:lpstr>' DCF '!Share_Price</vt:lpstr>
      <vt:lpstr>' DCF '!Tax_Rate</vt:lpstr>
      <vt:lpstr>' DCF '!Terminal_Growth_Rate</vt:lpstr>
      <vt:lpstr>' DCF '!Terminal_Multiple</vt:lpstr>
    </vt:vector>
  </TitlesOfParts>
  <Company>Goldcorp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David</cp:lastModifiedBy>
  <cp:lastPrinted>2019-09-11T17:00:44Z</cp:lastPrinted>
  <dcterms:created xsi:type="dcterms:W3CDTF">2014-03-20T00:13:16Z</dcterms:created>
  <dcterms:modified xsi:type="dcterms:W3CDTF">2023-08-27T16:18:13Z</dcterms:modified>
</cp:coreProperties>
</file>