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miria\Documents\Mirko\BBVA\GitHub\directorio-oficinas\"/>
    </mc:Choice>
  </mc:AlternateContent>
  <xr:revisionPtr revIDLastSave="0" documentId="13_ncr:1_{F1F7CB0C-15DA-48F9-94BD-427AE361E984}" xr6:coauthVersionLast="47" xr6:coauthVersionMax="47" xr10:uidLastSave="{00000000-0000-0000-0000-000000000000}"/>
  <bookViews>
    <workbookView xWindow="-108" yWindow="-108" windowWidth="23256" windowHeight="13896" tabRatio="500" xr2:uid="{00000000-000D-0000-FFFF-FFFF00000000}"/>
  </bookViews>
  <sheets>
    <sheet name="CONSOLIDAD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G331" i="1" l="1"/>
  <c r="F331" i="1"/>
  <c r="E331" i="1"/>
  <c r="D331" i="1"/>
  <c r="C331" i="1"/>
  <c r="B331" i="1"/>
  <c r="A331" i="1"/>
  <c r="G330" i="1"/>
  <c r="F330" i="1"/>
  <c r="E330" i="1"/>
  <c r="D330" i="1"/>
  <c r="C330" i="1"/>
  <c r="B330" i="1"/>
  <c r="A330" i="1"/>
  <c r="G329" i="1"/>
  <c r="F329" i="1"/>
  <c r="E329" i="1"/>
  <c r="D329" i="1"/>
  <c r="C329" i="1"/>
  <c r="B329" i="1"/>
  <c r="A329" i="1"/>
  <c r="G328" i="1"/>
  <c r="F328" i="1"/>
  <c r="E328" i="1"/>
  <c r="D328" i="1"/>
  <c r="C328" i="1"/>
  <c r="B328" i="1"/>
  <c r="A328" i="1"/>
  <c r="G327" i="1"/>
  <c r="F327" i="1"/>
  <c r="E327" i="1"/>
  <c r="D327" i="1"/>
  <c r="C327" i="1"/>
  <c r="B327" i="1"/>
  <c r="A327" i="1"/>
  <c r="G326" i="1"/>
  <c r="F326" i="1"/>
  <c r="E326" i="1"/>
  <c r="D326" i="1"/>
  <c r="C326" i="1"/>
  <c r="B326" i="1"/>
  <c r="A326" i="1"/>
  <c r="G325" i="1"/>
  <c r="F325" i="1"/>
  <c r="E325" i="1"/>
  <c r="D325" i="1"/>
  <c r="C325" i="1"/>
  <c r="B325" i="1"/>
  <c r="A325" i="1"/>
  <c r="G324" i="1"/>
  <c r="F324" i="1"/>
  <c r="E324" i="1"/>
  <c r="D324" i="1"/>
  <c r="C324" i="1"/>
  <c r="B324" i="1"/>
  <c r="A324" i="1"/>
  <c r="G323" i="1"/>
  <c r="F323" i="1"/>
  <c r="E323" i="1"/>
  <c r="D323" i="1"/>
  <c r="C323" i="1"/>
  <c r="B323" i="1"/>
  <c r="A323" i="1"/>
  <c r="G322" i="1"/>
  <c r="F322" i="1"/>
  <c r="E322" i="1"/>
  <c r="D322" i="1"/>
  <c r="C322" i="1"/>
  <c r="B322" i="1"/>
  <c r="A322" i="1"/>
  <c r="G321" i="1"/>
  <c r="F321" i="1"/>
  <c r="E321" i="1"/>
  <c r="D321" i="1"/>
  <c r="C321" i="1"/>
  <c r="B321" i="1"/>
  <c r="A321" i="1"/>
  <c r="G320" i="1"/>
  <c r="F320" i="1"/>
  <c r="E320" i="1"/>
  <c r="D320" i="1"/>
  <c r="C320" i="1"/>
  <c r="B320" i="1"/>
  <c r="A320" i="1"/>
  <c r="G319" i="1"/>
  <c r="F319" i="1"/>
  <c r="E319" i="1"/>
  <c r="D319" i="1"/>
  <c r="C319" i="1"/>
  <c r="B319" i="1"/>
  <c r="A319" i="1"/>
  <c r="G318" i="1"/>
  <c r="F318" i="1"/>
  <c r="E318" i="1"/>
  <c r="D318" i="1"/>
  <c r="C318" i="1"/>
  <c r="B318" i="1"/>
  <c r="A318" i="1"/>
  <c r="G317" i="1"/>
  <c r="F317" i="1"/>
  <c r="E317" i="1"/>
  <c r="D317" i="1"/>
  <c r="C317" i="1"/>
  <c r="B317" i="1"/>
  <c r="A317" i="1"/>
  <c r="G316" i="1"/>
  <c r="F316" i="1"/>
  <c r="E316" i="1"/>
  <c r="D316" i="1"/>
  <c r="C316" i="1"/>
  <c r="B316" i="1"/>
  <c r="A316" i="1"/>
  <c r="G315" i="1"/>
  <c r="F315" i="1"/>
  <c r="E315" i="1"/>
  <c r="D315" i="1"/>
  <c r="C315" i="1"/>
  <c r="B315" i="1"/>
  <c r="A315" i="1"/>
  <c r="G314" i="1"/>
  <c r="F314" i="1"/>
  <c r="E314" i="1"/>
  <c r="D314" i="1"/>
  <c r="C314" i="1"/>
  <c r="B314" i="1"/>
  <c r="A314" i="1"/>
  <c r="G313" i="1"/>
  <c r="F313" i="1"/>
  <c r="E313" i="1"/>
  <c r="D313" i="1"/>
  <c r="C313" i="1"/>
  <c r="B313" i="1"/>
  <c r="A313" i="1"/>
  <c r="G312" i="1"/>
  <c r="F312" i="1"/>
  <c r="E312" i="1"/>
  <c r="D312" i="1"/>
  <c r="C312" i="1"/>
  <c r="B312" i="1"/>
  <c r="A312" i="1"/>
  <c r="G311" i="1"/>
  <c r="F311" i="1"/>
  <c r="E311" i="1"/>
  <c r="D311" i="1"/>
  <c r="C311" i="1"/>
  <c r="B311" i="1"/>
  <c r="A311" i="1"/>
  <c r="G310" i="1"/>
  <c r="F310" i="1"/>
  <c r="E310" i="1"/>
  <c r="D310" i="1"/>
  <c r="C310" i="1"/>
  <c r="B310" i="1"/>
  <c r="A310" i="1"/>
  <c r="G309" i="1"/>
  <c r="F309" i="1"/>
  <c r="E309" i="1"/>
  <c r="D309" i="1"/>
  <c r="C309" i="1"/>
  <c r="B309" i="1"/>
  <c r="A309" i="1"/>
  <c r="G308" i="1"/>
  <c r="F308" i="1"/>
  <c r="E308" i="1"/>
  <c r="D308" i="1"/>
  <c r="C308" i="1"/>
  <c r="B308" i="1"/>
  <c r="A308" i="1"/>
  <c r="G307" i="1"/>
  <c r="F307" i="1"/>
  <c r="E307" i="1"/>
  <c r="D307" i="1"/>
  <c r="C307" i="1"/>
  <c r="B307" i="1"/>
  <c r="A307" i="1"/>
  <c r="G306" i="1"/>
  <c r="F306" i="1"/>
  <c r="E306" i="1"/>
  <c r="D306" i="1"/>
  <c r="C306" i="1"/>
  <c r="B306" i="1"/>
  <c r="A306" i="1"/>
  <c r="G305" i="1"/>
  <c r="F305" i="1"/>
  <c r="E305" i="1"/>
  <c r="D305" i="1"/>
  <c r="C305" i="1"/>
  <c r="B305" i="1"/>
  <c r="A305" i="1"/>
  <c r="G304" i="1"/>
  <c r="F304" i="1"/>
  <c r="E304" i="1"/>
  <c r="D304" i="1"/>
  <c r="C304" i="1"/>
  <c r="B304" i="1"/>
  <c r="A304" i="1"/>
  <c r="G303" i="1"/>
  <c r="F303" i="1"/>
  <c r="E303" i="1"/>
  <c r="D303" i="1"/>
  <c r="C303" i="1"/>
  <c r="B303" i="1"/>
  <c r="A303" i="1"/>
  <c r="G302" i="1"/>
  <c r="F302" i="1"/>
  <c r="E302" i="1"/>
  <c r="D302" i="1"/>
  <c r="C302" i="1"/>
  <c r="B302" i="1"/>
  <c r="A302" i="1"/>
  <c r="G301" i="1"/>
  <c r="F301" i="1"/>
  <c r="E301" i="1"/>
  <c r="D301" i="1"/>
  <c r="C301" i="1"/>
  <c r="B301" i="1"/>
  <c r="A301" i="1"/>
  <c r="G300" i="1"/>
  <c r="F300" i="1"/>
  <c r="E300" i="1"/>
  <c r="D300" i="1"/>
  <c r="C300" i="1"/>
  <c r="B300" i="1"/>
  <c r="A300" i="1"/>
  <c r="G299" i="1"/>
  <c r="F299" i="1"/>
  <c r="E299" i="1"/>
  <c r="D299" i="1"/>
  <c r="C299" i="1"/>
  <c r="B299" i="1"/>
  <c r="A299" i="1"/>
  <c r="G298" i="1"/>
  <c r="F298" i="1"/>
  <c r="E298" i="1"/>
  <c r="D298" i="1"/>
  <c r="C298" i="1"/>
  <c r="B298" i="1"/>
  <c r="A298" i="1"/>
  <c r="G297" i="1"/>
  <c r="F297" i="1"/>
  <c r="E297" i="1"/>
  <c r="D297" i="1"/>
  <c r="C297" i="1"/>
  <c r="B297" i="1"/>
  <c r="A297" i="1"/>
  <c r="G296" i="1"/>
  <c r="F296" i="1"/>
  <c r="E296" i="1"/>
  <c r="D296" i="1"/>
  <c r="C296" i="1"/>
  <c r="B296" i="1"/>
  <c r="A296" i="1"/>
  <c r="G295" i="1"/>
  <c r="F295" i="1"/>
  <c r="E295" i="1"/>
  <c r="D295" i="1"/>
  <c r="C295" i="1"/>
  <c r="B295" i="1"/>
  <c r="A295" i="1"/>
  <c r="G294" i="1"/>
  <c r="F294" i="1"/>
  <c r="E294" i="1"/>
  <c r="D294" i="1"/>
  <c r="C294" i="1"/>
  <c r="B294" i="1"/>
  <c r="A294" i="1"/>
  <c r="G293" i="1"/>
  <c r="F293" i="1"/>
  <c r="E293" i="1"/>
  <c r="D293" i="1"/>
  <c r="C293" i="1"/>
  <c r="B293" i="1"/>
  <c r="A293" i="1"/>
  <c r="G292" i="1"/>
  <c r="F292" i="1"/>
  <c r="E292" i="1"/>
  <c r="D292" i="1"/>
  <c r="C292" i="1"/>
  <c r="B292" i="1"/>
  <c r="A292" i="1"/>
  <c r="G291" i="1"/>
  <c r="F291" i="1"/>
  <c r="E291" i="1"/>
  <c r="D291" i="1"/>
  <c r="C291" i="1"/>
  <c r="B291" i="1"/>
  <c r="A291" i="1"/>
  <c r="G290" i="1"/>
  <c r="F290" i="1"/>
  <c r="E290" i="1"/>
  <c r="D290" i="1"/>
  <c r="C290" i="1"/>
  <c r="B290" i="1"/>
  <c r="A290" i="1"/>
  <c r="G289" i="1"/>
  <c r="F289" i="1"/>
  <c r="E289" i="1"/>
  <c r="D289" i="1"/>
  <c r="C289" i="1"/>
  <c r="B289" i="1"/>
  <c r="A289" i="1"/>
  <c r="G288" i="1"/>
  <c r="F288" i="1"/>
  <c r="E288" i="1"/>
  <c r="D288" i="1"/>
  <c r="C288" i="1"/>
  <c r="B288" i="1"/>
  <c r="A288" i="1"/>
  <c r="G287" i="1"/>
  <c r="F287" i="1"/>
  <c r="E287" i="1"/>
  <c r="D287" i="1"/>
  <c r="C287" i="1"/>
  <c r="B287" i="1"/>
  <c r="A287" i="1"/>
  <c r="G286" i="1"/>
  <c r="F286" i="1"/>
  <c r="E286" i="1"/>
  <c r="D286" i="1"/>
  <c r="C286" i="1"/>
  <c r="B286" i="1"/>
  <c r="A286" i="1"/>
  <c r="G285" i="1"/>
  <c r="F285" i="1"/>
  <c r="E285" i="1"/>
  <c r="D285" i="1"/>
  <c r="C285" i="1"/>
  <c r="B285" i="1"/>
  <c r="A285" i="1"/>
  <c r="G284" i="1"/>
  <c r="F284" i="1"/>
  <c r="E284" i="1"/>
  <c r="D284" i="1"/>
  <c r="C284" i="1"/>
  <c r="B284" i="1"/>
  <c r="A284" i="1"/>
  <c r="G283" i="1"/>
  <c r="F283" i="1"/>
  <c r="E283" i="1"/>
  <c r="D283" i="1"/>
  <c r="C283" i="1"/>
  <c r="B283" i="1"/>
  <c r="A283" i="1"/>
  <c r="G282" i="1"/>
  <c r="F282" i="1"/>
  <c r="E282" i="1"/>
  <c r="D282" i="1"/>
  <c r="C282" i="1"/>
  <c r="B282" i="1"/>
  <c r="A282" i="1"/>
  <c r="G281" i="1"/>
  <c r="F281" i="1"/>
  <c r="E281" i="1"/>
  <c r="D281" i="1"/>
  <c r="C281" i="1"/>
  <c r="B281" i="1"/>
  <c r="A281" i="1"/>
  <c r="G280" i="1"/>
  <c r="F280" i="1"/>
  <c r="E280" i="1"/>
  <c r="D280" i="1"/>
  <c r="C280" i="1"/>
  <c r="B280" i="1"/>
  <c r="A280" i="1"/>
  <c r="G279" i="1"/>
  <c r="F279" i="1"/>
  <c r="E279" i="1"/>
  <c r="D279" i="1"/>
  <c r="C279" i="1"/>
  <c r="B279" i="1"/>
  <c r="A279" i="1"/>
  <c r="G278" i="1"/>
  <c r="F278" i="1"/>
  <c r="E278" i="1"/>
  <c r="D278" i="1"/>
  <c r="C278" i="1"/>
  <c r="B278" i="1"/>
  <c r="A278" i="1"/>
  <c r="G277" i="1"/>
  <c r="F277" i="1"/>
  <c r="E277" i="1"/>
  <c r="D277" i="1"/>
  <c r="C277" i="1"/>
  <c r="B277" i="1"/>
  <c r="A277" i="1"/>
  <c r="G276" i="1"/>
  <c r="F276" i="1"/>
  <c r="E276" i="1"/>
  <c r="D276" i="1"/>
  <c r="C276" i="1"/>
  <c r="B276" i="1"/>
  <c r="A276" i="1"/>
  <c r="G275" i="1"/>
  <c r="F275" i="1"/>
  <c r="E275" i="1"/>
  <c r="D275" i="1"/>
  <c r="C275" i="1"/>
  <c r="B275" i="1"/>
  <c r="A275" i="1"/>
  <c r="G274" i="1"/>
  <c r="F274" i="1"/>
  <c r="E274" i="1"/>
  <c r="D274" i="1"/>
  <c r="C274" i="1"/>
  <c r="B274" i="1"/>
  <c r="A274" i="1"/>
  <c r="G273" i="1"/>
  <c r="F273" i="1"/>
  <c r="E273" i="1"/>
  <c r="D273" i="1"/>
  <c r="C273" i="1"/>
  <c r="B273" i="1"/>
  <c r="A273" i="1"/>
  <c r="G272" i="1"/>
  <c r="F272" i="1"/>
  <c r="E272" i="1"/>
  <c r="D272" i="1"/>
  <c r="C272" i="1"/>
  <c r="B272" i="1"/>
  <c r="A272" i="1"/>
  <c r="G271" i="1"/>
  <c r="F271" i="1"/>
  <c r="E271" i="1"/>
  <c r="D271" i="1"/>
  <c r="C271" i="1"/>
  <c r="B271" i="1"/>
  <c r="A271" i="1"/>
  <c r="G270" i="1"/>
  <c r="F270" i="1"/>
  <c r="E270" i="1"/>
  <c r="D270" i="1"/>
  <c r="C270" i="1"/>
  <c r="B270" i="1"/>
  <c r="A270" i="1"/>
  <c r="G269" i="1"/>
  <c r="F269" i="1"/>
  <c r="E269" i="1"/>
  <c r="D269" i="1"/>
  <c r="C269" i="1"/>
  <c r="B269" i="1"/>
  <c r="A269" i="1"/>
  <c r="G268" i="1"/>
  <c r="F268" i="1"/>
  <c r="E268" i="1"/>
  <c r="D268" i="1"/>
  <c r="C268" i="1"/>
  <c r="B268" i="1"/>
  <c r="A268" i="1"/>
  <c r="G267" i="1"/>
  <c r="F267" i="1"/>
  <c r="E267" i="1"/>
  <c r="D267" i="1"/>
  <c r="C267" i="1"/>
  <c r="B267" i="1"/>
  <c r="A267" i="1"/>
  <c r="G266" i="1"/>
  <c r="F266" i="1"/>
  <c r="E266" i="1"/>
  <c r="D266" i="1"/>
  <c r="C266" i="1"/>
  <c r="B266" i="1"/>
  <c r="A266" i="1"/>
  <c r="G265" i="1"/>
  <c r="F265" i="1"/>
  <c r="E265" i="1"/>
  <c r="D265" i="1"/>
  <c r="C265" i="1"/>
  <c r="B265" i="1"/>
  <c r="A265" i="1"/>
  <c r="G264" i="1"/>
  <c r="F264" i="1"/>
  <c r="E264" i="1"/>
  <c r="D264" i="1"/>
  <c r="C264" i="1"/>
  <c r="B264" i="1"/>
  <c r="A264" i="1"/>
  <c r="G263" i="1"/>
  <c r="F263" i="1"/>
  <c r="E263" i="1"/>
  <c r="D263" i="1"/>
  <c r="C263" i="1"/>
  <c r="B263" i="1"/>
  <c r="A263" i="1"/>
  <c r="G262" i="1"/>
  <c r="F262" i="1"/>
  <c r="E262" i="1"/>
  <c r="D262" i="1"/>
  <c r="C262" i="1"/>
  <c r="B262" i="1"/>
  <c r="A262" i="1"/>
  <c r="G261" i="1"/>
  <c r="F261" i="1"/>
  <c r="E261" i="1"/>
  <c r="D261" i="1"/>
  <c r="C261" i="1"/>
  <c r="B261" i="1"/>
  <c r="A261" i="1"/>
  <c r="G260" i="1"/>
  <c r="F260" i="1"/>
  <c r="E260" i="1"/>
  <c r="D260" i="1"/>
  <c r="C260" i="1"/>
  <c r="B260" i="1"/>
  <c r="A260" i="1"/>
  <c r="G259" i="1"/>
  <c r="F259" i="1"/>
  <c r="E259" i="1"/>
  <c r="D259" i="1"/>
  <c r="C259" i="1"/>
  <c r="B259" i="1"/>
  <c r="A259" i="1"/>
  <c r="G258" i="1"/>
  <c r="F258" i="1"/>
  <c r="E258" i="1"/>
  <c r="D258" i="1"/>
  <c r="C258" i="1"/>
  <c r="B258" i="1"/>
  <c r="A258" i="1"/>
  <c r="G257" i="1"/>
  <c r="F257" i="1"/>
  <c r="E257" i="1"/>
  <c r="D257" i="1"/>
  <c r="C257" i="1"/>
  <c r="B257" i="1"/>
  <c r="A257" i="1"/>
  <c r="G256" i="1"/>
  <c r="F256" i="1"/>
  <c r="E256" i="1"/>
  <c r="D256" i="1"/>
  <c r="C256" i="1"/>
  <c r="B256" i="1"/>
  <c r="A256" i="1"/>
  <c r="G255" i="1"/>
  <c r="F255" i="1"/>
  <c r="E255" i="1"/>
  <c r="D255" i="1"/>
  <c r="C255" i="1"/>
  <c r="B255" i="1"/>
  <c r="A255" i="1"/>
  <c r="G254" i="1"/>
  <c r="F254" i="1"/>
  <c r="E254" i="1"/>
  <c r="D254" i="1"/>
  <c r="C254" i="1"/>
  <c r="B254" i="1"/>
  <c r="A254" i="1"/>
  <c r="G253" i="1"/>
  <c r="F253" i="1"/>
  <c r="E253" i="1"/>
  <c r="D253" i="1"/>
  <c r="C253" i="1"/>
  <c r="B253" i="1"/>
  <c r="A253" i="1"/>
  <c r="G252" i="1"/>
  <c r="F252" i="1"/>
  <c r="E252" i="1"/>
  <c r="D252" i="1"/>
  <c r="C252" i="1"/>
  <c r="B252" i="1"/>
  <c r="A252" i="1"/>
  <c r="G251" i="1"/>
  <c r="F251" i="1"/>
  <c r="E251" i="1"/>
  <c r="D251" i="1"/>
  <c r="C251" i="1"/>
  <c r="B251" i="1"/>
  <c r="A251" i="1"/>
  <c r="G250" i="1"/>
  <c r="F250" i="1"/>
  <c r="E250" i="1"/>
  <c r="D250" i="1"/>
  <c r="C250" i="1"/>
  <c r="B250" i="1"/>
  <c r="A250" i="1"/>
  <c r="G249" i="1"/>
  <c r="F249" i="1"/>
  <c r="E249" i="1"/>
  <c r="D249" i="1"/>
  <c r="C249" i="1"/>
  <c r="B249" i="1"/>
  <c r="A249" i="1"/>
  <c r="G248" i="1"/>
  <c r="F248" i="1"/>
  <c r="E248" i="1"/>
  <c r="D248" i="1"/>
  <c r="C248" i="1"/>
  <c r="B248" i="1"/>
  <c r="A248" i="1"/>
  <c r="G247" i="1"/>
  <c r="F247" i="1"/>
  <c r="E247" i="1"/>
  <c r="D247" i="1"/>
  <c r="C247" i="1"/>
  <c r="B247" i="1"/>
  <c r="A247" i="1"/>
  <c r="G246" i="1"/>
  <c r="F246" i="1"/>
  <c r="E246" i="1"/>
  <c r="D246" i="1"/>
  <c r="C246" i="1"/>
  <c r="B246" i="1"/>
  <c r="A246" i="1"/>
  <c r="G245" i="1"/>
  <c r="F245" i="1"/>
  <c r="E245" i="1"/>
  <c r="D245" i="1"/>
  <c r="C245" i="1"/>
  <c r="B245" i="1"/>
  <c r="A245" i="1"/>
  <c r="G244" i="1"/>
  <c r="F244" i="1"/>
  <c r="E244" i="1"/>
  <c r="D244" i="1"/>
  <c r="C244" i="1"/>
  <c r="B244" i="1"/>
  <c r="A244" i="1"/>
  <c r="G243" i="1"/>
  <c r="F243" i="1"/>
  <c r="E243" i="1"/>
  <c r="D243" i="1"/>
  <c r="C243" i="1"/>
  <c r="B243" i="1"/>
  <c r="A243" i="1"/>
  <c r="G242" i="1"/>
  <c r="F242" i="1"/>
  <c r="E242" i="1"/>
  <c r="D242" i="1"/>
  <c r="C242" i="1"/>
  <c r="B242" i="1"/>
  <c r="A242" i="1"/>
  <c r="G241" i="1"/>
  <c r="F241" i="1"/>
  <c r="E241" i="1"/>
  <c r="D241" i="1"/>
  <c r="C241" i="1"/>
  <c r="B241" i="1"/>
  <c r="A241" i="1"/>
  <c r="G240" i="1"/>
  <c r="F240" i="1"/>
  <c r="E240" i="1"/>
  <c r="D240" i="1"/>
  <c r="C240" i="1"/>
  <c r="B240" i="1"/>
  <c r="A240" i="1"/>
  <c r="G239" i="1"/>
  <c r="F239" i="1"/>
  <c r="E239" i="1"/>
  <c r="D239" i="1"/>
  <c r="C239" i="1"/>
  <c r="B239" i="1"/>
  <c r="A239" i="1"/>
  <c r="G238" i="1"/>
  <c r="F238" i="1"/>
  <c r="E238" i="1"/>
  <c r="D238" i="1"/>
  <c r="C238" i="1"/>
  <c r="B238" i="1"/>
  <c r="A238" i="1"/>
  <c r="G237" i="1"/>
  <c r="F237" i="1"/>
  <c r="E237" i="1"/>
  <c r="D237" i="1"/>
  <c r="C237" i="1"/>
  <c r="B237" i="1"/>
  <c r="A237" i="1"/>
  <c r="G236" i="1"/>
  <c r="F236" i="1"/>
  <c r="E236" i="1"/>
  <c r="D236" i="1"/>
  <c r="C236" i="1"/>
  <c r="B236" i="1"/>
  <c r="A236" i="1"/>
  <c r="G235" i="1"/>
  <c r="F235" i="1"/>
  <c r="E235" i="1"/>
  <c r="D235" i="1"/>
  <c r="C235" i="1"/>
  <c r="B235" i="1"/>
  <c r="A235" i="1"/>
  <c r="G234" i="1"/>
  <c r="F234" i="1"/>
  <c r="E234" i="1"/>
  <c r="D234" i="1"/>
  <c r="C234" i="1"/>
  <c r="B234" i="1"/>
  <c r="A234" i="1"/>
  <c r="G233" i="1"/>
  <c r="F233" i="1"/>
  <c r="E233" i="1"/>
  <c r="D233" i="1"/>
  <c r="C233" i="1"/>
  <c r="B233" i="1"/>
  <c r="A233" i="1"/>
  <c r="G232" i="1"/>
  <c r="F232" i="1"/>
  <c r="E232" i="1"/>
  <c r="D232" i="1"/>
  <c r="C232" i="1"/>
  <c r="B232" i="1"/>
  <c r="A232" i="1"/>
  <c r="G231" i="1"/>
  <c r="F231" i="1"/>
  <c r="E231" i="1"/>
  <c r="D231" i="1"/>
  <c r="C231" i="1"/>
  <c r="B231" i="1"/>
  <c r="A231" i="1"/>
  <c r="G230" i="1"/>
  <c r="F230" i="1"/>
  <c r="E230" i="1"/>
  <c r="D230" i="1"/>
  <c r="C230" i="1"/>
  <c r="B230" i="1"/>
  <c r="A230" i="1"/>
  <c r="G229" i="1"/>
  <c r="F229" i="1"/>
  <c r="E229" i="1"/>
  <c r="D229" i="1"/>
  <c r="C229" i="1"/>
  <c r="B229" i="1"/>
  <c r="A229" i="1"/>
  <c r="G228" i="1"/>
  <c r="F228" i="1"/>
  <c r="E228" i="1"/>
  <c r="D228" i="1"/>
  <c r="C228" i="1"/>
  <c r="B228" i="1"/>
  <c r="A228" i="1"/>
  <c r="G227" i="1"/>
  <c r="F227" i="1"/>
  <c r="E227" i="1"/>
  <c r="D227" i="1"/>
  <c r="C227" i="1"/>
  <c r="B227" i="1"/>
  <c r="A227" i="1"/>
  <c r="G226" i="1"/>
  <c r="F226" i="1"/>
  <c r="E226" i="1"/>
  <c r="D226" i="1"/>
  <c r="C226" i="1"/>
  <c r="B226" i="1"/>
  <c r="A226" i="1"/>
  <c r="G225" i="1"/>
  <c r="F225" i="1"/>
  <c r="E225" i="1"/>
  <c r="D225" i="1"/>
  <c r="C225" i="1"/>
  <c r="B225" i="1"/>
  <c r="A225" i="1"/>
  <c r="G224" i="1"/>
  <c r="F224" i="1"/>
  <c r="E224" i="1"/>
  <c r="D224" i="1"/>
  <c r="C224" i="1"/>
  <c r="B224" i="1"/>
  <c r="A224" i="1"/>
  <c r="G223" i="1"/>
  <c r="F223" i="1"/>
  <c r="E223" i="1"/>
  <c r="D223" i="1"/>
  <c r="C223" i="1"/>
  <c r="B223" i="1"/>
  <c r="A223" i="1"/>
  <c r="G222" i="1"/>
  <c r="F222" i="1"/>
  <c r="E222" i="1"/>
  <c r="D222" i="1"/>
  <c r="C222" i="1"/>
  <c r="B222" i="1"/>
  <c r="A222" i="1"/>
  <c r="G221" i="1"/>
  <c r="F221" i="1"/>
  <c r="E221" i="1"/>
  <c r="D221" i="1"/>
  <c r="C221" i="1"/>
  <c r="B221" i="1"/>
  <c r="A221" i="1"/>
  <c r="G220" i="1"/>
  <c r="F220" i="1"/>
  <c r="E220" i="1"/>
  <c r="D220" i="1"/>
  <c r="C220" i="1"/>
  <c r="B220" i="1"/>
  <c r="A220" i="1"/>
  <c r="G219" i="1"/>
  <c r="F219" i="1"/>
  <c r="E219" i="1"/>
  <c r="D219" i="1"/>
  <c r="C219" i="1"/>
  <c r="B219" i="1"/>
  <c r="A219" i="1"/>
  <c r="G218" i="1"/>
  <c r="F218" i="1"/>
  <c r="E218" i="1"/>
  <c r="D218" i="1"/>
  <c r="C218" i="1"/>
  <c r="B218" i="1"/>
  <c r="A218" i="1"/>
  <c r="G217" i="1"/>
  <c r="F217" i="1"/>
  <c r="E217" i="1"/>
  <c r="D217" i="1"/>
  <c r="C217" i="1"/>
  <c r="B217" i="1"/>
  <c r="A217" i="1"/>
  <c r="G216" i="1"/>
  <c r="F216" i="1"/>
  <c r="E216" i="1"/>
  <c r="D216" i="1"/>
  <c r="C216" i="1"/>
  <c r="B216" i="1"/>
  <c r="A216" i="1"/>
  <c r="G215" i="1"/>
  <c r="F215" i="1"/>
  <c r="E215" i="1"/>
  <c r="D215" i="1"/>
  <c r="C215" i="1"/>
  <c r="B215" i="1"/>
  <c r="A215" i="1"/>
  <c r="G214" i="1"/>
  <c r="F214" i="1"/>
  <c r="E214" i="1"/>
  <c r="D214" i="1"/>
  <c r="C214" i="1"/>
  <c r="B214" i="1"/>
  <c r="A214" i="1"/>
  <c r="G213" i="1"/>
  <c r="F213" i="1"/>
  <c r="E213" i="1"/>
  <c r="D213" i="1"/>
  <c r="C213" i="1"/>
  <c r="B213" i="1"/>
  <c r="A213" i="1"/>
  <c r="G212" i="1"/>
  <c r="F212" i="1"/>
  <c r="E212" i="1"/>
  <c r="D212" i="1"/>
  <c r="C212" i="1"/>
  <c r="B212" i="1"/>
  <c r="A212" i="1"/>
  <c r="G211" i="1"/>
  <c r="F211" i="1"/>
  <c r="E211" i="1"/>
  <c r="D211" i="1"/>
  <c r="C211" i="1"/>
  <c r="B211" i="1"/>
  <c r="A211" i="1"/>
  <c r="G210" i="1"/>
  <c r="F210" i="1"/>
  <c r="E210" i="1"/>
  <c r="D210" i="1"/>
  <c r="C210" i="1"/>
  <c r="B210" i="1"/>
  <c r="A210" i="1"/>
  <c r="G209" i="1"/>
  <c r="F209" i="1"/>
  <c r="E209" i="1"/>
  <c r="D209" i="1"/>
  <c r="C209" i="1"/>
  <c r="B209" i="1"/>
  <c r="A209" i="1"/>
  <c r="G208" i="1"/>
  <c r="F208" i="1"/>
  <c r="E208" i="1"/>
  <c r="D208" i="1"/>
  <c r="C208" i="1"/>
  <c r="B208" i="1"/>
  <c r="A208" i="1"/>
  <c r="G207" i="1"/>
  <c r="F207" i="1"/>
  <c r="E207" i="1"/>
  <c r="D207" i="1"/>
  <c r="C207" i="1"/>
  <c r="B207" i="1"/>
  <c r="A207" i="1"/>
  <c r="G206" i="1"/>
  <c r="F206" i="1"/>
  <c r="E206" i="1"/>
  <c r="D206" i="1"/>
  <c r="C206" i="1"/>
  <c r="B206" i="1"/>
  <c r="A206" i="1"/>
  <c r="G205" i="1"/>
  <c r="F205" i="1"/>
  <c r="E205" i="1"/>
  <c r="D205" i="1"/>
  <c r="C205" i="1"/>
  <c r="B205" i="1"/>
  <c r="A205" i="1"/>
  <c r="G204" i="1"/>
  <c r="F204" i="1"/>
  <c r="E204" i="1"/>
  <c r="D204" i="1"/>
  <c r="C204" i="1"/>
  <c r="B204" i="1"/>
  <c r="A204" i="1"/>
  <c r="G203" i="1"/>
  <c r="F203" i="1"/>
  <c r="E203" i="1"/>
  <c r="D203" i="1"/>
  <c r="C203" i="1"/>
  <c r="B203" i="1"/>
  <c r="A203" i="1"/>
  <c r="G202" i="1"/>
  <c r="F202" i="1"/>
  <c r="E202" i="1"/>
  <c r="D202" i="1"/>
  <c r="C202" i="1"/>
  <c r="B202" i="1"/>
  <c r="A202" i="1"/>
  <c r="G201" i="1"/>
  <c r="F201" i="1"/>
  <c r="E201" i="1"/>
  <c r="D201" i="1"/>
  <c r="C201" i="1"/>
  <c r="B201" i="1"/>
  <c r="A201" i="1"/>
  <c r="G200" i="1"/>
  <c r="F200" i="1"/>
  <c r="E200" i="1"/>
  <c r="D200" i="1"/>
  <c r="C200" i="1"/>
  <c r="B200" i="1"/>
  <c r="A200" i="1"/>
  <c r="G199" i="1"/>
  <c r="F199" i="1"/>
  <c r="E199" i="1"/>
  <c r="D199" i="1"/>
  <c r="C199" i="1"/>
  <c r="B199" i="1"/>
  <c r="A199" i="1"/>
  <c r="G198" i="1"/>
  <c r="F198" i="1"/>
  <c r="E198" i="1"/>
  <c r="D198" i="1"/>
  <c r="C198" i="1"/>
  <c r="B198" i="1"/>
  <c r="A198" i="1"/>
  <c r="G197" i="1"/>
  <c r="F197" i="1"/>
  <c r="E197" i="1"/>
  <c r="D197" i="1"/>
  <c r="C197" i="1"/>
  <c r="B197" i="1"/>
  <c r="A197" i="1"/>
  <c r="G196" i="1"/>
  <c r="F196" i="1"/>
  <c r="E196" i="1"/>
  <c r="D196" i="1"/>
  <c r="C196" i="1"/>
  <c r="B196" i="1"/>
  <c r="A196" i="1"/>
  <c r="G195" i="1"/>
  <c r="F195" i="1"/>
  <c r="E195" i="1"/>
  <c r="D195" i="1"/>
  <c r="C195" i="1"/>
  <c r="B195" i="1"/>
  <c r="A195" i="1"/>
  <c r="G194" i="1"/>
  <c r="F194" i="1"/>
  <c r="E194" i="1"/>
  <c r="D194" i="1"/>
  <c r="C194" i="1"/>
  <c r="B194" i="1"/>
  <c r="A194" i="1"/>
  <c r="G193" i="1"/>
  <c r="F193" i="1"/>
  <c r="E193" i="1"/>
  <c r="D193" i="1"/>
  <c r="C193" i="1"/>
  <c r="B193" i="1"/>
  <c r="A193" i="1"/>
  <c r="G192" i="1"/>
  <c r="F192" i="1"/>
  <c r="E192" i="1"/>
  <c r="D192" i="1"/>
  <c r="C192" i="1"/>
  <c r="B192" i="1"/>
  <c r="A192" i="1"/>
  <c r="G191" i="1"/>
  <c r="F191" i="1"/>
  <c r="E191" i="1"/>
  <c r="D191" i="1"/>
  <c r="C191" i="1"/>
  <c r="B191" i="1"/>
  <c r="A191" i="1"/>
  <c r="G190" i="1"/>
  <c r="F190" i="1"/>
  <c r="E190" i="1"/>
  <c r="D190" i="1"/>
  <c r="C190" i="1"/>
  <c r="B190" i="1"/>
  <c r="A190" i="1"/>
  <c r="G189" i="1"/>
  <c r="F189" i="1"/>
  <c r="E189" i="1"/>
  <c r="D189" i="1"/>
  <c r="C189" i="1"/>
  <c r="B189" i="1"/>
  <c r="A189" i="1"/>
  <c r="G188" i="1"/>
  <c r="F188" i="1"/>
  <c r="E188" i="1"/>
  <c r="D188" i="1"/>
  <c r="C188" i="1"/>
  <c r="B188" i="1"/>
  <c r="A188" i="1"/>
  <c r="G187" i="1"/>
  <c r="F187" i="1"/>
  <c r="E187" i="1"/>
  <c r="D187" i="1"/>
  <c r="C187" i="1"/>
  <c r="B187" i="1"/>
  <c r="A187" i="1"/>
  <c r="G186" i="1"/>
  <c r="F186" i="1"/>
  <c r="E186" i="1"/>
  <c r="D186" i="1"/>
  <c r="C186" i="1"/>
  <c r="B186" i="1"/>
  <c r="A186" i="1"/>
  <c r="G185" i="1"/>
  <c r="F185" i="1"/>
  <c r="E185" i="1"/>
  <c r="D185" i="1"/>
  <c r="C185" i="1"/>
  <c r="B185" i="1"/>
  <c r="A185" i="1"/>
  <c r="G184" i="1"/>
  <c r="F184" i="1"/>
  <c r="E184" i="1"/>
  <c r="D184" i="1"/>
  <c r="C184" i="1"/>
  <c r="B184" i="1"/>
  <c r="A184" i="1"/>
  <c r="G183" i="1"/>
  <c r="F183" i="1"/>
  <c r="E183" i="1"/>
  <c r="D183" i="1"/>
  <c r="C183" i="1"/>
  <c r="B183" i="1"/>
  <c r="A183" i="1"/>
  <c r="G182" i="1"/>
  <c r="F182" i="1"/>
  <c r="E182" i="1"/>
  <c r="D182" i="1"/>
  <c r="C182" i="1"/>
  <c r="B182" i="1"/>
  <c r="A182" i="1"/>
  <c r="G181" i="1"/>
  <c r="F181" i="1"/>
  <c r="E181" i="1"/>
  <c r="D181" i="1"/>
  <c r="C181" i="1"/>
  <c r="B181" i="1"/>
  <c r="A181" i="1"/>
  <c r="G180" i="1"/>
  <c r="F180" i="1"/>
  <c r="E180" i="1"/>
  <c r="D180" i="1"/>
  <c r="C180" i="1"/>
  <c r="B180" i="1"/>
  <c r="A180" i="1"/>
  <c r="G179" i="1"/>
  <c r="F179" i="1"/>
  <c r="E179" i="1"/>
  <c r="D179" i="1"/>
  <c r="C179" i="1"/>
  <c r="B179" i="1"/>
  <c r="A179" i="1"/>
  <c r="G178" i="1"/>
  <c r="F178" i="1"/>
  <c r="E178" i="1"/>
  <c r="D178" i="1"/>
  <c r="C178" i="1"/>
  <c r="B178" i="1"/>
  <c r="A178" i="1"/>
  <c r="G177" i="1"/>
  <c r="F177" i="1"/>
  <c r="E177" i="1"/>
  <c r="D177" i="1"/>
  <c r="C177" i="1"/>
  <c r="B177" i="1"/>
  <c r="A177" i="1"/>
  <c r="G176" i="1"/>
  <c r="F176" i="1"/>
  <c r="E176" i="1"/>
  <c r="D176" i="1"/>
  <c r="C176" i="1"/>
  <c r="B176" i="1"/>
  <c r="A176" i="1"/>
  <c r="G175" i="1"/>
  <c r="F175" i="1"/>
  <c r="E175" i="1"/>
  <c r="D175" i="1"/>
  <c r="C175" i="1"/>
  <c r="B175" i="1"/>
  <c r="A175" i="1"/>
  <c r="G174" i="1"/>
  <c r="F174" i="1"/>
  <c r="E174" i="1"/>
  <c r="D174" i="1"/>
  <c r="C174" i="1"/>
  <c r="B174" i="1"/>
  <c r="A174" i="1"/>
  <c r="G173" i="1"/>
  <c r="F173" i="1"/>
  <c r="E173" i="1"/>
  <c r="D173" i="1"/>
  <c r="C173" i="1"/>
  <c r="B173" i="1"/>
  <c r="A173" i="1"/>
  <c r="G172" i="1"/>
  <c r="F172" i="1"/>
  <c r="E172" i="1"/>
  <c r="D172" i="1"/>
  <c r="C172" i="1"/>
  <c r="B172" i="1"/>
  <c r="A172" i="1"/>
  <c r="G171" i="1"/>
  <c r="F171" i="1"/>
  <c r="E171" i="1"/>
  <c r="D171" i="1"/>
  <c r="C171" i="1"/>
  <c r="B171" i="1"/>
  <c r="A171" i="1"/>
  <c r="G170" i="1"/>
  <c r="F170" i="1"/>
  <c r="E170" i="1"/>
  <c r="D170" i="1"/>
  <c r="C170" i="1"/>
  <c r="B170" i="1"/>
  <c r="A170" i="1"/>
  <c r="G169" i="1"/>
  <c r="F169" i="1"/>
  <c r="E169" i="1"/>
  <c r="D169" i="1"/>
  <c r="C169" i="1"/>
  <c r="B169" i="1"/>
  <c r="A169" i="1"/>
  <c r="G168" i="1"/>
  <c r="F168" i="1"/>
  <c r="E168" i="1"/>
  <c r="D168" i="1"/>
  <c r="C168" i="1"/>
  <c r="B168" i="1"/>
  <c r="A168" i="1"/>
  <c r="G167" i="1"/>
  <c r="F167" i="1"/>
  <c r="E167" i="1"/>
  <c r="D167" i="1"/>
  <c r="C167" i="1"/>
  <c r="B167" i="1"/>
  <c r="A167" i="1"/>
  <c r="G166" i="1"/>
  <c r="F166" i="1"/>
  <c r="E166" i="1"/>
  <c r="D166" i="1"/>
  <c r="C166" i="1"/>
  <c r="B166" i="1"/>
  <c r="A166" i="1"/>
  <c r="G165" i="1"/>
  <c r="F165" i="1"/>
  <c r="E165" i="1"/>
  <c r="D165" i="1"/>
  <c r="C165" i="1"/>
  <c r="B165" i="1"/>
  <c r="A165" i="1"/>
  <c r="G164" i="1"/>
  <c r="F164" i="1"/>
  <c r="E164" i="1"/>
  <c r="D164" i="1"/>
  <c r="C164" i="1"/>
  <c r="B164" i="1"/>
  <c r="A164" i="1"/>
  <c r="G163" i="1"/>
  <c r="F163" i="1"/>
  <c r="E163" i="1"/>
  <c r="D163" i="1"/>
  <c r="C163" i="1"/>
  <c r="B163" i="1"/>
  <c r="A163" i="1"/>
  <c r="G162" i="1"/>
  <c r="F162" i="1"/>
  <c r="E162" i="1"/>
  <c r="D162" i="1"/>
  <c r="C162" i="1"/>
  <c r="B162" i="1"/>
  <c r="A162" i="1"/>
  <c r="G161" i="1"/>
  <c r="F161" i="1"/>
  <c r="E161" i="1"/>
  <c r="D161" i="1"/>
  <c r="C161" i="1"/>
  <c r="B161" i="1"/>
  <c r="A161" i="1"/>
  <c r="G160" i="1"/>
  <c r="F160" i="1"/>
  <c r="E160" i="1"/>
  <c r="D160" i="1"/>
  <c r="C160" i="1"/>
  <c r="B160" i="1"/>
  <c r="A160" i="1"/>
  <c r="G159" i="1"/>
  <c r="F159" i="1"/>
  <c r="E159" i="1"/>
  <c r="D159" i="1"/>
  <c r="C159" i="1"/>
  <c r="B159" i="1"/>
  <c r="A159" i="1"/>
  <c r="G158" i="1"/>
  <c r="F158" i="1"/>
  <c r="E158" i="1"/>
  <c r="D158" i="1"/>
  <c r="C158" i="1"/>
  <c r="B158" i="1"/>
  <c r="A158" i="1"/>
  <c r="G157" i="1"/>
  <c r="F157" i="1"/>
  <c r="E157" i="1"/>
  <c r="D157" i="1"/>
  <c r="C157" i="1"/>
  <c r="B157" i="1"/>
  <c r="A157" i="1"/>
  <c r="G156" i="1"/>
  <c r="F156" i="1"/>
  <c r="E156" i="1"/>
  <c r="D156" i="1"/>
  <c r="C156" i="1"/>
  <c r="B156" i="1"/>
  <c r="A156" i="1"/>
  <c r="G155" i="1"/>
  <c r="F155" i="1"/>
  <c r="E155" i="1"/>
  <c r="D155" i="1"/>
  <c r="C155" i="1"/>
  <c r="B155" i="1"/>
  <c r="A155" i="1"/>
  <c r="G154" i="1"/>
  <c r="F154" i="1"/>
  <c r="E154" i="1"/>
  <c r="D154" i="1"/>
  <c r="C154" i="1"/>
  <c r="B154" i="1"/>
  <c r="A154" i="1"/>
  <c r="G153" i="1"/>
  <c r="F153" i="1"/>
  <c r="E153" i="1"/>
  <c r="D153" i="1"/>
  <c r="C153" i="1"/>
  <c r="B153" i="1"/>
  <c r="A153" i="1"/>
  <c r="G152" i="1"/>
  <c r="F152" i="1"/>
  <c r="E152" i="1"/>
  <c r="D152" i="1"/>
  <c r="C152" i="1"/>
  <c r="B152" i="1"/>
  <c r="A152" i="1"/>
  <c r="G151" i="1"/>
  <c r="F151" i="1"/>
  <c r="E151" i="1"/>
  <c r="D151" i="1"/>
  <c r="C151" i="1"/>
  <c r="B151" i="1"/>
  <c r="A151" i="1"/>
  <c r="G150" i="1"/>
  <c r="F150" i="1"/>
  <c r="E150" i="1"/>
  <c r="D150" i="1"/>
  <c r="C150" i="1"/>
  <c r="B150" i="1"/>
  <c r="A150" i="1"/>
  <c r="G149" i="1"/>
  <c r="F149" i="1"/>
  <c r="E149" i="1"/>
  <c r="D149" i="1"/>
  <c r="C149" i="1"/>
  <c r="B149" i="1"/>
  <c r="A149" i="1"/>
  <c r="G148" i="1"/>
  <c r="F148" i="1"/>
  <c r="E148" i="1"/>
  <c r="D148" i="1"/>
  <c r="C148" i="1"/>
  <c r="B148" i="1"/>
  <c r="A148" i="1"/>
  <c r="G147" i="1"/>
  <c r="F147" i="1"/>
  <c r="E147" i="1"/>
  <c r="D147" i="1"/>
  <c r="C147" i="1"/>
  <c r="B147" i="1"/>
  <c r="A147" i="1"/>
  <c r="G146" i="1"/>
  <c r="F146" i="1"/>
  <c r="E146" i="1"/>
  <c r="D146" i="1"/>
  <c r="C146" i="1"/>
  <c r="B146" i="1"/>
  <c r="A146" i="1"/>
  <c r="G145" i="1"/>
  <c r="F145" i="1"/>
  <c r="E145" i="1"/>
  <c r="D145" i="1"/>
  <c r="C145" i="1"/>
  <c r="B145" i="1"/>
  <c r="A145" i="1"/>
  <c r="G144" i="1"/>
  <c r="F144" i="1"/>
  <c r="E144" i="1"/>
  <c r="D144" i="1"/>
  <c r="C144" i="1"/>
  <c r="B144" i="1"/>
  <c r="A144" i="1"/>
  <c r="G143" i="1"/>
  <c r="F143" i="1"/>
  <c r="E143" i="1"/>
  <c r="D143" i="1"/>
  <c r="C143" i="1"/>
  <c r="B143" i="1"/>
  <c r="A143" i="1"/>
  <c r="G142" i="1"/>
  <c r="F142" i="1"/>
  <c r="E142" i="1"/>
  <c r="D142" i="1"/>
  <c r="C142" i="1"/>
  <c r="B142" i="1"/>
  <c r="A142" i="1"/>
  <c r="G141" i="1"/>
  <c r="F141" i="1"/>
  <c r="E141" i="1"/>
  <c r="D141" i="1"/>
  <c r="C141" i="1"/>
  <c r="B141" i="1"/>
  <c r="A141" i="1"/>
  <c r="G140" i="1"/>
  <c r="F140" i="1"/>
  <c r="E140" i="1"/>
  <c r="D140" i="1"/>
  <c r="C140" i="1"/>
  <c r="B140" i="1"/>
  <c r="A140" i="1"/>
  <c r="G139" i="1"/>
  <c r="F139" i="1"/>
  <c r="E139" i="1"/>
  <c r="D139" i="1"/>
  <c r="C139" i="1"/>
  <c r="B139" i="1"/>
  <c r="A139" i="1"/>
  <c r="G138" i="1"/>
  <c r="F138" i="1"/>
  <c r="E138" i="1"/>
  <c r="D138" i="1"/>
  <c r="C138" i="1"/>
  <c r="B138" i="1"/>
  <c r="A138" i="1"/>
  <c r="G137" i="1"/>
  <c r="F137" i="1"/>
  <c r="E137" i="1"/>
  <c r="D137" i="1"/>
  <c r="C137" i="1"/>
  <c r="B137" i="1"/>
  <c r="A137" i="1"/>
  <c r="G136" i="1"/>
  <c r="F136" i="1"/>
  <c r="E136" i="1"/>
  <c r="D136" i="1"/>
  <c r="C136" i="1"/>
  <c r="B136" i="1"/>
  <c r="A136" i="1"/>
  <c r="G135" i="1"/>
  <c r="F135" i="1"/>
  <c r="E135" i="1"/>
  <c r="D135" i="1"/>
  <c r="C135" i="1"/>
  <c r="B135" i="1"/>
  <c r="A135" i="1"/>
  <c r="G134" i="1"/>
  <c r="F134" i="1"/>
  <c r="E134" i="1"/>
  <c r="D134" i="1"/>
  <c r="C134" i="1"/>
  <c r="B134" i="1"/>
  <c r="A134" i="1"/>
  <c r="G133" i="1"/>
  <c r="F133" i="1"/>
  <c r="E133" i="1"/>
  <c r="D133" i="1"/>
  <c r="C133" i="1"/>
  <c r="B133" i="1"/>
  <c r="A133" i="1"/>
  <c r="G132" i="1"/>
  <c r="F132" i="1"/>
  <c r="E132" i="1"/>
  <c r="D132" i="1"/>
  <c r="C132" i="1"/>
  <c r="B132" i="1"/>
  <c r="A132" i="1"/>
  <c r="G131" i="1"/>
  <c r="F131" i="1"/>
  <c r="E131" i="1"/>
  <c r="D131" i="1"/>
  <c r="C131" i="1"/>
  <c r="B131" i="1"/>
  <c r="A131" i="1"/>
  <c r="G130" i="1"/>
  <c r="F130" i="1"/>
  <c r="E130" i="1"/>
  <c r="D130" i="1"/>
  <c r="C130" i="1"/>
  <c r="B130" i="1"/>
  <c r="A130" i="1"/>
  <c r="G129" i="1"/>
  <c r="F129" i="1"/>
  <c r="E129" i="1"/>
  <c r="D129" i="1"/>
  <c r="C129" i="1"/>
  <c r="B129" i="1"/>
  <c r="A129" i="1"/>
  <c r="G128" i="1"/>
  <c r="F128" i="1"/>
  <c r="E128" i="1"/>
  <c r="D128" i="1"/>
  <c r="C128" i="1"/>
  <c r="B128" i="1"/>
  <c r="A128" i="1"/>
  <c r="G127" i="1"/>
  <c r="F127" i="1"/>
  <c r="E127" i="1"/>
  <c r="D127" i="1"/>
  <c r="C127" i="1"/>
  <c r="B127" i="1"/>
  <c r="A127" i="1"/>
  <c r="G126" i="1"/>
  <c r="F126" i="1"/>
  <c r="E126" i="1"/>
  <c r="D126" i="1"/>
  <c r="C126" i="1"/>
  <c r="B126" i="1"/>
  <c r="A126" i="1"/>
  <c r="G125" i="1"/>
  <c r="F125" i="1"/>
  <c r="E125" i="1"/>
  <c r="D125" i="1"/>
  <c r="C125" i="1"/>
  <c r="B125" i="1"/>
  <c r="A125" i="1"/>
  <c r="G124" i="1"/>
  <c r="F124" i="1"/>
  <c r="E124" i="1"/>
  <c r="D124" i="1"/>
  <c r="C124" i="1"/>
  <c r="B124" i="1"/>
  <c r="A124" i="1"/>
  <c r="G123" i="1"/>
  <c r="F123" i="1"/>
  <c r="E123" i="1"/>
  <c r="D123" i="1"/>
  <c r="C123" i="1"/>
  <c r="B123" i="1"/>
  <c r="A123" i="1"/>
  <c r="G122" i="1"/>
  <c r="F122" i="1"/>
  <c r="E122" i="1"/>
  <c r="D122" i="1"/>
  <c r="C122" i="1"/>
  <c r="B122" i="1"/>
  <c r="A122" i="1"/>
  <c r="G121" i="1"/>
  <c r="F121" i="1"/>
  <c r="E121" i="1"/>
  <c r="D121" i="1"/>
  <c r="C121" i="1"/>
  <c r="B121" i="1"/>
  <c r="A121" i="1"/>
  <c r="G120" i="1"/>
  <c r="F120" i="1"/>
  <c r="E120" i="1"/>
  <c r="D120" i="1"/>
  <c r="C120" i="1"/>
  <c r="B120" i="1"/>
  <c r="A120" i="1"/>
  <c r="G119" i="1"/>
  <c r="F119" i="1"/>
  <c r="E119" i="1"/>
  <c r="D119" i="1"/>
  <c r="C119" i="1"/>
  <c r="B119" i="1"/>
  <c r="A119" i="1"/>
  <c r="G118" i="1"/>
  <c r="F118" i="1"/>
  <c r="E118" i="1"/>
  <c r="D118" i="1"/>
  <c r="C118" i="1"/>
  <c r="B118" i="1"/>
  <c r="A118" i="1"/>
  <c r="G117" i="1"/>
  <c r="F117" i="1"/>
  <c r="E117" i="1"/>
  <c r="D117" i="1"/>
  <c r="C117" i="1"/>
  <c r="B117" i="1"/>
  <c r="A117" i="1"/>
  <c r="G116" i="1"/>
  <c r="F116" i="1"/>
  <c r="E116" i="1"/>
  <c r="D116" i="1"/>
  <c r="C116" i="1"/>
  <c r="B116" i="1"/>
  <c r="A116" i="1"/>
  <c r="G115" i="1"/>
  <c r="F115" i="1"/>
  <c r="E115" i="1"/>
  <c r="D115" i="1"/>
  <c r="C115" i="1"/>
  <c r="B115" i="1"/>
  <c r="A115" i="1"/>
  <c r="G114" i="1"/>
  <c r="F114" i="1"/>
  <c r="E114" i="1"/>
  <c r="D114" i="1"/>
  <c r="C114" i="1"/>
  <c r="B114" i="1"/>
  <c r="A114" i="1"/>
  <c r="G113" i="1"/>
  <c r="F113" i="1"/>
  <c r="E113" i="1"/>
  <c r="D113" i="1"/>
  <c r="C113" i="1"/>
  <c r="B113" i="1"/>
  <c r="A113" i="1"/>
  <c r="G112" i="1"/>
  <c r="F112" i="1"/>
  <c r="E112" i="1"/>
  <c r="D112" i="1"/>
  <c r="C112" i="1"/>
  <c r="B112" i="1"/>
  <c r="A112" i="1"/>
  <c r="G111" i="1"/>
  <c r="F111" i="1"/>
  <c r="E111" i="1"/>
  <c r="D111" i="1"/>
  <c r="C111" i="1"/>
  <c r="B111" i="1"/>
  <c r="A111" i="1"/>
  <c r="G110" i="1"/>
  <c r="F110" i="1"/>
  <c r="E110" i="1"/>
  <c r="D110" i="1"/>
  <c r="C110" i="1"/>
  <c r="B110" i="1"/>
  <c r="A110" i="1"/>
  <c r="G109" i="1"/>
  <c r="F109" i="1"/>
  <c r="E109" i="1"/>
  <c r="D109" i="1"/>
  <c r="C109" i="1"/>
  <c r="B109" i="1"/>
  <c r="A109" i="1"/>
  <c r="G108" i="1"/>
  <c r="F108" i="1"/>
  <c r="E108" i="1"/>
  <c r="D108" i="1"/>
  <c r="C108" i="1"/>
  <c r="B108" i="1"/>
  <c r="A108" i="1"/>
  <c r="G107" i="1"/>
  <c r="F107" i="1"/>
  <c r="E107" i="1"/>
  <c r="D107" i="1"/>
  <c r="C107" i="1"/>
  <c r="B107" i="1"/>
  <c r="A107" i="1"/>
  <c r="G106" i="1"/>
  <c r="F106" i="1"/>
  <c r="E106" i="1"/>
  <c r="D106" i="1"/>
  <c r="C106" i="1"/>
  <c r="B106" i="1"/>
  <c r="A106" i="1"/>
  <c r="G105" i="1"/>
  <c r="F105" i="1"/>
  <c r="E105" i="1"/>
  <c r="D105" i="1"/>
  <c r="C105" i="1"/>
  <c r="B105" i="1"/>
  <c r="A105" i="1"/>
  <c r="G104" i="1"/>
  <c r="F104" i="1"/>
  <c r="E104" i="1"/>
  <c r="D104" i="1"/>
  <c r="C104" i="1"/>
  <c r="B104" i="1"/>
  <c r="A104" i="1"/>
  <c r="G103" i="1"/>
  <c r="F103" i="1"/>
  <c r="E103" i="1"/>
  <c r="D103" i="1"/>
  <c r="C103" i="1"/>
  <c r="B103" i="1"/>
  <c r="A103" i="1"/>
  <c r="G102" i="1"/>
  <c r="F102" i="1"/>
  <c r="E102" i="1"/>
  <c r="D102" i="1"/>
  <c r="C102" i="1"/>
  <c r="B102" i="1"/>
  <c r="A102" i="1"/>
  <c r="G101" i="1"/>
  <c r="F101" i="1"/>
  <c r="E101" i="1"/>
  <c r="D101" i="1"/>
  <c r="C101" i="1"/>
  <c r="B101" i="1"/>
  <c r="A101" i="1"/>
  <c r="G100" i="1"/>
  <c r="F100" i="1"/>
  <c r="E100" i="1"/>
  <c r="D100" i="1"/>
  <c r="C100" i="1"/>
  <c r="B100" i="1"/>
  <c r="A100" i="1"/>
  <c r="G99" i="1"/>
  <c r="F99" i="1"/>
  <c r="E99" i="1"/>
  <c r="D99" i="1"/>
  <c r="C99" i="1"/>
  <c r="B99" i="1"/>
  <c r="A99" i="1"/>
  <c r="G98" i="1"/>
  <c r="F98" i="1"/>
  <c r="E98" i="1"/>
  <c r="D98" i="1"/>
  <c r="C98" i="1"/>
  <c r="B98" i="1"/>
  <c r="A98" i="1"/>
  <c r="G97" i="1"/>
  <c r="F97" i="1"/>
  <c r="E97" i="1"/>
  <c r="D97" i="1"/>
  <c r="C97" i="1"/>
  <c r="B97" i="1"/>
  <c r="A97" i="1"/>
  <c r="G96" i="1"/>
  <c r="F96" i="1"/>
  <c r="E96" i="1"/>
  <c r="D96" i="1"/>
  <c r="C96" i="1"/>
  <c r="B96" i="1"/>
  <c r="A96" i="1"/>
  <c r="G95" i="1"/>
  <c r="F95" i="1"/>
  <c r="E95" i="1"/>
  <c r="D95" i="1"/>
  <c r="C95" i="1"/>
  <c r="B95" i="1"/>
  <c r="A95" i="1"/>
  <c r="G94" i="1"/>
  <c r="F94" i="1"/>
  <c r="E94" i="1"/>
  <c r="D94" i="1"/>
  <c r="C94" i="1"/>
  <c r="B94" i="1"/>
  <c r="A94" i="1"/>
  <c r="G93" i="1"/>
  <c r="F93" i="1"/>
  <c r="E93" i="1"/>
  <c r="D93" i="1"/>
  <c r="C93" i="1"/>
  <c r="B93" i="1"/>
  <c r="A93" i="1"/>
  <c r="G92" i="1"/>
  <c r="F92" i="1"/>
  <c r="E92" i="1"/>
  <c r="D92" i="1"/>
  <c r="C92" i="1"/>
  <c r="B92" i="1"/>
  <c r="A92" i="1"/>
  <c r="G91" i="1"/>
  <c r="F91" i="1"/>
  <c r="E91" i="1"/>
  <c r="D91" i="1"/>
  <c r="C91" i="1"/>
  <c r="B91" i="1"/>
  <c r="A91" i="1"/>
  <c r="G90" i="1"/>
  <c r="F90" i="1"/>
  <c r="E90" i="1"/>
  <c r="D90" i="1"/>
  <c r="C90" i="1"/>
  <c r="B90" i="1"/>
  <c r="A90" i="1"/>
  <c r="G89" i="1"/>
  <c r="F89" i="1"/>
  <c r="E89" i="1"/>
  <c r="D89" i="1"/>
  <c r="C89" i="1"/>
  <c r="B89" i="1"/>
  <c r="A89" i="1"/>
  <c r="G88" i="1"/>
  <c r="F88" i="1"/>
  <c r="E88" i="1"/>
  <c r="D88" i="1"/>
  <c r="C88" i="1"/>
  <c r="B88" i="1"/>
  <c r="A88" i="1"/>
  <c r="G87" i="1"/>
  <c r="F87" i="1"/>
  <c r="E87" i="1"/>
  <c r="D87" i="1"/>
  <c r="C87" i="1"/>
  <c r="B87" i="1"/>
  <c r="A87" i="1"/>
  <c r="G86" i="1"/>
  <c r="F86" i="1"/>
  <c r="E86" i="1"/>
  <c r="D86" i="1"/>
  <c r="C86" i="1"/>
  <c r="B86" i="1"/>
  <c r="A86" i="1"/>
  <c r="G85" i="1"/>
  <c r="F85" i="1"/>
  <c r="E85" i="1"/>
  <c r="D85" i="1"/>
  <c r="C85" i="1"/>
  <c r="B85" i="1"/>
  <c r="A85" i="1"/>
  <c r="G84" i="1"/>
  <c r="F84" i="1"/>
  <c r="E84" i="1"/>
  <c r="D84" i="1"/>
  <c r="C84" i="1"/>
  <c r="B84" i="1"/>
  <c r="A84" i="1"/>
  <c r="G83" i="1"/>
  <c r="F83" i="1"/>
  <c r="E83" i="1"/>
  <c r="D83" i="1"/>
  <c r="C83" i="1"/>
  <c r="B83" i="1"/>
  <c r="A83" i="1"/>
  <c r="G82" i="1"/>
  <c r="F82" i="1"/>
  <c r="E82" i="1"/>
  <c r="D82" i="1"/>
  <c r="C82" i="1"/>
  <c r="B82" i="1"/>
  <c r="A82" i="1"/>
  <c r="G81" i="1"/>
  <c r="F81" i="1"/>
  <c r="E81" i="1"/>
  <c r="D81" i="1"/>
  <c r="C81" i="1"/>
  <c r="B81" i="1"/>
  <c r="A81" i="1"/>
  <c r="G80" i="1"/>
  <c r="F80" i="1"/>
  <c r="E80" i="1"/>
  <c r="D80" i="1"/>
  <c r="C80" i="1"/>
  <c r="B80" i="1"/>
  <c r="A80" i="1"/>
  <c r="G79" i="1"/>
  <c r="F79" i="1"/>
  <c r="E79" i="1"/>
  <c r="D79" i="1"/>
  <c r="C79" i="1"/>
  <c r="B79" i="1"/>
  <c r="A79" i="1"/>
  <c r="G78" i="1"/>
  <c r="F78" i="1"/>
  <c r="E78" i="1"/>
  <c r="D78" i="1"/>
  <c r="C78" i="1"/>
  <c r="B78" i="1"/>
  <c r="A78" i="1"/>
  <c r="G77" i="1"/>
  <c r="F77" i="1"/>
  <c r="E77" i="1"/>
  <c r="D77" i="1"/>
  <c r="C77" i="1"/>
  <c r="B77" i="1"/>
  <c r="A77" i="1"/>
  <c r="G76" i="1"/>
  <c r="F76" i="1"/>
  <c r="E76" i="1"/>
  <c r="D76" i="1"/>
  <c r="C76" i="1"/>
  <c r="B76" i="1"/>
  <c r="A76" i="1"/>
  <c r="G75" i="1"/>
  <c r="F75" i="1"/>
  <c r="E75" i="1"/>
  <c r="D75" i="1"/>
  <c r="C75" i="1"/>
  <c r="B75" i="1"/>
  <c r="A75" i="1"/>
  <c r="G74" i="1"/>
  <c r="F74" i="1"/>
  <c r="E74" i="1"/>
  <c r="D74" i="1"/>
  <c r="C74" i="1"/>
  <c r="B74" i="1"/>
  <c r="A74" i="1"/>
  <c r="G73" i="1"/>
  <c r="F73" i="1"/>
  <c r="E73" i="1"/>
  <c r="D73" i="1"/>
  <c r="C73" i="1"/>
  <c r="B73" i="1"/>
  <c r="A73" i="1"/>
  <c r="G72" i="1"/>
  <c r="F72" i="1"/>
  <c r="E72" i="1"/>
  <c r="D72" i="1"/>
  <c r="C72" i="1"/>
  <c r="B72" i="1"/>
  <c r="A72" i="1"/>
  <c r="G71" i="1"/>
  <c r="F71" i="1"/>
  <c r="E71" i="1"/>
  <c r="D71" i="1"/>
  <c r="C71" i="1"/>
  <c r="B71" i="1"/>
  <c r="A71" i="1"/>
  <c r="G70" i="1"/>
  <c r="F70" i="1"/>
  <c r="E70" i="1"/>
  <c r="D70" i="1"/>
  <c r="C70" i="1"/>
  <c r="B70" i="1"/>
  <c r="A70" i="1"/>
  <c r="G69" i="1"/>
  <c r="F69" i="1"/>
  <c r="E69" i="1"/>
  <c r="D69" i="1"/>
  <c r="C69" i="1"/>
  <c r="B69" i="1"/>
  <c r="A69" i="1"/>
  <c r="G68" i="1"/>
  <c r="F68" i="1"/>
  <c r="E68" i="1"/>
  <c r="D68" i="1"/>
  <c r="C68" i="1"/>
  <c r="B68" i="1"/>
  <c r="A68" i="1"/>
  <c r="G67" i="1"/>
  <c r="F67" i="1"/>
  <c r="E67" i="1"/>
  <c r="D67" i="1"/>
  <c r="C67" i="1"/>
  <c r="B67" i="1"/>
  <c r="A67" i="1"/>
  <c r="G66" i="1"/>
  <c r="F66" i="1"/>
  <c r="E66" i="1"/>
  <c r="D66" i="1"/>
  <c r="C66" i="1"/>
  <c r="B66" i="1"/>
  <c r="A66" i="1"/>
  <c r="G65" i="1"/>
  <c r="F65" i="1"/>
  <c r="E65" i="1"/>
  <c r="D65" i="1"/>
  <c r="C65" i="1"/>
  <c r="B65" i="1"/>
  <c r="A65" i="1"/>
  <c r="G64" i="1"/>
  <c r="F64" i="1"/>
  <c r="E64" i="1"/>
  <c r="D64" i="1"/>
  <c r="C64" i="1"/>
  <c r="B64" i="1"/>
  <c r="A64" i="1"/>
  <c r="G63" i="1"/>
  <c r="F63" i="1"/>
  <c r="E63" i="1"/>
  <c r="D63" i="1"/>
  <c r="C63" i="1"/>
  <c r="B63" i="1"/>
  <c r="A63" i="1"/>
  <c r="G62" i="1"/>
  <c r="F62" i="1"/>
  <c r="E62" i="1"/>
  <c r="D62" i="1"/>
  <c r="C62" i="1"/>
  <c r="B62" i="1"/>
  <c r="A62" i="1"/>
  <c r="G61" i="1"/>
  <c r="F61" i="1"/>
  <c r="E61" i="1"/>
  <c r="D61" i="1"/>
  <c r="C61" i="1"/>
  <c r="B61" i="1"/>
  <c r="A61" i="1"/>
  <c r="G60" i="1"/>
  <c r="F60" i="1"/>
  <c r="E60" i="1"/>
  <c r="D60" i="1"/>
  <c r="C60" i="1"/>
  <c r="B60" i="1"/>
  <c r="A60" i="1"/>
  <c r="G59" i="1"/>
  <c r="F59" i="1"/>
  <c r="E59" i="1"/>
  <c r="D59" i="1"/>
  <c r="C59" i="1"/>
  <c r="B59" i="1"/>
  <c r="A59" i="1"/>
  <c r="G58" i="1"/>
  <c r="F58" i="1"/>
  <c r="E58" i="1"/>
  <c r="D58" i="1"/>
  <c r="C58" i="1"/>
  <c r="B58" i="1"/>
  <c r="A58" i="1"/>
  <c r="G57" i="1"/>
  <c r="F57" i="1"/>
  <c r="E57" i="1"/>
  <c r="D57" i="1"/>
  <c r="C57" i="1"/>
  <c r="B57" i="1"/>
  <c r="A57" i="1"/>
  <c r="G56" i="1"/>
  <c r="F56" i="1"/>
  <c r="E56" i="1"/>
  <c r="D56" i="1"/>
  <c r="C56" i="1"/>
  <c r="B56" i="1"/>
  <c r="A56" i="1"/>
  <c r="G55" i="1"/>
  <c r="F55" i="1"/>
  <c r="E55" i="1"/>
  <c r="D55" i="1"/>
  <c r="C55" i="1"/>
  <c r="B55" i="1"/>
  <c r="A55" i="1"/>
  <c r="G54" i="1"/>
  <c r="F54" i="1"/>
  <c r="E54" i="1"/>
  <c r="D54" i="1"/>
  <c r="C54" i="1"/>
  <c r="B54" i="1"/>
  <c r="A54" i="1"/>
  <c r="G53" i="1"/>
  <c r="F53" i="1"/>
  <c r="E53" i="1"/>
  <c r="D53" i="1"/>
  <c r="C53" i="1"/>
  <c r="B53" i="1"/>
  <c r="A53" i="1"/>
  <c r="G52" i="1"/>
  <c r="F52" i="1"/>
  <c r="E52" i="1"/>
  <c r="D52" i="1"/>
  <c r="C52" i="1"/>
  <c r="B52" i="1"/>
  <c r="A52" i="1"/>
  <c r="G51" i="1"/>
  <c r="F51" i="1"/>
  <c r="E51" i="1"/>
  <c r="D51" i="1"/>
  <c r="C51" i="1"/>
  <c r="B51" i="1"/>
  <c r="A51" i="1"/>
  <c r="G50" i="1"/>
  <c r="F50" i="1"/>
  <c r="E50" i="1"/>
  <c r="D50" i="1"/>
  <c r="C50" i="1"/>
  <c r="B50" i="1"/>
  <c r="A50" i="1"/>
  <c r="G49" i="1"/>
  <c r="F49" i="1"/>
  <c r="E49" i="1"/>
  <c r="D49" i="1"/>
  <c r="C49" i="1"/>
  <c r="B49" i="1"/>
  <c r="A49" i="1"/>
  <c r="G48" i="1"/>
  <c r="F48" i="1"/>
  <c r="E48" i="1"/>
  <c r="D48" i="1"/>
  <c r="C48" i="1"/>
  <c r="B48" i="1"/>
  <c r="A48" i="1"/>
  <c r="G47" i="1"/>
  <c r="F47" i="1"/>
  <c r="E47" i="1"/>
  <c r="D47" i="1"/>
  <c r="C47" i="1"/>
  <c r="B47" i="1"/>
  <c r="A47" i="1"/>
  <c r="G46" i="1"/>
  <c r="F46" i="1"/>
  <c r="E46" i="1"/>
  <c r="D46" i="1"/>
  <c r="C46" i="1"/>
  <c r="B46" i="1"/>
  <c r="A46" i="1"/>
  <c r="G45" i="1"/>
  <c r="F45" i="1"/>
  <c r="E45" i="1"/>
  <c r="D45" i="1"/>
  <c r="C45" i="1"/>
  <c r="B45" i="1"/>
  <c r="A45" i="1"/>
  <c r="G44" i="1"/>
  <c r="F44" i="1"/>
  <c r="E44" i="1"/>
  <c r="D44" i="1"/>
  <c r="C44" i="1"/>
  <c r="B44" i="1"/>
  <c r="A44" i="1"/>
  <c r="G43" i="1"/>
  <c r="F43" i="1"/>
  <c r="E43" i="1"/>
  <c r="D43" i="1"/>
  <c r="C43" i="1"/>
  <c r="B43" i="1"/>
  <c r="A43" i="1"/>
  <c r="G42" i="1"/>
  <c r="F42" i="1"/>
  <c r="E42" i="1"/>
  <c r="D42" i="1"/>
  <c r="C42" i="1"/>
  <c r="B42" i="1"/>
  <c r="A42" i="1"/>
  <c r="G41" i="1"/>
  <c r="F41" i="1"/>
  <c r="E41" i="1"/>
  <c r="D41" i="1"/>
  <c r="C41" i="1"/>
  <c r="B41" i="1"/>
  <c r="A41" i="1"/>
  <c r="G40" i="1"/>
  <c r="F40" i="1"/>
  <c r="E40" i="1"/>
  <c r="D40" i="1"/>
  <c r="C40" i="1"/>
  <c r="B40" i="1"/>
  <c r="A40" i="1"/>
  <c r="G39" i="1"/>
  <c r="F39" i="1"/>
  <c r="E39" i="1"/>
  <c r="D39" i="1"/>
  <c r="C39" i="1"/>
  <c r="B39" i="1"/>
  <c r="A39" i="1"/>
  <c r="G38" i="1"/>
  <c r="F38" i="1"/>
  <c r="E38" i="1"/>
  <c r="D38" i="1"/>
  <c r="C38" i="1"/>
  <c r="B38" i="1"/>
  <c r="A38" i="1"/>
  <c r="G37" i="1"/>
  <c r="F37" i="1"/>
  <c r="E37" i="1"/>
  <c r="D37" i="1"/>
  <c r="C37" i="1"/>
  <c r="B37" i="1"/>
  <c r="A37" i="1"/>
  <c r="G36" i="1"/>
  <c r="F36" i="1"/>
  <c r="E36" i="1"/>
  <c r="D36" i="1"/>
  <c r="C36" i="1"/>
  <c r="B36" i="1"/>
  <c r="A36" i="1"/>
  <c r="G35" i="1"/>
  <c r="F35" i="1"/>
  <c r="E35" i="1"/>
  <c r="D35" i="1"/>
  <c r="C35" i="1"/>
  <c r="B35" i="1"/>
  <c r="A35" i="1"/>
  <c r="G34" i="1"/>
  <c r="F34" i="1"/>
  <c r="E34" i="1"/>
  <c r="D34" i="1"/>
  <c r="C34" i="1"/>
  <c r="B34" i="1"/>
  <c r="A34" i="1"/>
  <c r="G33" i="1"/>
  <c r="F33" i="1"/>
  <c r="E33" i="1"/>
  <c r="D33" i="1"/>
  <c r="C33" i="1"/>
  <c r="B33" i="1"/>
  <c r="A33" i="1"/>
  <c r="G32" i="1"/>
  <c r="F32" i="1"/>
  <c r="E32" i="1"/>
  <c r="D32" i="1"/>
  <c r="C32" i="1"/>
  <c r="B32" i="1"/>
  <c r="A32" i="1"/>
  <c r="G31" i="1"/>
  <c r="F31" i="1"/>
  <c r="E31" i="1"/>
  <c r="D31" i="1"/>
  <c r="C31" i="1"/>
  <c r="B31" i="1"/>
  <c r="A31" i="1"/>
  <c r="G30" i="1"/>
  <c r="F30" i="1"/>
  <c r="E30" i="1"/>
  <c r="D30" i="1"/>
  <c r="C30" i="1"/>
  <c r="B30" i="1"/>
  <c r="A30" i="1"/>
  <c r="G29" i="1"/>
  <c r="F29" i="1"/>
  <c r="E29" i="1"/>
  <c r="D29" i="1"/>
  <c r="C29" i="1"/>
  <c r="B29" i="1"/>
  <c r="A29" i="1"/>
  <c r="G28" i="1"/>
  <c r="F28" i="1"/>
  <c r="E28" i="1"/>
  <c r="D28" i="1"/>
  <c r="C28" i="1"/>
  <c r="B28" i="1"/>
  <c r="A28" i="1"/>
  <c r="G27" i="1"/>
  <c r="F27" i="1"/>
  <c r="E27" i="1"/>
  <c r="D27" i="1"/>
  <c r="C27" i="1"/>
  <c r="B27" i="1"/>
  <c r="A27" i="1"/>
  <c r="G26" i="1"/>
  <c r="F26" i="1"/>
  <c r="E26" i="1"/>
  <c r="D26" i="1"/>
  <c r="C26" i="1"/>
  <c r="B26" i="1"/>
  <c r="A26" i="1"/>
  <c r="G25" i="1"/>
  <c r="F25" i="1"/>
  <c r="E25" i="1"/>
  <c r="D25" i="1"/>
  <c r="C25" i="1"/>
  <c r="B25" i="1"/>
  <c r="A25" i="1"/>
  <c r="G24" i="1"/>
  <c r="F24" i="1"/>
  <c r="E24" i="1"/>
  <c r="D24" i="1"/>
  <c r="C24" i="1"/>
  <c r="B24" i="1"/>
  <c r="A24" i="1"/>
  <c r="G23" i="1"/>
  <c r="F23" i="1"/>
  <c r="E23" i="1"/>
  <c r="D23" i="1"/>
  <c r="C23" i="1"/>
  <c r="B23" i="1"/>
  <c r="A23" i="1"/>
  <c r="G22" i="1"/>
  <c r="F22" i="1"/>
  <c r="E22" i="1"/>
  <c r="D22" i="1"/>
  <c r="C22" i="1"/>
  <c r="B22" i="1"/>
  <c r="A22" i="1"/>
  <c r="G21" i="1"/>
  <c r="F21" i="1"/>
  <c r="E21" i="1"/>
  <c r="D21" i="1"/>
  <c r="C21" i="1"/>
  <c r="B21" i="1"/>
  <c r="A21" i="1"/>
  <c r="G20" i="1"/>
  <c r="F20" i="1"/>
  <c r="E20" i="1"/>
  <c r="D20" i="1"/>
  <c r="C20" i="1"/>
  <c r="B20" i="1"/>
  <c r="A20" i="1"/>
  <c r="G19" i="1"/>
  <c r="F19" i="1"/>
  <c r="E19" i="1"/>
  <c r="D19" i="1"/>
  <c r="C19" i="1"/>
  <c r="B19" i="1"/>
  <c r="A19" i="1"/>
  <c r="G18" i="1"/>
  <c r="F18" i="1"/>
  <c r="E18" i="1"/>
  <c r="D18" i="1"/>
  <c r="C18" i="1"/>
  <c r="B18" i="1"/>
  <c r="A18" i="1"/>
  <c r="G17" i="1"/>
  <c r="F17" i="1"/>
  <c r="E17" i="1"/>
  <c r="D17" i="1"/>
  <c r="C17" i="1"/>
  <c r="B17" i="1"/>
  <c r="A17" i="1"/>
  <c r="G16" i="1"/>
  <c r="F16" i="1"/>
  <c r="E16" i="1"/>
  <c r="D16" i="1"/>
  <c r="C16" i="1"/>
  <c r="B16" i="1"/>
  <c r="A16" i="1"/>
  <c r="G15" i="1"/>
  <c r="F15" i="1"/>
  <c r="E15" i="1"/>
  <c r="D15" i="1"/>
  <c r="C15" i="1"/>
  <c r="B15" i="1"/>
  <c r="A15" i="1"/>
  <c r="G14" i="1"/>
  <c r="F14" i="1"/>
  <c r="E14" i="1"/>
  <c r="D14" i="1"/>
  <c r="C14" i="1"/>
  <c r="B14" i="1"/>
  <c r="A14" i="1"/>
  <c r="G13" i="1"/>
  <c r="F13" i="1"/>
  <c r="E13" i="1"/>
  <c r="D13" i="1"/>
  <c r="C13" i="1"/>
  <c r="B13" i="1"/>
  <c r="A13" i="1"/>
  <c r="G12" i="1"/>
  <c r="F12" i="1"/>
  <c r="E12" i="1"/>
  <c r="D12" i="1"/>
  <c r="C12" i="1"/>
  <c r="B12" i="1"/>
  <c r="A12" i="1"/>
  <c r="G11" i="1"/>
  <c r="F11" i="1"/>
  <c r="E11" i="1"/>
  <c r="D11" i="1"/>
  <c r="C11" i="1"/>
  <c r="B11" i="1"/>
  <c r="A11" i="1"/>
  <c r="G10" i="1"/>
  <c r="F10" i="1"/>
  <c r="E10" i="1"/>
  <c r="D10" i="1"/>
  <c r="C10" i="1"/>
  <c r="B10" i="1"/>
  <c r="A10" i="1"/>
  <c r="G9" i="1"/>
  <c r="F9" i="1"/>
  <c r="E9" i="1"/>
  <c r="D9" i="1"/>
  <c r="C9" i="1"/>
  <c r="B9" i="1"/>
  <c r="A9" i="1"/>
  <c r="G8" i="1"/>
  <c r="F8" i="1"/>
  <c r="E8" i="1"/>
  <c r="D8" i="1"/>
  <c r="C8" i="1"/>
  <c r="B8" i="1"/>
  <c r="A8" i="1"/>
  <c r="G7" i="1"/>
  <c r="F7" i="1"/>
  <c r="E7" i="1"/>
  <c r="D7" i="1"/>
  <c r="C7" i="1"/>
  <c r="B7" i="1"/>
  <c r="A7" i="1"/>
  <c r="G6" i="1"/>
  <c r="F6" i="1"/>
  <c r="E6" i="1"/>
  <c r="D6" i="1"/>
  <c r="C6" i="1"/>
  <c r="B6" i="1"/>
  <c r="A6" i="1"/>
  <c r="G5" i="1"/>
  <c r="F5" i="1"/>
  <c r="E5" i="1"/>
  <c r="D5" i="1"/>
  <c r="C5" i="1"/>
  <c r="B5" i="1"/>
  <c r="A5" i="1"/>
  <c r="G4" i="1"/>
  <c r="F4" i="1"/>
  <c r="E4" i="1"/>
  <c r="D4" i="1"/>
  <c r="C4" i="1"/>
  <c r="B4" i="1"/>
  <c r="A4" i="1"/>
  <c r="G3" i="1"/>
  <c r="F3" i="1"/>
  <c r="E3" i="1"/>
  <c r="D3" i="1"/>
  <c r="C3" i="1"/>
  <c r="B3" i="1"/>
  <c r="A3" i="1"/>
  <c r="G2" i="1"/>
  <c r="F2" i="1"/>
  <c r="E2" i="1"/>
  <c r="D2" i="1"/>
  <c r="C2" i="1"/>
  <c r="B2" i="1"/>
  <c r="A2" i="1"/>
</calcChain>
</file>

<file path=xl/sharedStrings.xml><?xml version="1.0" encoding="utf-8"?>
<sst xmlns="http://schemas.openxmlformats.org/spreadsheetml/2006/main" count="7" uniqueCount="7">
  <si>
    <t>Registro</t>
  </si>
  <si>
    <t>Nombre</t>
  </si>
  <si>
    <t>Correo</t>
  </si>
  <si>
    <t>Puesto</t>
  </si>
  <si>
    <t>División</t>
  </si>
  <si>
    <t>ID Oficina</t>
  </si>
  <si>
    <t>Oficina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</si>
</sst>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charset val="1"/>
    </font>
    <font>
      <b/>
      <sz val="10"/>
      <color rgb="FFFFFFFF"/>
      <name val="Arial"/>
      <family val="2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73763"/>
        <bgColor rgb="FF07376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73763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1"/>
  <sheetViews>
    <sheetView tabSelected="1" zoomScaleNormal="100" workbookViewId="0">
      <pane ySplit="1" topLeftCell="A2" activePane="bottomLeft" state="frozen"/>
      <selection pane="bottomLeft"/>
    </sheetView>
  </sheetViews>
  <sheetFormatPr baseColWidth="10" defaultColWidth="12.6640625" defaultRowHeight="13.2" x14ac:dyDescent="0.25"/>
  <sheetData>
    <row r="1" spans="1:7" x14ac:dyDescent="0.25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25">
      <c r="A2" s="2" t="str">
        <f ca="1">IFERROR(__xludf.DUMMYFUNCTION("""COMPUTED_VALUE"""),"0648")</f>
        <v>0648</v>
      </c>
      <c r="B2" s="2" t="str">
        <f ca="1">IFERROR(__xludf.DUMMYFUNCTION("""COMPUTED_VALUE"""),"OFICINA CHOTA")</f>
        <v>OFICINA CHOTA</v>
      </c>
      <c r="C2" s="2" t="str">
        <f ca="1">IFERROR(__xludf.DUMMYFUNCTION("""COMPUTED_VALUE"""),"P020779")</f>
        <v>P020779</v>
      </c>
      <c r="D2" s="2" t="str">
        <f ca="1">IFERROR(__xludf.DUMMYFUNCTION("""COMPUTED_VALUE"""),"ESPINOZA MONSALVE, EDWIN OMAR")</f>
        <v>ESPINOZA MONSALVE, EDWIN OMAR</v>
      </c>
      <c r="E2" s="2" t="str">
        <f ca="1">IFERROR(__xludf.DUMMYFUNCTION("""COMPUTED_VALUE"""),"EDWIN.ESPINOZA@BBVA.COM")</f>
        <v>EDWIN.ESPINOZA@BBVA.COM</v>
      </c>
      <c r="F2" s="2" t="str">
        <f ca="1">IFERROR(__xludf.DUMMYFUNCTION("""COMPUTED_VALUE"""),"(B217)GERENTE DE OFICINA F")</f>
        <v>(B217)GERENTE DE OFICINA F</v>
      </c>
      <c r="G2" s="2" t="str">
        <f ca="1">IFERROR(__xludf.DUMMYFUNCTION("""COMPUTED_VALUE"""),"DIVISION CENTRO ORIENTE")</f>
        <v>DIVISION CENTRO ORIENTE</v>
      </c>
    </row>
    <row r="3" spans="1:7" x14ac:dyDescent="0.25">
      <c r="A3" s="2" t="str">
        <f ca="1">IFERROR(__xludf.DUMMYFUNCTION("""COMPUTED_VALUE"""),"0654")</f>
        <v>0654</v>
      </c>
      <c r="B3" s="2" t="str">
        <f ca="1">IFERROR(__xludf.DUMMYFUNCTION("""COMPUTED_VALUE"""),"OFICINA PLAZA DEL SOL HUACHO")</f>
        <v>OFICINA PLAZA DEL SOL HUACHO</v>
      </c>
      <c r="C3" s="2" t="str">
        <f ca="1">IFERROR(__xludf.DUMMYFUNCTION("""COMPUTED_VALUE"""),"P009933")</f>
        <v>P009933</v>
      </c>
      <c r="D3" s="2" t="str">
        <f ca="1">IFERROR(__xludf.DUMMYFUNCTION("""COMPUTED_VALUE"""),"TAPIA CERNA, SHEILLA AMELIA")</f>
        <v>TAPIA CERNA, SHEILLA AMELIA</v>
      </c>
      <c r="E3" s="2" t="str">
        <f ca="1">IFERROR(__xludf.DUMMYFUNCTION("""COMPUTED_VALUE"""),"STAPIA@BBVA.COM")</f>
        <v>STAPIA@BBVA.COM</v>
      </c>
      <c r="F3" s="2" t="str">
        <f ca="1">IFERROR(__xludf.DUMMYFUNCTION("""COMPUTED_VALUE"""),"(B217)GERENTE DE OFICINA F")</f>
        <v>(B217)GERENTE DE OFICINA F</v>
      </c>
      <c r="G3" s="2" t="str">
        <f ca="1">IFERROR(__xludf.DUMMYFUNCTION("""COMPUTED_VALUE"""),"DIVISION LIMA NORTE")</f>
        <v>DIVISION LIMA NORTE</v>
      </c>
    </row>
    <row r="4" spans="1:7" x14ac:dyDescent="0.25">
      <c r="A4" s="2" t="str">
        <f ca="1">IFERROR(__xludf.DUMMYFUNCTION("""COMPUTED_VALUE"""),"0659")</f>
        <v>0659</v>
      </c>
      <c r="B4" s="2" t="str">
        <f ca="1">IFERROR(__xludf.DUMMYFUNCTION("""COMPUTED_VALUE"""),"OFICINA SEBASTIÁN BARRANCA")</f>
        <v>OFICINA SEBASTIÁN BARRANCA</v>
      </c>
      <c r="C4" s="2" t="str">
        <f ca="1">IFERROR(__xludf.DUMMYFUNCTION("""COMPUTED_VALUE"""),"P017610")</f>
        <v>P017610</v>
      </c>
      <c r="D4" s="2" t="str">
        <f ca="1">IFERROR(__xludf.DUMMYFUNCTION("""COMPUTED_VALUE"""),"GUINET CABRAL, JOHN JANCEL")</f>
        <v>GUINET CABRAL, JOHN JANCEL</v>
      </c>
      <c r="E4" s="2" t="str">
        <f ca="1">IFERROR(__xludf.DUMMYFUNCTION("""COMPUTED_VALUE"""),"JGUINET@BBVA.COM")</f>
        <v>JGUINET@BBVA.COM</v>
      </c>
      <c r="F4" s="2" t="str">
        <f ca="1">IFERROR(__xludf.DUMMYFUNCTION("""COMPUTED_VALUE"""),"(B211)GERENTE DE OFICINA A3")</f>
        <v>(B211)GERENTE DE OFICINA A3</v>
      </c>
      <c r="G4" s="2" t="str">
        <f ca="1">IFERROR(__xludf.DUMMYFUNCTION("""COMPUTED_VALUE"""),"DIVISION LIMA CENTRO")</f>
        <v>DIVISION LIMA CENTRO</v>
      </c>
    </row>
    <row r="5" spans="1:7" x14ac:dyDescent="0.25">
      <c r="A5" s="2" t="str">
        <f ca="1">IFERROR(__xludf.DUMMYFUNCTION("""COMPUTED_VALUE"""),"0667")</f>
        <v>0667</v>
      </c>
      <c r="B5" s="2" t="str">
        <f ca="1">IFERROR(__xludf.DUMMYFUNCTION("""COMPUTED_VALUE"""),"OFICINA REAL PLAZA PIURA")</f>
        <v>OFICINA REAL PLAZA PIURA</v>
      </c>
      <c r="C5" s="2" t="str">
        <f ca="1">IFERROR(__xludf.DUMMYFUNCTION("""COMPUTED_VALUE"""),"P011020")</f>
        <v>P011020</v>
      </c>
      <c r="D5" s="2" t="str">
        <f ca="1">IFERROR(__xludf.DUMMYFUNCTION("""COMPUTED_VALUE"""),"GALLO RIVERA, ROSSANA MARIA")</f>
        <v>GALLO RIVERA, ROSSANA MARIA</v>
      </c>
      <c r="E5" s="2" t="str">
        <f ca="1">IFERROR(__xludf.DUMMYFUNCTION("""COMPUTED_VALUE"""),"RGALLO@BBVA.COM")</f>
        <v>RGALLO@BBVA.COM</v>
      </c>
      <c r="F5" s="2" t="str">
        <f ca="1">IFERROR(__xludf.DUMMYFUNCTION("""COMPUTED_VALUE"""),"(B217)GERENTE DE OFICINA F")</f>
        <v>(B217)GERENTE DE OFICINA F</v>
      </c>
      <c r="G5" s="2" t="str">
        <f ca="1">IFERROR(__xludf.DUMMYFUNCTION("""COMPUTED_VALUE"""),"DIVISION NORTE")</f>
        <v>DIVISION NORTE</v>
      </c>
    </row>
    <row r="6" spans="1:7" x14ac:dyDescent="0.25">
      <c r="A6" s="2" t="str">
        <f ca="1">IFERROR(__xludf.DUMMYFUNCTION("""COMPUTED_VALUE"""),"0712")</f>
        <v>0712</v>
      </c>
      <c r="B6" s="2" t="str">
        <f ca="1">IFERROR(__xludf.DUMMYFUNCTION("""COMPUTED_VALUE"""),"OFICINA MALL AV. PLAZA STA ANITA")</f>
        <v>OFICINA MALL AV. PLAZA STA ANITA</v>
      </c>
      <c r="C6" s="2" t="str">
        <f ca="1">IFERROR(__xludf.DUMMYFUNCTION("""COMPUTED_VALUE"""),"P021973")</f>
        <v>P021973</v>
      </c>
      <c r="D6" s="2" t="str">
        <f ca="1">IFERROR(__xludf.DUMMYFUNCTION("""COMPUTED_VALUE"""),"ALOR ESPINOZA, DAN ALFREDO")</f>
        <v>ALOR ESPINOZA, DAN ALFREDO</v>
      </c>
      <c r="E6" s="2" t="str">
        <f ca="1">IFERROR(__xludf.DUMMYFUNCTION("""COMPUTED_VALUE"""),"DAN.ALOR@BBVA.COM")</f>
        <v>DAN.ALOR@BBVA.COM</v>
      </c>
      <c r="F6" s="2" t="str">
        <f ca="1">IFERROR(__xludf.DUMMYFUNCTION("""COMPUTED_VALUE"""),"(B217)GERENTE DE OFICINA F")</f>
        <v>(B217)GERENTE DE OFICINA F</v>
      </c>
      <c r="G6" s="2" t="str">
        <f ca="1">IFERROR(__xludf.DUMMYFUNCTION("""COMPUTED_VALUE"""),"DIVISION LIMA ESTE")</f>
        <v>DIVISION LIMA ESTE</v>
      </c>
    </row>
    <row r="7" spans="1:7" x14ac:dyDescent="0.25">
      <c r="A7" s="2" t="str">
        <f ca="1">IFERROR(__xludf.DUMMYFUNCTION("""COMPUTED_VALUE"""),"0713")</f>
        <v>0713</v>
      </c>
      <c r="B7" s="2" t="str">
        <f ca="1">IFERROR(__xludf.DUMMYFUNCTION("""COMPUTED_VALUE"""),"OFICINA CAMINOS DEL INCA")</f>
        <v>OFICINA CAMINOS DEL INCA</v>
      </c>
      <c r="C7" s="2" t="str">
        <f ca="1">IFERROR(__xludf.DUMMYFUNCTION("""COMPUTED_VALUE"""),"P008635")</f>
        <v>P008635</v>
      </c>
      <c r="D7" s="2" t="str">
        <f ca="1">IFERROR(__xludf.DUMMYFUNCTION("""COMPUTED_VALUE"""),"NEYRA BARRENECHEA, NIEVES DEL ROSARIO")</f>
        <v>NEYRA BARRENECHEA, NIEVES DEL ROSARIO</v>
      </c>
      <c r="E7" s="2" t="str">
        <f ca="1">IFERROR(__xludf.DUMMYFUNCTION("""COMPUTED_VALUE"""),"NNEYRA@BBVA.COM")</f>
        <v>NNEYRA@BBVA.COM</v>
      </c>
      <c r="F7" s="2" t="str">
        <f ca="1">IFERROR(__xludf.DUMMYFUNCTION("""COMPUTED_VALUE"""),"(B215)GERENTE DE OFICINA E")</f>
        <v>(B215)GERENTE DE OFICINA E</v>
      </c>
      <c r="G7" s="2" t="str">
        <f ca="1">IFERROR(__xludf.DUMMYFUNCTION("""COMPUTED_VALUE"""),"DIVISION LIMA SUR")</f>
        <v>DIVISION LIMA SUR</v>
      </c>
    </row>
    <row r="8" spans="1:7" x14ac:dyDescent="0.25">
      <c r="A8" s="2" t="str">
        <f ca="1">IFERROR(__xludf.DUMMYFUNCTION("""COMPUTED_VALUE"""),"0716")</f>
        <v>0716</v>
      </c>
      <c r="B8" s="2" t="str">
        <f ca="1">IFERROR(__xludf.DUMMYFUNCTION("""COMPUTED_VALUE"""),"OFICINA SANTA CRUZ")</f>
        <v>OFICINA SANTA CRUZ</v>
      </c>
      <c r="C8" s="2" t="str">
        <f ca="1">IFERROR(__xludf.DUMMYFUNCTION("""COMPUTED_VALUE"""),"P105642")</f>
        <v>P105642</v>
      </c>
      <c r="D8" s="2" t="str">
        <f ca="1">IFERROR(__xludf.DUMMYFUNCTION("""COMPUTED_VALUE"""),"CACEDA IDIAQUEZ, KARLA VANESSA")</f>
        <v>CACEDA IDIAQUEZ, KARLA VANESSA</v>
      </c>
      <c r="E8" s="2" t="str">
        <f ca="1">IFERROR(__xludf.DUMMYFUNCTION("""COMPUTED_VALUE"""),"KCACEDA@BBVA.COM")</f>
        <v>KCACEDA@BBVA.COM</v>
      </c>
      <c r="F8" s="2" t="str">
        <f ca="1">IFERROR(__xludf.DUMMYFUNCTION("""COMPUTED_VALUE"""),"(B211)GERENTE DE OFICINA A3")</f>
        <v>(B211)GERENTE DE OFICINA A3</v>
      </c>
      <c r="G8" s="2" t="str">
        <f ca="1">IFERROR(__xludf.DUMMYFUNCTION("""COMPUTED_VALUE"""),"DIVISION MIRAFLORES")</f>
        <v>DIVISION MIRAFLORES</v>
      </c>
    </row>
    <row r="9" spans="1:7" x14ac:dyDescent="0.25">
      <c r="A9" s="2" t="str">
        <f ca="1">IFERROR(__xludf.DUMMYFUNCTION("""COMPUTED_VALUE"""),"0717")</f>
        <v>0717</v>
      </c>
      <c r="B9" s="2" t="str">
        <f ca="1">IFERROR(__xludf.DUMMYFUNCTION("""COMPUTED_VALUE"""),"OFICINA JOSE LUIS BUSTAMANTE Y RIVERO")</f>
        <v>OFICINA JOSE LUIS BUSTAMANTE Y RIVERO</v>
      </c>
      <c r="C9" s="2" t="str">
        <f ca="1">IFERROR(__xludf.DUMMYFUNCTION("""COMPUTED_VALUE"""),"P015675")</f>
        <v>P015675</v>
      </c>
      <c r="D9" s="2" t="str">
        <f ca="1">IFERROR(__xludf.DUMMYFUNCTION("""COMPUTED_VALUE"""),"JURADO KANASHIRO, PAUL")</f>
        <v>JURADO KANASHIRO, PAUL</v>
      </c>
      <c r="E9" s="2" t="str">
        <f ca="1">IFERROR(__xludf.DUMMYFUNCTION("""COMPUTED_VALUE"""),"PJURADO@BBVA.COM")</f>
        <v>PJURADO@BBVA.COM</v>
      </c>
      <c r="F9" s="2" t="str">
        <f ca="1">IFERROR(__xludf.DUMMYFUNCTION("""COMPUTED_VALUE"""),"(B217)GERENTE DE OFICINA F")</f>
        <v>(B217)GERENTE DE OFICINA F</v>
      </c>
      <c r="G9" s="2" t="str">
        <f ca="1">IFERROR(__xludf.DUMMYFUNCTION("""COMPUTED_VALUE"""),"DIVISION SUR")</f>
        <v>DIVISION SUR</v>
      </c>
    </row>
    <row r="10" spans="1:7" x14ac:dyDescent="0.25">
      <c r="A10" s="2" t="str">
        <f ca="1">IFERROR(__xludf.DUMMYFUNCTION("""COMPUTED_VALUE"""),"0732")</f>
        <v>0732</v>
      </c>
      <c r="B10" s="2" t="str">
        <f ca="1">IFERROR(__xludf.DUMMYFUNCTION("""COMPUTED_VALUE"""),"OFICINA SALAVERRY")</f>
        <v>OFICINA SALAVERRY</v>
      </c>
      <c r="C10" s="2" t="str">
        <f ca="1">IFERROR(__xludf.DUMMYFUNCTION("""COMPUTED_VALUE"""),"P012097")</f>
        <v>P012097</v>
      </c>
      <c r="D10" s="2" t="str">
        <f ca="1">IFERROR(__xludf.DUMMYFUNCTION("""COMPUTED_VALUE"""),"PAREDES ROMERO, JENNIFER ELVI")</f>
        <v>PAREDES ROMERO, JENNIFER ELVI</v>
      </c>
      <c r="E10" s="2" t="str">
        <f ca="1">IFERROR(__xludf.DUMMYFUNCTION("""COMPUTED_VALUE"""),"JPAREDESROM@BBVA.COM")</f>
        <v>JPAREDESROM@BBVA.COM</v>
      </c>
      <c r="F10" s="2" t="str">
        <f ca="1">IFERROR(__xludf.DUMMYFUNCTION("""COMPUTED_VALUE"""),"(B212)GERENTE DE OFICINA B")</f>
        <v>(B212)GERENTE DE OFICINA B</v>
      </c>
      <c r="G10" s="2" t="str">
        <f ca="1">IFERROR(__xludf.DUMMYFUNCTION("""COMPUTED_VALUE"""),"DIVISION LIMA OESTE")</f>
        <v>DIVISION LIMA OESTE</v>
      </c>
    </row>
    <row r="11" spans="1:7" x14ac:dyDescent="0.25">
      <c r="A11" s="2" t="str">
        <f ca="1">IFERROR(__xludf.DUMMYFUNCTION("""COMPUTED_VALUE"""),"0733")</f>
        <v>0733</v>
      </c>
      <c r="B11" s="2" t="str">
        <f ca="1">IFERROR(__xludf.DUMMYFUNCTION("""COMPUTED_VALUE"""),"OFICINA PALAO")</f>
        <v>OFICINA PALAO</v>
      </c>
      <c r="C11" s="2" t="str">
        <f ca="1">IFERROR(__xludf.DUMMYFUNCTION("""COMPUTED_VALUE"""),"P026587")</f>
        <v>P026587</v>
      </c>
      <c r="D11" s="2" t="str">
        <f ca="1">IFERROR(__xludf.DUMMYFUNCTION("""COMPUTED_VALUE"""),"BANCES MALAVER, JOSE ENRIQUE")</f>
        <v>BANCES MALAVER, JOSE ENRIQUE</v>
      </c>
      <c r="E11" s="2" t="str">
        <f ca="1">IFERROR(__xludf.DUMMYFUNCTION("""COMPUTED_VALUE"""),"JOSE.BANCES@BBVA.COM")</f>
        <v>JOSE.BANCES@BBVA.COM</v>
      </c>
      <c r="F11" s="2" t="str">
        <f ca="1">IFERROR(__xludf.DUMMYFUNCTION("""COMPUTED_VALUE"""),"(B217)GERENTE DE OFICINA F")</f>
        <v>(B217)GERENTE DE OFICINA F</v>
      </c>
      <c r="G11" s="2" t="str">
        <f ca="1">IFERROR(__xludf.DUMMYFUNCTION("""COMPUTED_VALUE"""),"DIVISION LIMA NORTE")</f>
        <v>DIVISION LIMA NORTE</v>
      </c>
    </row>
    <row r="12" spans="1:7" x14ac:dyDescent="0.25">
      <c r="A12" s="2" t="str">
        <f ca="1">IFERROR(__xludf.DUMMYFUNCTION("""COMPUTED_VALUE"""),"0750")</f>
        <v>0750</v>
      </c>
      <c r="B12" s="2" t="str">
        <f ca="1">IFERROR(__xludf.DUMMYFUNCTION("""COMPUTED_VALUE"""),"OFICINA REAL PLAZA SANTA CLARA")</f>
        <v>OFICINA REAL PLAZA SANTA CLARA</v>
      </c>
      <c r="C12" s="2" t="str">
        <f ca="1">IFERROR(__xludf.DUMMYFUNCTION("""COMPUTED_VALUE"""),"P018095")</f>
        <v>P018095</v>
      </c>
      <c r="D12" s="2" t="str">
        <f ca="1">IFERROR(__xludf.DUMMYFUNCTION("""COMPUTED_VALUE"""),"MEDINA SANTA CRUZ, JOHN HAROL")</f>
        <v>MEDINA SANTA CRUZ, JOHN HAROL</v>
      </c>
      <c r="E12" s="2" t="str">
        <f ca="1">IFERROR(__xludf.DUMMYFUNCTION("""COMPUTED_VALUE"""),"JMEDINAS@BBVA.COM")</f>
        <v>JMEDINAS@BBVA.COM</v>
      </c>
      <c r="F12" s="2" t="str">
        <f ca="1">IFERROR(__xludf.DUMMYFUNCTION("""COMPUTED_VALUE"""),"(B215)GERENTE DE OFICINA E")</f>
        <v>(B215)GERENTE DE OFICINA E</v>
      </c>
      <c r="G12" s="2" t="str">
        <f ca="1">IFERROR(__xludf.DUMMYFUNCTION("""COMPUTED_VALUE"""),"DIVISION LIMA ESTE")</f>
        <v>DIVISION LIMA ESTE</v>
      </c>
    </row>
    <row r="13" spans="1:7" x14ac:dyDescent="0.25">
      <c r="A13" s="2" t="str">
        <f ca="1">IFERROR(__xludf.DUMMYFUNCTION("""COMPUTED_VALUE"""),"0751")</f>
        <v>0751</v>
      </c>
      <c r="B13" s="2" t="str">
        <f ca="1">IFERROR(__xludf.DUMMYFUNCTION("""COMPUTED_VALUE"""),"OFICINA EL TRIGAL")</f>
        <v>OFICINA EL TRIGAL</v>
      </c>
      <c r="C13" s="2" t="str">
        <f ca="1">IFERROR(__xludf.DUMMYFUNCTION("""COMPUTED_VALUE"""),"P007745")</f>
        <v>P007745</v>
      </c>
      <c r="D13" s="2" t="str">
        <f ca="1">IFERROR(__xludf.DUMMYFUNCTION("""COMPUTED_VALUE"""),"OVIEDO BEDOYA, ROXANA PIERINNA")</f>
        <v>OVIEDO BEDOYA, ROXANA PIERINNA</v>
      </c>
      <c r="E13" s="2" t="str">
        <f ca="1">IFERROR(__xludf.DUMMYFUNCTION("""COMPUTED_VALUE"""),"ROVIEDO@BBVA.COM")</f>
        <v>ROVIEDO@BBVA.COM</v>
      </c>
      <c r="F13" s="2" t="str">
        <f ca="1">IFERROR(__xludf.DUMMYFUNCTION("""COMPUTED_VALUE"""),"(B211)GERENTE DE OFICINA A3")</f>
        <v>(B211)GERENTE DE OFICINA A3</v>
      </c>
      <c r="G13" s="2" t="str">
        <f ca="1">IFERROR(__xludf.DUMMYFUNCTION("""COMPUTED_VALUE"""),"DIVISION LIMA SUR")</f>
        <v>DIVISION LIMA SUR</v>
      </c>
    </row>
    <row r="14" spans="1:7" x14ac:dyDescent="0.25">
      <c r="A14" s="2" t="str">
        <f ca="1">IFERROR(__xludf.DUMMYFUNCTION("""COMPUTED_VALUE"""),"0752")</f>
        <v>0752</v>
      </c>
      <c r="B14" s="2" t="str">
        <f ca="1">IFERROR(__xludf.DUMMYFUNCTION("""COMPUTED_VALUE"""),"OFICINA SAN FELIPE COMAS")</f>
        <v>OFICINA SAN FELIPE COMAS</v>
      </c>
      <c r="C14" s="2" t="str">
        <f ca="1">IFERROR(__xludf.DUMMYFUNCTION("""COMPUTED_VALUE"""),"P016278")</f>
        <v>P016278</v>
      </c>
      <c r="D14" s="2" t="str">
        <f ca="1">IFERROR(__xludf.DUMMYFUNCTION("""COMPUTED_VALUE"""),"SANCHEZ NUÑUVERO, BRYAN EDGARD")</f>
        <v>SANCHEZ NUÑUVERO, BRYAN EDGARD</v>
      </c>
      <c r="E14" s="2" t="str">
        <f ca="1">IFERROR(__xludf.DUMMYFUNCTION("""COMPUTED_VALUE"""),"BSANCHEZ@BBVA.COM")</f>
        <v>BSANCHEZ@BBVA.COM</v>
      </c>
      <c r="F14" s="2" t="str">
        <f ca="1">IFERROR(__xludf.DUMMYFUNCTION("""COMPUTED_VALUE"""),"(B215)GERENTE DE OFICINA E")</f>
        <v>(B215)GERENTE DE OFICINA E</v>
      </c>
      <c r="G14" s="2" t="str">
        <f ca="1">IFERROR(__xludf.DUMMYFUNCTION("""COMPUTED_VALUE"""),"DIVISION LIMA NORTE")</f>
        <v>DIVISION LIMA NORTE</v>
      </c>
    </row>
    <row r="15" spans="1:7" x14ac:dyDescent="0.25">
      <c r="A15" s="2" t="str">
        <f ca="1">IFERROR(__xludf.DUMMYFUNCTION("""COMPUTED_VALUE"""),"0763")</f>
        <v>0763</v>
      </c>
      <c r="B15" s="2" t="str">
        <f ca="1">IFERROR(__xludf.DUMMYFUNCTION("""COMPUTED_VALUE"""),"OFICINA PEDREGAL")</f>
        <v>OFICINA PEDREGAL</v>
      </c>
      <c r="C15" s="2" t="str">
        <f ca="1">IFERROR(__xludf.DUMMYFUNCTION("""COMPUTED_VALUE"""),"P016944")</f>
        <v>P016944</v>
      </c>
      <c r="D15" s="2" t="str">
        <f ca="1">IFERROR(__xludf.DUMMYFUNCTION("""COMPUTED_VALUE"""),"QUISPE MAMANI, LUZ MERI")</f>
        <v>QUISPE MAMANI, LUZ MERI</v>
      </c>
      <c r="E15" s="2" t="str">
        <f ca="1">IFERROR(__xludf.DUMMYFUNCTION("""COMPUTED_VALUE"""),"LMQUISPE@BBVA.COM")</f>
        <v>LMQUISPE@BBVA.COM</v>
      </c>
      <c r="F15" s="2" t="str">
        <f ca="1">IFERROR(__xludf.DUMMYFUNCTION("""COMPUTED_VALUE"""),"(B217)GERENTE DE OFICINA F")</f>
        <v>(B217)GERENTE DE OFICINA F</v>
      </c>
      <c r="G15" s="2" t="str">
        <f ca="1">IFERROR(__xludf.DUMMYFUNCTION("""COMPUTED_VALUE"""),"DIVISION SUR")</f>
        <v>DIVISION SUR</v>
      </c>
    </row>
    <row r="16" spans="1:7" x14ac:dyDescent="0.25">
      <c r="A16" s="2" t="str">
        <f ca="1">IFERROR(__xludf.DUMMYFUNCTION("""COMPUTED_VALUE"""),"0764")</f>
        <v>0764</v>
      </c>
      <c r="B16" s="2" t="str">
        <f ca="1">IFERROR(__xludf.DUMMYFUNCTION("""COMPUTED_VALUE"""),"OFICINA MALL PLAZA AVENTURA AREQUIPA")</f>
        <v>OFICINA MALL PLAZA AVENTURA AREQUIPA</v>
      </c>
      <c r="C16" s="2" t="str">
        <f ca="1">IFERROR(__xludf.DUMMYFUNCTION("""COMPUTED_VALUE"""),"P012884")</f>
        <v>P012884</v>
      </c>
      <c r="D16" s="2" t="str">
        <f ca="1">IFERROR(__xludf.DUMMYFUNCTION("""COMPUTED_VALUE"""),"SOTO VILLEGAS, ELIETTE FABIOLA")</f>
        <v>SOTO VILLEGAS, ELIETTE FABIOLA</v>
      </c>
      <c r="E16" s="2" t="str">
        <f ca="1">IFERROR(__xludf.DUMMYFUNCTION("""COMPUTED_VALUE"""),"ESOTOV@BBVA.COM")</f>
        <v>ESOTOV@BBVA.COM</v>
      </c>
      <c r="F16" s="2" t="str">
        <f ca="1">IFERROR(__xludf.DUMMYFUNCTION("""COMPUTED_VALUE"""),"(B215)GERENTE DE OFICINA E")</f>
        <v>(B215)GERENTE DE OFICINA E</v>
      </c>
      <c r="G16" s="2" t="str">
        <f ca="1">IFERROR(__xludf.DUMMYFUNCTION("""COMPUTED_VALUE"""),"DIVISION SUR")</f>
        <v>DIVISION SUR</v>
      </c>
    </row>
    <row r="17" spans="1:7" x14ac:dyDescent="0.25">
      <c r="A17" s="2" t="str">
        <f ca="1">IFERROR(__xludf.DUMMYFUNCTION("""COMPUTED_VALUE"""),"0778")</f>
        <v>0778</v>
      </c>
      <c r="B17" s="2" t="str">
        <f ca="1">IFERROR(__xludf.DUMMYFUNCTION("""COMPUTED_VALUE"""),"OFICINA CERRO COLORADO")</f>
        <v>OFICINA CERRO COLORADO</v>
      </c>
      <c r="C17" s="2" t="str">
        <f ca="1">IFERROR(__xludf.DUMMYFUNCTION("""COMPUTED_VALUE"""),"P009357")</f>
        <v>P009357</v>
      </c>
      <c r="D17" s="2" t="str">
        <f ca="1">IFERROR(__xludf.DUMMYFUNCTION("""COMPUTED_VALUE"""),"ARAGON CARREÑO, MARIA DEL CARMEN")</f>
        <v>ARAGON CARREÑO, MARIA DEL CARMEN</v>
      </c>
      <c r="E17" s="2" t="str">
        <f ca="1">IFERROR(__xludf.DUMMYFUNCTION("""COMPUTED_VALUE"""),"MARAGON@BBVA.COM")</f>
        <v>MARAGON@BBVA.COM</v>
      </c>
      <c r="F17" s="2" t="str">
        <f ca="1">IFERROR(__xludf.DUMMYFUNCTION("""COMPUTED_VALUE"""),"(B217)GERENTE DE OFICINA F")</f>
        <v>(B217)GERENTE DE OFICINA F</v>
      </c>
      <c r="G17" s="2" t="str">
        <f ca="1">IFERROR(__xludf.DUMMYFUNCTION("""COMPUTED_VALUE"""),"DIVISION SUR")</f>
        <v>DIVISION SUR</v>
      </c>
    </row>
    <row r="18" spans="1:7" x14ac:dyDescent="0.25">
      <c r="A18" s="2" t="str">
        <f ca="1">IFERROR(__xludf.DUMMYFUNCTION("""COMPUTED_VALUE"""),"0787")</f>
        <v>0787</v>
      </c>
      <c r="B18" s="2" t="str">
        <f ca="1">IFERROR(__xludf.DUMMYFUNCTION("""COMPUTED_VALUE"""),"OFICINA MONTEGRANDE")</f>
        <v>OFICINA MONTEGRANDE</v>
      </c>
      <c r="C18" s="2" t="str">
        <f ca="1">IFERROR(__xludf.DUMMYFUNCTION("""COMPUTED_VALUE"""),"P010980")</f>
        <v>P010980</v>
      </c>
      <c r="D18" s="2" t="str">
        <f ca="1">IFERROR(__xludf.DUMMYFUNCTION("""COMPUTED_VALUE"""),"SANDOVAL HERRERA, ERIKA ROSSANA")</f>
        <v>SANDOVAL HERRERA, ERIKA ROSSANA</v>
      </c>
      <c r="E18" s="2" t="str">
        <f ca="1">IFERROR(__xludf.DUMMYFUNCTION("""COMPUTED_VALUE"""),"ER.SANDOVAL@BBVA.COM")</f>
        <v>ER.SANDOVAL@BBVA.COM</v>
      </c>
      <c r="F18" s="2" t="str">
        <f ca="1">IFERROR(__xludf.DUMMYFUNCTION("""COMPUTED_VALUE"""),"(B215)GERENTE DE OFICINA E")</f>
        <v>(B215)GERENTE DE OFICINA E</v>
      </c>
      <c r="G18" s="2" t="str">
        <f ca="1">IFERROR(__xludf.DUMMYFUNCTION("""COMPUTED_VALUE"""),"DIVISION LIMA SUR")</f>
        <v>DIVISION LIMA SUR</v>
      </c>
    </row>
    <row r="19" spans="1:7" x14ac:dyDescent="0.25">
      <c r="A19" s="2" t="str">
        <f ca="1">IFERROR(__xludf.DUMMYFUNCTION("""COMPUTED_VALUE"""),"0791")</f>
        <v>0791</v>
      </c>
      <c r="B19" s="2" t="str">
        <f ca="1">IFERROR(__xludf.DUMMYFUNCTION("""COMPUTED_VALUE"""),"OFICINA LA ROTONDA")</f>
        <v>OFICINA LA ROTONDA</v>
      </c>
      <c r="C19" s="2" t="str">
        <f ca="1">IFERROR(__xludf.DUMMYFUNCTION("""COMPUTED_VALUE"""),"P013539")</f>
        <v>P013539</v>
      </c>
      <c r="D19" s="2" t="str">
        <f ca="1">IFERROR(__xludf.DUMMYFUNCTION("""COMPUTED_VALUE"""),"JULCAMANYAN PAUCAR, JERSON")</f>
        <v>JULCAMANYAN PAUCAR, JERSON</v>
      </c>
      <c r="E19" s="2" t="str">
        <f ca="1">IFERROR(__xludf.DUMMYFUNCTION("""COMPUTED_VALUE"""),"JJULCAMANYAN@BBVA.COM")</f>
        <v>JJULCAMANYAN@BBVA.COM</v>
      </c>
      <c r="F19" s="2" t="str">
        <f ca="1">IFERROR(__xludf.DUMMYFUNCTION("""COMPUTED_VALUE"""),"(B213)GERENTE DE OFICINA C")</f>
        <v>(B213)GERENTE DE OFICINA C</v>
      </c>
      <c r="G19" s="2" t="str">
        <f ca="1">IFERROR(__xludf.DUMMYFUNCTION("""COMPUTED_VALUE"""),"DIVISION LIMA ESTE")</f>
        <v>DIVISION LIMA ESTE</v>
      </c>
    </row>
    <row r="20" spans="1:7" x14ac:dyDescent="0.25">
      <c r="A20" s="2" t="str">
        <f ca="1">IFERROR(__xludf.DUMMYFUNCTION("""COMPUTED_VALUE"""),"0796")</f>
        <v>0796</v>
      </c>
      <c r="B20" s="2" t="str">
        <f ca="1">IFERROR(__xludf.DUMMYFUNCTION("""COMPUTED_VALUE"""),"OFICINA METRO SANTA ELENA")</f>
        <v>OFICINA METRO SANTA ELENA</v>
      </c>
      <c r="C20" s="2" t="str">
        <f ca="1">IFERROR(__xludf.DUMMYFUNCTION("""COMPUTED_VALUE"""),"P016121")</f>
        <v>P016121</v>
      </c>
      <c r="D20" s="2" t="str">
        <f ca="1">IFERROR(__xludf.DUMMYFUNCTION("""COMPUTED_VALUE"""),"LEZAMA SEMPERTEGUI, WILMER ROLANDO")</f>
        <v>LEZAMA SEMPERTEGUI, WILMER ROLANDO</v>
      </c>
      <c r="E20" s="2" t="str">
        <f ca="1">IFERROR(__xludf.DUMMYFUNCTION("""COMPUTED_VALUE"""),"WLEZAMA@BBVA.COM")</f>
        <v>WLEZAMA@BBVA.COM</v>
      </c>
      <c r="F20" s="2" t="str">
        <f ca="1">IFERROR(__xludf.DUMMYFUNCTION("""COMPUTED_VALUE"""),"(B217)GERENTE DE OFICINA F")</f>
        <v>(B217)GERENTE DE OFICINA F</v>
      </c>
      <c r="G20" s="2" t="str">
        <f ca="1">IFERROR(__xludf.DUMMYFUNCTION("""COMPUTED_VALUE"""),"DIVISION NORTE")</f>
        <v>DIVISION NORTE</v>
      </c>
    </row>
    <row r="21" spans="1:7" x14ac:dyDescent="0.25">
      <c r="A21" s="2" t="str">
        <f ca="1">IFERROR(__xludf.DUMMYFUNCTION("""COMPUTED_VALUE"""),"0797")</f>
        <v>0797</v>
      </c>
      <c r="B21" s="2" t="str">
        <f ca="1">IFERROR(__xludf.DUMMYFUNCTION("""COMPUTED_VALUE"""),"OFICINA BARRIO COMERCIO")</f>
        <v>OFICINA BARRIO COMERCIO</v>
      </c>
      <c r="C21" s="2" t="str">
        <f ca="1">IFERROR(__xludf.DUMMYFUNCTION("""COMPUTED_VALUE"""),"P018570")</f>
        <v>P018570</v>
      </c>
      <c r="D21" s="2" t="str">
        <f ca="1">IFERROR(__xludf.DUMMYFUNCTION("""COMPUTED_VALUE"""),"TORRES ARMAS, LEYDI DIORIC")</f>
        <v>TORRES ARMAS, LEYDI DIORIC</v>
      </c>
      <c r="E21" s="2" t="str">
        <f ca="1">IFERROR(__xludf.DUMMYFUNCTION("""COMPUTED_VALUE"""),"LTORRESA@BBVA.COM")</f>
        <v>LTORRESA@BBVA.COM</v>
      </c>
      <c r="F21" s="2" t="str">
        <f ca="1">IFERROR(__xludf.DUMMYFUNCTION("""COMPUTED_VALUE"""),"(B217)GERENTE DE OFICINA F")</f>
        <v>(B217)GERENTE DE OFICINA F</v>
      </c>
      <c r="G21" s="2" t="str">
        <f ca="1">IFERROR(__xludf.DUMMYFUNCTION("""COMPUTED_VALUE"""),"DIVISION CENTRO ORIENTE")</f>
        <v>DIVISION CENTRO ORIENTE</v>
      </c>
    </row>
    <row r="22" spans="1:7" x14ac:dyDescent="0.25">
      <c r="A22" s="2" t="str">
        <f ca="1">IFERROR(__xludf.DUMMYFUNCTION("""COMPUTED_VALUE"""),"0827")</f>
        <v>0827</v>
      </c>
      <c r="B22" s="2" t="str">
        <f ca="1">IFERROR(__xludf.DUMMYFUNCTION("""COMPUTED_VALUE"""),"OFICINA PLAZA ARMAS HUÁNUCO")</f>
        <v>OFICINA PLAZA ARMAS HUÁNUCO</v>
      </c>
      <c r="C22" s="2" t="str">
        <f ca="1">IFERROR(__xludf.DUMMYFUNCTION("""COMPUTED_VALUE"""),"P017331")</f>
        <v>P017331</v>
      </c>
      <c r="D22" s="2" t="str">
        <f ca="1">IFERROR(__xludf.DUMMYFUNCTION("""COMPUTED_VALUE"""),"CANO BASILIO, NOEMI NORMA")</f>
        <v>CANO BASILIO, NOEMI NORMA</v>
      </c>
      <c r="E22" s="2" t="str">
        <f ca="1">IFERROR(__xludf.DUMMYFUNCTION("""COMPUTED_VALUE"""),"NMCANO@BBVA.COM")</f>
        <v>NMCANO@BBVA.COM</v>
      </c>
      <c r="F22" s="2" t="str">
        <f ca="1">IFERROR(__xludf.DUMMYFUNCTION("""COMPUTED_VALUE"""),"(B215)GERENTE DE OFICINA E")</f>
        <v>(B215)GERENTE DE OFICINA E</v>
      </c>
      <c r="G22" s="2" t="str">
        <f ca="1">IFERROR(__xludf.DUMMYFUNCTION("""COMPUTED_VALUE"""),"DIVISION CENTRO ORIENTE")</f>
        <v>DIVISION CENTRO ORIENTE</v>
      </c>
    </row>
    <row r="23" spans="1:7" x14ac:dyDescent="0.25">
      <c r="A23" s="2" t="str">
        <f ca="1">IFERROR(__xludf.DUMMYFUNCTION("""COMPUTED_VALUE"""),"0832")</f>
        <v>0832</v>
      </c>
      <c r="B23" s="2" t="str">
        <f ca="1">IFERROR(__xludf.DUMMYFUNCTION("""COMPUTED_VALUE"""),"OFICINA EL SOL")</f>
        <v>OFICINA EL SOL</v>
      </c>
      <c r="C23" s="2" t="str">
        <f ca="1">IFERROR(__xludf.DUMMYFUNCTION("""COMPUTED_VALUE"""),"P028480")</f>
        <v>P028480</v>
      </c>
      <c r="D23" s="2" t="str">
        <f ca="1">IFERROR(__xludf.DUMMYFUNCTION("""COMPUTED_VALUE"""),"RUIZ LOZADA, EVELYN MILAGROS")</f>
        <v>RUIZ LOZADA, EVELYN MILAGROS</v>
      </c>
      <c r="E23" s="2" t="str">
        <f ca="1">IFERROR(__xludf.DUMMYFUNCTION("""COMPUTED_VALUE"""),"EVELYN.RUIZ.LOZADA@BBVA.COM")</f>
        <v>EVELYN.RUIZ.LOZADA@BBVA.COM</v>
      </c>
      <c r="F23" s="2" t="str">
        <f ca="1">IFERROR(__xludf.DUMMYFUNCTION("""COMPUTED_VALUE"""),"(B215)GERENTE DE OFICINA E")</f>
        <v>(B215)GERENTE DE OFICINA E</v>
      </c>
      <c r="G23" s="2" t="str">
        <f ca="1">IFERROR(__xludf.DUMMYFUNCTION("""COMPUTED_VALUE"""),"DIVISION LIMA CENTRO")</f>
        <v>DIVISION LIMA CENTRO</v>
      </c>
    </row>
    <row r="24" spans="1:7" x14ac:dyDescent="0.25">
      <c r="A24" s="2" t="str">
        <f ca="1">IFERROR(__xludf.DUMMYFUNCTION("""COMPUTED_VALUE"""),"0842")</f>
        <v>0842</v>
      </c>
      <c r="B24" s="2" t="str">
        <f ca="1">IFERROR(__xludf.DUMMYFUNCTION("""COMPUTED_VALUE"""),"OFICINA CARABAYLLO")</f>
        <v>OFICINA CARABAYLLO</v>
      </c>
      <c r="C24" s="2" t="str">
        <f ca="1">IFERROR(__xludf.DUMMYFUNCTION("""COMPUTED_VALUE"""),"P013025")</f>
        <v>P013025</v>
      </c>
      <c r="D24" s="2" t="str">
        <f ca="1">IFERROR(__xludf.DUMMYFUNCTION("""COMPUTED_VALUE"""),"SILVA MELENDEZ, JEAN PIERRE")</f>
        <v>SILVA MELENDEZ, JEAN PIERRE</v>
      </c>
      <c r="E24" s="2" t="str">
        <f ca="1">IFERROR(__xludf.DUMMYFUNCTION("""COMPUTED_VALUE"""),"JEANPIERRE.SILVA@BBVA.COM")</f>
        <v>JEANPIERRE.SILVA@BBVA.COM</v>
      </c>
      <c r="F24" s="2" t="str">
        <f ca="1">IFERROR(__xludf.DUMMYFUNCTION("""COMPUTED_VALUE"""),"(B217)GERENTE DE OFICINA F")</f>
        <v>(B217)GERENTE DE OFICINA F</v>
      </c>
      <c r="G24" s="2" t="str">
        <f ca="1">IFERROR(__xludf.DUMMYFUNCTION("""COMPUTED_VALUE"""),"DIVISION LIMA NORTE")</f>
        <v>DIVISION LIMA NORTE</v>
      </c>
    </row>
    <row r="25" spans="1:7" x14ac:dyDescent="0.25">
      <c r="A25" s="2" t="str">
        <f ca="1">IFERROR(__xludf.DUMMYFUNCTION("""COMPUTED_VALUE"""),"0843")</f>
        <v>0843</v>
      </c>
      <c r="B25" s="2" t="str">
        <f ca="1">IFERROR(__xludf.DUMMYFUNCTION("""COMPUTED_VALUE"""),"OFICINA METRO OVALO PAPAL")</f>
        <v>OFICINA METRO OVALO PAPAL</v>
      </c>
      <c r="C25" s="2" t="str">
        <f ca="1">IFERROR(__xludf.DUMMYFUNCTION("""COMPUTED_VALUE"""),"P013146")</f>
        <v>P013146</v>
      </c>
      <c r="D25" s="2" t="str">
        <f ca="1">IFERROR(__xludf.DUMMYFUNCTION("""COMPUTED_VALUE"""),"MIRANDA GIL, JOSE MANUEL")</f>
        <v>MIRANDA GIL, JOSE MANUEL</v>
      </c>
      <c r="E25" s="2" t="str">
        <f ca="1">IFERROR(__xludf.DUMMYFUNCTION("""COMPUTED_VALUE"""),"JMIRANDAG@BBVA.COM")</f>
        <v>JMIRANDAG@BBVA.COM</v>
      </c>
      <c r="F25" s="2" t="str">
        <f ca="1">IFERROR(__xludf.DUMMYFUNCTION("""COMPUTED_VALUE"""),"(B217)GERENTE DE OFICINA F")</f>
        <v>(B217)GERENTE DE OFICINA F</v>
      </c>
      <c r="G25" s="2" t="str">
        <f ca="1">IFERROR(__xludf.DUMMYFUNCTION("""COMPUTED_VALUE"""),"DIVISION NORTE")</f>
        <v>DIVISION NORTE</v>
      </c>
    </row>
    <row r="26" spans="1:7" x14ac:dyDescent="0.25">
      <c r="A26" s="2" t="str">
        <f ca="1">IFERROR(__xludf.DUMMYFUNCTION("""COMPUTED_VALUE"""),"0847")</f>
        <v>0847</v>
      </c>
      <c r="B26" s="2" t="str">
        <f ca="1">IFERROR(__xludf.DUMMYFUNCTION("""COMPUTED_VALUE"""),"OFICINA MALL PLAZA COMAS")</f>
        <v>OFICINA MALL PLAZA COMAS</v>
      </c>
      <c r="C26" s="2" t="str">
        <f ca="1">IFERROR(__xludf.DUMMYFUNCTION("""COMPUTED_VALUE"""),"P020260")</f>
        <v>P020260</v>
      </c>
      <c r="D26" s="2" t="str">
        <f ca="1">IFERROR(__xludf.DUMMYFUNCTION("""COMPUTED_VALUE"""),"GARCIA VERA, ARELI")</f>
        <v>GARCIA VERA, ARELI</v>
      </c>
      <c r="E26" s="2" t="str">
        <f ca="1">IFERROR(__xludf.DUMMYFUNCTION("""COMPUTED_VALUE"""),"ARELI.GARCIA.VERA@BBVA.COM")</f>
        <v>ARELI.GARCIA.VERA@BBVA.COM</v>
      </c>
      <c r="F26" s="2" t="str">
        <f ca="1">IFERROR(__xludf.DUMMYFUNCTION("""COMPUTED_VALUE"""),"(B215)GERENTE DE OFICINA E")</f>
        <v>(B215)GERENTE DE OFICINA E</v>
      </c>
      <c r="G26" s="2" t="str">
        <f ca="1">IFERROR(__xludf.DUMMYFUNCTION("""COMPUTED_VALUE"""),"DIVISION LIMA NORTE")</f>
        <v>DIVISION LIMA NORTE</v>
      </c>
    </row>
    <row r="27" spans="1:7" x14ac:dyDescent="0.25">
      <c r="A27" s="2" t="str">
        <f ca="1">IFERROR(__xludf.DUMMYFUNCTION("""COMPUTED_VALUE"""),"0849")</f>
        <v>0849</v>
      </c>
      <c r="B27" s="2" t="str">
        <f ca="1">IFERROR(__xludf.DUMMYFUNCTION("""COMPUTED_VALUE"""),"OFICINA CEDROS DE VILLA")</f>
        <v>OFICINA CEDROS DE VILLA</v>
      </c>
      <c r="C27" s="2" t="str">
        <f ca="1">IFERROR(__xludf.DUMMYFUNCTION("""COMPUTED_VALUE"""),"P013593")</f>
        <v>P013593</v>
      </c>
      <c r="D27" s="2" t="str">
        <f ca="1">IFERROR(__xludf.DUMMYFUNCTION("""COMPUTED_VALUE"""),"GUERE ROMERO, JOSEPH MICHELE")</f>
        <v>GUERE ROMERO, JOSEPH MICHELE</v>
      </c>
      <c r="E27" s="2" t="str">
        <f ca="1">IFERROR(__xludf.DUMMYFUNCTION("""COMPUTED_VALUE"""),"JGUERE@BBVA.COM")</f>
        <v>JGUERE@BBVA.COM</v>
      </c>
      <c r="F27" s="2" t="str">
        <f ca="1">IFERROR(__xludf.DUMMYFUNCTION("""COMPUTED_VALUE"""),"(B217)GERENTE DE OFICINA F")</f>
        <v>(B217)GERENTE DE OFICINA F</v>
      </c>
      <c r="G27" s="2" t="str">
        <f ca="1">IFERROR(__xludf.DUMMYFUNCTION("""COMPUTED_VALUE"""),"DIVISION LIMA SUR")</f>
        <v>DIVISION LIMA SUR</v>
      </c>
    </row>
    <row r="28" spans="1:7" x14ac:dyDescent="0.25">
      <c r="A28" s="2" t="str">
        <f ca="1">IFERROR(__xludf.DUMMYFUNCTION("""COMPUTED_VALUE"""),"0857")</f>
        <v>0857</v>
      </c>
      <c r="B28" s="2" t="str">
        <f ca="1">IFERROR(__xludf.DUMMYFUNCTION("""COMPUTED_VALUE"""),"OFICINA VALLE SHARON")</f>
        <v>OFICINA VALLE SHARON</v>
      </c>
      <c r="C28" s="2" t="str">
        <f ca="1">IFERROR(__xludf.DUMMYFUNCTION("""COMPUTED_VALUE"""),"P015121")</f>
        <v>P015121</v>
      </c>
      <c r="D28" s="2" t="str">
        <f ca="1">IFERROR(__xludf.DUMMYFUNCTION("""COMPUTED_VALUE"""),"CLAUX ROMERO, MARIA DE LOS ANGELES")</f>
        <v>CLAUX ROMERO, MARIA DE LOS ANGELES</v>
      </c>
      <c r="E28" s="2" t="str">
        <f ca="1">IFERROR(__xludf.DUMMYFUNCTION("""COMPUTED_VALUE"""),"MCLAUX@BBVA.COM")</f>
        <v>MCLAUX@BBVA.COM</v>
      </c>
      <c r="F28" s="2" t="str">
        <f ca="1">IFERROR(__xludf.DUMMYFUNCTION("""COMPUTED_VALUE"""),"(B213)GERENTE DE OFICINA C")</f>
        <v>(B213)GERENTE DE OFICINA C</v>
      </c>
      <c r="G28" s="2" t="str">
        <f ca="1">IFERROR(__xludf.DUMMYFUNCTION("""COMPUTED_VALUE"""),"DIVISION LIMA SUR")</f>
        <v>DIVISION LIMA SUR</v>
      </c>
    </row>
    <row r="29" spans="1:7" x14ac:dyDescent="0.25">
      <c r="A29" s="2" t="str">
        <f ca="1">IFERROR(__xludf.DUMMYFUNCTION("""COMPUTED_VALUE"""),"0872")</f>
        <v>0872</v>
      </c>
      <c r="B29" s="2" t="str">
        <f ca="1">IFERROR(__xludf.DUMMYFUNCTION("""COMPUTED_VALUE"""),"OFICINA PARQUE DE LA AMISTAD")</f>
        <v>OFICINA PARQUE DE LA AMISTAD</v>
      </c>
      <c r="C29" s="2" t="str">
        <f ca="1">IFERROR(__xludf.DUMMYFUNCTION("""COMPUTED_VALUE"""),"P015234")</f>
        <v>P015234</v>
      </c>
      <c r="D29" s="2" t="str">
        <f ca="1">IFERROR(__xludf.DUMMYFUNCTION("""COMPUTED_VALUE"""),"AURAZO MERCADO, ALEJANDRO DAVID")</f>
        <v>AURAZO MERCADO, ALEJANDRO DAVID</v>
      </c>
      <c r="E29" s="2" t="str">
        <f ca="1">IFERROR(__xludf.DUMMYFUNCTION("""COMPUTED_VALUE"""),"AAURAZO@BBVA.COM")</f>
        <v>AAURAZO@BBVA.COM</v>
      </c>
      <c r="F29" s="2" t="str">
        <f ca="1">IFERROR(__xludf.DUMMYFUNCTION("""COMPUTED_VALUE"""),"(B217)GERENTE DE OFICINA F")</f>
        <v>(B217)GERENTE DE OFICINA F</v>
      </c>
      <c r="G29" s="2" t="str">
        <f ca="1">IFERROR(__xludf.DUMMYFUNCTION("""COMPUTED_VALUE"""),"DIVISION LIMA SUR")</f>
        <v>DIVISION LIMA SUR</v>
      </c>
    </row>
    <row r="30" spans="1:7" x14ac:dyDescent="0.25">
      <c r="A30" s="2" t="str">
        <f ca="1">IFERROR(__xludf.DUMMYFUNCTION("""COMPUTED_VALUE"""),"0876")</f>
        <v>0876</v>
      </c>
      <c r="B30" s="2" t="str">
        <f ca="1">IFERROR(__xludf.DUMMYFUNCTION("""COMPUTED_VALUE"""),"OFICINA JAVIER PRADO OESTE")</f>
        <v>OFICINA JAVIER PRADO OESTE</v>
      </c>
      <c r="C30" s="2" t="str">
        <f ca="1">IFERROR(__xludf.DUMMYFUNCTION("""COMPUTED_VALUE"""),"P009886")</f>
        <v>P009886</v>
      </c>
      <c r="D30" s="2" t="str">
        <f ca="1">IFERROR(__xludf.DUMMYFUNCTION("""COMPUTED_VALUE"""),"OROSCO GAMARRA, GLADYS EDITH")</f>
        <v>OROSCO GAMARRA, GLADYS EDITH</v>
      </c>
      <c r="E30" s="2" t="str">
        <f ca="1">IFERROR(__xludf.DUMMYFUNCTION("""COMPUTED_VALUE"""),"GOROSCO@BBVA.COM")</f>
        <v>GOROSCO@BBVA.COM</v>
      </c>
      <c r="F30" s="2" t="str">
        <f ca="1">IFERROR(__xludf.DUMMYFUNCTION("""COMPUTED_VALUE"""),"(B211)GERENTE DE OFICINA A3")</f>
        <v>(B211)GERENTE DE OFICINA A3</v>
      </c>
      <c r="G30" s="2" t="str">
        <f ca="1">IFERROR(__xludf.DUMMYFUNCTION("""COMPUTED_VALUE"""),"DIVISION LIMA OESTE")</f>
        <v>DIVISION LIMA OESTE</v>
      </c>
    </row>
    <row r="31" spans="1:7" x14ac:dyDescent="0.25">
      <c r="A31" s="2" t="str">
        <f ca="1">IFERROR(__xludf.DUMMYFUNCTION("""COMPUTED_VALUE"""),"0879")</f>
        <v>0879</v>
      </c>
      <c r="B31" s="2" t="str">
        <f ca="1">IFERROR(__xludf.DUMMYFUNCTION("""COMPUTED_VALUE"""),"OFICINA CENTRO COMERCIAL EL POLO PLAZA")</f>
        <v>OFICINA CENTRO COMERCIAL EL POLO PLAZA</v>
      </c>
      <c r="C31" s="2" t="str">
        <f ca="1">IFERROR(__xludf.DUMMYFUNCTION("""COMPUTED_VALUE"""),"P008435")</f>
        <v>P008435</v>
      </c>
      <c r="D31" s="2" t="str">
        <f ca="1">IFERROR(__xludf.DUMMYFUNCTION("""COMPUTED_VALUE"""),"TEJEDA ZUMAETA, ALEXANDRA VANESSA")</f>
        <v>TEJEDA ZUMAETA, ALEXANDRA VANESSA</v>
      </c>
      <c r="E31" s="2" t="str">
        <f ca="1">IFERROR(__xludf.DUMMYFUNCTION("""COMPUTED_VALUE"""),"VTEJEDA@BBVA.COM")</f>
        <v>VTEJEDA@BBVA.COM</v>
      </c>
      <c r="F31" s="2" t="str">
        <f ca="1">IFERROR(__xludf.DUMMYFUNCTION("""COMPUTED_VALUE"""),"(B214)GERENTE DE OFICINA D")</f>
        <v>(B214)GERENTE DE OFICINA D</v>
      </c>
      <c r="G31" s="2" t="str">
        <f ca="1">IFERROR(__xludf.DUMMYFUNCTION("""COMPUTED_VALUE"""),"DIVISION LIMA ESTE")</f>
        <v>DIVISION LIMA ESTE</v>
      </c>
    </row>
    <row r="32" spans="1:7" x14ac:dyDescent="0.25">
      <c r="A32" s="2" t="str">
        <f ca="1">IFERROR(__xludf.DUMMYFUNCTION("""COMPUTED_VALUE"""),"0891")</f>
        <v>0891</v>
      </c>
      <c r="B32" s="2" t="str">
        <f ca="1">IFERROR(__xludf.DUMMYFUNCTION("""COMPUTED_VALUE"""),"OFICINA RIOJA")</f>
        <v>OFICINA RIOJA</v>
      </c>
      <c r="C32" s="2" t="str">
        <f ca="1">IFERROR(__xludf.DUMMYFUNCTION("""COMPUTED_VALUE"""),"P014797")</f>
        <v>P014797</v>
      </c>
      <c r="D32" s="2" t="str">
        <f ca="1">IFERROR(__xludf.DUMMYFUNCTION("""COMPUTED_VALUE"""),"NAVARRO RUIZ, PERCY")</f>
        <v>NAVARRO RUIZ, PERCY</v>
      </c>
      <c r="E32" s="2" t="str">
        <f ca="1">IFERROR(__xludf.DUMMYFUNCTION("""COMPUTED_VALUE"""),"PERCY.NAVARRO@BBVA.COM")</f>
        <v>PERCY.NAVARRO@BBVA.COM</v>
      </c>
      <c r="F32" s="2" t="str">
        <f ca="1">IFERROR(__xludf.DUMMYFUNCTION("""COMPUTED_VALUE"""),"(B217)GERENTE DE OFICINA F")</f>
        <v>(B217)GERENTE DE OFICINA F</v>
      </c>
      <c r="G32" s="2" t="str">
        <f ca="1">IFERROR(__xludf.DUMMYFUNCTION("""COMPUTED_VALUE"""),"DIVISION CENTRO ORIENTE")</f>
        <v>DIVISION CENTRO ORIENTE</v>
      </c>
    </row>
    <row r="33" spans="1:7" x14ac:dyDescent="0.25">
      <c r="A33" s="2" t="str">
        <f ca="1">IFERROR(__xludf.DUMMYFUNCTION("""COMPUTED_VALUE"""),"0900")</f>
        <v>0900</v>
      </c>
      <c r="B33" s="2" t="str">
        <f ca="1">IFERROR(__xludf.DUMMYFUNCTION("""COMPUTED_VALUE"""),"OFICINA MALL PLAZA TRUJILLO")</f>
        <v>OFICINA MALL PLAZA TRUJILLO</v>
      </c>
      <c r="C33" s="2" t="str">
        <f ca="1">IFERROR(__xludf.DUMMYFUNCTION("""COMPUTED_VALUE"""),"P008026")</f>
        <v>P008026</v>
      </c>
      <c r="D33" s="2" t="str">
        <f ca="1">IFERROR(__xludf.DUMMYFUNCTION("""COMPUTED_VALUE"""),"PALACIOS SEMINARIO, SALOMON OCTAVIO")</f>
        <v>PALACIOS SEMINARIO, SALOMON OCTAVIO</v>
      </c>
      <c r="E33" s="2" t="str">
        <f ca="1">IFERROR(__xludf.DUMMYFUNCTION("""COMPUTED_VALUE"""),"SPALACIOS@BBVA.COM")</f>
        <v>SPALACIOS@BBVA.COM</v>
      </c>
      <c r="F33" s="2" t="str">
        <f ca="1">IFERROR(__xludf.DUMMYFUNCTION("""COMPUTED_VALUE"""),"(B214)GERENTE DE OFICINA D")</f>
        <v>(B214)GERENTE DE OFICINA D</v>
      </c>
      <c r="G33" s="2" t="str">
        <f ca="1">IFERROR(__xludf.DUMMYFUNCTION("""COMPUTED_VALUE"""),"DIVISION NORTE")</f>
        <v>DIVISION NORTE</v>
      </c>
    </row>
    <row r="34" spans="1:7" x14ac:dyDescent="0.25">
      <c r="A34" s="2" t="str">
        <f ca="1">IFERROR(__xludf.DUMMYFUNCTION("""COMPUTED_VALUE"""),"0908")</f>
        <v>0908</v>
      </c>
      <c r="B34" s="2" t="str">
        <f ca="1">IFERROR(__xludf.DUMMYFUNCTION("""COMPUTED_VALUE"""),"OFICINA YANAHUARA")</f>
        <v>OFICINA YANAHUARA</v>
      </c>
      <c r="C34" s="2" t="str">
        <f ca="1">IFERROR(__xludf.DUMMYFUNCTION("""COMPUTED_VALUE"""),"P014201")</f>
        <v>P014201</v>
      </c>
      <c r="D34" s="2" t="str">
        <f ca="1">IFERROR(__xludf.DUMMYFUNCTION("""COMPUTED_VALUE"""),"VIZCARRA LOAYZA, FIORELLA ALEJANDRA MILAGROS")</f>
        <v>VIZCARRA LOAYZA, FIORELLA ALEJANDRA MILAGROS</v>
      </c>
      <c r="E34" s="2" t="str">
        <f ca="1">IFERROR(__xludf.DUMMYFUNCTION("""COMPUTED_VALUE"""),"FVIZCARRA@BBVA.COM")</f>
        <v>FVIZCARRA@BBVA.COM</v>
      </c>
      <c r="F34" s="2" t="str">
        <f ca="1">IFERROR(__xludf.DUMMYFUNCTION("""COMPUTED_VALUE"""),"(B217)GERENTE DE OFICINA F")</f>
        <v>(B217)GERENTE DE OFICINA F</v>
      </c>
      <c r="G34" s="2" t="str">
        <f ca="1">IFERROR(__xludf.DUMMYFUNCTION("""COMPUTED_VALUE"""),"DIVISION SUR")</f>
        <v>DIVISION SUR</v>
      </c>
    </row>
    <row r="35" spans="1:7" x14ac:dyDescent="0.25">
      <c r="A35" s="2" t="str">
        <f ca="1">IFERROR(__xludf.DUMMYFUNCTION("""COMPUTED_VALUE"""),"0918")</f>
        <v>0918</v>
      </c>
      <c r="B35" s="2" t="str">
        <f ca="1">IFERROR(__xludf.DUMMYFUNCTION("""COMPUTED_VALUE"""),"OFICINA ESPEC REAL PLAZA TRUJILLO")</f>
        <v>OFICINA ESPEC REAL PLAZA TRUJILLO</v>
      </c>
      <c r="C35" s="2" t="str">
        <f ca="1">IFERROR(__xludf.DUMMYFUNCTION("""COMPUTED_VALUE"""),"P019418")</f>
        <v>P019418</v>
      </c>
      <c r="D35" s="2" t="str">
        <f ca="1">IFERROR(__xludf.DUMMYFUNCTION("""COMPUTED_VALUE"""),"FERNANDINI PAREDES, GIACOMO ANGELO")</f>
        <v>FERNANDINI PAREDES, GIACOMO ANGELO</v>
      </c>
      <c r="E35" s="2" t="str">
        <f ca="1">IFERROR(__xludf.DUMMYFUNCTION("""COMPUTED_VALUE"""),"GFERNANDINI@BBVA.COM")</f>
        <v>GFERNANDINI@BBVA.COM</v>
      </c>
      <c r="F35" s="2" t="str">
        <f ca="1">IFERROR(__xludf.DUMMYFUNCTION("""COMPUTED_VALUE"""),"(B215)GERENTE DE OFICINA E")</f>
        <v>(B215)GERENTE DE OFICINA E</v>
      </c>
      <c r="G35" s="2" t="str">
        <f ca="1">IFERROR(__xludf.DUMMYFUNCTION("""COMPUTED_VALUE"""),"DIVISION NORTE")</f>
        <v>DIVISION NORTE</v>
      </c>
    </row>
    <row r="36" spans="1:7" x14ac:dyDescent="0.25">
      <c r="A36" s="2" t="str">
        <f ca="1">IFERROR(__xludf.DUMMYFUNCTION("""COMPUTED_VALUE"""),"0921")</f>
        <v>0921</v>
      </c>
      <c r="B36" s="2" t="str">
        <f ca="1">IFERROR(__xludf.DUMMYFUNCTION("""COMPUTED_VALUE"""),"OFICINA LIMA CARGO CITY")</f>
        <v>OFICINA LIMA CARGO CITY</v>
      </c>
      <c r="C36" s="2" t="str">
        <f ca="1">IFERROR(__xludf.DUMMYFUNCTION("""COMPUTED_VALUE"""),"P012324")</f>
        <v>P012324</v>
      </c>
      <c r="D36" s="2" t="str">
        <f ca="1">IFERROR(__xludf.DUMMYFUNCTION("""COMPUTED_VALUE"""),"HERRERA ESCATE, YESSICA DEL PILAR")</f>
        <v>HERRERA ESCATE, YESSICA DEL PILAR</v>
      </c>
      <c r="E36" s="2" t="str">
        <f ca="1">IFERROR(__xludf.DUMMYFUNCTION("""COMPUTED_VALUE"""),"ESCATE@BBVA.COM")</f>
        <v>ESCATE@BBVA.COM</v>
      </c>
      <c r="F36" s="2" t="str">
        <f ca="1">IFERROR(__xludf.DUMMYFUNCTION("""COMPUTED_VALUE"""),"(B212)GERENTE DE OFICINA B")</f>
        <v>(B212)GERENTE DE OFICINA B</v>
      </c>
      <c r="G36" s="2" t="str">
        <f ca="1">IFERROR(__xludf.DUMMYFUNCTION("""COMPUTED_VALUE"""),"DIVISION LIMA NORTE")</f>
        <v>DIVISION LIMA NORTE</v>
      </c>
    </row>
    <row r="37" spans="1:7" x14ac:dyDescent="0.25">
      <c r="A37" s="2" t="str">
        <f ca="1">IFERROR(__xludf.DUMMYFUNCTION("""COMPUTED_VALUE"""),"0933")</f>
        <v>0933</v>
      </c>
      <c r="B37" s="2" t="str">
        <f ca="1">IFERROR(__xludf.DUMMYFUNCTION("""COMPUTED_VALUE"""),"OFICINA LURÍN")</f>
        <v>OFICINA LURÍN</v>
      </c>
      <c r="C37" s="2" t="str">
        <f ca="1">IFERROR(__xludf.DUMMYFUNCTION("""COMPUTED_VALUE"""),"P015571")</f>
        <v>P015571</v>
      </c>
      <c r="D37" s="2" t="str">
        <f ca="1">IFERROR(__xludf.DUMMYFUNCTION("""COMPUTED_VALUE"""),"MONZON PRADO, JONATHAN RICARDO WELLINGTON")</f>
        <v>MONZON PRADO, JONATHAN RICARDO WELLINGTON</v>
      </c>
      <c r="E37" s="2" t="str">
        <f ca="1">IFERROR(__xludf.DUMMYFUNCTION("""COMPUTED_VALUE"""),"JMONZONP@BBVA.COM")</f>
        <v>JMONZONP@BBVA.COM</v>
      </c>
      <c r="F37" s="2" t="str">
        <f ca="1">IFERROR(__xludf.DUMMYFUNCTION("""COMPUTED_VALUE"""),"(B215)GERENTE DE OFICINA E")</f>
        <v>(B215)GERENTE DE OFICINA E</v>
      </c>
      <c r="G37" s="2" t="str">
        <f ca="1">IFERROR(__xludf.DUMMYFUNCTION("""COMPUTED_VALUE"""),"DIVISION LIMA SUR")</f>
        <v>DIVISION LIMA SUR</v>
      </c>
    </row>
    <row r="38" spans="1:7" x14ac:dyDescent="0.25">
      <c r="A38" s="2" t="str">
        <f ca="1">IFERROR(__xludf.DUMMYFUNCTION("""COMPUTED_VALUE"""),"0939")</f>
        <v>0939</v>
      </c>
      <c r="B38" s="2" t="str">
        <f ca="1">IFERROR(__xludf.DUMMYFUNCTION("""COMPUTED_VALUE"""),"OFICINA OVALO MIRAFLORES")</f>
        <v>OFICINA OVALO MIRAFLORES</v>
      </c>
      <c r="C38" s="2" t="str">
        <f ca="1">IFERROR(__xludf.DUMMYFUNCTION("""COMPUTED_VALUE"""),"P015889")</f>
        <v>P015889</v>
      </c>
      <c r="D38" s="2" t="str">
        <f ca="1">IFERROR(__xludf.DUMMYFUNCTION("""COMPUTED_VALUE"""),"MENDIOLA PALOMINO, VICTORIA DEL CARMEN")</f>
        <v>MENDIOLA PALOMINO, VICTORIA DEL CARMEN</v>
      </c>
      <c r="E38" s="2" t="str">
        <f ca="1">IFERROR(__xludf.DUMMYFUNCTION("""COMPUTED_VALUE"""),"VDCMENDIOLA@BBVA.COM")</f>
        <v>VDCMENDIOLA@BBVA.COM</v>
      </c>
      <c r="F38" s="2" t="str">
        <f ca="1">IFERROR(__xludf.DUMMYFUNCTION("""COMPUTED_VALUE"""),"(B217)GERENTE DE OFICINA F")</f>
        <v>(B217)GERENTE DE OFICINA F</v>
      </c>
      <c r="G38" s="2" t="str">
        <f ca="1">IFERROR(__xludf.DUMMYFUNCTION("""COMPUTED_VALUE"""),"DIVISION MIRAFLORES")</f>
        <v>DIVISION MIRAFLORES</v>
      </c>
    </row>
    <row r="39" spans="1:7" x14ac:dyDescent="0.25">
      <c r="A39" s="2" t="str">
        <f ca="1">IFERROR(__xludf.DUMMYFUNCTION("""COMPUTED_VALUE"""),"0960")</f>
        <v>0960</v>
      </c>
      <c r="B39" s="2" t="str">
        <f ca="1">IFERROR(__xludf.DUMMYFUNCTION("""COMPUTED_VALUE"""),"OFICINA PLAZA SAN JOSÉ")</f>
        <v>OFICINA PLAZA SAN JOSÉ</v>
      </c>
      <c r="C39" s="2" t="str">
        <f ca="1">IFERROR(__xludf.DUMMYFUNCTION("""COMPUTED_VALUE"""),"P020067")</f>
        <v>P020067</v>
      </c>
      <c r="D39" s="2" t="str">
        <f ca="1">IFERROR(__xludf.DUMMYFUNCTION("""COMPUTED_VALUE"""),"QUIROZ DIAZ, MERY ANN")</f>
        <v>QUIROZ DIAZ, MERY ANN</v>
      </c>
      <c r="E39" s="2" t="str">
        <f ca="1">IFERROR(__xludf.DUMMYFUNCTION("""COMPUTED_VALUE"""),"MERY.QUIROZ@BBVA.COM")</f>
        <v>MERY.QUIROZ@BBVA.COM</v>
      </c>
      <c r="F39" s="2" t="str">
        <f ca="1">IFERROR(__xludf.DUMMYFUNCTION("""COMPUTED_VALUE"""),"(B217)GERENTE DE OFICINA F")</f>
        <v>(B217)GERENTE DE OFICINA F</v>
      </c>
      <c r="G39" s="2" t="str">
        <f ca="1">IFERROR(__xludf.DUMMYFUNCTION("""COMPUTED_VALUE"""),"DIVISION LIMA OESTE")</f>
        <v>DIVISION LIMA OESTE</v>
      </c>
    </row>
    <row r="40" spans="1:7" x14ac:dyDescent="0.25">
      <c r="A40" s="2" t="str">
        <f ca="1">IFERROR(__xludf.DUMMYFUNCTION("""COMPUTED_VALUE"""),"0970")</f>
        <v>0970</v>
      </c>
      <c r="B40" s="2" t="str">
        <f ca="1">IFERROR(__xludf.DUMMYFUNCTION("""COMPUTED_VALUE"""),"OFICINA NARANJAL")</f>
        <v>OFICINA NARANJAL</v>
      </c>
      <c r="C40" s="2" t="str">
        <f ca="1">IFERROR(__xludf.DUMMYFUNCTION("""COMPUTED_VALUE"""),"P008818")</f>
        <v>P008818</v>
      </c>
      <c r="D40" s="2" t="str">
        <f ca="1">IFERROR(__xludf.DUMMYFUNCTION("""COMPUTED_VALUE"""),"ARIAS ROMERO, LUIS ABAD")</f>
        <v>ARIAS ROMERO, LUIS ABAD</v>
      </c>
      <c r="E40" s="2" t="str">
        <f ca="1">IFERROR(__xludf.DUMMYFUNCTION("""COMPUTED_VALUE"""),"LARIAS@BBVA.COM")</f>
        <v>LARIAS@BBVA.COM</v>
      </c>
      <c r="F40" s="2" t="str">
        <f ca="1">IFERROR(__xludf.DUMMYFUNCTION("""COMPUTED_VALUE"""),"(B217)GERENTE DE OFICINA F")</f>
        <v>(B217)GERENTE DE OFICINA F</v>
      </c>
      <c r="G40" s="2" t="str">
        <f ca="1">IFERROR(__xludf.DUMMYFUNCTION("""COMPUTED_VALUE"""),"DIVISION LIMA NORTE")</f>
        <v>DIVISION LIMA NORTE</v>
      </c>
    </row>
    <row r="41" spans="1:7" x14ac:dyDescent="0.25">
      <c r="A41" s="2" t="str">
        <f ca="1">IFERROR(__xludf.DUMMYFUNCTION("""COMPUTED_VALUE"""),"0976")</f>
        <v>0976</v>
      </c>
      <c r="B41" s="2" t="str">
        <f ca="1">IFERROR(__xludf.DUMMYFUNCTION("""COMPUTED_VALUE"""),"OFICINA LAS BAMBAS")</f>
        <v>OFICINA LAS BAMBAS</v>
      </c>
      <c r="C41" s="2" t="str">
        <f ca="1">IFERROR(__xludf.DUMMYFUNCTION("""COMPUTED_VALUE"""),"P023311")</f>
        <v>P023311</v>
      </c>
      <c r="D41" s="2" t="str">
        <f ca="1">IFERROR(__xludf.DUMMYFUNCTION("""COMPUTED_VALUE"""),"CONTRERAS CHURA, YASMINE")</f>
        <v>CONTRERAS CHURA, YASMINE</v>
      </c>
      <c r="E41" s="2" t="str">
        <f ca="1">IFERROR(__xludf.DUMMYFUNCTION("""COMPUTED_VALUE"""),"YASMINE.CONTRERAS@BBVA.COM")</f>
        <v>YASMINE.CONTRERAS@BBVA.COM</v>
      </c>
      <c r="F41" s="2" t="str">
        <f ca="1">IFERROR(__xludf.DUMMYFUNCTION("""COMPUTED_VALUE"""),"(B217)GERENTE DE OFICINA F")</f>
        <v>(B217)GERENTE DE OFICINA F</v>
      </c>
      <c r="G41" s="2" t="str">
        <f ca="1">IFERROR(__xludf.DUMMYFUNCTION("""COMPUTED_VALUE"""),"DIVISION SUR")</f>
        <v>DIVISION SUR</v>
      </c>
    </row>
    <row r="42" spans="1:7" x14ac:dyDescent="0.25">
      <c r="A42" s="2" t="str">
        <f ca="1">IFERROR(__xludf.DUMMYFUNCTION("""COMPUTED_VALUE"""),"0982")</f>
        <v>0982</v>
      </c>
      <c r="B42" s="2" t="str">
        <f ca="1">IFERROR(__xludf.DUMMYFUNCTION("""COMPUTED_VALUE"""),"OFICINA OPEN PLAZA PUCALLPA")</f>
        <v>OFICINA OPEN PLAZA PUCALLPA</v>
      </c>
      <c r="C42" s="2" t="str">
        <f ca="1">IFERROR(__xludf.DUMMYFUNCTION("""COMPUTED_VALUE"""),"P013212")</f>
        <v>P013212</v>
      </c>
      <c r="D42" s="2" t="str">
        <f ca="1">IFERROR(__xludf.DUMMYFUNCTION("""COMPUTED_VALUE"""),"HERNA LOPEZ, EMMY KATHERINE")</f>
        <v>HERNA LOPEZ, EMMY KATHERINE</v>
      </c>
      <c r="E42" s="2" t="str">
        <f ca="1">IFERROR(__xludf.DUMMYFUNCTION("""COMPUTED_VALUE"""),"EHERNA@BBVA.COM")</f>
        <v>EHERNA@BBVA.COM</v>
      </c>
      <c r="F42" s="2" t="str">
        <f ca="1">IFERROR(__xludf.DUMMYFUNCTION("""COMPUTED_VALUE"""),"(B217)GERENTE DE OFICINA F")</f>
        <v>(B217)GERENTE DE OFICINA F</v>
      </c>
      <c r="G42" s="2" t="str">
        <f ca="1">IFERROR(__xludf.DUMMYFUNCTION("""COMPUTED_VALUE"""),"DIVISION CENTRO ORIENTE")</f>
        <v>DIVISION CENTRO ORIENTE</v>
      </c>
    </row>
    <row r="43" spans="1:7" x14ac:dyDescent="0.25">
      <c r="A43" s="2" t="str">
        <f ca="1">IFERROR(__xludf.DUMMYFUNCTION("""COMPUTED_VALUE"""),"6016")</f>
        <v>6016</v>
      </c>
      <c r="B43" s="2" t="str">
        <f ca="1">IFERROR(__xludf.DUMMYFUNCTION("""COMPUTED_VALUE"""),"ENFERMEDADES PROLONGADAS")</f>
        <v>ENFERMEDADES PROLONGADAS</v>
      </c>
      <c r="C43" s="2" t="str">
        <f ca="1">IFERROR(__xludf.DUMMYFUNCTION("""COMPUTED_VALUE"""),"P009953")</f>
        <v>P009953</v>
      </c>
      <c r="D43" s="2" t="str">
        <f ca="1">IFERROR(__xludf.DUMMYFUNCTION("""COMPUTED_VALUE"""),"GUZMAN MOYA, YULISA YANET")</f>
        <v>GUZMAN MOYA, YULISA YANET</v>
      </c>
      <c r="E43" s="2" t="str">
        <f ca="1">IFERROR(__xludf.DUMMYFUNCTION("""COMPUTED_VALUE"""),"YGUZMAN@BBVA.COM")</f>
        <v>YGUZMAN@BBVA.COM</v>
      </c>
      <c r="F43" s="2" t="str">
        <f ca="1">IFERROR(__xludf.DUMMYFUNCTION("""COMPUTED_VALUE"""),"(B214)GERENTE DE OFICINA D")</f>
        <v>(B214)GERENTE DE OFICINA D</v>
      </c>
      <c r="G43" s="2" t="str">
        <f ca="1">IFERROR(__xludf.DUMMYFUNCTION("""COMPUTED_VALUE"""),"DIVISION LIMA SUR")</f>
        <v>DIVISION LIMA SUR</v>
      </c>
    </row>
    <row r="44" spans="1:7" x14ac:dyDescent="0.25">
      <c r="A44" s="2" t="str">
        <f ca="1">IFERROR(__xludf.DUMMYFUNCTION("QUERY(IMPORTRANGE(""https://docs.google.com/spreadsheets/d/1rCbIqph3_cZW307Bd6sDE0Lf4ERLTa5k-x7KkP0hCJQ/edit?gid=0#gid=0"",""SGOF!A2:K""),""Select  Col1, Col11, Col10, Col2, Col3, Col4, Col9"",0)"),"0005")</f>
        <v>0005</v>
      </c>
      <c r="B44" s="2" t="str">
        <f ca="1">IFERROR(__xludf.DUMMYFUNCTION("""COMPUTED_VALUE"""),"OFICINA MEGAPLAZA CHIMBOTE")</f>
        <v>OFICINA MEGAPLAZA CHIMBOTE</v>
      </c>
      <c r="C44" s="2" t="str">
        <f ca="1">IFERROR(__xludf.DUMMYFUNCTION("""COMPUTED_VALUE"""),"P008733")</f>
        <v>P008733</v>
      </c>
      <c r="D44" s="2" t="str">
        <f ca="1">IFERROR(__xludf.DUMMYFUNCTION("""COMPUTED_VALUE"""),"GALVEZ AGUIRRE, CATHERINE JULIANA")</f>
        <v>GALVEZ AGUIRRE, CATHERINE JULIANA</v>
      </c>
      <c r="E44" s="2" t="str">
        <f ca="1">IFERROR(__xludf.DUMMYFUNCTION("""COMPUTED_VALUE"""),"KGALVEZ@BBVA.COM")</f>
        <v>KGALVEZ@BBVA.COM</v>
      </c>
      <c r="F44" s="2" t="str">
        <f ca="1">IFERROR(__xludf.DUMMYFUNCTION("""COMPUTED_VALUE"""),"(B417)SUB GERENTE DE OFICINA F")</f>
        <v>(B417)SUB GERENTE DE OFICINA F</v>
      </c>
      <c r="G44" s="2" t="str">
        <f ca="1">IFERROR(__xludf.DUMMYFUNCTION("""COMPUTED_VALUE"""),"OFICINA MEGAPLAZA CHIMBOTE")</f>
        <v>OFICINA MEGAPLAZA CHIMBOTE</v>
      </c>
    </row>
    <row r="45" spans="1:7" x14ac:dyDescent="0.25">
      <c r="A45" s="2" t="str">
        <f ca="1">IFERROR(__xludf.DUMMYFUNCTION("""COMPUTED_VALUE"""),"0010")</f>
        <v>0010</v>
      </c>
      <c r="B45" s="2" t="str">
        <f ca="1">IFERROR(__xludf.DUMMYFUNCTION("""COMPUTED_VALUE"""),"OFICINA ANDAHUAYLAS")</f>
        <v>OFICINA ANDAHUAYLAS</v>
      </c>
      <c r="C45" s="2" t="str">
        <f ca="1">IFERROR(__xludf.DUMMYFUNCTION("""COMPUTED_VALUE"""),"P024186")</f>
        <v>P024186</v>
      </c>
      <c r="D45" s="2" t="str">
        <f ca="1">IFERROR(__xludf.DUMMYFUNCTION("""COMPUTED_VALUE"""),"ORDAYA QUISPE, RICHARD JHONY")</f>
        <v>ORDAYA QUISPE, RICHARD JHONY</v>
      </c>
      <c r="E45" s="2" t="str">
        <f ca="1">IFERROR(__xludf.DUMMYFUNCTION("""COMPUTED_VALUE"""),"RICHARD.ORDAYA@BBVA.COM")</f>
        <v>RICHARD.ORDAYA@BBVA.COM</v>
      </c>
      <c r="F45" s="2" t="str">
        <f ca="1">IFERROR(__xludf.DUMMYFUNCTION("""COMPUTED_VALUE"""),"(B417)SUB GERENTE DE OFICINA F")</f>
        <v>(B417)SUB GERENTE DE OFICINA F</v>
      </c>
      <c r="G45" s="2" t="str">
        <f ca="1">IFERROR(__xludf.DUMMYFUNCTION("""COMPUTED_VALUE"""),"OFICINA ANDAHUAYLAS")</f>
        <v>OFICINA ANDAHUAYLAS</v>
      </c>
    </row>
    <row r="46" spans="1:7" x14ac:dyDescent="0.25">
      <c r="A46" s="2" t="str">
        <f ca="1">IFERROR(__xludf.DUMMYFUNCTION("""COMPUTED_VALUE"""),"0013")</f>
        <v>0013</v>
      </c>
      <c r="B46" s="2" t="str">
        <f ca="1">IFERROR(__xludf.DUMMYFUNCTION("""COMPUTED_VALUE"""),"OFICINA PASEO DE LA CASTELLANA")</f>
        <v>OFICINA PASEO DE LA CASTELLANA</v>
      </c>
      <c r="C46" s="2" t="str">
        <f ca="1">IFERROR(__xludf.DUMMYFUNCTION("""COMPUTED_VALUE"""),"P012584")</f>
        <v>P012584</v>
      </c>
      <c r="D46" s="2" t="str">
        <f ca="1">IFERROR(__xludf.DUMMYFUNCTION("""COMPUTED_VALUE"""),"FERNANDEZ SANDOVAL, JAIR JOAO")</f>
        <v>FERNANDEZ SANDOVAL, JAIR JOAO</v>
      </c>
      <c r="E46" s="2" t="str">
        <f ca="1">IFERROR(__xludf.DUMMYFUNCTION("""COMPUTED_VALUE"""),"JJOFERNANDEZ@BBVA.COM")</f>
        <v>JJOFERNANDEZ@BBVA.COM</v>
      </c>
      <c r="F46" s="2" t="str">
        <f ca="1">IFERROR(__xludf.DUMMYFUNCTION("""COMPUTED_VALUE"""),"(B417)SUB GERENTE DE OFICINA F")</f>
        <v>(B417)SUB GERENTE DE OFICINA F</v>
      </c>
      <c r="G46" s="2" t="str">
        <f ca="1">IFERROR(__xludf.DUMMYFUNCTION("""COMPUTED_VALUE"""),"OFICINA PASEO DE LA CASTELLANA")</f>
        <v>OFICINA PASEO DE LA CASTELLANA</v>
      </c>
    </row>
    <row r="47" spans="1:7" x14ac:dyDescent="0.25">
      <c r="A47" s="2" t="str">
        <f ca="1">IFERROR(__xludf.DUMMYFUNCTION("""COMPUTED_VALUE"""),"0014")</f>
        <v>0014</v>
      </c>
      <c r="B47" s="2" t="str">
        <f ca="1">IFERROR(__xludf.DUMMYFUNCTION("""COMPUTED_VALUE"""),"OFICINA METRO CHILCA")</f>
        <v>OFICINA METRO CHILCA</v>
      </c>
      <c r="C47" s="2" t="str">
        <f ca="1">IFERROR(__xludf.DUMMYFUNCTION("""COMPUTED_VALUE"""),"P013132")</f>
        <v>P013132</v>
      </c>
      <c r="D47" s="2" t="str">
        <f ca="1">IFERROR(__xludf.DUMMYFUNCTION("""COMPUTED_VALUE"""),"AQUINO LOPEZ, LIZETH NANCY")</f>
        <v>AQUINO LOPEZ, LIZETH NANCY</v>
      </c>
      <c r="E47" s="2" t="str">
        <f ca="1">IFERROR(__xludf.DUMMYFUNCTION("""COMPUTED_VALUE"""),"LAQUINO@BBVA.COM")</f>
        <v>LAQUINO@BBVA.COM</v>
      </c>
      <c r="F47" s="2" t="str">
        <f ca="1">IFERROR(__xludf.DUMMYFUNCTION("""COMPUTED_VALUE"""),"(B417)SUB GERENTE DE OFICINA F")</f>
        <v>(B417)SUB GERENTE DE OFICINA F</v>
      </c>
      <c r="G47" s="2" t="str">
        <f ca="1">IFERROR(__xludf.DUMMYFUNCTION("""COMPUTED_VALUE"""),"OFICINA METRO CHILCA")</f>
        <v>OFICINA METRO CHILCA</v>
      </c>
    </row>
    <row r="48" spans="1:7" x14ac:dyDescent="0.25">
      <c r="A48" s="2" t="str">
        <f ca="1">IFERROR(__xludf.DUMMYFUNCTION("""COMPUTED_VALUE"""),"0023")</f>
        <v>0023</v>
      </c>
      <c r="B48" s="2" t="str">
        <f ca="1">IFERROR(__xludf.DUMMYFUNCTION("""COMPUTED_VALUE"""),"OFICINA ÓVALO QUIÑONES")</f>
        <v>OFICINA ÓVALO QUIÑONES</v>
      </c>
      <c r="C48" s="2" t="str">
        <f ca="1">IFERROR(__xludf.DUMMYFUNCTION("""COMPUTED_VALUE"""),"P020086")</f>
        <v>P020086</v>
      </c>
      <c r="D48" s="2" t="str">
        <f ca="1">IFERROR(__xludf.DUMMYFUNCTION("""COMPUTED_VALUE"""),"ROJAS BURGA, NESTOR EDUARDO")</f>
        <v>ROJAS BURGA, NESTOR EDUARDO</v>
      </c>
      <c r="E48" s="2" t="str">
        <f ca="1">IFERROR(__xludf.DUMMYFUNCTION("""COMPUTED_VALUE"""),"NESTOR.ROJAS@BBVA.COM")</f>
        <v>NESTOR.ROJAS@BBVA.COM</v>
      </c>
      <c r="F48" s="2" t="str">
        <f ca="1">IFERROR(__xludf.DUMMYFUNCTION("""COMPUTED_VALUE"""),"(B411)SUB GERENTE DE OFICINA A3")</f>
        <v>(B411)SUB GERENTE DE OFICINA A3</v>
      </c>
      <c r="G48" s="2" t="str">
        <f ca="1">IFERROR(__xludf.DUMMYFUNCTION("""COMPUTED_VALUE"""),"OFICINA QUIÑONES")</f>
        <v>OFICINA QUIÑONES</v>
      </c>
    </row>
    <row r="49" spans="1:7" x14ac:dyDescent="0.25">
      <c r="A49" s="2" t="str">
        <f ca="1">IFERROR(__xludf.DUMMYFUNCTION("""COMPUTED_VALUE"""),"0030")</f>
        <v>0030</v>
      </c>
      <c r="B49" s="2" t="str">
        <f ca="1">IFERROR(__xludf.DUMMYFUNCTION("""COMPUTED_VALUE"""),"OFICINA ÓVALO LARCO TRUJILLO")</f>
        <v>OFICINA ÓVALO LARCO TRUJILLO</v>
      </c>
      <c r="C49" s="2" t="str">
        <f ca="1">IFERROR(__xludf.DUMMYFUNCTION("""COMPUTED_VALUE"""),"P014467")</f>
        <v>P014467</v>
      </c>
      <c r="D49" s="2" t="str">
        <f ca="1">IFERROR(__xludf.DUMMYFUNCTION("""COMPUTED_VALUE"""),"CALDERON TORRES, MELANIA ANHELI")</f>
        <v>CALDERON TORRES, MELANIA ANHELI</v>
      </c>
      <c r="E49" s="2" t="str">
        <f ca="1">IFERROR(__xludf.DUMMYFUNCTION("""COMPUTED_VALUE"""),"MACALDERON@BBVA.COM")</f>
        <v>MACALDERON@BBVA.COM</v>
      </c>
      <c r="F49" s="2" t="str">
        <f ca="1">IFERROR(__xludf.DUMMYFUNCTION("""COMPUTED_VALUE"""),"(B417)SUB GERENTE DE OFICINA F")</f>
        <v>(B417)SUB GERENTE DE OFICINA F</v>
      </c>
      <c r="G49" s="2" t="str">
        <f ca="1">IFERROR(__xludf.DUMMYFUNCTION("""COMPUTED_VALUE"""),"OFICINA OVALO LARCO TRUJILLO")</f>
        <v>OFICINA OVALO LARCO TRUJILLO</v>
      </c>
    </row>
    <row r="50" spans="1:7" x14ac:dyDescent="0.25">
      <c r="A50" s="2" t="str">
        <f ca="1">IFERROR(__xludf.DUMMYFUNCTION("""COMPUTED_VALUE"""),"0038")</f>
        <v>0038</v>
      </c>
      <c r="B50" s="2" t="str">
        <f ca="1">IFERROR(__xludf.DUMMYFUNCTION("""COMPUTED_VALUE"""),"OFICINA MANTAS")</f>
        <v>OFICINA MANTAS</v>
      </c>
      <c r="C50" s="2" t="str">
        <f ca="1">IFERROR(__xludf.DUMMYFUNCTION("""COMPUTED_VALUE"""),"P032969")</f>
        <v>P032969</v>
      </c>
      <c r="D50" s="2" t="str">
        <f ca="1">IFERROR(__xludf.DUMMYFUNCTION("""COMPUTED_VALUE"""),"QUILCA VERA, HUGO GABRIEL")</f>
        <v>QUILCA VERA, HUGO GABRIEL</v>
      </c>
      <c r="E50" s="2" t="str">
        <f ca="1">IFERROR(__xludf.DUMMYFUNCTION("""COMPUTED_VALUE"""),"HUGO.QUILCA@BBVA.COM")</f>
        <v>HUGO.QUILCA@BBVA.COM</v>
      </c>
      <c r="F50" s="2" t="str">
        <f ca="1">IFERROR(__xludf.DUMMYFUNCTION("""COMPUTED_VALUE"""),"(B417)SUB GERENTE DE OFICINA F")</f>
        <v>(B417)SUB GERENTE DE OFICINA F</v>
      </c>
      <c r="G50" s="2" t="str">
        <f ca="1">IFERROR(__xludf.DUMMYFUNCTION("""COMPUTED_VALUE"""),"OFICINA CUSCO")</f>
        <v>OFICINA CUSCO</v>
      </c>
    </row>
    <row r="51" spans="1:7" x14ac:dyDescent="0.25">
      <c r="A51" s="2" t="str">
        <f ca="1">IFERROR(__xludf.DUMMYFUNCTION("""COMPUTED_VALUE"""),"0048")</f>
        <v>0048</v>
      </c>
      <c r="B51" s="2" t="str">
        <f ca="1">IFERROR(__xludf.DUMMYFUNCTION("""COMPUTED_VALUE"""),"OFICINA MEGA EXPRESS VILLA EL SALVADOR")</f>
        <v>OFICINA MEGA EXPRESS VILLA EL SALVADOR</v>
      </c>
      <c r="C51" s="2" t="str">
        <f ca="1">IFERROR(__xludf.DUMMYFUNCTION("""COMPUTED_VALUE"""),"P027880")</f>
        <v>P027880</v>
      </c>
      <c r="D51" s="2" t="str">
        <f ca="1">IFERROR(__xludf.DUMMYFUNCTION("""COMPUTED_VALUE"""),"RODRIGUEZ AREDO, KATERINE ALEXANDRA")</f>
        <v>RODRIGUEZ AREDO, KATERINE ALEXANDRA</v>
      </c>
      <c r="E51" s="2" t="str">
        <f ca="1">IFERROR(__xludf.DUMMYFUNCTION("""COMPUTED_VALUE"""),"KATERINE.RODRIGUEZ@BBVA.COM")</f>
        <v>KATERINE.RODRIGUEZ@BBVA.COM</v>
      </c>
      <c r="F51" s="2" t="str">
        <f ca="1">IFERROR(__xludf.DUMMYFUNCTION("""COMPUTED_VALUE"""),"(B417)SUB GERENTE DE OFICINA F")</f>
        <v>(B417)SUB GERENTE DE OFICINA F</v>
      </c>
      <c r="G51" s="2" t="str">
        <f ca="1">IFERROR(__xludf.DUMMYFUNCTION("""COMPUTED_VALUE"""),"OFICINA MEGAPLAZA EXPRESS VILLA EL SALVADOR")</f>
        <v>OFICINA MEGAPLAZA EXPRESS VILLA EL SALVADOR</v>
      </c>
    </row>
    <row r="52" spans="1:7" x14ac:dyDescent="0.25">
      <c r="A52" s="2" t="str">
        <f ca="1">IFERROR(__xludf.DUMMYFUNCTION("""COMPUTED_VALUE"""),"0050")</f>
        <v>0050</v>
      </c>
      <c r="B52" s="2" t="str">
        <f ca="1">IFERROR(__xludf.DUMMYFUNCTION("""COMPUTED_VALUE"""),"OFICINA SAN JUAN")</f>
        <v>OFICINA SAN JUAN</v>
      </c>
      <c r="C52" s="2" t="str">
        <f ca="1">IFERROR(__xludf.DUMMYFUNCTION("""COMPUTED_VALUE"""),"P017201")</f>
        <v>P017201</v>
      </c>
      <c r="D52" s="2" t="str">
        <f ca="1">IFERROR(__xludf.DUMMYFUNCTION("""COMPUTED_VALUE"""),"ROJAS OCHOA, IRIS DEL PILAR")</f>
        <v>ROJAS OCHOA, IRIS DEL PILAR</v>
      </c>
      <c r="E52" s="2" t="str">
        <f ca="1">IFERROR(__xludf.DUMMYFUNCTION("""COMPUTED_VALUE"""),"IROJASO@BBVA.COM")</f>
        <v>IROJASO@BBVA.COM</v>
      </c>
      <c r="F52" s="2" t="str">
        <f ca="1">IFERROR(__xludf.DUMMYFUNCTION("""COMPUTED_VALUE"""),"(B417)SUB GERENTE DE OFICINA F")</f>
        <v>(B417)SUB GERENTE DE OFICINA F</v>
      </c>
      <c r="G52" s="2" t="str">
        <f ca="1">IFERROR(__xludf.DUMMYFUNCTION("""COMPUTED_VALUE"""),"OFICINA SAN JUAN")</f>
        <v>OFICINA SAN JUAN</v>
      </c>
    </row>
    <row r="53" spans="1:7" x14ac:dyDescent="0.25">
      <c r="A53" s="2" t="str">
        <f ca="1">IFERROR(__xludf.DUMMYFUNCTION("""COMPUTED_VALUE"""),"0059")</f>
        <v>0059</v>
      </c>
      <c r="B53" s="2" t="str">
        <f ca="1">IFERROR(__xludf.DUMMYFUNCTION("""COMPUTED_VALUE"""),"OFICINA LEGUÍA CHICLAYO")</f>
        <v>OFICINA LEGUÍA CHICLAYO</v>
      </c>
      <c r="C53" s="2" t="str">
        <f ca="1">IFERROR(__xludf.DUMMYFUNCTION("""COMPUTED_VALUE"""),"P024560")</f>
        <v>P024560</v>
      </c>
      <c r="D53" s="2" t="str">
        <f ca="1">IFERROR(__xludf.DUMMYFUNCTION("""COMPUTED_VALUE"""),"CASTILLO REQUEJO, KATIA CECILIA")</f>
        <v>CASTILLO REQUEJO, KATIA CECILIA</v>
      </c>
      <c r="E53" s="2" t="str">
        <f ca="1">IFERROR(__xludf.DUMMYFUNCTION("""COMPUTED_VALUE"""),"KATIA.CASTILLO@BBVA.COM")</f>
        <v>KATIA.CASTILLO@BBVA.COM</v>
      </c>
      <c r="F53" s="2" t="str">
        <f ca="1">IFERROR(__xludf.DUMMYFUNCTION("""COMPUTED_VALUE"""),"(B415)SUB GERENTE DE OFICINA E")</f>
        <v>(B415)SUB GERENTE DE OFICINA E</v>
      </c>
      <c r="G53" s="2" t="str">
        <f ca="1">IFERROR(__xludf.DUMMYFUNCTION("""COMPUTED_VALUE"""),"OFICINA LEGUIA CHICLAYO")</f>
        <v>OFICINA LEGUIA CHICLAYO</v>
      </c>
    </row>
    <row r="54" spans="1:7" x14ac:dyDescent="0.25">
      <c r="A54" s="2" t="str">
        <f ca="1">IFERROR(__xludf.DUMMYFUNCTION("""COMPUTED_VALUE"""),"0081")</f>
        <v>0081</v>
      </c>
      <c r="B54" s="2" t="str">
        <f ca="1">IFERROR(__xludf.DUMMYFUNCTION("""COMPUTED_VALUE"""),"OFICINA BAGUA GRANDE")</f>
        <v>OFICINA BAGUA GRANDE</v>
      </c>
      <c r="C54" s="2" t="str">
        <f ca="1">IFERROR(__xludf.DUMMYFUNCTION("""COMPUTED_VALUE"""),"P015623")</f>
        <v>P015623</v>
      </c>
      <c r="D54" s="2" t="str">
        <f ca="1">IFERROR(__xludf.DUMMYFUNCTION("""COMPUTED_VALUE"""),"CAPUÑAY SANCHEZ, JULIO AGUSTIN")</f>
        <v>CAPUÑAY SANCHEZ, JULIO AGUSTIN</v>
      </c>
      <c r="E54" s="2" t="str">
        <f ca="1">IFERROR(__xludf.DUMMYFUNCTION("""COMPUTED_VALUE"""),"JCAPUNAY@BBVA.COM")</f>
        <v>JCAPUNAY@BBVA.COM</v>
      </c>
      <c r="F54" s="2" t="str">
        <f ca="1">IFERROR(__xludf.DUMMYFUNCTION("""COMPUTED_VALUE"""),"(B417)SUB GERENTE DE OFICINA F")</f>
        <v>(B417)SUB GERENTE DE OFICINA F</v>
      </c>
      <c r="G54" s="2" t="str">
        <f ca="1">IFERROR(__xludf.DUMMYFUNCTION("""COMPUTED_VALUE"""),"OFICINA BAGUA GRANDE")</f>
        <v>OFICINA BAGUA GRANDE</v>
      </c>
    </row>
    <row r="55" spans="1:7" x14ac:dyDescent="0.25">
      <c r="A55" s="2" t="str">
        <f ca="1">IFERROR(__xludf.DUMMYFUNCTION("""COMPUTED_VALUE"""),"0083")</f>
        <v>0083</v>
      </c>
      <c r="B55" s="2" t="str">
        <f ca="1">IFERROR(__xludf.DUMMYFUNCTION("""COMPUTED_VALUE"""),"OFICINA REAL PLAZA CUSCO")</f>
        <v>OFICINA REAL PLAZA CUSCO</v>
      </c>
      <c r="C55" s="2" t="str">
        <f ca="1">IFERROR(__xludf.DUMMYFUNCTION("""COMPUTED_VALUE"""),"P023692")</f>
        <v>P023692</v>
      </c>
      <c r="D55" s="2" t="str">
        <f ca="1">IFERROR(__xludf.DUMMYFUNCTION("""COMPUTED_VALUE"""),"CANO ZEVALLOS, MELISSA")</f>
        <v>CANO ZEVALLOS, MELISSA</v>
      </c>
      <c r="E55" s="2" t="str">
        <f ca="1">IFERROR(__xludf.DUMMYFUNCTION("""COMPUTED_VALUE"""),"MELISSA.CANO@BBVA.COM")</f>
        <v>MELISSA.CANO@BBVA.COM</v>
      </c>
      <c r="F55" s="2" t="str">
        <f ca="1">IFERROR(__xludf.DUMMYFUNCTION("""COMPUTED_VALUE"""),"(B417)SUB GERENTE DE OFICINA F")</f>
        <v>(B417)SUB GERENTE DE OFICINA F</v>
      </c>
      <c r="G55" s="2" t="str">
        <f ca="1">IFERROR(__xludf.DUMMYFUNCTION("""COMPUTED_VALUE"""),"OFICINA REAL PLAZA CUSCO")</f>
        <v>OFICINA REAL PLAZA CUSCO</v>
      </c>
    </row>
    <row r="56" spans="1:7" x14ac:dyDescent="0.25">
      <c r="A56" s="2" t="str">
        <f ca="1">IFERROR(__xludf.DUMMYFUNCTION("""COMPUTED_VALUE"""),"0087")</f>
        <v>0087</v>
      </c>
      <c r="B56" s="2" t="str">
        <f ca="1">IFERROR(__xludf.DUMMYFUNCTION("""COMPUTED_VALUE"""),"OFICINA SANTA ROSA SULLANA")</f>
        <v>OFICINA SANTA ROSA SULLANA</v>
      </c>
      <c r="C56" s="2" t="str">
        <f ca="1">IFERROR(__xludf.DUMMYFUNCTION("""COMPUTED_VALUE"""),"P016746")</f>
        <v>P016746</v>
      </c>
      <c r="D56" s="2" t="str">
        <f ca="1">IFERROR(__xludf.DUMMYFUNCTION("""COMPUTED_VALUE"""),"CALVO RIVAS, ROBERTO ANTONIO")</f>
        <v>CALVO RIVAS, ROBERTO ANTONIO</v>
      </c>
      <c r="E56" s="2" t="str">
        <f ca="1">IFERROR(__xludf.DUMMYFUNCTION("""COMPUTED_VALUE"""),"RCALVO@BBVA.COM")</f>
        <v>RCALVO@BBVA.COM</v>
      </c>
      <c r="F56" s="2" t="str">
        <f ca="1">IFERROR(__xludf.DUMMYFUNCTION("""COMPUTED_VALUE"""),"(B417)SUB GERENTE DE OFICINA F")</f>
        <v>(B417)SUB GERENTE DE OFICINA F</v>
      </c>
      <c r="G56" s="2" t="str">
        <f ca="1">IFERROR(__xludf.DUMMYFUNCTION("""COMPUTED_VALUE"""),"OFICINA SANTA ROSA SULLANA")</f>
        <v>OFICINA SANTA ROSA SULLANA</v>
      </c>
    </row>
    <row r="57" spans="1:7" x14ac:dyDescent="0.25">
      <c r="A57" s="2" t="str">
        <f ca="1">IFERROR(__xludf.DUMMYFUNCTION("""COMPUTED_VALUE"""),"0091")</f>
        <v>0091</v>
      </c>
      <c r="B57" s="2" t="str">
        <f ca="1">IFERROR(__xludf.DUMMYFUNCTION("""COMPUTED_VALUE"""),"OFICINA BANCA PRIVADA PARDO Y ALIAGA")</f>
        <v>OFICINA BANCA PRIVADA PARDO Y ALIAGA</v>
      </c>
      <c r="C57" s="2" t="str">
        <f ca="1">IFERROR(__xludf.DUMMYFUNCTION("""COMPUTED_VALUE"""),"P007787")</f>
        <v>P007787</v>
      </c>
      <c r="D57" s="2" t="str">
        <f ca="1">IFERROR(__xludf.DUMMYFUNCTION("""COMPUTED_VALUE"""),"GONZALES QUIROZ, JUAN JAVIER")</f>
        <v>GONZALES QUIROZ, JUAN JAVIER</v>
      </c>
      <c r="E57" s="2" t="str">
        <f ca="1">IFERROR(__xludf.DUMMYFUNCTION("""COMPUTED_VALUE"""),"JJGONZALES@BBVA.COM")</f>
        <v>JJGONZALES@BBVA.COM</v>
      </c>
      <c r="F57" s="2" t="str">
        <f ca="1">IFERROR(__xludf.DUMMYFUNCTION("""COMPUTED_VALUE"""),"(B491)SUBGTE BCA PATRIMON Y PRIVA 2")</f>
        <v>(B491)SUBGTE BCA PATRIMON Y PRIVA 2</v>
      </c>
      <c r="G57" s="2" t="str">
        <f ca="1">IFERROR(__xludf.DUMMYFUNCTION("""COMPUTED_VALUE"""),"PRIVATE BANKING")</f>
        <v>PRIVATE BANKING</v>
      </c>
    </row>
    <row r="58" spans="1:7" x14ac:dyDescent="0.25">
      <c r="A58" s="2" t="str">
        <f ca="1">IFERROR(__xludf.DUMMYFUNCTION("""COMPUTED_VALUE"""),"0094")</f>
        <v>0094</v>
      </c>
      <c r="B58" s="2" t="str">
        <f ca="1">IFERROR(__xludf.DUMMYFUNCTION("""COMPUTED_VALUE"""),"OFICINA REAL PLAZA SALAVERRY")</f>
        <v>OFICINA REAL PLAZA SALAVERRY</v>
      </c>
      <c r="C58" s="2" t="str">
        <f ca="1">IFERROR(__xludf.DUMMYFUNCTION("""COMPUTED_VALUE"""),"P014378")</f>
        <v>P014378</v>
      </c>
      <c r="D58" s="2" t="str">
        <f ca="1">IFERROR(__xludf.DUMMYFUNCTION("""COMPUTED_VALUE"""),"BARZOLA CASTRO, VICTOR RENATO")</f>
        <v>BARZOLA CASTRO, VICTOR RENATO</v>
      </c>
      <c r="E58" s="2" t="str">
        <f ca="1">IFERROR(__xludf.DUMMYFUNCTION("""COMPUTED_VALUE"""),"VRBARZOLA@BBVA.COM")</f>
        <v>VRBARZOLA@BBVA.COM</v>
      </c>
      <c r="F58" s="2" t="str">
        <f ca="1">IFERROR(__xludf.DUMMYFUNCTION("""COMPUTED_VALUE"""),"(B417)SUB GERENTE DE OFICINA F")</f>
        <v>(B417)SUB GERENTE DE OFICINA F</v>
      </c>
      <c r="G58" s="2" t="str">
        <f ca="1">IFERROR(__xludf.DUMMYFUNCTION("""COMPUTED_VALUE"""),"OFICINA REAL PLAZA SALAVERRY")</f>
        <v>OFICINA REAL PLAZA SALAVERRY</v>
      </c>
    </row>
    <row r="59" spans="1:7" x14ac:dyDescent="0.25">
      <c r="A59" s="2" t="str">
        <f ca="1">IFERROR(__xludf.DUMMYFUNCTION("""COMPUTED_VALUE"""),"0101")</f>
        <v>0101</v>
      </c>
      <c r="B59" s="2" t="str">
        <f ca="1">IFERROR(__xludf.DUMMYFUNCTION("""COMPUTED_VALUE"""),"OFICINA CAMANÁ")</f>
        <v>OFICINA CAMANÁ</v>
      </c>
      <c r="C59" s="2" t="str">
        <f ca="1">IFERROR(__xludf.DUMMYFUNCTION("""COMPUTED_VALUE"""),"P017812")</f>
        <v>P017812</v>
      </c>
      <c r="D59" s="2" t="str">
        <f ca="1">IFERROR(__xludf.DUMMYFUNCTION("""COMPUTED_VALUE"""),"TARAZONA BUENO, MARIA DEL CARMEN")</f>
        <v>TARAZONA BUENO, MARIA DEL CARMEN</v>
      </c>
      <c r="E59" s="2" t="str">
        <f ca="1">IFERROR(__xludf.DUMMYFUNCTION("""COMPUTED_VALUE"""),"MTARAZONA@BBVA.COM")</f>
        <v>MTARAZONA@BBVA.COM</v>
      </c>
      <c r="F59" s="2" t="str">
        <f ca="1">IFERROR(__xludf.DUMMYFUNCTION("""COMPUTED_VALUE"""),"(B414)SUB GERENTE DE OFICINA D")</f>
        <v>(B414)SUB GERENTE DE OFICINA D</v>
      </c>
      <c r="G59" s="2" t="str">
        <f ca="1">IFERROR(__xludf.DUMMYFUNCTION("""COMPUTED_VALUE"""),"OFICINA CAMANA - LIMA")</f>
        <v>OFICINA CAMANA - LIMA</v>
      </c>
    </row>
    <row r="60" spans="1:7" x14ac:dyDescent="0.25">
      <c r="A60" s="2" t="str">
        <f ca="1">IFERROR(__xludf.DUMMYFUNCTION("""COMPUTED_VALUE"""),"0102")</f>
        <v>0102</v>
      </c>
      <c r="B60" s="2" t="str">
        <f ca="1">IFERROR(__xludf.DUMMYFUNCTION("""COMPUTED_VALUE"""),"OFICINA CALLAO")</f>
        <v>OFICINA CALLAO</v>
      </c>
      <c r="C60" s="2" t="str">
        <f ca="1">IFERROR(__xludf.DUMMYFUNCTION("""COMPUTED_VALUE"""),"P014551")</f>
        <v>P014551</v>
      </c>
      <c r="D60" s="2" t="str">
        <f ca="1">IFERROR(__xludf.DUMMYFUNCTION("""COMPUTED_VALUE"""),"DONAYRE MESIAS, MIGUEL ANGEL")</f>
        <v>DONAYRE MESIAS, MIGUEL ANGEL</v>
      </c>
      <c r="E60" s="2" t="str">
        <f ca="1">IFERROR(__xludf.DUMMYFUNCTION("""COMPUTED_VALUE"""),"MDONAYRE@BBVA.COM")</f>
        <v>MDONAYRE@BBVA.COM</v>
      </c>
      <c r="F60" s="2" t="str">
        <f ca="1">IFERROR(__xludf.DUMMYFUNCTION("""COMPUTED_VALUE"""),"(B413)SUB GERENTE DE OFICINA C")</f>
        <v>(B413)SUB GERENTE DE OFICINA C</v>
      </c>
      <c r="G60" s="2" t="str">
        <f ca="1">IFERROR(__xludf.DUMMYFUNCTION("""COMPUTED_VALUE"""),"OFICINA CALLAO 1")</f>
        <v>OFICINA CALLAO 1</v>
      </c>
    </row>
    <row r="61" spans="1:7" x14ac:dyDescent="0.25">
      <c r="A61" s="2" t="str">
        <f ca="1">IFERROR(__xludf.DUMMYFUNCTION("""COMPUTED_VALUE"""),"0103")</f>
        <v>0103</v>
      </c>
      <c r="B61" s="2" t="str">
        <f ca="1">IFERROR(__xludf.DUMMYFUNCTION("""COMPUTED_VALUE"""),"OFICINA CAPÓN")</f>
        <v>OFICINA CAPÓN</v>
      </c>
      <c r="C61" s="2" t="str">
        <f ca="1">IFERROR(__xludf.DUMMYFUNCTION("""COMPUTED_VALUE"""),"P014563")</f>
        <v>P014563</v>
      </c>
      <c r="D61" s="2" t="str">
        <f ca="1">IFERROR(__xludf.DUMMYFUNCTION("""COMPUTED_VALUE"""),"CANALES BONIFAZ, DIANA CAROLINA")</f>
        <v>CANALES BONIFAZ, DIANA CAROLINA</v>
      </c>
      <c r="E61" s="2" t="str">
        <f ca="1">IFERROR(__xludf.DUMMYFUNCTION("""COMPUTED_VALUE"""),"DCANALES@BBVA.COM")</f>
        <v>DCANALES@BBVA.COM</v>
      </c>
      <c r="F61" s="2" t="str">
        <f ca="1">IFERROR(__xludf.DUMMYFUNCTION("""COMPUTED_VALUE"""),"(B411)SUB GERENTE DE OFICINA A3")</f>
        <v>(B411)SUB GERENTE DE OFICINA A3</v>
      </c>
      <c r="G61" s="2" t="str">
        <f ca="1">IFERROR(__xludf.DUMMYFUNCTION("""COMPUTED_VALUE"""),"OFICINA CAPON")</f>
        <v>OFICINA CAPON</v>
      </c>
    </row>
    <row r="62" spans="1:7" x14ac:dyDescent="0.25">
      <c r="A62" s="2" t="str">
        <f ca="1">IFERROR(__xludf.DUMMYFUNCTION("""COMPUTED_VALUE"""),"0105")</f>
        <v>0105</v>
      </c>
      <c r="B62" s="2" t="str">
        <f ca="1">IFERROR(__xludf.DUMMYFUNCTION("""COMPUTED_VALUE"""),"OFICINA RÍMAC")</f>
        <v>OFICINA RÍMAC</v>
      </c>
      <c r="C62" s="2" t="str">
        <f ca="1">IFERROR(__xludf.DUMMYFUNCTION("""COMPUTED_VALUE"""),"P018086")</f>
        <v>P018086</v>
      </c>
      <c r="D62" s="2" t="str">
        <f ca="1">IFERROR(__xludf.DUMMYFUNCTION("""COMPUTED_VALUE"""),"ROCA MORENO, MALU ESPERANZA")</f>
        <v>ROCA MORENO, MALU ESPERANZA</v>
      </c>
      <c r="E62" s="2" t="str">
        <f ca="1">IFERROR(__xludf.DUMMYFUNCTION("""COMPUTED_VALUE"""),"MROCAM@BBVA.COM")</f>
        <v>MROCAM@BBVA.COM</v>
      </c>
      <c r="F62" s="2" t="str">
        <f ca="1">IFERROR(__xludf.DUMMYFUNCTION("""COMPUTED_VALUE"""),"(B415)SUB GERENTE DE OFICINA E")</f>
        <v>(B415)SUB GERENTE DE OFICINA E</v>
      </c>
      <c r="G62" s="2" t="str">
        <f ca="1">IFERROR(__xludf.DUMMYFUNCTION("""COMPUTED_VALUE"""),"OFICINA RIMAC")</f>
        <v>OFICINA RIMAC</v>
      </c>
    </row>
    <row r="63" spans="1:7" x14ac:dyDescent="0.25">
      <c r="A63" s="2" t="str">
        <f ca="1">IFERROR(__xludf.DUMMYFUNCTION("""COMPUTED_VALUE"""),"0106")</f>
        <v>0106</v>
      </c>
      <c r="B63" s="2" t="str">
        <f ca="1">IFERROR(__xludf.DUMMYFUNCTION("""COMPUTED_VALUE"""),"OFICINA EL REMANSO")</f>
        <v>OFICINA EL REMANSO</v>
      </c>
      <c r="C63" s="2" t="str">
        <f ca="1">IFERROR(__xludf.DUMMYFUNCTION("""COMPUTED_VALUE"""),"P016448")</f>
        <v>P016448</v>
      </c>
      <c r="D63" s="2" t="str">
        <f ca="1">IFERROR(__xludf.DUMMYFUNCTION("""COMPUTED_VALUE"""),"PAITAN GONZALES, OLGA FIORELA")</f>
        <v>PAITAN GONZALES, OLGA FIORELA</v>
      </c>
      <c r="E63" s="2" t="str">
        <f ca="1">IFERROR(__xludf.DUMMYFUNCTION("""COMPUTED_VALUE"""),"OPAITAN@BBVA.COM")</f>
        <v>OPAITAN@BBVA.COM</v>
      </c>
      <c r="F63" s="2" t="str">
        <f ca="1">IFERROR(__xludf.DUMMYFUNCTION("""COMPUTED_VALUE"""),"(B411)SUB GERENTE DE OFICINA A3")</f>
        <v>(B411)SUB GERENTE DE OFICINA A3</v>
      </c>
      <c r="G63" s="2" t="str">
        <f ca="1">IFERROR(__xludf.DUMMYFUNCTION("""COMPUTED_VALUE"""),"OFICINA EL REMANSO")</f>
        <v>OFICINA EL REMANSO</v>
      </c>
    </row>
    <row r="64" spans="1:7" x14ac:dyDescent="0.25">
      <c r="A64" s="2" t="str">
        <f ca="1">IFERROR(__xludf.DUMMYFUNCTION("""COMPUTED_VALUE"""),"0107")</f>
        <v>0107</v>
      </c>
      <c r="B64" s="2" t="str">
        <f ca="1">IFERROR(__xludf.DUMMYFUNCTION("""COMPUTED_VALUE"""),"OFICINA FAUCETT")</f>
        <v>OFICINA FAUCETT</v>
      </c>
      <c r="C64" s="2" t="str">
        <f ca="1">IFERROR(__xludf.DUMMYFUNCTION("""COMPUTED_VALUE"""),"P018125")</f>
        <v>P018125</v>
      </c>
      <c r="D64" s="2" t="str">
        <f ca="1">IFERROR(__xludf.DUMMYFUNCTION("""COMPUTED_VALUE"""),"ZAVALETA ZAPATERO, CLAUDIA PATRICIA")</f>
        <v>ZAVALETA ZAPATERO, CLAUDIA PATRICIA</v>
      </c>
      <c r="E64" s="2" t="str">
        <f ca="1">IFERROR(__xludf.DUMMYFUNCTION("""COMPUTED_VALUE"""),"CZAVALETA@BBVA.COM")</f>
        <v>CZAVALETA@BBVA.COM</v>
      </c>
      <c r="F64" s="2" t="str">
        <f ca="1">IFERROR(__xludf.DUMMYFUNCTION("""COMPUTED_VALUE"""),"(B414)SUB GERENTE DE OFICINA D")</f>
        <v>(B414)SUB GERENTE DE OFICINA D</v>
      </c>
      <c r="G64" s="2" t="str">
        <f ca="1">IFERROR(__xludf.DUMMYFUNCTION("""COMPUTED_VALUE"""),"OFICINA FAUCETT")</f>
        <v>OFICINA FAUCETT</v>
      </c>
    </row>
    <row r="65" spans="1:7" x14ac:dyDescent="0.25">
      <c r="A65" s="2" t="str">
        <f ca="1">IFERROR(__xludf.DUMMYFUNCTION("""COMPUTED_VALUE"""),"0108")</f>
        <v>0108</v>
      </c>
      <c r="B65" s="2" t="str">
        <f ca="1">IFERROR(__xludf.DUMMYFUNCTION("""COMPUTED_VALUE"""),"OFICINA BREÑA")</f>
        <v>OFICINA BREÑA</v>
      </c>
      <c r="C65" s="2" t="str">
        <f ca="1">IFERROR(__xludf.DUMMYFUNCTION("""COMPUTED_VALUE"""),"P027280")</f>
        <v>P027280</v>
      </c>
      <c r="D65" s="2" t="str">
        <f ca="1">IFERROR(__xludf.DUMMYFUNCTION("""COMPUTED_VALUE"""),"DAVILA VARGAS, ALEXANDRA CAMILA")</f>
        <v>DAVILA VARGAS, ALEXANDRA CAMILA</v>
      </c>
      <c r="E65" s="2" t="str">
        <f ca="1">IFERROR(__xludf.DUMMYFUNCTION("""COMPUTED_VALUE"""),"ALEXANDRA.DAVILA.VARGAS@BBVA.COM")</f>
        <v>ALEXANDRA.DAVILA.VARGAS@BBVA.COM</v>
      </c>
      <c r="F65" s="2" t="str">
        <f ca="1">IFERROR(__xludf.DUMMYFUNCTION("""COMPUTED_VALUE"""),"(B414)SUB GERENTE DE OFICINA D")</f>
        <v>(B414)SUB GERENTE DE OFICINA D</v>
      </c>
      <c r="G65" s="2" t="str">
        <f ca="1">IFERROR(__xludf.DUMMYFUNCTION("""COMPUTED_VALUE"""),"OFICINA BREÑA")</f>
        <v>OFICINA BREÑA</v>
      </c>
    </row>
    <row r="66" spans="1:7" x14ac:dyDescent="0.25">
      <c r="A66" s="2" t="str">
        <f ca="1">IFERROR(__xludf.DUMMYFUNCTION("""COMPUTED_VALUE"""),"0109")</f>
        <v>0109</v>
      </c>
      <c r="B66" s="2" t="str">
        <f ca="1">IFERROR(__xludf.DUMMYFUNCTION("""COMPUTED_VALUE"""),"OFICINA LA MOLINA")</f>
        <v>OFICINA LA MOLINA</v>
      </c>
      <c r="C66" s="2" t="str">
        <f ca="1">IFERROR(__xludf.DUMMYFUNCTION("""COMPUTED_VALUE"""),"P015146")</f>
        <v>P015146</v>
      </c>
      <c r="D66" s="2" t="str">
        <f ca="1">IFERROR(__xludf.DUMMYFUNCTION("""COMPUTED_VALUE"""),"LLOSA EGOAVIL, KARINA MELISSA")</f>
        <v>LLOSA EGOAVIL, KARINA MELISSA</v>
      </c>
      <c r="E66" s="2" t="str">
        <f ca="1">IFERROR(__xludf.DUMMYFUNCTION("""COMPUTED_VALUE"""),"KLLOSA@BBVA.COM")</f>
        <v>KLLOSA@BBVA.COM</v>
      </c>
      <c r="F66" s="2" t="str">
        <f ca="1">IFERROR(__xludf.DUMMYFUNCTION("""COMPUTED_VALUE"""),"(B411)SUB GERENTE DE OFICINA A3")</f>
        <v>(B411)SUB GERENTE DE OFICINA A3</v>
      </c>
      <c r="G66" s="2" t="str">
        <f ca="1">IFERROR(__xludf.DUMMYFUNCTION("""COMPUTED_VALUE"""),"OFICINA LA MOLINA")</f>
        <v>OFICINA LA MOLINA</v>
      </c>
    </row>
    <row r="67" spans="1:7" x14ac:dyDescent="0.25">
      <c r="A67" s="2" t="str">
        <f ca="1">IFERROR(__xludf.DUMMYFUNCTION("""COMPUTED_VALUE"""),"0110")</f>
        <v>0110</v>
      </c>
      <c r="B67" s="2" t="str">
        <f ca="1">IFERROR(__xludf.DUMMYFUNCTION("""COMPUTED_VALUE"""),"OFICINA VENEZUELA 1")</f>
        <v>OFICINA VENEZUELA 1</v>
      </c>
      <c r="C67" s="2" t="str">
        <f ca="1">IFERROR(__xludf.DUMMYFUNCTION("""COMPUTED_VALUE"""),"P023325")</f>
        <v>P023325</v>
      </c>
      <c r="D67" s="2" t="str">
        <f ca="1">IFERROR(__xludf.DUMMYFUNCTION("""COMPUTED_VALUE"""),"FLORES ESPINOZA, ISABEL ALEJANDRINA")</f>
        <v>FLORES ESPINOZA, ISABEL ALEJANDRINA</v>
      </c>
      <c r="E67" s="2" t="str">
        <f ca="1">IFERROR(__xludf.DUMMYFUNCTION("""COMPUTED_VALUE"""),"ISABEL.FLORES@BBVA.COM")</f>
        <v>ISABEL.FLORES@BBVA.COM</v>
      </c>
      <c r="F67" s="2" t="str">
        <f ca="1">IFERROR(__xludf.DUMMYFUNCTION("""COMPUTED_VALUE"""),"(B414)SUB GERENTE DE OFICINA D")</f>
        <v>(B414)SUB GERENTE DE OFICINA D</v>
      </c>
      <c r="G67" s="2" t="str">
        <f ca="1">IFERROR(__xludf.DUMMYFUNCTION("""COMPUTED_VALUE"""),"OFICINA VENEZUELA 1")</f>
        <v>OFICINA VENEZUELA 1</v>
      </c>
    </row>
    <row r="68" spans="1:7" x14ac:dyDescent="0.25">
      <c r="A68" s="2" t="str">
        <f ca="1">IFERROR(__xludf.DUMMYFUNCTION("""COMPUTED_VALUE"""),"0111")</f>
        <v>0111</v>
      </c>
      <c r="B68" s="2" t="str">
        <f ca="1">IFERROR(__xludf.DUMMYFUNCTION("""COMPUTED_VALUE"""),"OFICINA LOS OLIVOS")</f>
        <v>OFICINA LOS OLIVOS</v>
      </c>
      <c r="C68" s="2" t="str">
        <f ca="1">IFERROR(__xludf.DUMMYFUNCTION("""COMPUTED_VALUE"""),"P021950")</f>
        <v>P021950</v>
      </c>
      <c r="D68" s="2" t="str">
        <f ca="1">IFERROR(__xludf.DUMMYFUNCTION("""COMPUTED_VALUE"""),"SALAS RIOS, ISMAEL ARTURO")</f>
        <v>SALAS RIOS, ISMAEL ARTURO</v>
      </c>
      <c r="E68" s="2" t="str">
        <f ca="1">IFERROR(__xludf.DUMMYFUNCTION("""COMPUTED_VALUE"""),"ISMAEL.SALAS@BBVA.COM")</f>
        <v>ISMAEL.SALAS@BBVA.COM</v>
      </c>
      <c r="F68" s="2" t="str">
        <f ca="1">IFERROR(__xludf.DUMMYFUNCTION("""COMPUTED_VALUE"""),"(B413)SUB GERENTE DE OFICINA C")</f>
        <v>(B413)SUB GERENTE DE OFICINA C</v>
      </c>
      <c r="G68" s="2" t="str">
        <f ca="1">IFERROR(__xludf.DUMMYFUNCTION("""COMPUTED_VALUE"""),"OFICINA LOS OLIVOS")</f>
        <v>OFICINA LOS OLIVOS</v>
      </c>
    </row>
    <row r="69" spans="1:7" x14ac:dyDescent="0.25">
      <c r="A69" s="2" t="str">
        <f ca="1">IFERROR(__xludf.DUMMYFUNCTION("""COMPUTED_VALUE"""),"0112")</f>
        <v>0112</v>
      </c>
      <c r="B69" s="2" t="str">
        <f ca="1">IFERROR(__xludf.DUMMYFUNCTION("""COMPUTED_VALUE"""),"OFICINA MÉXICO")</f>
        <v>OFICINA MÉXICO</v>
      </c>
      <c r="C69" s="2" t="str">
        <f ca="1">IFERROR(__xludf.DUMMYFUNCTION("""COMPUTED_VALUE"""),"P025826")</f>
        <v>P025826</v>
      </c>
      <c r="D69" s="2" t="str">
        <f ca="1">IFERROR(__xludf.DUMMYFUNCTION("""COMPUTED_VALUE"""),"MIRANDA MARTINEZ, EDGAR")</f>
        <v>MIRANDA MARTINEZ, EDGAR</v>
      </c>
      <c r="E69" s="2" t="str">
        <f ca="1">IFERROR(__xludf.DUMMYFUNCTION("""COMPUTED_VALUE"""),"EDGAR.MIRANDA.MARTINEZ@BBVA.COM")</f>
        <v>EDGAR.MIRANDA.MARTINEZ@BBVA.COM</v>
      </c>
      <c r="F69" s="2" t="str">
        <f ca="1">IFERROR(__xludf.DUMMYFUNCTION("""COMPUTED_VALUE"""),"(B414)SUB GERENTE DE OFICINA D")</f>
        <v>(B414)SUB GERENTE DE OFICINA D</v>
      </c>
      <c r="G69" s="2" t="str">
        <f ca="1">IFERROR(__xludf.DUMMYFUNCTION("""COMPUTED_VALUE"""),"OFICINA MEXICO")</f>
        <v>OFICINA MEXICO</v>
      </c>
    </row>
    <row r="70" spans="1:7" x14ac:dyDescent="0.25">
      <c r="A70" s="2" t="str">
        <f ca="1">IFERROR(__xludf.DUMMYFUNCTION("""COMPUTED_VALUE"""),"0113")</f>
        <v>0113</v>
      </c>
      <c r="B70" s="2" t="str">
        <f ca="1">IFERROR(__xludf.DUMMYFUNCTION("""COMPUTED_VALUE"""),"OFICINA INGENIERÍA")</f>
        <v>OFICINA INGENIERÍA</v>
      </c>
      <c r="C70" s="2" t="str">
        <f ca="1">IFERROR(__xludf.DUMMYFUNCTION("""COMPUTED_VALUE"""),"P021476")</f>
        <v>P021476</v>
      </c>
      <c r="D70" s="2" t="str">
        <f ca="1">IFERROR(__xludf.DUMMYFUNCTION("""COMPUTED_VALUE"""),"VILCA LARA, JACKELYNE ESTEFANI")</f>
        <v>VILCA LARA, JACKELYNE ESTEFANI</v>
      </c>
      <c r="E70" s="2" t="str">
        <f ca="1">IFERROR(__xludf.DUMMYFUNCTION("""COMPUTED_VALUE"""),"JACKELYNE.VILCA@BBVA.COM")</f>
        <v>JACKELYNE.VILCA@BBVA.COM</v>
      </c>
      <c r="F70" s="2" t="str">
        <f ca="1">IFERROR(__xludf.DUMMYFUNCTION("""COMPUTED_VALUE"""),"(B413)SUB GERENTE DE OFICINA C")</f>
        <v>(B413)SUB GERENTE DE OFICINA C</v>
      </c>
      <c r="G70" s="2" t="str">
        <f ca="1">IFERROR(__xludf.DUMMYFUNCTION("""COMPUTED_VALUE"""),"OFICINA INGENIERIA")</f>
        <v>OFICINA INGENIERIA</v>
      </c>
    </row>
    <row r="71" spans="1:7" x14ac:dyDescent="0.25">
      <c r="A71" s="2" t="str">
        <f ca="1">IFERROR(__xludf.DUMMYFUNCTION("""COMPUTED_VALUE"""),"0114")</f>
        <v>0114</v>
      </c>
      <c r="B71" s="2" t="str">
        <f ca="1">IFERROR(__xludf.DUMMYFUNCTION("""COMPUTED_VALUE"""),"OFICINA BARRANCO")</f>
        <v>OFICINA BARRANCO</v>
      </c>
      <c r="C71" s="2" t="str">
        <f ca="1">IFERROR(__xludf.DUMMYFUNCTION("""COMPUTED_VALUE"""),"P019923")</f>
        <v>P019923</v>
      </c>
      <c r="D71" s="2" t="str">
        <f ca="1">IFERROR(__xludf.DUMMYFUNCTION("""COMPUTED_VALUE"""),"SERRANO VASQUEZ, RICHARD IVAN")</f>
        <v>SERRANO VASQUEZ, RICHARD IVAN</v>
      </c>
      <c r="E71" s="2" t="str">
        <f ca="1">IFERROR(__xludf.DUMMYFUNCTION("""COMPUTED_VALUE"""),"RICHARD.SERRANO@BBVA.COM")</f>
        <v>RICHARD.SERRANO@BBVA.COM</v>
      </c>
      <c r="F71" s="2" t="str">
        <f ca="1">IFERROR(__xludf.DUMMYFUNCTION("""COMPUTED_VALUE"""),"(B411)SUB GERENTE DE OFICINA A3")</f>
        <v>(B411)SUB GERENTE DE OFICINA A3</v>
      </c>
      <c r="G71" s="2" t="str">
        <f ca="1">IFERROR(__xludf.DUMMYFUNCTION("""COMPUTED_VALUE"""),"OFICINA BARRANCO")</f>
        <v>OFICINA BARRANCO</v>
      </c>
    </row>
    <row r="72" spans="1:7" x14ac:dyDescent="0.25">
      <c r="A72" s="2" t="str">
        <f ca="1">IFERROR(__xludf.DUMMYFUNCTION("""COMPUTED_VALUE"""),"0115")</f>
        <v>0115</v>
      </c>
      <c r="B72" s="2" t="str">
        <f ca="1">IFERROR(__xludf.DUMMYFUNCTION("""COMPUTED_VALUE"""),"OFICINA LA VÍCTORIA")</f>
        <v>OFICINA LA VÍCTORIA</v>
      </c>
      <c r="C72" s="2" t="str">
        <f ca="1">IFERROR(__xludf.DUMMYFUNCTION("""COMPUTED_VALUE"""),"P016383")</f>
        <v>P016383</v>
      </c>
      <c r="D72" s="2" t="str">
        <f ca="1">IFERROR(__xludf.DUMMYFUNCTION("""COMPUTED_VALUE"""),"DELGADO GARRIDO, JULIO CESAR")</f>
        <v>DELGADO GARRIDO, JULIO CESAR</v>
      </c>
      <c r="E72" s="2" t="str">
        <f ca="1">IFERROR(__xludf.DUMMYFUNCTION("""COMPUTED_VALUE"""),"JCDELGADO@BBVA.COM")</f>
        <v>JCDELGADO@BBVA.COM</v>
      </c>
      <c r="F72" s="2" t="str">
        <f ca="1">IFERROR(__xludf.DUMMYFUNCTION("""COMPUTED_VALUE"""),"(B411)SUB GERENTE DE OFICINA A3")</f>
        <v>(B411)SUB GERENTE DE OFICINA A3</v>
      </c>
      <c r="G72" s="2" t="str">
        <f ca="1">IFERROR(__xludf.DUMMYFUNCTION("""COMPUTED_VALUE"""),"OFICINA LA VICTORIA")</f>
        <v>OFICINA LA VICTORIA</v>
      </c>
    </row>
    <row r="73" spans="1:7" x14ac:dyDescent="0.25">
      <c r="A73" s="2" t="str">
        <f ca="1">IFERROR(__xludf.DUMMYFUNCTION("""COMPUTED_VALUE"""),"0116")</f>
        <v>0116</v>
      </c>
      <c r="B73" s="2" t="str">
        <f ca="1">IFERROR(__xludf.DUMMYFUNCTION("""COMPUTED_VALUE"""),"OFICINA COMAS")</f>
        <v>OFICINA COMAS</v>
      </c>
      <c r="C73" s="2" t="str">
        <f ca="1">IFERROR(__xludf.DUMMYFUNCTION("""COMPUTED_VALUE"""),"P025820")</f>
        <v>P025820</v>
      </c>
      <c r="D73" s="2" t="str">
        <f ca="1">IFERROR(__xludf.DUMMYFUNCTION("""COMPUTED_VALUE"""),"ESPINOZA DIAZ, MARIA LEONOR")</f>
        <v>ESPINOZA DIAZ, MARIA LEONOR</v>
      </c>
      <c r="E73" s="2" t="str">
        <f ca="1">IFERROR(__xludf.DUMMYFUNCTION("""COMPUTED_VALUE"""),"MARIA.ESPINOZA.DIAZ@BBVA.COM")</f>
        <v>MARIA.ESPINOZA.DIAZ@BBVA.COM</v>
      </c>
      <c r="F73" s="2" t="str">
        <f ca="1">IFERROR(__xludf.DUMMYFUNCTION("""COMPUTED_VALUE"""),"(B414)SUB GERENTE DE OFICINA D")</f>
        <v>(B414)SUB GERENTE DE OFICINA D</v>
      </c>
      <c r="G73" s="2" t="str">
        <f ca="1">IFERROR(__xludf.DUMMYFUNCTION("""COMPUTED_VALUE"""),"OFICINA COMAS")</f>
        <v>OFICINA COMAS</v>
      </c>
    </row>
    <row r="74" spans="1:7" x14ac:dyDescent="0.25">
      <c r="A74" s="2" t="str">
        <f ca="1">IFERROR(__xludf.DUMMYFUNCTION("""COMPUTED_VALUE"""),"0117")</f>
        <v>0117</v>
      </c>
      <c r="B74" s="2" t="str">
        <f ca="1">IFERROR(__xludf.DUMMYFUNCTION("""COMPUTED_VALUE"""),"OFICINA LARCO - TARATA")</f>
        <v>OFICINA LARCO - TARATA</v>
      </c>
      <c r="C74" s="2" t="str">
        <f ca="1">IFERROR(__xludf.DUMMYFUNCTION("""COMPUTED_VALUE"""),"P011230")</f>
        <v>P011230</v>
      </c>
      <c r="D74" s="2" t="str">
        <f ca="1">IFERROR(__xludf.DUMMYFUNCTION("""COMPUTED_VALUE"""),"PICON SANTILLANA, MARGARITA")</f>
        <v>PICON SANTILLANA, MARGARITA</v>
      </c>
      <c r="E74" s="2" t="str">
        <f ca="1">IFERROR(__xludf.DUMMYFUNCTION("""COMPUTED_VALUE"""),"MPICON@BBVA.COM")</f>
        <v>MPICON@BBVA.COM</v>
      </c>
      <c r="F74" s="2" t="str">
        <f ca="1">IFERROR(__xludf.DUMMYFUNCTION("""COMPUTED_VALUE"""),"(B410)SUB GERENTE DE OFICINA A1")</f>
        <v>(B410)SUB GERENTE DE OFICINA A1</v>
      </c>
      <c r="G74" s="2" t="str">
        <f ca="1">IFERROR(__xludf.DUMMYFUNCTION("""COMPUTED_VALUE"""),"OFICINA LARCO - TARATA")</f>
        <v>OFICINA LARCO - TARATA</v>
      </c>
    </row>
    <row r="75" spans="1:7" x14ac:dyDescent="0.25">
      <c r="A75" s="2" t="str">
        <f ca="1">IFERROR(__xludf.DUMMYFUNCTION("""COMPUTED_VALUE"""),"0118")</f>
        <v>0118</v>
      </c>
      <c r="B75" s="2" t="str">
        <f ca="1">IFERROR(__xludf.DUMMYFUNCTION("""COMPUTED_VALUE"""),"OFICINA BOLIVAR")</f>
        <v>OFICINA BOLIVAR</v>
      </c>
      <c r="C75" s="2" t="str">
        <f ca="1">IFERROR(__xludf.DUMMYFUNCTION("""COMPUTED_VALUE"""),"P015525")</f>
        <v>P015525</v>
      </c>
      <c r="D75" s="2" t="str">
        <f ca="1">IFERROR(__xludf.DUMMYFUNCTION("""COMPUTED_VALUE"""),"GOICOCHEA SANDOVAL, JOSE LUIS")</f>
        <v>GOICOCHEA SANDOVAL, JOSE LUIS</v>
      </c>
      <c r="E75" s="2" t="str">
        <f ca="1">IFERROR(__xludf.DUMMYFUNCTION("""COMPUTED_VALUE"""),"JGOICOCHEA@BBVA.COM")</f>
        <v>JGOICOCHEA@BBVA.COM</v>
      </c>
      <c r="F75" s="2" t="str">
        <f ca="1">IFERROR(__xludf.DUMMYFUNCTION("""COMPUTED_VALUE"""),"(B412)SUB GERENTE DE OFICINA B")</f>
        <v>(B412)SUB GERENTE DE OFICINA B</v>
      </c>
      <c r="G75" s="2" t="str">
        <f ca="1">IFERROR(__xludf.DUMMYFUNCTION("""COMPUTED_VALUE"""),"OFICINA BOLIVAR")</f>
        <v>OFICINA BOLIVAR</v>
      </c>
    </row>
    <row r="76" spans="1:7" x14ac:dyDescent="0.25">
      <c r="A76" s="2" t="str">
        <f ca="1">IFERROR(__xludf.DUMMYFUNCTION("""COMPUTED_VALUE"""),"0119")</f>
        <v>0119</v>
      </c>
      <c r="B76" s="2" t="str">
        <f ca="1">IFERROR(__xludf.DUMMYFUNCTION("""COMPUTED_VALUE"""),"OFICINA SAN ANTONIO")</f>
        <v>OFICINA SAN ANTONIO</v>
      </c>
      <c r="C76" s="2" t="str">
        <f ca="1">IFERROR(__xludf.DUMMYFUNCTION("""COMPUTED_VALUE"""),"P023838")</f>
        <v>P023838</v>
      </c>
      <c r="D76" s="2" t="str">
        <f ca="1">IFERROR(__xludf.DUMMYFUNCTION("""COMPUTED_VALUE"""),"MORENO CARRUITERO, GRETELL LISBETH")</f>
        <v>MORENO CARRUITERO, GRETELL LISBETH</v>
      </c>
      <c r="E76" s="2" t="str">
        <f ca="1">IFERROR(__xludf.DUMMYFUNCTION("""COMPUTED_VALUE"""),"GRETELL.MORENO@BBVA.COM")</f>
        <v>GRETELL.MORENO@BBVA.COM</v>
      </c>
      <c r="F76" s="2" t="str">
        <f ca="1">IFERROR(__xludf.DUMMYFUNCTION("""COMPUTED_VALUE"""),"(B413)SUB GERENTE DE OFICINA C")</f>
        <v>(B413)SUB GERENTE DE OFICINA C</v>
      </c>
      <c r="G76" s="2" t="str">
        <f ca="1">IFERROR(__xludf.DUMMYFUNCTION("""COMPUTED_VALUE"""),"OFICINA SAN ANTONIO")</f>
        <v>OFICINA SAN ANTONIO</v>
      </c>
    </row>
    <row r="77" spans="1:7" x14ac:dyDescent="0.25">
      <c r="A77" s="2" t="str">
        <f ca="1">IFERROR(__xludf.DUMMYFUNCTION("""COMPUTED_VALUE"""),"0120")</f>
        <v>0120</v>
      </c>
      <c r="B77" s="2" t="str">
        <f ca="1">IFERROR(__xludf.DUMMYFUNCTION("""COMPUTED_VALUE"""),"OFICINA UNIVERSIDAD CATÓLICA")</f>
        <v>OFICINA UNIVERSIDAD CATÓLICA</v>
      </c>
      <c r="C77" s="2" t="str">
        <f ca="1">IFERROR(__xludf.DUMMYFUNCTION("""COMPUTED_VALUE"""),"P014772")</f>
        <v>P014772</v>
      </c>
      <c r="D77" s="2" t="str">
        <f ca="1">IFERROR(__xludf.DUMMYFUNCTION("""COMPUTED_VALUE"""),"BAHAMONDE HIDALGO, OSCAR NESTOR JOSE")</f>
        <v>BAHAMONDE HIDALGO, OSCAR NESTOR JOSE</v>
      </c>
      <c r="E77" s="2" t="str">
        <f ca="1">IFERROR(__xludf.DUMMYFUNCTION("""COMPUTED_VALUE"""),"OBAHAMONDE@BBVA.COM")</f>
        <v>OBAHAMONDE@BBVA.COM</v>
      </c>
      <c r="F77" s="2" t="str">
        <f ca="1">IFERROR(__xludf.DUMMYFUNCTION("""COMPUTED_VALUE"""),"(B412)SUB GERENTE DE OFICINA B")</f>
        <v>(B412)SUB GERENTE DE OFICINA B</v>
      </c>
      <c r="G77" s="2" t="str">
        <f ca="1">IFERROR(__xludf.DUMMYFUNCTION("""COMPUTED_VALUE"""),"OFICINA UNIVERSIDAD CATOLICA")</f>
        <v>OFICINA UNIVERSIDAD CATOLICA</v>
      </c>
    </row>
    <row r="78" spans="1:7" x14ac:dyDescent="0.25">
      <c r="A78" s="2" t="str">
        <f ca="1">IFERROR(__xludf.DUMMYFUNCTION("""COMPUTED_VALUE"""),"0121")</f>
        <v>0121</v>
      </c>
      <c r="B78" s="2" t="str">
        <f ca="1">IFERROR(__xludf.DUMMYFUNCTION("""COMPUTED_VALUE"""),"OFICINA CLUB REGATAS LIMA")</f>
        <v>OFICINA CLUB REGATAS LIMA</v>
      </c>
      <c r="C78" s="2" t="str">
        <f ca="1">IFERROR(__xludf.DUMMYFUNCTION("""COMPUTED_VALUE"""),"P022366")</f>
        <v>P022366</v>
      </c>
      <c r="D78" s="2" t="str">
        <f ca="1">IFERROR(__xludf.DUMMYFUNCTION("""COMPUTED_VALUE"""),"CAMARGO GUILLEN, KATHERINE SANDRA")</f>
        <v>CAMARGO GUILLEN, KATHERINE SANDRA</v>
      </c>
      <c r="E78" s="2" t="str">
        <f ca="1">IFERROR(__xludf.DUMMYFUNCTION("""COMPUTED_VALUE"""),"KATHERINE.CAMARGO@BBVA.COM")</f>
        <v>KATHERINE.CAMARGO@BBVA.COM</v>
      </c>
      <c r="F78" s="2" t="str">
        <f ca="1">IFERROR(__xludf.DUMMYFUNCTION("""COMPUTED_VALUE"""),"(B417)SUB GERENTE DE OFICINA F")</f>
        <v>(B417)SUB GERENTE DE OFICINA F</v>
      </c>
      <c r="G78" s="2" t="str">
        <f ca="1">IFERROR(__xludf.DUMMYFUNCTION("""COMPUTED_VALUE"""),"OFICINA CLUB REGATAS LIMA")</f>
        <v>OFICINA CLUB REGATAS LIMA</v>
      </c>
    </row>
    <row r="79" spans="1:7" x14ac:dyDescent="0.25">
      <c r="A79" s="2" t="str">
        <f ca="1">IFERROR(__xludf.DUMMYFUNCTION("""COMPUTED_VALUE"""),"0122")</f>
        <v>0122</v>
      </c>
      <c r="B79" s="2" t="str">
        <f ca="1">IFERROR(__xludf.DUMMYFUNCTION("""COMPUTED_VALUE"""),"OFICINA MAGDALENA")</f>
        <v>OFICINA MAGDALENA</v>
      </c>
      <c r="C79" s="2" t="str">
        <f ca="1">IFERROR(__xludf.DUMMYFUNCTION("""COMPUTED_VALUE"""),"P011900")</f>
        <v>P011900</v>
      </c>
      <c r="D79" s="2" t="str">
        <f ca="1">IFERROR(__xludf.DUMMYFUNCTION("""COMPUTED_VALUE"""),"QUISPE WATANABE, PATRICIA ESCARLET")</f>
        <v>QUISPE WATANABE, PATRICIA ESCARLET</v>
      </c>
      <c r="E79" s="2" t="str">
        <f ca="1">IFERROR(__xludf.DUMMYFUNCTION("""COMPUTED_VALUE"""),"PQUISPEW@BBVA.COM")</f>
        <v>PQUISPEW@BBVA.COM</v>
      </c>
      <c r="F79" s="2" t="str">
        <f ca="1">IFERROR(__xludf.DUMMYFUNCTION("""COMPUTED_VALUE"""),"(B412)SUB GERENTE DE OFICINA B")</f>
        <v>(B412)SUB GERENTE DE OFICINA B</v>
      </c>
      <c r="G79" s="2" t="str">
        <f ca="1">IFERROR(__xludf.DUMMYFUNCTION("""COMPUTED_VALUE"""),"OFICINA MAGDALENA")</f>
        <v>OFICINA MAGDALENA</v>
      </c>
    </row>
    <row r="80" spans="1:7" x14ac:dyDescent="0.25">
      <c r="A80" s="2" t="str">
        <f ca="1">IFERROR(__xludf.DUMMYFUNCTION("""COMPUTED_VALUE"""),"0123")</f>
        <v>0123</v>
      </c>
      <c r="B80" s="2" t="str">
        <f ca="1">IFERROR(__xludf.DUMMYFUNCTION("""COMPUTED_VALUE"""),"OFICINA CAMINO REAL")</f>
        <v>OFICINA CAMINO REAL</v>
      </c>
      <c r="C80" s="2" t="str">
        <f ca="1">IFERROR(__xludf.DUMMYFUNCTION("""COMPUTED_VALUE"""),"P009290")</f>
        <v>P009290</v>
      </c>
      <c r="D80" s="2" t="str">
        <f ca="1">IFERROR(__xludf.DUMMYFUNCTION("""COMPUTED_VALUE"""),"FLORES LARTIGA, KARINA ISABEL")</f>
        <v>FLORES LARTIGA, KARINA ISABEL</v>
      </c>
      <c r="E80" s="2" t="str">
        <f ca="1">IFERROR(__xludf.DUMMYFUNCTION("""COMPUTED_VALUE"""),"KFLORES@BBVA.COM")</f>
        <v>KFLORES@BBVA.COM</v>
      </c>
      <c r="F80" s="2" t="str">
        <f ca="1">IFERROR(__xludf.DUMMYFUNCTION("""COMPUTED_VALUE"""),"(B416)SUB GERENTE DE OFICINA A2")</f>
        <v>(B416)SUB GERENTE DE OFICINA A2</v>
      </c>
      <c r="G80" s="2" t="str">
        <f ca="1">IFERROR(__xludf.DUMMYFUNCTION("""COMPUTED_VALUE"""),"OFICINA CAMINO REAL")</f>
        <v>OFICINA CAMINO REAL</v>
      </c>
    </row>
    <row r="81" spans="1:7" x14ac:dyDescent="0.25">
      <c r="A81" s="2" t="str">
        <f ca="1">IFERROR(__xludf.DUMMYFUNCTION("""COMPUTED_VALUE"""),"0125")</f>
        <v>0125</v>
      </c>
      <c r="B81" s="2" t="str">
        <f ca="1">IFERROR(__xludf.DUMMYFUNCTION("""COMPUTED_VALUE"""),"OFICINA CHORRILLOS")</f>
        <v>OFICINA CHORRILLOS</v>
      </c>
      <c r="C81" s="2" t="str">
        <f ca="1">IFERROR(__xludf.DUMMYFUNCTION("""COMPUTED_VALUE"""),"P027290")</f>
        <v>P027290</v>
      </c>
      <c r="D81" s="2" t="str">
        <f ca="1">IFERROR(__xludf.DUMMYFUNCTION("""COMPUTED_VALUE"""),"CASTILLO ZEGARRA, LEONARDO JAVIER")</f>
        <v>CASTILLO ZEGARRA, LEONARDO JAVIER</v>
      </c>
      <c r="E81" s="2" t="str">
        <f ca="1">IFERROR(__xludf.DUMMYFUNCTION("""COMPUTED_VALUE"""),"LEONARDO.CASTILLO.ZEGARRA@BBVA.COM")</f>
        <v>LEONARDO.CASTILLO.ZEGARRA@BBVA.COM</v>
      </c>
      <c r="F81" s="2" t="str">
        <f ca="1">IFERROR(__xludf.DUMMYFUNCTION("""COMPUTED_VALUE"""),"(B414)SUB GERENTE DE OFICINA D")</f>
        <v>(B414)SUB GERENTE DE OFICINA D</v>
      </c>
      <c r="G81" s="2" t="str">
        <f ca="1">IFERROR(__xludf.DUMMYFUNCTION("""COMPUTED_VALUE"""),"OFICINA CHORRILLOS")</f>
        <v>OFICINA CHORRILLOS</v>
      </c>
    </row>
    <row r="82" spans="1:7" x14ac:dyDescent="0.25">
      <c r="A82" s="2" t="str">
        <f ca="1">IFERROR(__xludf.DUMMYFUNCTION("""COMPUTED_VALUE"""),"0126")</f>
        <v>0126</v>
      </c>
      <c r="B82" s="2" t="str">
        <f ca="1">IFERROR(__xludf.DUMMYFUNCTION("""COMPUTED_VALUE"""),"OFICINA LA COLMENA")</f>
        <v>OFICINA LA COLMENA</v>
      </c>
      <c r="C82" s="2" t="str">
        <f ca="1">IFERROR(__xludf.DUMMYFUNCTION("""COMPUTED_VALUE"""),"P028217")</f>
        <v>P028217</v>
      </c>
      <c r="D82" s="2" t="str">
        <f ca="1">IFERROR(__xludf.DUMMYFUNCTION("""COMPUTED_VALUE"""),"CUELLAR BASILIO, DIANA CAROLINA")</f>
        <v>CUELLAR BASILIO, DIANA CAROLINA</v>
      </c>
      <c r="E82" s="2" t="str">
        <f ca="1">IFERROR(__xludf.DUMMYFUNCTION("""COMPUTED_VALUE"""),"DIANA.CUELLAR@BBVA.COM")</f>
        <v>DIANA.CUELLAR@BBVA.COM</v>
      </c>
      <c r="F82" s="2" t="str">
        <f ca="1">IFERROR(__xludf.DUMMYFUNCTION("""COMPUTED_VALUE"""),"(B414)SUB GERENTE DE OFICINA D")</f>
        <v>(B414)SUB GERENTE DE OFICINA D</v>
      </c>
      <c r="G82" s="2" t="str">
        <f ca="1">IFERROR(__xludf.DUMMYFUNCTION("""COMPUTED_VALUE"""),"OFICINA LA COLMENA")</f>
        <v>OFICINA LA COLMENA</v>
      </c>
    </row>
    <row r="83" spans="1:7" x14ac:dyDescent="0.25">
      <c r="A83" s="2" t="str">
        <f ca="1">IFERROR(__xludf.DUMMYFUNCTION("""COMPUTED_VALUE"""),"0127")</f>
        <v>0127</v>
      </c>
      <c r="B83" s="2" t="str">
        <f ca="1">IFERROR(__xludf.DUMMYFUNCTION("""COMPUTED_VALUE"""),"OFICINA MINKA")</f>
        <v>OFICINA MINKA</v>
      </c>
      <c r="C83" s="2" t="str">
        <f ca="1">IFERROR(__xludf.DUMMYFUNCTION("""COMPUTED_VALUE"""),"P011489")</f>
        <v>P011489</v>
      </c>
      <c r="D83" s="2" t="str">
        <f ca="1">IFERROR(__xludf.DUMMYFUNCTION("""COMPUTED_VALUE"""),"BARRON RUIZ, DIANA BEATRIZ")</f>
        <v>BARRON RUIZ, DIANA BEATRIZ</v>
      </c>
      <c r="E83" s="2" t="str">
        <f ca="1">IFERROR(__xludf.DUMMYFUNCTION("""COMPUTED_VALUE"""),"DBARRON@BBVA.COM")</f>
        <v>DBARRON@BBVA.COM</v>
      </c>
      <c r="F83" s="2" t="str">
        <f ca="1">IFERROR(__xludf.DUMMYFUNCTION("""COMPUTED_VALUE"""),"(B413)SUB GERENTE DE OFICINA C")</f>
        <v>(B413)SUB GERENTE DE OFICINA C</v>
      </c>
      <c r="G83" s="2" t="str">
        <f ca="1">IFERROR(__xludf.DUMMYFUNCTION("""COMPUTED_VALUE"""),"OFICINA MINKA")</f>
        <v>OFICINA MINKA</v>
      </c>
    </row>
    <row r="84" spans="1:7" x14ac:dyDescent="0.25">
      <c r="A84" s="2" t="str">
        <f ca="1">IFERROR(__xludf.DUMMYFUNCTION("""COMPUTED_VALUE"""),"0128")</f>
        <v>0128</v>
      </c>
      <c r="B84" s="2" t="str">
        <f ca="1">IFERROR(__xludf.DUMMYFUNCTION("""COMPUTED_VALUE"""),"OFICINA LAS FLORES")</f>
        <v>OFICINA LAS FLORES</v>
      </c>
      <c r="C84" s="2" t="str">
        <f ca="1">IFERROR(__xludf.DUMMYFUNCTION("""COMPUTED_VALUE"""),"P027687")</f>
        <v>P027687</v>
      </c>
      <c r="D84" s="2" t="str">
        <f ca="1">IFERROR(__xludf.DUMMYFUNCTION("""COMPUTED_VALUE"""),"CABREL SALAZAR, ANGELA MARIA")</f>
        <v>CABREL SALAZAR, ANGELA MARIA</v>
      </c>
      <c r="E84" s="2" t="str">
        <f ca="1">IFERROR(__xludf.DUMMYFUNCTION("""COMPUTED_VALUE"""),"ANGELA.CABREL@BBVA.COM")</f>
        <v>ANGELA.CABREL@BBVA.COM</v>
      </c>
      <c r="F84" s="2" t="str">
        <f ca="1">IFERROR(__xludf.DUMMYFUNCTION("""COMPUTED_VALUE"""),"(B414)SUB GERENTE DE OFICINA D")</f>
        <v>(B414)SUB GERENTE DE OFICINA D</v>
      </c>
      <c r="G84" s="2" t="str">
        <f ca="1">IFERROR(__xludf.DUMMYFUNCTION("""COMPUTED_VALUE"""),"OFICINA LAS FLORES")</f>
        <v>OFICINA LAS FLORES</v>
      </c>
    </row>
    <row r="85" spans="1:7" x14ac:dyDescent="0.25">
      <c r="A85" s="2" t="str">
        <f ca="1">IFERROR(__xludf.DUMMYFUNCTION("""COMPUTED_VALUE"""),"0129")</f>
        <v>0129</v>
      </c>
      <c r="B85" s="2" t="str">
        <f ca="1">IFERROR(__xludf.DUMMYFUNCTION("""COMPUTED_VALUE"""),"OFICINA VITARTE")</f>
        <v>OFICINA VITARTE</v>
      </c>
      <c r="C85" s="2" t="str">
        <f ca="1">IFERROR(__xludf.DUMMYFUNCTION("""COMPUTED_VALUE"""),"P025346")</f>
        <v>P025346</v>
      </c>
      <c r="D85" s="2" t="str">
        <f ca="1">IFERROR(__xludf.DUMMYFUNCTION("""COMPUTED_VALUE"""),"ESTRADA MACALUPU, JORGE ANGEL")</f>
        <v>ESTRADA MACALUPU, JORGE ANGEL</v>
      </c>
      <c r="E85" s="2" t="str">
        <f ca="1">IFERROR(__xludf.DUMMYFUNCTION("""COMPUTED_VALUE"""),"JORGE.ESTRADA.MACALUPU@BBVA.COM")</f>
        <v>JORGE.ESTRADA.MACALUPU@BBVA.COM</v>
      </c>
      <c r="F85" s="2" t="str">
        <f ca="1">IFERROR(__xludf.DUMMYFUNCTION("""COMPUTED_VALUE"""),"(B415)SUB GERENTE DE OFICINA E")</f>
        <v>(B415)SUB GERENTE DE OFICINA E</v>
      </c>
      <c r="G85" s="2" t="str">
        <f ca="1">IFERROR(__xludf.DUMMYFUNCTION("""COMPUTED_VALUE"""),"OFICINA VITARTE")</f>
        <v>OFICINA VITARTE</v>
      </c>
    </row>
    <row r="86" spans="1:7" x14ac:dyDescent="0.25">
      <c r="A86" s="2" t="str">
        <f ca="1">IFERROR(__xludf.DUMMYFUNCTION("""COMPUTED_VALUE"""),"0130")</f>
        <v>0130</v>
      </c>
      <c r="B86" s="2" t="str">
        <f ca="1">IFERROR(__xludf.DUMMYFUNCTION("""COMPUTED_VALUE"""),"OFICINA LIMA")</f>
        <v>OFICINA LIMA</v>
      </c>
      <c r="C86" s="2" t="str">
        <f ca="1">IFERROR(__xludf.DUMMYFUNCTION("""COMPUTED_VALUE"""),"P014735")</f>
        <v>P014735</v>
      </c>
      <c r="D86" s="2" t="str">
        <f ca="1">IFERROR(__xludf.DUMMYFUNCTION("""COMPUTED_VALUE"""),"DELGADO PEREZ, DIANA LIZET")</f>
        <v>DELGADO PEREZ, DIANA LIZET</v>
      </c>
      <c r="E86" s="2" t="str">
        <f ca="1">IFERROR(__xludf.DUMMYFUNCTION("""COMPUTED_VALUE"""),"DIANA.DELGADOP@BBVA.COM")</f>
        <v>DIANA.DELGADOP@BBVA.COM</v>
      </c>
      <c r="F86" s="2" t="str">
        <f ca="1">IFERROR(__xludf.DUMMYFUNCTION("""COMPUTED_VALUE"""),"(B411)SUB GERENTE DE OFICINA A3")</f>
        <v>(B411)SUB GERENTE DE OFICINA A3</v>
      </c>
      <c r="G86" s="2" t="str">
        <f ca="1">IFERROR(__xludf.DUMMYFUNCTION("""COMPUTED_VALUE"""),"OFICINA LIMA")</f>
        <v>OFICINA LIMA</v>
      </c>
    </row>
    <row r="87" spans="1:7" x14ac:dyDescent="0.25">
      <c r="A87" s="2" t="str">
        <f ca="1">IFERROR(__xludf.DUMMYFUNCTION("""COMPUTED_VALUE"""),"0131")</f>
        <v>0131</v>
      </c>
      <c r="B87" s="2" t="str">
        <f ca="1">IFERROR(__xludf.DUMMYFUNCTION("""COMPUTED_VALUE"""),"OFICINA NICOLÁS ARRIOLA 1")</f>
        <v>OFICINA NICOLÁS ARRIOLA 1</v>
      </c>
      <c r="C87" s="2" t="str">
        <f ca="1">IFERROR(__xludf.DUMMYFUNCTION("""COMPUTED_VALUE"""),"P019533")</f>
        <v>P019533</v>
      </c>
      <c r="D87" s="2" t="str">
        <f ca="1">IFERROR(__xludf.DUMMYFUNCTION("""COMPUTED_VALUE"""),"VICUÑA GABRIEL, CARMEN ROSA")</f>
        <v>VICUÑA GABRIEL, CARMEN ROSA</v>
      </c>
      <c r="E87" s="2" t="str">
        <f ca="1">IFERROR(__xludf.DUMMYFUNCTION("""COMPUTED_VALUE"""),"CARMEN.VICUNA@BBVA.COM")</f>
        <v>CARMEN.VICUNA@BBVA.COM</v>
      </c>
      <c r="F87" s="2" t="str">
        <f ca="1">IFERROR(__xludf.DUMMYFUNCTION("""COMPUTED_VALUE"""),"(B413)SUB GERENTE DE OFICINA C")</f>
        <v>(B413)SUB GERENTE DE OFICINA C</v>
      </c>
      <c r="G87" s="2" t="str">
        <f ca="1">IFERROR(__xludf.DUMMYFUNCTION("""COMPUTED_VALUE"""),"OFICINA NICOLAS ARRIOLA 1")</f>
        <v>OFICINA NICOLAS ARRIOLA 1</v>
      </c>
    </row>
    <row r="88" spans="1:7" x14ac:dyDescent="0.25">
      <c r="A88" s="2" t="str">
        <f ca="1">IFERROR(__xludf.DUMMYFUNCTION("""COMPUTED_VALUE"""),"0132")</f>
        <v>0132</v>
      </c>
      <c r="B88" s="2" t="str">
        <f ca="1">IFERROR(__xludf.DUMMYFUNCTION("""COMPUTED_VALUE"""),"OFICINA VENEZUELA 2")</f>
        <v>OFICINA VENEZUELA 2</v>
      </c>
      <c r="C88" s="2" t="str">
        <f ca="1">IFERROR(__xludf.DUMMYFUNCTION("""COMPUTED_VALUE"""),"P019485")</f>
        <v>P019485</v>
      </c>
      <c r="D88" s="2" t="str">
        <f ca="1">IFERROR(__xludf.DUMMYFUNCTION("""COMPUTED_VALUE"""),"KONJA CORDERO, NAYSHA KORIN")</f>
        <v>KONJA CORDERO, NAYSHA KORIN</v>
      </c>
      <c r="E88" s="2" t="str">
        <f ca="1">IFERROR(__xludf.DUMMYFUNCTION("""COMPUTED_VALUE"""),"NKONJA@BBVA.COM")</f>
        <v>NKONJA@BBVA.COM</v>
      </c>
      <c r="F88" s="2" t="str">
        <f ca="1">IFERROR(__xludf.DUMMYFUNCTION("""COMPUTED_VALUE"""),"(B414)SUB GERENTE DE OFICINA D")</f>
        <v>(B414)SUB GERENTE DE OFICINA D</v>
      </c>
      <c r="G88" s="2" t="str">
        <f ca="1">IFERROR(__xludf.DUMMYFUNCTION("""COMPUTED_VALUE"""),"OFICINA VENEZUELA 2")</f>
        <v>OFICINA VENEZUELA 2</v>
      </c>
    </row>
    <row r="89" spans="1:7" x14ac:dyDescent="0.25">
      <c r="A89" s="2" t="str">
        <f ca="1">IFERROR(__xludf.DUMMYFUNCTION("""COMPUTED_VALUE"""),"0133")</f>
        <v>0133</v>
      </c>
      <c r="B89" s="2" t="str">
        <f ca="1">IFERROR(__xludf.DUMMYFUNCTION("""COMPUTED_VALUE"""),"OFICINA VILLA MARÍA DEL TRIUNFO")</f>
        <v>OFICINA VILLA MARÍA DEL TRIUNFO</v>
      </c>
      <c r="C89" s="2" t="str">
        <f ca="1">IFERROR(__xludf.DUMMYFUNCTION("""COMPUTED_VALUE"""),"P025385")</f>
        <v>P025385</v>
      </c>
      <c r="D89" s="2" t="str">
        <f ca="1">IFERROR(__xludf.DUMMYFUNCTION("""COMPUTED_VALUE"""),"ANICAMA AJALCRIÑA, DIEGO AYRTON")</f>
        <v>ANICAMA AJALCRIÑA, DIEGO AYRTON</v>
      </c>
      <c r="E89" s="2" t="str">
        <f ca="1">IFERROR(__xludf.DUMMYFUNCTION("""COMPUTED_VALUE"""),"DIEGO.ANICAMA@BBVA.COM")</f>
        <v>DIEGO.ANICAMA@BBVA.COM</v>
      </c>
      <c r="F89" s="2" t="str">
        <f ca="1">IFERROR(__xludf.DUMMYFUNCTION("""COMPUTED_VALUE"""),"(B415)SUB GERENTE DE OFICINA E")</f>
        <v>(B415)SUB GERENTE DE OFICINA E</v>
      </c>
      <c r="G89" s="2" t="str">
        <f ca="1">IFERROR(__xludf.DUMMYFUNCTION("""COMPUTED_VALUE"""),"OFICINA VILLA MARIA DEL TRIUNFO")</f>
        <v>OFICINA VILLA MARIA DEL TRIUNFO</v>
      </c>
    </row>
    <row r="90" spans="1:7" x14ac:dyDescent="0.25">
      <c r="A90" s="2" t="str">
        <f ca="1">IFERROR(__xludf.DUMMYFUNCTION("""COMPUTED_VALUE"""),"0135")</f>
        <v>0135</v>
      </c>
      <c r="B90" s="2" t="str">
        <f ca="1">IFERROR(__xludf.DUMMYFUNCTION("""COMPUTED_VALUE"""),"OFICINA SAN JUAN DE MIRAFLORES")</f>
        <v>OFICINA SAN JUAN DE MIRAFLORES</v>
      </c>
      <c r="C90" s="2" t="str">
        <f ca="1">IFERROR(__xludf.DUMMYFUNCTION("""COMPUTED_VALUE"""),"P021650")</f>
        <v>P021650</v>
      </c>
      <c r="D90" s="2" t="str">
        <f ca="1">IFERROR(__xludf.DUMMYFUNCTION("""COMPUTED_VALUE"""),"CARAZA ALVAREZ, ANTONELA TATIANA")</f>
        <v>CARAZA ALVAREZ, ANTONELA TATIANA</v>
      </c>
      <c r="E90" s="2" t="str">
        <f ca="1">IFERROR(__xludf.DUMMYFUNCTION("""COMPUTED_VALUE"""),"ANTONELA.CARAZA@BBVA.COM")</f>
        <v>ANTONELA.CARAZA@BBVA.COM</v>
      </c>
      <c r="F90" s="2" t="str">
        <f ca="1">IFERROR(__xludf.DUMMYFUNCTION("""COMPUTED_VALUE"""),"(B414)SUB GERENTE DE OFICINA D")</f>
        <v>(B414)SUB GERENTE DE OFICINA D</v>
      </c>
      <c r="G90" s="2" t="str">
        <f ca="1">IFERROR(__xludf.DUMMYFUNCTION("""COMPUTED_VALUE"""),"OFICINA SAN JUAN DE MIRAFLORES")</f>
        <v>OFICINA SAN JUAN DE MIRAFLORES</v>
      </c>
    </row>
    <row r="91" spans="1:7" x14ac:dyDescent="0.25">
      <c r="A91" s="2" t="str">
        <f ca="1">IFERROR(__xludf.DUMMYFUNCTION("""COMPUTED_VALUE"""),"0136")</f>
        <v>0136</v>
      </c>
      <c r="B91" s="2" t="str">
        <f ca="1">IFERROR(__xludf.DUMMYFUNCTION("""COMPUTED_VALUE"""),"OFICINA SALAMANCA")</f>
        <v>OFICINA SALAMANCA</v>
      </c>
      <c r="C91" s="2" t="str">
        <f ca="1">IFERROR(__xludf.DUMMYFUNCTION("""COMPUTED_VALUE"""),"P023844")</f>
        <v>P023844</v>
      </c>
      <c r="D91" s="2" t="str">
        <f ca="1">IFERROR(__xludf.DUMMYFUNCTION("""COMPUTED_VALUE"""),"CASTRO GUTIERREZ, NATHALY DAJANA")</f>
        <v>CASTRO GUTIERREZ, NATHALY DAJANA</v>
      </c>
      <c r="E91" s="2" t="str">
        <f ca="1">IFERROR(__xludf.DUMMYFUNCTION("""COMPUTED_VALUE"""),"NATHALY.CASTRO@BBVA.COM")</f>
        <v>NATHALY.CASTRO@BBVA.COM</v>
      </c>
      <c r="F91" s="2" t="str">
        <f ca="1">IFERROR(__xludf.DUMMYFUNCTION("""COMPUTED_VALUE"""),"(B413)SUB GERENTE DE OFICINA C")</f>
        <v>(B413)SUB GERENTE DE OFICINA C</v>
      </c>
      <c r="G91" s="2" t="str">
        <f ca="1">IFERROR(__xludf.DUMMYFUNCTION("""COMPUTED_VALUE"""),"OFICINA SALAMANCA")</f>
        <v>OFICINA SALAMANCA</v>
      </c>
    </row>
    <row r="92" spans="1:7" x14ac:dyDescent="0.25">
      <c r="A92" s="2" t="str">
        <f ca="1">IFERROR(__xludf.DUMMYFUNCTION("""COMPUTED_VALUE"""),"0137")</f>
        <v>0137</v>
      </c>
      <c r="B92" s="2" t="str">
        <f ca="1">IFERROR(__xludf.DUMMYFUNCTION("""COMPUTED_VALUE"""),"OFICINA VILLA MARINA")</f>
        <v>OFICINA VILLA MARINA</v>
      </c>
      <c r="C92" s="2" t="str">
        <f ca="1">IFERROR(__xludf.DUMMYFUNCTION("""COMPUTED_VALUE"""),"P022263")</f>
        <v>P022263</v>
      </c>
      <c r="D92" s="2" t="str">
        <f ca="1">IFERROR(__xludf.DUMMYFUNCTION("""COMPUTED_VALUE"""),"GOMEZ BERECHE, ANY GAIVY")</f>
        <v>GOMEZ BERECHE, ANY GAIVY</v>
      </c>
      <c r="E92" s="2" t="str">
        <f ca="1">IFERROR(__xludf.DUMMYFUNCTION("""COMPUTED_VALUE"""),"ANY.GOMEZ@BBVA.COM")</f>
        <v>ANY.GOMEZ@BBVA.COM</v>
      </c>
      <c r="F92" s="2" t="str">
        <f ca="1">IFERROR(__xludf.DUMMYFUNCTION("""COMPUTED_VALUE"""),"(B413)SUB GERENTE DE OFICINA C")</f>
        <v>(B413)SUB GERENTE DE OFICINA C</v>
      </c>
      <c r="G92" s="2" t="str">
        <f ca="1">IFERROR(__xludf.DUMMYFUNCTION("""COMPUTED_VALUE"""),"OFICINA VILLA MARINA")</f>
        <v>OFICINA VILLA MARINA</v>
      </c>
    </row>
    <row r="93" spans="1:7" x14ac:dyDescent="0.25">
      <c r="A93" s="2" t="str">
        <f ca="1">IFERROR(__xludf.DUMMYFUNCTION("""COMPUTED_VALUE"""),"0138")</f>
        <v>0138</v>
      </c>
      <c r="B93" s="2" t="str">
        <f ca="1">IFERROR(__xludf.DUMMYFUNCTION("""COMPUTED_VALUE"""),"OFICINA C.C. AURORA")</f>
        <v>OFICINA C.C. AURORA</v>
      </c>
      <c r="C93" s="2" t="str">
        <f ca="1">IFERROR(__xludf.DUMMYFUNCTION("""COMPUTED_VALUE"""),"P013150")</f>
        <v>P013150</v>
      </c>
      <c r="D93" s="2" t="str">
        <f ca="1">IFERROR(__xludf.DUMMYFUNCTION("""COMPUTED_VALUE"""),"DIAZ CALDERON, JULIO CESAR")</f>
        <v>DIAZ CALDERON, JULIO CESAR</v>
      </c>
      <c r="E93" s="2" t="str">
        <f ca="1">IFERROR(__xludf.DUMMYFUNCTION("""COMPUTED_VALUE"""),"JDIAZC@BBVA.COM")</f>
        <v>JDIAZC@BBVA.COM</v>
      </c>
      <c r="F93" s="2" t="str">
        <f ca="1">IFERROR(__xludf.DUMMYFUNCTION("""COMPUTED_VALUE"""),"(B416)SUB GERENTE DE OFICINA A2")</f>
        <v>(B416)SUB GERENTE DE OFICINA A2</v>
      </c>
      <c r="G93" s="2" t="str">
        <f ca="1">IFERROR(__xludf.DUMMYFUNCTION("""COMPUTED_VALUE"""),"OFICINA CENTRO COMERCIAL AURORA")</f>
        <v>OFICINA CENTRO COMERCIAL AURORA</v>
      </c>
    </row>
    <row r="94" spans="1:7" x14ac:dyDescent="0.25">
      <c r="A94" s="2" t="str">
        <f ca="1">IFERROR(__xludf.DUMMYFUNCTION("""COMPUTED_VALUE"""),"0139")</f>
        <v>0139</v>
      </c>
      <c r="B94" s="2" t="str">
        <f ca="1">IFERROR(__xludf.DUMMYFUNCTION("""COMPUTED_VALUE"""),"OFICINA ZÁRATE")</f>
        <v>OFICINA ZÁRATE</v>
      </c>
      <c r="C94" s="2" t="str">
        <f ca="1">IFERROR(__xludf.DUMMYFUNCTION("""COMPUTED_VALUE"""),"P023840")</f>
        <v>P023840</v>
      </c>
      <c r="D94" s="2" t="str">
        <f ca="1">IFERROR(__xludf.DUMMYFUNCTION("""COMPUTED_VALUE"""),"ORTEGA MALLQUI, FIORELA MARILLY")</f>
        <v>ORTEGA MALLQUI, FIORELA MARILLY</v>
      </c>
      <c r="E94" s="2" t="str">
        <f ca="1">IFERROR(__xludf.DUMMYFUNCTION("""COMPUTED_VALUE"""),"FIORELA.ORTEGA@BBVA.COM")</f>
        <v>FIORELA.ORTEGA@BBVA.COM</v>
      </c>
      <c r="F94" s="2" t="str">
        <f ca="1">IFERROR(__xludf.DUMMYFUNCTION("""COMPUTED_VALUE"""),"(B413)SUB GERENTE DE OFICINA C")</f>
        <v>(B413)SUB GERENTE DE OFICINA C</v>
      </c>
      <c r="G94" s="2" t="str">
        <f ca="1">IFERROR(__xludf.DUMMYFUNCTION("""COMPUTED_VALUE"""),"OFICINA ZARATE")</f>
        <v>OFICINA ZARATE</v>
      </c>
    </row>
    <row r="95" spans="1:7" x14ac:dyDescent="0.25">
      <c r="A95" s="2" t="str">
        <f ca="1">IFERROR(__xludf.DUMMYFUNCTION("""COMPUTED_VALUE"""),"0140")</f>
        <v>0140</v>
      </c>
      <c r="B95" s="2" t="str">
        <f ca="1">IFERROR(__xludf.DUMMYFUNCTION("""COMPUTED_VALUE"""),"OFICINA JESÚS MARÍA")</f>
        <v>OFICINA JESÚS MARÍA</v>
      </c>
      <c r="C95" s="2" t="str">
        <f ca="1">IFERROR(__xludf.DUMMYFUNCTION("""COMPUTED_VALUE"""),"P013125")</f>
        <v>P013125</v>
      </c>
      <c r="D95" s="2" t="str">
        <f ca="1">IFERROR(__xludf.DUMMYFUNCTION("""COMPUTED_VALUE"""),"UMPIRE FIGUEROA, GIOVANNY")</f>
        <v>UMPIRE FIGUEROA, GIOVANNY</v>
      </c>
      <c r="E95" s="2" t="str">
        <f ca="1">IFERROR(__xludf.DUMMYFUNCTION("""COMPUTED_VALUE"""),"GUMPIRE@BBVA.COM")</f>
        <v>GUMPIRE@BBVA.COM</v>
      </c>
      <c r="F95" s="2" t="str">
        <f ca="1">IFERROR(__xludf.DUMMYFUNCTION("""COMPUTED_VALUE"""),"(B412)SUB GERENTE DE OFICINA B")</f>
        <v>(B412)SUB GERENTE DE OFICINA B</v>
      </c>
      <c r="G95" s="2" t="str">
        <f ca="1">IFERROR(__xludf.DUMMYFUNCTION("""COMPUTED_VALUE"""),"OFICINA JESUS MARIA")</f>
        <v>OFICINA JESUS MARIA</v>
      </c>
    </row>
    <row r="96" spans="1:7" x14ac:dyDescent="0.25">
      <c r="A96" s="2" t="str">
        <f ca="1">IFERROR(__xludf.DUMMYFUNCTION("""COMPUTED_VALUE"""),"0141")</f>
        <v>0141</v>
      </c>
      <c r="B96" s="2" t="str">
        <f ca="1">IFERROR(__xludf.DUMMYFUNCTION("""COMPUTED_VALUE"""),"OFICINA AVENIDA PERÚ")</f>
        <v>OFICINA AVENIDA PERÚ</v>
      </c>
      <c r="C96" s="2" t="str">
        <f ca="1">IFERROR(__xludf.DUMMYFUNCTION("""COMPUTED_VALUE"""),"P025414")</f>
        <v>P025414</v>
      </c>
      <c r="D96" s="2" t="str">
        <f ca="1">IFERROR(__xludf.DUMMYFUNCTION("""COMPUTED_VALUE"""),"TELLES CASAS, STEPHANIE PAOLA")</f>
        <v>TELLES CASAS, STEPHANIE PAOLA</v>
      </c>
      <c r="E96" s="2" t="str">
        <f ca="1">IFERROR(__xludf.DUMMYFUNCTION("""COMPUTED_VALUE"""),"STEPHANIE.TELLES@BBVA.COM")</f>
        <v>STEPHANIE.TELLES@BBVA.COM</v>
      </c>
      <c r="F96" s="2" t="str">
        <f ca="1">IFERROR(__xludf.DUMMYFUNCTION("""COMPUTED_VALUE"""),"(B414)SUB GERENTE DE OFICINA D")</f>
        <v>(B414)SUB GERENTE DE OFICINA D</v>
      </c>
      <c r="G96" s="2" t="str">
        <f ca="1">IFERROR(__xludf.DUMMYFUNCTION("""COMPUTED_VALUE"""),"OFICINA AVENIDA PERÚ")</f>
        <v>OFICINA AVENIDA PERÚ</v>
      </c>
    </row>
    <row r="97" spans="1:7" x14ac:dyDescent="0.25">
      <c r="A97" s="2" t="str">
        <f ca="1">IFERROR(__xludf.DUMMYFUNCTION("""COMPUTED_VALUE"""),"0142")</f>
        <v>0142</v>
      </c>
      <c r="B97" s="2" t="str">
        <f ca="1">IFERROR(__xludf.DUMMYFUNCTION("""COMPUTED_VALUE"""),"OFICINA RIVERA NAVARRETE")</f>
        <v>OFICINA RIVERA NAVARRETE</v>
      </c>
      <c r="C97" s="2" t="str">
        <f ca="1">IFERROR(__xludf.DUMMYFUNCTION("""COMPUTED_VALUE"""),"P012204")</f>
        <v>P012204</v>
      </c>
      <c r="D97" s="2" t="str">
        <f ca="1">IFERROR(__xludf.DUMMYFUNCTION("""COMPUTED_VALUE"""),"TELLO FALCON, LUIS ALBERTO")</f>
        <v>TELLO FALCON, LUIS ALBERTO</v>
      </c>
      <c r="E97" s="2" t="str">
        <f ca="1">IFERROR(__xludf.DUMMYFUNCTION("""COMPUTED_VALUE"""),"LTELLOF@BBVA.COM")</f>
        <v>LTELLOF@BBVA.COM</v>
      </c>
      <c r="F97" s="2" t="str">
        <f ca="1">IFERROR(__xludf.DUMMYFUNCTION("""COMPUTED_VALUE"""),"(B411)SUB GERENTE DE OFICINA A3")</f>
        <v>(B411)SUB GERENTE DE OFICINA A3</v>
      </c>
      <c r="G97" s="2" t="str">
        <f ca="1">IFERROR(__xludf.DUMMYFUNCTION("""COMPUTED_VALUE"""),"OFICINA RIVERA NAVARRETE")</f>
        <v>OFICINA RIVERA NAVARRETE</v>
      </c>
    </row>
    <row r="98" spans="1:7" x14ac:dyDescent="0.25">
      <c r="A98" s="2" t="str">
        <f ca="1">IFERROR(__xludf.DUMMYFUNCTION("""COMPUTED_VALUE"""),"0143")</f>
        <v>0143</v>
      </c>
      <c r="B98" s="2" t="str">
        <f ca="1">IFERROR(__xludf.DUMMYFUNCTION("""COMPUTED_VALUE"""),"OFICINA VÍCTOR A. BELAÚNDE")</f>
        <v>OFICINA VÍCTOR A. BELAÚNDE</v>
      </c>
      <c r="C98" s="2" t="str">
        <f ca="1">IFERROR(__xludf.DUMMYFUNCTION("""COMPUTED_VALUE"""),"P025558")</f>
        <v>P025558</v>
      </c>
      <c r="D98" s="2" t="str">
        <f ca="1">IFERROR(__xludf.DUMMYFUNCTION("""COMPUTED_VALUE"""),"LAURA MEDINA, PETER CRISTIAN")</f>
        <v>LAURA MEDINA, PETER CRISTIAN</v>
      </c>
      <c r="E98" s="2" t="str">
        <f ca="1">IFERROR(__xludf.DUMMYFUNCTION("""COMPUTED_VALUE"""),"PETER.LAURA@BBVA.COM")</f>
        <v>PETER.LAURA@BBVA.COM</v>
      </c>
      <c r="F98" s="2" t="str">
        <f ca="1">IFERROR(__xludf.DUMMYFUNCTION("""COMPUTED_VALUE"""),"(B415)SUB GERENTE DE OFICINA E")</f>
        <v>(B415)SUB GERENTE DE OFICINA E</v>
      </c>
      <c r="G98" s="2" t="str">
        <f ca="1">IFERROR(__xludf.DUMMYFUNCTION("""COMPUTED_VALUE"""),"OFICINA VICTOR ANDRES BELAUNDE")</f>
        <v>OFICINA VICTOR ANDRES BELAUNDE</v>
      </c>
    </row>
    <row r="99" spans="1:7" x14ac:dyDescent="0.25">
      <c r="A99" s="2" t="str">
        <f ca="1">IFERROR(__xludf.DUMMYFUNCTION("""COMPUTED_VALUE"""),"0144")</f>
        <v>0144</v>
      </c>
      <c r="B99" s="2" t="str">
        <f ca="1">IFERROR(__xludf.DUMMYFUNCTION("""COMPUTED_VALUE"""),"OFICINA GAMARRA")</f>
        <v>OFICINA GAMARRA</v>
      </c>
      <c r="C99" s="2" t="str">
        <f ca="1">IFERROR(__xludf.DUMMYFUNCTION("""COMPUTED_VALUE"""),"P016582")</f>
        <v>P016582</v>
      </c>
      <c r="D99" s="2" t="str">
        <f ca="1">IFERROR(__xludf.DUMMYFUNCTION("""COMPUTED_VALUE"""),"VASQUEZ ARIAS, JOHANA CECILIA")</f>
        <v>VASQUEZ ARIAS, JOHANA CECILIA</v>
      </c>
      <c r="E99" s="2" t="str">
        <f ca="1">IFERROR(__xludf.DUMMYFUNCTION("""COMPUTED_VALUE"""),"JVASQUEZA@BBVA.COM")</f>
        <v>JVASQUEZA@BBVA.COM</v>
      </c>
      <c r="F99" s="2" t="str">
        <f ca="1">IFERROR(__xludf.DUMMYFUNCTION("""COMPUTED_VALUE"""),"(B412)SUB GERENTE DE OFICINA B")</f>
        <v>(B412)SUB GERENTE DE OFICINA B</v>
      </c>
      <c r="G99" s="2" t="str">
        <f ca="1">IFERROR(__xludf.DUMMYFUNCTION("""COMPUTED_VALUE"""),"OFICINA GAMARRA")</f>
        <v>OFICINA GAMARRA</v>
      </c>
    </row>
    <row r="100" spans="1:7" x14ac:dyDescent="0.25">
      <c r="A100" s="2" t="str">
        <f ca="1">IFERROR(__xludf.DUMMYFUNCTION("""COMPUTED_VALUE"""),"0145")</f>
        <v>0145</v>
      </c>
      <c r="B100" s="2" t="str">
        <f ca="1">IFERROR(__xludf.DUMMYFUNCTION("""COMPUTED_VALUE"""),"OFICINA RINCONADA")</f>
        <v>OFICINA RINCONADA</v>
      </c>
      <c r="C100" s="2" t="str">
        <f ca="1">IFERROR(__xludf.DUMMYFUNCTION("""COMPUTED_VALUE"""),"P005405")</f>
        <v>P005405</v>
      </c>
      <c r="D100" s="2" t="str">
        <f ca="1">IFERROR(__xludf.DUMMYFUNCTION("""COMPUTED_VALUE"""),"VIGO TORRES, ROSA SOCORRO")</f>
        <v>VIGO TORRES, ROSA SOCORRO</v>
      </c>
      <c r="E100" s="2" t="str">
        <f ca="1">IFERROR(__xludf.DUMMYFUNCTION("""COMPUTED_VALUE"""),"RVIGO@BBVA.COM")</f>
        <v>RVIGO@BBVA.COM</v>
      </c>
      <c r="F100" s="2" t="str">
        <f ca="1">IFERROR(__xludf.DUMMYFUNCTION("""COMPUTED_VALUE"""),"(B413)SUB GERENTE DE OFICINA C")</f>
        <v>(B413)SUB GERENTE DE OFICINA C</v>
      </c>
      <c r="G100" s="2" t="str">
        <f ca="1">IFERROR(__xludf.DUMMYFUNCTION("""COMPUTED_VALUE"""),"OFICINA RINCONADA")</f>
        <v>OFICINA RINCONADA</v>
      </c>
    </row>
    <row r="101" spans="1:7" x14ac:dyDescent="0.25">
      <c r="A101" s="2" t="str">
        <f ca="1">IFERROR(__xludf.DUMMYFUNCTION("""COMPUTED_VALUE"""),"0146")</f>
        <v>0146</v>
      </c>
      <c r="B101" s="2" t="str">
        <f ca="1">IFERROR(__xludf.DUMMYFUNCTION("""COMPUTED_VALUE"""),"OFICINA PURUCHUCO")</f>
        <v>OFICINA PURUCHUCO</v>
      </c>
      <c r="C101" s="2" t="str">
        <f ca="1">IFERROR(__xludf.DUMMYFUNCTION("""COMPUTED_VALUE"""),"P024745")</f>
        <v>P024745</v>
      </c>
      <c r="D101" s="2" t="str">
        <f ca="1">IFERROR(__xludf.DUMMYFUNCTION("""COMPUTED_VALUE"""),"LANDEO FLORES, FRANK CARLOS")</f>
        <v>LANDEO FLORES, FRANK CARLOS</v>
      </c>
      <c r="E101" s="2" t="str">
        <f ca="1">IFERROR(__xludf.DUMMYFUNCTION("""COMPUTED_VALUE"""),"FRANK.LANDEO@BBVA.COM")</f>
        <v>FRANK.LANDEO@BBVA.COM</v>
      </c>
      <c r="F101" s="2" t="str">
        <f ca="1">IFERROR(__xludf.DUMMYFUNCTION("""COMPUTED_VALUE"""),"(B415)SUB GERENTE DE OFICINA E")</f>
        <v>(B415)SUB GERENTE DE OFICINA E</v>
      </c>
      <c r="G101" s="2" t="str">
        <f ca="1">IFERROR(__xludf.DUMMYFUNCTION("""COMPUTED_VALUE"""),"OFICINA PURUCHUCO")</f>
        <v>OFICINA PURUCHUCO</v>
      </c>
    </row>
    <row r="102" spans="1:7" x14ac:dyDescent="0.25">
      <c r="A102" s="2" t="str">
        <f ca="1">IFERROR(__xludf.DUMMYFUNCTION("""COMPUTED_VALUE"""),"0147")</f>
        <v>0147</v>
      </c>
      <c r="B102" s="2" t="str">
        <f ca="1">IFERROR(__xludf.DUMMYFUNCTION("""COMPUTED_VALUE"""),"OFICINA ARENALES")</f>
        <v>OFICINA ARENALES</v>
      </c>
      <c r="C102" s="2" t="str">
        <f ca="1">IFERROR(__xludf.DUMMYFUNCTION("""COMPUTED_VALUE"""),"P006497")</f>
        <v>P006497</v>
      </c>
      <c r="D102" s="2" t="str">
        <f ca="1">IFERROR(__xludf.DUMMYFUNCTION("""COMPUTED_VALUE"""),"ESPINOZA MEJIA, VERONICA")</f>
        <v>ESPINOZA MEJIA, VERONICA</v>
      </c>
      <c r="E102" s="2" t="str">
        <f ca="1">IFERROR(__xludf.DUMMYFUNCTION("""COMPUTED_VALUE"""),"VESPINOZA@BBVA.COM")</f>
        <v>VESPINOZA@BBVA.COM</v>
      </c>
      <c r="F102" s="2" t="str">
        <f ca="1">IFERROR(__xludf.DUMMYFUNCTION("""COMPUTED_VALUE"""),"(B416)SUB GERENTE DE OFICINA A2")</f>
        <v>(B416)SUB GERENTE DE OFICINA A2</v>
      </c>
      <c r="G102" s="2" t="str">
        <f ca="1">IFERROR(__xludf.DUMMYFUNCTION("""COMPUTED_VALUE"""),"OFICINA ARENALES")</f>
        <v>OFICINA ARENALES</v>
      </c>
    </row>
    <row r="103" spans="1:7" x14ac:dyDescent="0.25">
      <c r="A103" s="2" t="str">
        <f ca="1">IFERROR(__xludf.DUMMYFUNCTION("""COMPUTED_VALUE"""),"0148")</f>
        <v>0148</v>
      </c>
      <c r="B103" s="2" t="str">
        <f ca="1">IFERROR(__xludf.DUMMYFUNCTION("""COMPUTED_VALUE"""),"OFICINA C.C. SUCRE")</f>
        <v>OFICINA C.C. SUCRE</v>
      </c>
      <c r="C103" s="2" t="str">
        <f ca="1">IFERROR(__xludf.DUMMYFUNCTION("""COMPUTED_VALUE"""),"P023443")</f>
        <v>P023443</v>
      </c>
      <c r="D103" s="2" t="str">
        <f ca="1">IFERROR(__xludf.DUMMYFUNCTION("""COMPUTED_VALUE"""),"SARMIENTO NEYRA, VALERIA ALEXANDRA")</f>
        <v>SARMIENTO NEYRA, VALERIA ALEXANDRA</v>
      </c>
      <c r="E103" s="2" t="str">
        <f ca="1">IFERROR(__xludf.DUMMYFUNCTION("""COMPUTED_VALUE"""),"VALERIA.SARMIENTO@BBVA.COM")</f>
        <v>VALERIA.SARMIENTO@BBVA.COM</v>
      </c>
      <c r="F103" s="2" t="str">
        <f ca="1">IFERROR(__xludf.DUMMYFUNCTION("""COMPUTED_VALUE"""),"(B413)SUB GERENTE DE OFICINA C")</f>
        <v>(B413)SUB GERENTE DE OFICINA C</v>
      </c>
      <c r="G103" s="2" t="str">
        <f ca="1">IFERROR(__xludf.DUMMYFUNCTION("""COMPUTED_VALUE"""),"OFICINA CENTRO COMERCIAL SUCRE")</f>
        <v>OFICINA CENTRO COMERCIAL SUCRE</v>
      </c>
    </row>
    <row r="104" spans="1:7" x14ac:dyDescent="0.25">
      <c r="A104" s="2" t="str">
        <f ca="1">IFERROR(__xludf.DUMMYFUNCTION("""COMPUTED_VALUE"""),"0149")</f>
        <v>0149</v>
      </c>
      <c r="B104" s="2" t="str">
        <f ca="1">IFERROR(__xludf.DUMMYFUNCTION("""COMPUTED_VALUE"""),"OFICINA SURQUILLO")</f>
        <v>OFICINA SURQUILLO</v>
      </c>
      <c r="C104" s="2" t="str">
        <f ca="1">IFERROR(__xludf.DUMMYFUNCTION("""COMPUTED_VALUE"""),"P012957")</f>
        <v>P012957</v>
      </c>
      <c r="D104" s="2" t="str">
        <f ca="1">IFERROR(__xludf.DUMMYFUNCTION("""COMPUTED_VALUE"""),"GUZMAN CUEVA, SUSAN MAGALY")</f>
        <v>GUZMAN CUEVA, SUSAN MAGALY</v>
      </c>
      <c r="E104" s="2" t="str">
        <f ca="1">IFERROR(__xludf.DUMMYFUNCTION("""COMPUTED_VALUE"""),"SGUZMAN@BBVA.COM")</f>
        <v>SGUZMAN@BBVA.COM</v>
      </c>
      <c r="F104" s="2" t="str">
        <f ca="1">IFERROR(__xludf.DUMMYFUNCTION("""COMPUTED_VALUE"""),"(B414)SUB GERENTE DE OFICINA D")</f>
        <v>(B414)SUB GERENTE DE OFICINA D</v>
      </c>
      <c r="G104" s="2" t="str">
        <f ca="1">IFERROR(__xludf.DUMMYFUNCTION("""COMPUTED_VALUE"""),"OFICINA SURQUILLO")</f>
        <v>OFICINA SURQUILLO</v>
      </c>
    </row>
    <row r="105" spans="1:7" x14ac:dyDescent="0.25">
      <c r="A105" s="2" t="str">
        <f ca="1">IFERROR(__xludf.DUMMYFUNCTION("""COMPUTED_VALUE"""),"0150")</f>
        <v>0150</v>
      </c>
      <c r="B105" s="2" t="str">
        <f ca="1">IFERROR(__xludf.DUMMYFUNCTION("""COMPUTED_VALUE"""),"OFICINA C.C. HIGUERETA")</f>
        <v>OFICINA C.C. HIGUERETA</v>
      </c>
      <c r="C105" s="2" t="str">
        <f ca="1">IFERROR(__xludf.DUMMYFUNCTION("""COMPUTED_VALUE"""),"P012803")</f>
        <v>P012803</v>
      </c>
      <c r="D105" s="2" t="str">
        <f ca="1">IFERROR(__xludf.DUMMYFUNCTION("""COMPUTED_VALUE"""),"ARENAS CARTY, LAY ARACELY")</f>
        <v>ARENAS CARTY, LAY ARACELY</v>
      </c>
      <c r="E105" s="2" t="str">
        <f ca="1">IFERROR(__xludf.DUMMYFUNCTION("""COMPUTED_VALUE"""),"LARENAS@BBVA.COM")</f>
        <v>LARENAS@BBVA.COM</v>
      </c>
      <c r="F105" s="2" t="str">
        <f ca="1">IFERROR(__xludf.DUMMYFUNCTION("""COMPUTED_VALUE"""),"(B412)SUB GERENTE DE OFICINA B")</f>
        <v>(B412)SUB GERENTE DE OFICINA B</v>
      </c>
      <c r="G105" s="2" t="str">
        <f ca="1">IFERROR(__xludf.DUMMYFUNCTION("""COMPUTED_VALUE"""),"OFICINA CENTRO COMERCIAL HIGUERETA")</f>
        <v>OFICINA CENTRO COMERCIAL HIGUERETA</v>
      </c>
    </row>
    <row r="106" spans="1:7" x14ac:dyDescent="0.25">
      <c r="A106" s="2" t="str">
        <f ca="1">IFERROR(__xludf.DUMMYFUNCTION("""COMPUTED_VALUE"""),"0151")</f>
        <v>0151</v>
      </c>
      <c r="B106" s="2" t="str">
        <f ca="1">IFERROR(__xludf.DUMMYFUNCTION("""COMPUTED_VALUE"""),"OFICINA MARANGA")</f>
        <v>OFICINA MARANGA</v>
      </c>
      <c r="C106" s="2" t="str">
        <f ca="1">IFERROR(__xludf.DUMMYFUNCTION("""COMPUTED_VALUE"""),"P026953")</f>
        <v>P026953</v>
      </c>
      <c r="D106" s="2" t="str">
        <f ca="1">IFERROR(__xludf.DUMMYFUNCTION("""COMPUTED_VALUE"""),"VASQUEZ CHAVEZ, ROSA ELENA")</f>
        <v>VASQUEZ CHAVEZ, ROSA ELENA</v>
      </c>
      <c r="E106" s="2" t="str">
        <f ca="1">IFERROR(__xludf.DUMMYFUNCTION("""COMPUTED_VALUE"""),"ROSA.VASQUEZ@BBVA.COM")</f>
        <v>ROSA.VASQUEZ@BBVA.COM</v>
      </c>
      <c r="F106" s="2" t="str">
        <f ca="1">IFERROR(__xludf.DUMMYFUNCTION("""COMPUTED_VALUE"""),"(B415)SUB GERENTE DE OFICINA E")</f>
        <v>(B415)SUB GERENTE DE OFICINA E</v>
      </c>
      <c r="G106" s="2" t="str">
        <f ca="1">IFERROR(__xludf.DUMMYFUNCTION("""COMPUTED_VALUE"""),"OFICINA MARANGA")</f>
        <v>OFICINA MARANGA</v>
      </c>
    </row>
    <row r="107" spans="1:7" x14ac:dyDescent="0.25">
      <c r="A107" s="2" t="str">
        <f ca="1">IFERROR(__xludf.DUMMYFUNCTION("""COMPUTED_VALUE"""),"0152")</f>
        <v>0152</v>
      </c>
      <c r="B107" s="2" t="str">
        <f ca="1">IFERROR(__xludf.DUMMYFUNCTION("""COMPUTED_VALUE"""),"OFICINA SAN BORJA")</f>
        <v>OFICINA SAN BORJA</v>
      </c>
      <c r="C107" s="2" t="str">
        <f ca="1">IFERROR(__xludf.DUMMYFUNCTION("""COMPUTED_VALUE"""),"P011643")</f>
        <v>P011643</v>
      </c>
      <c r="D107" s="2" t="str">
        <f ca="1">IFERROR(__xludf.DUMMYFUNCTION("""COMPUTED_VALUE"""),"CHANAME SALAS, JULIE CATHERINE")</f>
        <v>CHANAME SALAS, JULIE CATHERINE</v>
      </c>
      <c r="E107" s="2" t="str">
        <f ca="1">IFERROR(__xludf.DUMMYFUNCTION("""COMPUTED_VALUE"""),"JCHANAME@BBVA.COM")</f>
        <v>JCHANAME@BBVA.COM</v>
      </c>
      <c r="F107" s="2" t="str">
        <f ca="1">IFERROR(__xludf.DUMMYFUNCTION("""COMPUTED_VALUE"""),"(B416)SUB GERENTE DE OFICINA A2")</f>
        <v>(B416)SUB GERENTE DE OFICINA A2</v>
      </c>
      <c r="G107" s="2" t="str">
        <f ca="1">IFERROR(__xludf.DUMMYFUNCTION("""COMPUTED_VALUE"""),"OFICINA SAN BORJA")</f>
        <v>OFICINA SAN BORJA</v>
      </c>
    </row>
    <row r="108" spans="1:7" x14ac:dyDescent="0.25">
      <c r="A108" s="2" t="str">
        <f ca="1">IFERROR(__xludf.DUMMYFUNCTION("""COMPUTED_VALUE"""),"0153")</f>
        <v>0153</v>
      </c>
      <c r="B108" s="2" t="str">
        <f ca="1">IFERROR(__xludf.DUMMYFUNCTION("""COMPUTED_VALUE"""),"OFICINA C.C. RISSO")</f>
        <v>OFICINA C.C. RISSO</v>
      </c>
      <c r="C108" s="2" t="str">
        <f ca="1">IFERROR(__xludf.DUMMYFUNCTION("""COMPUTED_VALUE"""),"P018272")</f>
        <v>P018272</v>
      </c>
      <c r="D108" s="2" t="str">
        <f ca="1">IFERROR(__xludf.DUMMYFUNCTION("""COMPUTED_VALUE"""),"VEGA LIZARBE, JHORDAN JERSON")</f>
        <v>VEGA LIZARBE, JHORDAN JERSON</v>
      </c>
      <c r="E108" s="2" t="str">
        <f ca="1">IFERROR(__xludf.DUMMYFUNCTION("""COMPUTED_VALUE"""),"JVEGAL@BBVA.COM")</f>
        <v>JVEGAL@BBVA.COM</v>
      </c>
      <c r="F108" s="2" t="str">
        <f ca="1">IFERROR(__xludf.DUMMYFUNCTION("""COMPUTED_VALUE"""),"(B412)SUB GERENTE DE OFICINA B")</f>
        <v>(B412)SUB GERENTE DE OFICINA B</v>
      </c>
      <c r="G108" s="2" t="str">
        <f ca="1">IFERROR(__xludf.DUMMYFUNCTION("""COMPUTED_VALUE"""),"OFICINA CENTRO COMERCIAL RISSO")</f>
        <v>OFICINA CENTRO COMERCIAL RISSO</v>
      </c>
    </row>
    <row r="109" spans="1:7" x14ac:dyDescent="0.25">
      <c r="A109" s="2" t="str">
        <f ca="1">IFERROR(__xludf.DUMMYFUNCTION("""COMPUTED_VALUE"""),"0155")</f>
        <v>0155</v>
      </c>
      <c r="B109" s="2" t="str">
        <f ca="1">IFERROR(__xludf.DUMMYFUNCTION("""COMPUTED_VALUE"""),"OFICINA NICOLÁS AYLLON")</f>
        <v>OFICINA NICOLÁS AYLLON</v>
      </c>
      <c r="C109" s="2" t="str">
        <f ca="1">IFERROR(__xludf.DUMMYFUNCTION("""COMPUTED_VALUE"""),"P022634")</f>
        <v>P022634</v>
      </c>
      <c r="D109" s="2" t="str">
        <f ca="1">IFERROR(__xludf.DUMMYFUNCTION("""COMPUTED_VALUE"""),"DUEÑAS COAQUIRA, DEISI BELSIT")</f>
        <v>DUEÑAS COAQUIRA, DEISI BELSIT</v>
      </c>
      <c r="E109" s="2" t="str">
        <f ca="1">IFERROR(__xludf.DUMMYFUNCTION("""COMPUTED_VALUE"""),"DEISI.DUENAS@BBVA.COM")</f>
        <v>DEISI.DUENAS@BBVA.COM</v>
      </c>
      <c r="F109" s="2" t="str">
        <f ca="1">IFERROR(__xludf.DUMMYFUNCTION("""COMPUTED_VALUE"""),"(B415)SUB GERENTE DE OFICINA E")</f>
        <v>(B415)SUB GERENTE DE OFICINA E</v>
      </c>
      <c r="G109" s="2" t="str">
        <f ca="1">IFERROR(__xludf.DUMMYFUNCTION("""COMPUTED_VALUE"""),"OFICINA NICOLAS AYLLON")</f>
        <v>OFICINA NICOLAS AYLLON</v>
      </c>
    </row>
    <row r="110" spans="1:7" x14ac:dyDescent="0.25">
      <c r="A110" s="2" t="str">
        <f ca="1">IFERROR(__xludf.DUMMYFUNCTION("""COMPUTED_VALUE"""),"0156")</f>
        <v>0156</v>
      </c>
      <c r="B110" s="2" t="str">
        <f ca="1">IFERROR(__xludf.DUMMYFUNCTION("""COMPUTED_VALUE"""),"OFICINA PARDO")</f>
        <v>OFICINA PARDO</v>
      </c>
      <c r="C110" s="2" t="str">
        <f ca="1">IFERROR(__xludf.DUMMYFUNCTION("""COMPUTED_VALUE"""),"P021630")</f>
        <v>P021630</v>
      </c>
      <c r="D110" s="2" t="str">
        <f ca="1">IFERROR(__xludf.DUMMYFUNCTION("""COMPUTED_VALUE"""),"TAVARA CHALCO, CARLA FIORELLA")</f>
        <v>TAVARA CHALCO, CARLA FIORELLA</v>
      </c>
      <c r="E110" s="2" t="str">
        <f ca="1">IFERROR(__xludf.DUMMYFUNCTION("""COMPUTED_VALUE"""),"CARLA.TAVARA@BBVA.COM")</f>
        <v>CARLA.TAVARA@BBVA.COM</v>
      </c>
      <c r="F110" s="2" t="str">
        <f ca="1">IFERROR(__xludf.DUMMYFUNCTION("""COMPUTED_VALUE"""),"(B413)SUB GERENTE DE OFICINA C")</f>
        <v>(B413)SUB GERENTE DE OFICINA C</v>
      </c>
      <c r="G110" s="2" t="str">
        <f ca="1">IFERROR(__xludf.DUMMYFUNCTION("""COMPUTED_VALUE"""),"OFICINA PARDO")</f>
        <v>OFICINA PARDO</v>
      </c>
    </row>
    <row r="111" spans="1:7" x14ac:dyDescent="0.25">
      <c r="A111" s="2" t="str">
        <f ca="1">IFERROR(__xludf.DUMMYFUNCTION("""COMPUTED_VALUE"""),"0157")</f>
        <v>0157</v>
      </c>
      <c r="B111" s="2" t="str">
        <f ca="1">IFERROR(__xludf.DUMMYFUNCTION("""COMPUTED_VALUE"""),"OFICINA LAS GARDENIAS")</f>
        <v>OFICINA LAS GARDENIAS</v>
      </c>
      <c r="C111" s="2" t="str">
        <f ca="1">IFERROR(__xludf.DUMMYFUNCTION("""COMPUTED_VALUE"""),"P023343")</f>
        <v>P023343</v>
      </c>
      <c r="D111" s="2" t="str">
        <f ca="1">IFERROR(__xludf.DUMMYFUNCTION("""COMPUTED_VALUE"""),"CORDOVA GUERRERO, SHEYLA ESTEFANY")</f>
        <v>CORDOVA GUERRERO, SHEYLA ESTEFANY</v>
      </c>
      <c r="E111" s="2" t="str">
        <f ca="1">IFERROR(__xludf.DUMMYFUNCTION("""COMPUTED_VALUE"""),"SHEYLA.CORDOVA@BBVA.COM")</f>
        <v>SHEYLA.CORDOVA@BBVA.COM</v>
      </c>
      <c r="F111" s="2" t="str">
        <f ca="1">IFERROR(__xludf.DUMMYFUNCTION("""COMPUTED_VALUE"""),"(B413)SUB GERENTE DE OFICINA C")</f>
        <v>(B413)SUB GERENTE DE OFICINA C</v>
      </c>
      <c r="G111" s="2" t="str">
        <f ca="1">IFERROR(__xludf.DUMMYFUNCTION("""COMPUTED_VALUE"""),"OFICINA LAS GARDENIAS")</f>
        <v>OFICINA LAS GARDENIAS</v>
      </c>
    </row>
    <row r="112" spans="1:7" x14ac:dyDescent="0.25">
      <c r="A112" s="2" t="str">
        <f ca="1">IFERROR(__xludf.DUMMYFUNCTION("""COMPUTED_VALUE"""),"0159")</f>
        <v>0159</v>
      </c>
      <c r="B112" s="2" t="str">
        <f ca="1">IFERROR(__xludf.DUMMYFUNCTION("""COMPUTED_VALUE"""),"OFICINA HUNTER")</f>
        <v>OFICINA HUNTER</v>
      </c>
      <c r="C112" s="2" t="str">
        <f ca="1">IFERROR(__xludf.DUMMYFUNCTION("""COMPUTED_VALUE"""),"P016887")</f>
        <v>P016887</v>
      </c>
      <c r="D112" s="2" t="str">
        <f ca="1">IFERROR(__xludf.DUMMYFUNCTION("""COMPUTED_VALUE"""),"QUEQUESANA AMAT, DUANNY PAOLA")</f>
        <v>QUEQUESANA AMAT, DUANNY PAOLA</v>
      </c>
      <c r="E112" s="2" t="str">
        <f ca="1">IFERROR(__xludf.DUMMYFUNCTION("""COMPUTED_VALUE"""),"DQUEQUESANA@BBVA.COM")</f>
        <v>DQUEQUESANA@BBVA.COM</v>
      </c>
      <c r="F112" s="2" t="str">
        <f ca="1">IFERROR(__xludf.DUMMYFUNCTION("""COMPUTED_VALUE"""),"(B417)SUB GERENTE DE OFICINA F")</f>
        <v>(B417)SUB GERENTE DE OFICINA F</v>
      </c>
      <c r="G112" s="2" t="str">
        <f ca="1">IFERROR(__xludf.DUMMYFUNCTION("""COMPUTED_VALUE"""),"OFICINA HUNTER")</f>
        <v>OFICINA HUNTER</v>
      </c>
    </row>
    <row r="113" spans="1:7" x14ac:dyDescent="0.25">
      <c r="A113" s="2" t="str">
        <f ca="1">IFERROR(__xludf.DUMMYFUNCTION("""COMPUTED_VALUE"""),"0160")</f>
        <v>0160</v>
      </c>
      <c r="B113" s="2" t="str">
        <f ca="1">IFERROR(__xludf.DUMMYFUNCTION("""COMPUTED_VALUE"""),"OFICINA C.C. MONTERRICO")</f>
        <v>OFICINA C.C. MONTERRICO</v>
      </c>
      <c r="C113" s="2" t="str">
        <f ca="1">IFERROR(__xludf.DUMMYFUNCTION("""COMPUTED_VALUE"""),"P027772")</f>
        <v>P027772</v>
      </c>
      <c r="D113" s="2" t="str">
        <f ca="1">IFERROR(__xludf.DUMMYFUNCTION("""COMPUTED_VALUE"""),"SIESQUEN ZEÑA, ZULLY")</f>
        <v>SIESQUEN ZEÑA, ZULLY</v>
      </c>
      <c r="E113" s="2" t="str">
        <f ca="1">IFERROR(__xludf.DUMMYFUNCTION("""COMPUTED_VALUE"""),"ZULLY.SIESQUEN@BBVA.COM")</f>
        <v>ZULLY.SIESQUEN@BBVA.COM</v>
      </c>
      <c r="F113" s="2" t="str">
        <f ca="1">IFERROR(__xludf.DUMMYFUNCTION("""COMPUTED_VALUE"""),"(B413)SUB GERENTE DE OFICINA C")</f>
        <v>(B413)SUB GERENTE DE OFICINA C</v>
      </c>
      <c r="G113" s="2" t="str">
        <f ca="1">IFERROR(__xludf.DUMMYFUNCTION("""COMPUTED_VALUE"""),"OFICINA CENTRO COMERCIAL MONTERRICO")</f>
        <v>OFICINA CENTRO COMERCIAL MONTERRICO</v>
      </c>
    </row>
    <row r="114" spans="1:7" x14ac:dyDescent="0.25">
      <c r="A114" s="2" t="str">
        <f ca="1">IFERROR(__xludf.DUMMYFUNCTION("""COMPUTED_VALUE"""),"0161")</f>
        <v>0161</v>
      </c>
      <c r="B114" s="2" t="str">
        <f ca="1">IFERROR(__xludf.DUMMYFUNCTION("""COMPUTED_VALUE"""),"OFICINA LINCE")</f>
        <v>OFICINA LINCE</v>
      </c>
      <c r="C114" s="2" t="str">
        <f ca="1">IFERROR(__xludf.DUMMYFUNCTION("""COMPUTED_VALUE"""),"P005501")</f>
        <v>P005501</v>
      </c>
      <c r="D114" s="2" t="str">
        <f ca="1">IFERROR(__xludf.DUMMYFUNCTION("""COMPUTED_VALUE"""),"LIZARZABURO YACILA, EDUARDO EFRAIN")</f>
        <v>LIZARZABURO YACILA, EDUARDO EFRAIN</v>
      </c>
      <c r="E114" s="2" t="str">
        <f ca="1">IFERROR(__xludf.DUMMYFUNCTION("""COMPUTED_VALUE"""),"ELIZARZABURO@BBVA.COM")</f>
        <v>ELIZARZABURO@BBVA.COM</v>
      </c>
      <c r="F114" s="2" t="str">
        <f ca="1">IFERROR(__xludf.DUMMYFUNCTION("""COMPUTED_VALUE"""),"(B415)SUB GERENTE DE OFICINA E")</f>
        <v>(B415)SUB GERENTE DE OFICINA E</v>
      </c>
      <c r="G114" s="2" t="str">
        <f ca="1">IFERROR(__xludf.DUMMYFUNCTION("""COMPUTED_VALUE"""),"OFICINA LINCE")</f>
        <v>OFICINA LINCE</v>
      </c>
    </row>
    <row r="115" spans="1:7" x14ac:dyDescent="0.25">
      <c r="A115" s="2" t="str">
        <f ca="1">IFERROR(__xludf.DUMMYFUNCTION("""COMPUTED_VALUE"""),"0162")</f>
        <v>0162</v>
      </c>
      <c r="B115" s="2" t="str">
        <f ca="1">IFERROR(__xludf.DUMMYFUNCTION("""COMPUTED_VALUE"""),"OFICINA AEROPUERTO")</f>
        <v>OFICINA AEROPUERTO</v>
      </c>
      <c r="C115" s="2" t="str">
        <f ca="1">IFERROR(__xludf.DUMMYFUNCTION("""COMPUTED_VALUE"""),"P015039")</f>
        <v>P015039</v>
      </c>
      <c r="D115" s="2" t="str">
        <f ca="1">IFERROR(__xludf.DUMMYFUNCTION("""COMPUTED_VALUE"""),"LOPEZ MELENDEZ, CINTHIA LIZBET")</f>
        <v>LOPEZ MELENDEZ, CINTHIA LIZBET</v>
      </c>
      <c r="E115" s="2" t="str">
        <f ca="1">IFERROR(__xludf.DUMMYFUNCTION("""COMPUTED_VALUE"""),"CLOPEZ@BBVA.COM")</f>
        <v>CLOPEZ@BBVA.COM</v>
      </c>
      <c r="F115" s="2" t="str">
        <f ca="1">IFERROR(__xludf.DUMMYFUNCTION("""COMPUTED_VALUE"""),"(B413)SUB GERENTE DE OFICINA C")</f>
        <v>(B413)SUB GERENTE DE OFICINA C</v>
      </c>
      <c r="G115" s="2" t="str">
        <f ca="1">IFERROR(__xludf.DUMMYFUNCTION("""COMPUTED_VALUE"""),"OFICINA AEROPUERTO")</f>
        <v>OFICINA AEROPUERTO</v>
      </c>
    </row>
    <row r="116" spans="1:7" x14ac:dyDescent="0.25">
      <c r="A116" s="2" t="str">
        <f ca="1">IFERROR(__xludf.DUMMYFUNCTION("""COMPUTED_VALUE"""),"0163")</f>
        <v>0163</v>
      </c>
      <c r="B116" s="2" t="str">
        <f ca="1">IFERROR(__xludf.DUMMYFUNCTION("""COMPUTED_VALUE"""),"OFICINA APOLO")</f>
        <v>OFICINA APOLO</v>
      </c>
      <c r="C116" s="2" t="str">
        <f ca="1">IFERROR(__xludf.DUMMYFUNCTION("""COMPUTED_VALUE"""),"P025720")</f>
        <v>P025720</v>
      </c>
      <c r="D116" s="2" t="str">
        <f ca="1">IFERROR(__xludf.DUMMYFUNCTION("""COMPUTED_VALUE"""),"RODRIGUEZ CARHUAVILCA, BRUNO")</f>
        <v>RODRIGUEZ CARHUAVILCA, BRUNO</v>
      </c>
      <c r="E116" s="2" t="str">
        <f ca="1">IFERROR(__xludf.DUMMYFUNCTION("""COMPUTED_VALUE"""),"BRUNO.RODRIGUEZ.CARHUAVILCA@BBVA.COM")</f>
        <v>BRUNO.RODRIGUEZ.CARHUAVILCA@BBVA.COM</v>
      </c>
      <c r="F116" s="2" t="str">
        <f ca="1">IFERROR(__xludf.DUMMYFUNCTION("""COMPUTED_VALUE"""),"(B415)SUB GERENTE DE OFICINA E")</f>
        <v>(B415)SUB GERENTE DE OFICINA E</v>
      </c>
      <c r="G116" s="2" t="str">
        <f ca="1">IFERROR(__xludf.DUMMYFUNCTION("""COMPUTED_VALUE"""),"OFICINA APOLO")</f>
        <v>OFICINA APOLO</v>
      </c>
    </row>
    <row r="117" spans="1:7" x14ac:dyDescent="0.25">
      <c r="A117" s="2" t="str">
        <f ca="1">IFERROR(__xludf.DUMMYFUNCTION("""COMPUTED_VALUE"""),"0164")</f>
        <v>0164</v>
      </c>
      <c r="B117" s="2" t="str">
        <f ca="1">IFERROR(__xludf.DUMMYFUNCTION("""COMPUTED_VALUE"""),"OFICINA VENEZUELA 3")</f>
        <v>OFICINA VENEZUELA 3</v>
      </c>
      <c r="C117" s="2" t="str">
        <f ca="1">IFERROR(__xludf.DUMMYFUNCTION("""COMPUTED_VALUE"""),"P009095")</f>
        <v>P009095</v>
      </c>
      <c r="D117" s="2" t="str">
        <f ca="1">IFERROR(__xludf.DUMMYFUNCTION("""COMPUTED_VALUE"""),"REYNALDE PAPA, MARIA DEL CARMEN")</f>
        <v>REYNALDE PAPA, MARIA DEL CARMEN</v>
      </c>
      <c r="E117" s="2" t="str">
        <f ca="1">IFERROR(__xludf.DUMMYFUNCTION("""COMPUTED_VALUE"""),"MREYNALDE@BBVA.COM")</f>
        <v>MREYNALDE@BBVA.COM</v>
      </c>
      <c r="F117" s="2" t="str">
        <f ca="1">IFERROR(__xludf.DUMMYFUNCTION("""COMPUTED_VALUE"""),"(B413)SUB GERENTE DE OFICINA C")</f>
        <v>(B413)SUB GERENTE DE OFICINA C</v>
      </c>
      <c r="G117" s="2" t="str">
        <f ca="1">IFERROR(__xludf.DUMMYFUNCTION("""COMPUTED_VALUE"""),"OFICINA VENEZUELA 3")</f>
        <v>OFICINA VENEZUELA 3</v>
      </c>
    </row>
    <row r="118" spans="1:7" x14ac:dyDescent="0.25">
      <c r="A118" s="2" t="str">
        <f ca="1">IFERROR(__xludf.DUMMYFUNCTION("""COMPUTED_VALUE"""),"0165")</f>
        <v>0165</v>
      </c>
      <c r="B118" s="2" t="str">
        <f ca="1">IFERROR(__xludf.DUMMYFUNCTION("""COMPUTED_VALUE"""),"OFICINA BASE NAVAL")</f>
        <v>OFICINA BASE NAVAL</v>
      </c>
      <c r="C118" s="2" t="str">
        <f ca="1">IFERROR(__xludf.DUMMYFUNCTION("""COMPUTED_VALUE"""),"P011088")</f>
        <v>P011088</v>
      </c>
      <c r="D118" s="2" t="str">
        <f ca="1">IFERROR(__xludf.DUMMYFUNCTION("""COMPUTED_VALUE"""),"CUADROS CAJA, BERTHA DAYSE")</f>
        <v>CUADROS CAJA, BERTHA DAYSE</v>
      </c>
      <c r="E118" s="2" t="str">
        <f ca="1">IFERROR(__xludf.DUMMYFUNCTION("""COMPUTED_VALUE"""),"BCUADROS@BBVA.COM")</f>
        <v>BCUADROS@BBVA.COM</v>
      </c>
      <c r="F118" s="2" t="str">
        <f ca="1">IFERROR(__xludf.DUMMYFUNCTION("""COMPUTED_VALUE"""),"(B413)SUB GERENTE DE OFICINA C")</f>
        <v>(B413)SUB GERENTE DE OFICINA C</v>
      </c>
      <c r="G118" s="2" t="str">
        <f ca="1">IFERROR(__xludf.DUMMYFUNCTION("""COMPUTED_VALUE"""),"OFICINA BASE NAVAL")</f>
        <v>OFICINA BASE NAVAL</v>
      </c>
    </row>
    <row r="119" spans="1:7" x14ac:dyDescent="0.25">
      <c r="A119" s="2" t="str">
        <f ca="1">IFERROR(__xludf.DUMMYFUNCTION("""COMPUTED_VALUE"""),"0166")</f>
        <v>0166</v>
      </c>
      <c r="B119" s="2" t="str">
        <f ca="1">IFERROR(__xludf.DUMMYFUNCTION("""COMPUTED_VALUE"""),"OFICINA COLONIAL")</f>
        <v>OFICINA COLONIAL</v>
      </c>
      <c r="C119" s="2" t="str">
        <f ca="1">IFERROR(__xludf.DUMMYFUNCTION("""COMPUTED_VALUE"""),"P012590")</f>
        <v>P012590</v>
      </c>
      <c r="D119" s="2" t="str">
        <f ca="1">IFERROR(__xludf.DUMMYFUNCTION("""COMPUTED_VALUE"""),"NAVARRETE CARDENAS, ROBERTO ANDRES")</f>
        <v>NAVARRETE CARDENAS, ROBERTO ANDRES</v>
      </c>
      <c r="E119" s="2" t="str">
        <f ca="1">IFERROR(__xludf.DUMMYFUNCTION("""COMPUTED_VALUE"""),"RNAVARRETECAR@BBVA.COM")</f>
        <v>RNAVARRETECAR@BBVA.COM</v>
      </c>
      <c r="F119" s="2" t="str">
        <f ca="1">IFERROR(__xludf.DUMMYFUNCTION("""COMPUTED_VALUE"""),"(B413)SUB GERENTE DE OFICINA C")</f>
        <v>(B413)SUB GERENTE DE OFICINA C</v>
      </c>
      <c r="G119" s="2" t="str">
        <f ca="1">IFERROR(__xludf.DUMMYFUNCTION("""COMPUTED_VALUE"""),"OFICINA COLONIAL")</f>
        <v>OFICINA COLONIAL</v>
      </c>
    </row>
    <row r="120" spans="1:7" x14ac:dyDescent="0.25">
      <c r="A120" s="2" t="str">
        <f ca="1">IFERROR(__xludf.DUMMYFUNCTION("""COMPUTED_VALUE"""),"0169")</f>
        <v>0169</v>
      </c>
      <c r="B120" s="2" t="str">
        <f ca="1">IFERROR(__xludf.DUMMYFUNCTION("""COMPUTED_VALUE"""),"OFICINA COMANDANTE ESPINAR")</f>
        <v>OFICINA COMANDANTE ESPINAR</v>
      </c>
      <c r="C120" s="2" t="str">
        <f ca="1">IFERROR(__xludf.DUMMYFUNCTION("""COMPUTED_VALUE"""),"P025572")</f>
        <v>P025572</v>
      </c>
      <c r="D120" s="2" t="str">
        <f ca="1">IFERROR(__xludf.DUMMYFUNCTION("""COMPUTED_VALUE"""),"ROJAS RAMIREZ, JHONATAN PIERO")</f>
        <v>ROJAS RAMIREZ, JHONATAN PIERO</v>
      </c>
      <c r="E120" s="2" t="str">
        <f ca="1">IFERROR(__xludf.DUMMYFUNCTION("""COMPUTED_VALUE"""),"JHONATAN.ROJAS@BBVA.COM")</f>
        <v>JHONATAN.ROJAS@BBVA.COM</v>
      </c>
      <c r="F120" s="2" t="str">
        <f ca="1">IFERROR(__xludf.DUMMYFUNCTION("""COMPUTED_VALUE"""),"(B413)SUB GERENTE DE OFICINA C")</f>
        <v>(B413)SUB GERENTE DE OFICINA C</v>
      </c>
      <c r="G120" s="2" t="str">
        <f ca="1">IFERROR(__xludf.DUMMYFUNCTION("""COMPUTED_VALUE"""),"OFICINA COMANDANTE ESPINAR")</f>
        <v>OFICINA COMANDANTE ESPINAR</v>
      </c>
    </row>
    <row r="121" spans="1:7" x14ac:dyDescent="0.25">
      <c r="A121" s="2" t="str">
        <f ca="1">IFERROR(__xludf.DUMMYFUNCTION("""COMPUTED_VALUE"""),"0170")</f>
        <v>0170</v>
      </c>
      <c r="B121" s="2" t="str">
        <f ca="1">IFERROR(__xludf.DUMMYFUNCTION("""COMPUTED_VALUE"""),"OFICINA AVENIDA SUCRE")</f>
        <v>OFICINA AVENIDA SUCRE</v>
      </c>
      <c r="C121" s="2" t="str">
        <f ca="1">IFERROR(__xludf.DUMMYFUNCTION("""COMPUTED_VALUE"""),"P017045")</f>
        <v>P017045</v>
      </c>
      <c r="D121" s="2" t="str">
        <f ca="1">IFERROR(__xludf.DUMMYFUNCTION("""COMPUTED_VALUE"""),"CALVO ZAMBRANO, MIGUEL EDUARDO")</f>
        <v>CALVO ZAMBRANO, MIGUEL EDUARDO</v>
      </c>
      <c r="E121" s="2" t="str">
        <f ca="1">IFERROR(__xludf.DUMMYFUNCTION("""COMPUTED_VALUE"""),"MIGUEL.CALVOZ@BBVA.COM")</f>
        <v>MIGUEL.CALVOZ@BBVA.COM</v>
      </c>
      <c r="F121" s="2" t="str">
        <f ca="1">IFERROR(__xludf.DUMMYFUNCTION("""COMPUTED_VALUE"""),"(B414)SUB GERENTE DE OFICINA D")</f>
        <v>(B414)SUB GERENTE DE OFICINA D</v>
      </c>
      <c r="G121" s="2" t="str">
        <f ca="1">IFERROR(__xludf.DUMMYFUNCTION("""COMPUTED_VALUE"""),"OFICINA AVENIDA SUCRE")</f>
        <v>OFICINA AVENIDA SUCRE</v>
      </c>
    </row>
    <row r="122" spans="1:7" x14ac:dyDescent="0.25">
      <c r="A122" s="2" t="str">
        <f ca="1">IFERROR(__xludf.DUMMYFUNCTION("""COMPUTED_VALUE"""),"0171")</f>
        <v>0171</v>
      </c>
      <c r="B122" s="2" t="str">
        <f ca="1">IFERROR(__xludf.DUMMYFUNCTION("""COMPUTED_VALUE"""),"OFICINA LOS ROSALES")</f>
        <v>OFICINA LOS ROSALES</v>
      </c>
      <c r="C122" s="2" t="str">
        <f ca="1">IFERROR(__xludf.DUMMYFUNCTION("""COMPUTED_VALUE"""),"P027278")</f>
        <v>P027278</v>
      </c>
      <c r="D122" s="2" t="str">
        <f ca="1">IFERROR(__xludf.DUMMYFUNCTION("""COMPUTED_VALUE"""),"CAJA ROJAS, ISAIAS")</f>
        <v>CAJA ROJAS, ISAIAS</v>
      </c>
      <c r="E122" s="2" t="str">
        <f ca="1">IFERROR(__xludf.DUMMYFUNCTION("""COMPUTED_VALUE"""),"ISAIAS.CAJA@BBVA.COM")</f>
        <v>ISAIAS.CAJA@BBVA.COM</v>
      </c>
      <c r="F122" s="2" t="str">
        <f ca="1">IFERROR(__xludf.DUMMYFUNCTION("""COMPUTED_VALUE"""),"(B413)SUB GERENTE DE OFICINA C")</f>
        <v>(B413)SUB GERENTE DE OFICINA C</v>
      </c>
      <c r="G122" s="2" t="str">
        <f ca="1">IFERROR(__xludf.DUMMYFUNCTION("""COMPUTED_VALUE"""),"OFICINA LOS ROSALES")</f>
        <v>OFICINA LOS ROSALES</v>
      </c>
    </row>
    <row r="123" spans="1:7" x14ac:dyDescent="0.25">
      <c r="A123" s="2" t="str">
        <f ca="1">IFERROR(__xludf.DUMMYFUNCTION("""COMPUTED_VALUE"""),"0172")</f>
        <v>0172</v>
      </c>
      <c r="B123" s="2" t="str">
        <f ca="1">IFERROR(__xludf.DUMMYFUNCTION("""COMPUTED_VALUE"""),"OFICINA FIORI")</f>
        <v>OFICINA FIORI</v>
      </c>
      <c r="C123" s="2" t="str">
        <f ca="1">IFERROR(__xludf.DUMMYFUNCTION("""COMPUTED_VALUE"""),"P015048")</f>
        <v>P015048</v>
      </c>
      <c r="D123" s="2" t="str">
        <f ca="1">IFERROR(__xludf.DUMMYFUNCTION("""COMPUTED_VALUE"""),"QUEREVALU ALCEDO, MARLON")</f>
        <v>QUEREVALU ALCEDO, MARLON</v>
      </c>
      <c r="E123" s="2" t="str">
        <f ca="1">IFERROR(__xludf.DUMMYFUNCTION("""COMPUTED_VALUE"""),"MQUEREVALU@BBVA.COM")</f>
        <v>MQUEREVALU@BBVA.COM</v>
      </c>
      <c r="F123" s="2" t="str">
        <f ca="1">IFERROR(__xludf.DUMMYFUNCTION("""COMPUTED_VALUE"""),"(B410)SUB GERENTE DE OFICINA A1")</f>
        <v>(B410)SUB GERENTE DE OFICINA A1</v>
      </c>
      <c r="G123" s="2" t="str">
        <f ca="1">IFERROR(__xludf.DUMMYFUNCTION("""COMPUTED_VALUE"""),"OFICINA FIORI")</f>
        <v>OFICINA FIORI</v>
      </c>
    </row>
    <row r="124" spans="1:7" x14ac:dyDescent="0.25">
      <c r="A124" s="2" t="str">
        <f ca="1">IFERROR(__xludf.DUMMYFUNCTION("""COMPUTED_VALUE"""),"0174")</f>
        <v>0174</v>
      </c>
      <c r="B124" s="2" t="str">
        <f ca="1">IFERROR(__xludf.DUMMYFUNCTION("""COMPUTED_VALUE"""),"OFICINA MEGAPLAZA")</f>
        <v>OFICINA MEGAPLAZA</v>
      </c>
      <c r="C124" s="2" t="str">
        <f ca="1">IFERROR(__xludf.DUMMYFUNCTION("""COMPUTED_VALUE"""),"P015616")</f>
        <v>P015616</v>
      </c>
      <c r="D124" s="2" t="str">
        <f ca="1">IFERROR(__xludf.DUMMYFUNCTION("""COMPUTED_VALUE"""),"LLACSAHUACHE TANTA, DIANA ISABEL")</f>
        <v>LLACSAHUACHE TANTA, DIANA ISABEL</v>
      </c>
      <c r="E124" s="2" t="str">
        <f ca="1">IFERROR(__xludf.DUMMYFUNCTION("""COMPUTED_VALUE"""),"DLLACSAHUACHE@BBVA.COM")</f>
        <v>DLLACSAHUACHE@BBVA.COM</v>
      </c>
      <c r="F124" s="2" t="str">
        <f ca="1">IFERROR(__xludf.DUMMYFUNCTION("""COMPUTED_VALUE"""),"(B412)SUB GERENTE DE OFICINA B")</f>
        <v>(B412)SUB GERENTE DE OFICINA B</v>
      </c>
      <c r="G124" s="2" t="str">
        <f ca="1">IFERROR(__xludf.DUMMYFUNCTION("""COMPUTED_VALUE"""),"OFICINA MEGAPLAZA")</f>
        <v>OFICINA MEGAPLAZA</v>
      </c>
    </row>
    <row r="125" spans="1:7" x14ac:dyDescent="0.25">
      <c r="A125" s="2" t="str">
        <f ca="1">IFERROR(__xludf.DUMMYFUNCTION("""COMPUTED_VALUE"""),"0175")</f>
        <v>0175</v>
      </c>
      <c r="B125" s="2" t="str">
        <f ca="1">IFERROR(__xludf.DUMMYFUNCTION("""COMPUTED_VALUE"""),"OFICINA REAL PLAZA CENTRO CIVICO")</f>
        <v>OFICINA REAL PLAZA CENTRO CIVICO</v>
      </c>
      <c r="C125" s="2" t="str">
        <f ca="1">IFERROR(__xludf.DUMMYFUNCTION("""COMPUTED_VALUE"""),"P018248")</f>
        <v>P018248</v>
      </c>
      <c r="D125" s="2" t="str">
        <f ca="1">IFERROR(__xludf.DUMMYFUNCTION("""COMPUTED_VALUE"""),"CHAVEZ TORRES, ELVIRA")</f>
        <v>CHAVEZ TORRES, ELVIRA</v>
      </c>
      <c r="E125" s="2" t="str">
        <f ca="1">IFERROR(__xludf.DUMMYFUNCTION("""COMPUTED_VALUE"""),"ECHAVEZT@BBVA.COM")</f>
        <v>ECHAVEZT@BBVA.COM</v>
      </c>
      <c r="F125" s="2" t="str">
        <f ca="1">IFERROR(__xludf.DUMMYFUNCTION("""COMPUTED_VALUE"""),"(B416)SUB GERENTE DE OFICINA A2")</f>
        <v>(B416)SUB GERENTE DE OFICINA A2</v>
      </c>
      <c r="G125" s="2" t="str">
        <f ca="1">IFERROR(__xludf.DUMMYFUNCTION("""COMPUTED_VALUE"""),"OFICINA REAL PLAZA CENTRO CIVICO")</f>
        <v>OFICINA REAL PLAZA CENTRO CIVICO</v>
      </c>
    </row>
    <row r="126" spans="1:7" x14ac:dyDescent="0.25">
      <c r="A126" s="2" t="str">
        <f ca="1">IFERROR(__xludf.DUMMYFUNCTION("""COMPUTED_VALUE"""),"0176")</f>
        <v>0176</v>
      </c>
      <c r="B126" s="2" t="str">
        <f ca="1">IFERROR(__xludf.DUMMYFUNCTION("""COMPUTED_VALUE"""),"OFICINA EL TRÉBOL")</f>
        <v>OFICINA EL TRÉBOL</v>
      </c>
      <c r="C126" s="2" t="str">
        <f ca="1">IFERROR(__xludf.DUMMYFUNCTION("""COMPUTED_VALUE"""),"P018179")</f>
        <v>P018179</v>
      </c>
      <c r="D126" s="2" t="str">
        <f ca="1">IFERROR(__xludf.DUMMYFUNCTION("""COMPUTED_VALUE"""),"ALMONACID RIOS, HANS GONZALO")</f>
        <v>ALMONACID RIOS, HANS GONZALO</v>
      </c>
      <c r="E126" s="2" t="str">
        <f ca="1">IFERROR(__xludf.DUMMYFUNCTION("""COMPUTED_VALUE"""),"HALMONACIDR@BBVA.COM")</f>
        <v>HALMONACIDR@BBVA.COM</v>
      </c>
      <c r="F126" s="2" t="str">
        <f ca="1">IFERROR(__xludf.DUMMYFUNCTION("""COMPUTED_VALUE"""),"(B413)SUB GERENTE DE OFICINA C")</f>
        <v>(B413)SUB GERENTE DE OFICINA C</v>
      </c>
      <c r="G126" s="2" t="str">
        <f ca="1">IFERROR(__xludf.DUMMYFUNCTION("""COMPUTED_VALUE"""),"OFICINA EL TREBOL")</f>
        <v>OFICINA EL TREBOL</v>
      </c>
    </row>
    <row r="127" spans="1:7" x14ac:dyDescent="0.25">
      <c r="A127" s="2" t="str">
        <f ca="1">IFERROR(__xludf.DUMMYFUNCTION("""COMPUTED_VALUE"""),"0177")</f>
        <v>0177</v>
      </c>
      <c r="B127" s="2" t="str">
        <f ca="1">IFERROR(__xludf.DUMMYFUNCTION("""COMPUTED_VALUE"""),"OFICINA SAMUEL ALCÁZAR")</f>
        <v>OFICINA SAMUEL ALCÁZAR</v>
      </c>
      <c r="C127" s="2" t="str">
        <f ca="1">IFERROR(__xludf.DUMMYFUNCTION("""COMPUTED_VALUE"""),"P023735")</f>
        <v>P023735</v>
      </c>
      <c r="D127" s="2" t="str">
        <f ca="1">IFERROR(__xludf.DUMMYFUNCTION("""COMPUTED_VALUE"""),"MENDEZ ALTAMIRANO, SARA")</f>
        <v>MENDEZ ALTAMIRANO, SARA</v>
      </c>
      <c r="E127" s="2" t="str">
        <f ca="1">IFERROR(__xludf.DUMMYFUNCTION("""COMPUTED_VALUE"""),"SARA.MENDEZ.ALTAMIRANO@BBVA.COM")</f>
        <v>SARA.MENDEZ.ALTAMIRANO@BBVA.COM</v>
      </c>
      <c r="F127" s="2" t="str">
        <f ca="1">IFERROR(__xludf.DUMMYFUNCTION("""COMPUTED_VALUE"""),"(B415)SUB GERENTE DE OFICINA E")</f>
        <v>(B415)SUB GERENTE DE OFICINA E</v>
      </c>
      <c r="G127" s="2" t="str">
        <f ca="1">IFERROR(__xludf.DUMMYFUNCTION("""COMPUTED_VALUE"""),"OFICINA SAMUEL ALCÁZAR")</f>
        <v>OFICINA SAMUEL ALCÁZAR</v>
      </c>
    </row>
    <row r="128" spans="1:7" x14ac:dyDescent="0.25">
      <c r="A128" s="2" t="str">
        <f ca="1">IFERROR(__xludf.DUMMYFUNCTION("""COMPUTED_VALUE"""),"0178")</f>
        <v>0178</v>
      </c>
      <c r="B128" s="2" t="str">
        <f ca="1">IFERROR(__xludf.DUMMYFUNCTION("""COMPUTED_VALUE"""),"OFICINA CAMACHO")</f>
        <v>OFICINA CAMACHO</v>
      </c>
      <c r="C128" s="2" t="str">
        <f ca="1">IFERROR(__xludf.DUMMYFUNCTION("""COMPUTED_VALUE"""),"P009062")</f>
        <v>P009062</v>
      </c>
      <c r="D128" s="2" t="str">
        <f ca="1">IFERROR(__xludf.DUMMYFUNCTION("""COMPUTED_VALUE"""),"VALVERDE BECERRA, RENZO WILSON")</f>
        <v>VALVERDE BECERRA, RENZO WILSON</v>
      </c>
      <c r="E128" s="2" t="str">
        <f ca="1">IFERROR(__xludf.DUMMYFUNCTION("""COMPUTED_VALUE"""),"RVALVERDEB@BBVA.COM")</f>
        <v>RVALVERDEB@BBVA.COM</v>
      </c>
      <c r="F128" s="2" t="str">
        <f ca="1">IFERROR(__xludf.DUMMYFUNCTION("""COMPUTED_VALUE"""),"(B411)SUB GERENTE DE OFICINA A3")</f>
        <v>(B411)SUB GERENTE DE OFICINA A3</v>
      </c>
      <c r="G128" s="2" t="str">
        <f ca="1">IFERROR(__xludf.DUMMYFUNCTION("""COMPUTED_VALUE"""),"OFICINA CAMACHO")</f>
        <v>OFICINA CAMACHO</v>
      </c>
    </row>
    <row r="129" spans="1:7" x14ac:dyDescent="0.25">
      <c r="A129" s="2" t="str">
        <f ca="1">IFERROR(__xludf.DUMMYFUNCTION("""COMPUTED_VALUE"""),"0179")</f>
        <v>0179</v>
      </c>
      <c r="B129" s="2" t="str">
        <f ca="1">IFERROR(__xludf.DUMMYFUNCTION("""COMPUTED_VALUE"""),"OFICINA CAVENECIA")</f>
        <v>OFICINA CAVENECIA</v>
      </c>
      <c r="C129" s="2" t="str">
        <f ca="1">IFERROR(__xludf.DUMMYFUNCTION("""COMPUTED_VALUE"""),"P012763")</f>
        <v>P012763</v>
      </c>
      <c r="D129" s="2" t="str">
        <f ca="1">IFERROR(__xludf.DUMMYFUNCTION("""COMPUTED_VALUE"""),"SERRA BRAMON, CLAUDIA INES")</f>
        <v>SERRA BRAMON, CLAUDIA INES</v>
      </c>
      <c r="E129" s="2" t="str">
        <f ca="1">IFERROR(__xludf.DUMMYFUNCTION("""COMPUTED_VALUE"""),"CLAUDIAINES.SERRA@BBVA.COM")</f>
        <v>CLAUDIAINES.SERRA@BBVA.COM</v>
      </c>
      <c r="F129" s="2" t="str">
        <f ca="1">IFERROR(__xludf.DUMMYFUNCTION("""COMPUTED_VALUE"""),"(B411)SUB GERENTE DE OFICINA A3")</f>
        <v>(B411)SUB GERENTE DE OFICINA A3</v>
      </c>
      <c r="G129" s="2" t="str">
        <f ca="1">IFERROR(__xludf.DUMMYFUNCTION("""COMPUTED_VALUE"""),"OFICINA CAVENECIA")</f>
        <v>OFICINA CAVENECIA</v>
      </c>
    </row>
    <row r="130" spans="1:7" x14ac:dyDescent="0.25">
      <c r="A130" s="2" t="str">
        <f ca="1">IFERROR(__xludf.DUMMYFUNCTION("""COMPUTED_VALUE"""),"0180")</f>
        <v>0180</v>
      </c>
      <c r="B130" s="2" t="str">
        <f ca="1">IFERROR(__xludf.DUMMYFUNCTION("""COMPUTED_VALUE"""),"OFICINA PARQUE CASTILLA")</f>
        <v>OFICINA PARQUE CASTILLA</v>
      </c>
      <c r="C130" s="2" t="str">
        <f ca="1">IFERROR(__xludf.DUMMYFUNCTION("""COMPUTED_VALUE"""),"P025248")</f>
        <v>P025248</v>
      </c>
      <c r="D130" s="2" t="str">
        <f ca="1">IFERROR(__xludf.DUMMYFUNCTION("""COMPUTED_VALUE"""),"FERNANDEZ BAYONA, YAJAHIRA LISBETH")</f>
        <v>FERNANDEZ BAYONA, YAJAHIRA LISBETH</v>
      </c>
      <c r="E130" s="2" t="str">
        <f ca="1">IFERROR(__xludf.DUMMYFUNCTION("""COMPUTED_VALUE"""),"YAJAHIRA.FERNANDEZ@BBVA.COM")</f>
        <v>YAJAHIRA.FERNANDEZ@BBVA.COM</v>
      </c>
      <c r="F130" s="2" t="str">
        <f ca="1">IFERROR(__xludf.DUMMYFUNCTION("""COMPUTED_VALUE"""),"(B415)SUB GERENTE DE OFICINA E")</f>
        <v>(B415)SUB GERENTE DE OFICINA E</v>
      </c>
      <c r="G130" s="2" t="str">
        <f ca="1">IFERROR(__xludf.DUMMYFUNCTION("""COMPUTED_VALUE"""),"OFICINA PARQUE CASTILLA")</f>
        <v>OFICINA PARQUE CASTILLA</v>
      </c>
    </row>
    <row r="131" spans="1:7" x14ac:dyDescent="0.25">
      <c r="A131" s="2" t="str">
        <f ca="1">IFERROR(__xludf.DUMMYFUNCTION("""COMPUTED_VALUE"""),"0182")</f>
        <v>0182</v>
      </c>
      <c r="B131" s="2" t="str">
        <f ca="1">IFERROR(__xludf.DUMMYFUNCTION("""COMPUTED_VALUE"""),"OFICINA SANTA MÓNICA")</f>
        <v>OFICINA SANTA MÓNICA</v>
      </c>
      <c r="C131" s="2" t="str">
        <f ca="1">IFERROR(__xludf.DUMMYFUNCTION("""COMPUTED_VALUE"""),"P013233")</f>
        <v>P013233</v>
      </c>
      <c r="D131" s="2" t="str">
        <f ca="1">IFERROR(__xludf.DUMMYFUNCTION("""COMPUTED_VALUE"""),"CHINCHAY CAMPOS, ELIZABETH ROSALIN")</f>
        <v>CHINCHAY CAMPOS, ELIZABETH ROSALIN</v>
      </c>
      <c r="E131" s="2" t="str">
        <f ca="1">IFERROR(__xludf.DUMMYFUNCTION("""COMPUTED_VALUE"""),"ECHINCHAY@BBVA.COM")</f>
        <v>ECHINCHAY@BBVA.COM</v>
      </c>
      <c r="F131" s="2" t="str">
        <f ca="1">IFERROR(__xludf.DUMMYFUNCTION("""COMPUTED_VALUE"""),"(B412)SUB GERENTE DE OFICINA B")</f>
        <v>(B412)SUB GERENTE DE OFICINA B</v>
      </c>
      <c r="G131" s="2" t="str">
        <f ca="1">IFERROR(__xludf.DUMMYFUNCTION("""COMPUTED_VALUE"""),"OFICINA SANTA MONICA")</f>
        <v>OFICINA SANTA MONICA</v>
      </c>
    </row>
    <row r="132" spans="1:7" x14ac:dyDescent="0.25">
      <c r="A132" s="2" t="str">
        <f ca="1">IFERROR(__xludf.DUMMYFUNCTION("""COMPUTED_VALUE"""),"0183")</f>
        <v>0183</v>
      </c>
      <c r="B132" s="2" t="str">
        <f ca="1">IFERROR(__xludf.DUMMYFUNCTION("""COMPUTED_VALUE"""),"OFICINA SANTA ANITA")</f>
        <v>OFICINA SANTA ANITA</v>
      </c>
      <c r="C132" s="2" t="str">
        <f ca="1">IFERROR(__xludf.DUMMYFUNCTION("""COMPUTED_VALUE"""),"P022444")</f>
        <v>P022444</v>
      </c>
      <c r="D132" s="2" t="str">
        <f ca="1">IFERROR(__xludf.DUMMYFUNCTION("""COMPUTED_VALUE"""),"NIMA ROJAS, DICKSON ALBERTO")</f>
        <v>NIMA ROJAS, DICKSON ALBERTO</v>
      </c>
      <c r="E132" s="2" t="str">
        <f ca="1">IFERROR(__xludf.DUMMYFUNCTION("""COMPUTED_VALUE"""),"DICKSON.NIMA@BBVA.COM")</f>
        <v>DICKSON.NIMA@BBVA.COM</v>
      </c>
      <c r="F132" s="2" t="str">
        <f ca="1">IFERROR(__xludf.DUMMYFUNCTION("""COMPUTED_VALUE"""),"(B411)SUB GERENTE DE OFICINA A3")</f>
        <v>(B411)SUB GERENTE DE OFICINA A3</v>
      </c>
      <c r="G132" s="2" t="str">
        <f ca="1">IFERROR(__xludf.DUMMYFUNCTION("""COMPUTED_VALUE"""),"OFICINA SANTA ANITA")</f>
        <v>OFICINA SANTA ANITA</v>
      </c>
    </row>
    <row r="133" spans="1:7" x14ac:dyDescent="0.25">
      <c r="A133" s="2" t="str">
        <f ca="1">IFERROR(__xludf.DUMMYFUNCTION("""COMPUTED_VALUE"""),"0184")</f>
        <v>0184</v>
      </c>
      <c r="B133" s="2" t="str">
        <f ca="1">IFERROR(__xludf.DUMMYFUNCTION("""COMPUTED_VALUE"""),"OFICINA SAN FELIPE")</f>
        <v>OFICINA SAN FELIPE</v>
      </c>
      <c r="C133" s="2" t="str">
        <f ca="1">IFERROR(__xludf.DUMMYFUNCTION("""COMPUTED_VALUE"""),"P024588")</f>
        <v>P024588</v>
      </c>
      <c r="D133" s="2" t="str">
        <f ca="1">IFERROR(__xludf.DUMMYFUNCTION("""COMPUTED_VALUE"""),"MILLA LEON, JASON BRUNO")</f>
        <v>MILLA LEON, JASON BRUNO</v>
      </c>
      <c r="E133" s="2" t="str">
        <f ca="1">IFERROR(__xludf.DUMMYFUNCTION("""COMPUTED_VALUE"""),"JASON.MILLA@BBVA.COM")</f>
        <v>JASON.MILLA@BBVA.COM</v>
      </c>
      <c r="F133" s="2" t="str">
        <f ca="1">IFERROR(__xludf.DUMMYFUNCTION("""COMPUTED_VALUE"""),"(B412)SUB GERENTE DE OFICINA B")</f>
        <v>(B412)SUB GERENTE DE OFICINA B</v>
      </c>
      <c r="G133" s="2" t="str">
        <f ca="1">IFERROR(__xludf.DUMMYFUNCTION("""COMPUTED_VALUE"""),"OFICINA SAN FELIPE")</f>
        <v>OFICINA SAN FELIPE</v>
      </c>
    </row>
    <row r="134" spans="1:7" x14ac:dyDescent="0.25">
      <c r="A134" s="2" t="str">
        <f ca="1">IFERROR(__xludf.DUMMYFUNCTION("""COMPUTED_VALUE"""),"0186")</f>
        <v>0186</v>
      </c>
      <c r="B134" s="2" t="str">
        <f ca="1">IFERROR(__xludf.DUMMYFUNCTION("""COMPUTED_VALUE"""),"OFICINA LA RAMBLA")</f>
        <v>OFICINA LA RAMBLA</v>
      </c>
      <c r="C134" s="2" t="str">
        <f ca="1">IFERROR(__xludf.DUMMYFUNCTION("""COMPUTED_VALUE"""),"P021951")</f>
        <v>P021951</v>
      </c>
      <c r="D134" s="2" t="str">
        <f ca="1">IFERROR(__xludf.DUMMYFUNCTION("""COMPUTED_VALUE"""),"SURCO FLORES, MILUSKA ALEXANDRA")</f>
        <v>SURCO FLORES, MILUSKA ALEXANDRA</v>
      </c>
      <c r="E134" s="2" t="str">
        <f ca="1">IFERROR(__xludf.DUMMYFUNCTION("""COMPUTED_VALUE"""),"MILUSKA.SURCO@BBVA.COM")</f>
        <v>MILUSKA.SURCO@BBVA.COM</v>
      </c>
      <c r="F134" s="2" t="str">
        <f ca="1">IFERROR(__xludf.DUMMYFUNCTION("""COMPUTED_VALUE"""),"(B412)SUB GERENTE DE OFICINA B")</f>
        <v>(B412)SUB GERENTE DE OFICINA B</v>
      </c>
      <c r="G134" s="2" t="str">
        <f ca="1">IFERROR(__xludf.DUMMYFUNCTION("""COMPUTED_VALUE"""),"OFICINA LA RAMBLA")</f>
        <v>OFICINA LA RAMBLA</v>
      </c>
    </row>
    <row r="135" spans="1:7" x14ac:dyDescent="0.25">
      <c r="A135" s="2" t="str">
        <f ca="1">IFERROR(__xludf.DUMMYFUNCTION("""COMPUTED_VALUE"""),"0187")</f>
        <v>0187</v>
      </c>
      <c r="B135" s="2" t="str">
        <f ca="1">IFERROR(__xludf.DUMMYFUNCTION("""COMPUTED_VALUE"""),"OFICINA ARAMBURÚ")</f>
        <v>OFICINA ARAMBURÚ</v>
      </c>
      <c r="C135" s="2" t="str">
        <f ca="1">IFERROR(__xludf.DUMMYFUNCTION("""COMPUTED_VALUE"""),"P019544")</f>
        <v>P019544</v>
      </c>
      <c r="D135" s="2" t="str">
        <f ca="1">IFERROR(__xludf.DUMMYFUNCTION("""COMPUTED_VALUE"""),"VALDIVIESO ZUÑE, ROSARIO ISABEL")</f>
        <v>VALDIVIESO ZUÑE, ROSARIO ISABEL</v>
      </c>
      <c r="E135" s="2" t="str">
        <f ca="1">IFERROR(__xludf.DUMMYFUNCTION("""COMPUTED_VALUE"""),"ROSARIO.VALDIVIESO@BBVA.COM")</f>
        <v>ROSARIO.VALDIVIESO@BBVA.COM</v>
      </c>
      <c r="F135" s="2" t="str">
        <f ca="1">IFERROR(__xludf.DUMMYFUNCTION("""COMPUTED_VALUE"""),"(B413)SUB GERENTE DE OFICINA C")</f>
        <v>(B413)SUB GERENTE DE OFICINA C</v>
      </c>
      <c r="G135" s="2" t="str">
        <f ca="1">IFERROR(__xludf.DUMMYFUNCTION("""COMPUTED_VALUE"""),"OFICINA ARAMBURU")</f>
        <v>OFICINA ARAMBURU</v>
      </c>
    </row>
    <row r="136" spans="1:7" x14ac:dyDescent="0.25">
      <c r="A136" s="2" t="str">
        <f ca="1">IFERROR(__xludf.DUMMYFUNCTION("""COMPUTED_VALUE"""),"0189")</f>
        <v>0189</v>
      </c>
      <c r="B136" s="2" t="str">
        <f ca="1">IFERROR(__xludf.DUMMYFUNCTION("""COMPUTED_VALUE"""),"OFICINA DOS DE MAYO")</f>
        <v>OFICINA DOS DE MAYO</v>
      </c>
      <c r="C136" s="2" t="str">
        <f ca="1">IFERROR(__xludf.DUMMYFUNCTION("""COMPUTED_VALUE"""),"P026625")</f>
        <v>P026625</v>
      </c>
      <c r="D136" s="2" t="str">
        <f ca="1">IFERROR(__xludf.DUMMYFUNCTION("""COMPUTED_VALUE"""),"VELASQUEZ PACHECO, ESTEFANY CARLOTA")</f>
        <v>VELASQUEZ PACHECO, ESTEFANY CARLOTA</v>
      </c>
      <c r="E136" s="2" t="str">
        <f ca="1">IFERROR(__xludf.DUMMYFUNCTION("""COMPUTED_VALUE"""),"ESTEFANY.VELASQUEZ@BBVA.COM")</f>
        <v>ESTEFANY.VELASQUEZ@BBVA.COM</v>
      </c>
      <c r="F136" s="2" t="str">
        <f ca="1">IFERROR(__xludf.DUMMYFUNCTION("""COMPUTED_VALUE"""),"(B413)SUB GERENTE DE OFICINA C")</f>
        <v>(B413)SUB GERENTE DE OFICINA C</v>
      </c>
      <c r="G136" s="2" t="str">
        <f ca="1">IFERROR(__xludf.DUMMYFUNCTION("""COMPUTED_VALUE"""),"OFICINA DOS DE MAYO")</f>
        <v>OFICINA DOS DE MAYO</v>
      </c>
    </row>
    <row r="137" spans="1:7" x14ac:dyDescent="0.25">
      <c r="A137" s="2" t="str">
        <f ca="1">IFERROR(__xludf.DUMMYFUNCTION("""COMPUTED_VALUE"""),"0190")</f>
        <v>0190</v>
      </c>
      <c r="B137" s="2" t="str">
        <f ca="1">IFERROR(__xludf.DUMMYFUNCTION("""COMPUTED_VALUE"""),"OFICINA C.C. SAN MIGUEL 1")</f>
        <v>OFICINA C.C. SAN MIGUEL 1</v>
      </c>
      <c r="C137" s="2" t="str">
        <f ca="1">IFERROR(__xludf.DUMMYFUNCTION("""COMPUTED_VALUE"""),"P015706")</f>
        <v>P015706</v>
      </c>
      <c r="D137" s="2" t="str">
        <f ca="1">IFERROR(__xludf.DUMMYFUNCTION("""COMPUTED_VALUE"""),"ORTIZ HURTADO, CARLOS ALBERTO")</f>
        <v>ORTIZ HURTADO, CARLOS ALBERTO</v>
      </c>
      <c r="E137" s="2" t="str">
        <f ca="1">IFERROR(__xludf.DUMMYFUNCTION("""COMPUTED_VALUE"""),"CAORTIZ@BBVA.COM")</f>
        <v>CAORTIZ@BBVA.COM</v>
      </c>
      <c r="F137" s="2" t="str">
        <f ca="1">IFERROR(__xludf.DUMMYFUNCTION("""COMPUTED_VALUE"""),"(B412)SUB GERENTE DE OFICINA B")</f>
        <v>(B412)SUB GERENTE DE OFICINA B</v>
      </c>
      <c r="G137" s="2" t="str">
        <f ca="1">IFERROR(__xludf.DUMMYFUNCTION("""COMPUTED_VALUE"""),"OFICINA CENTRO COMERCIAL SAN MIGUEL 1")</f>
        <v>OFICINA CENTRO COMERCIAL SAN MIGUEL 1</v>
      </c>
    </row>
    <row r="138" spans="1:7" x14ac:dyDescent="0.25">
      <c r="A138" s="2" t="str">
        <f ca="1">IFERROR(__xludf.DUMMYFUNCTION("""COMPUTED_VALUE"""),"0192")</f>
        <v>0192</v>
      </c>
      <c r="B138" s="2" t="str">
        <f ca="1">IFERROR(__xludf.DUMMYFUNCTION("""COMPUTED_VALUE"""),"OFICINA BELLAVISTA")</f>
        <v>OFICINA BELLAVISTA</v>
      </c>
      <c r="C138" s="2" t="str">
        <f ca="1">IFERROR(__xludf.DUMMYFUNCTION("""COMPUTED_VALUE"""),"P018665")</f>
        <v>P018665</v>
      </c>
      <c r="D138" s="2" t="str">
        <f ca="1">IFERROR(__xludf.DUMMYFUNCTION("""COMPUTED_VALUE"""),"MALAGA MONCADA, DAVID JESUS")</f>
        <v>MALAGA MONCADA, DAVID JESUS</v>
      </c>
      <c r="E138" s="2" t="str">
        <f ca="1">IFERROR(__xludf.DUMMYFUNCTION("""COMPUTED_VALUE"""),"DMALAGA@BBVA.COM")</f>
        <v>DMALAGA@BBVA.COM</v>
      </c>
      <c r="F138" s="2" t="str">
        <f ca="1">IFERROR(__xludf.DUMMYFUNCTION("""COMPUTED_VALUE"""),"(B414)SUB GERENTE DE OFICINA D")</f>
        <v>(B414)SUB GERENTE DE OFICINA D</v>
      </c>
      <c r="G138" s="2" t="str">
        <f ca="1">IFERROR(__xludf.DUMMYFUNCTION("""COMPUTED_VALUE"""),"OFICINA BELLAVISTA - CALLAO")</f>
        <v>OFICINA BELLAVISTA - CALLAO</v>
      </c>
    </row>
    <row r="139" spans="1:7" x14ac:dyDescent="0.25">
      <c r="A139" s="2" t="str">
        <f ca="1">IFERROR(__xludf.DUMMYFUNCTION("""COMPUTED_VALUE"""),"0194")</f>
        <v>0194</v>
      </c>
      <c r="B139" s="2" t="str">
        <f ca="1">IFERROR(__xludf.DUMMYFUNCTION("""COMPUTED_VALUE"""),"OFICINA CHACARILLA")</f>
        <v>OFICINA CHACARILLA</v>
      </c>
      <c r="C139" s="2" t="str">
        <f ca="1">IFERROR(__xludf.DUMMYFUNCTION("""COMPUTED_VALUE"""),"P015880")</f>
        <v>P015880</v>
      </c>
      <c r="D139" s="2" t="str">
        <f ca="1">IFERROR(__xludf.DUMMYFUNCTION("""COMPUTED_VALUE"""),"DE LA PUENTE CORTEZ, DAFNE CRISTINA")</f>
        <v>DE LA PUENTE CORTEZ, DAFNE CRISTINA</v>
      </c>
      <c r="E139" s="2" t="str">
        <f ca="1">IFERROR(__xludf.DUMMYFUNCTION("""COMPUTED_VALUE"""),"DDELAPUENTE@BBVA.COM")</f>
        <v>DDELAPUENTE@BBVA.COM</v>
      </c>
      <c r="F139" s="2" t="str">
        <f ca="1">IFERROR(__xludf.DUMMYFUNCTION("""COMPUTED_VALUE"""),"(B416)SUB GERENTE DE OFICINA A2")</f>
        <v>(B416)SUB GERENTE DE OFICINA A2</v>
      </c>
      <c r="G139" s="2" t="str">
        <f ca="1">IFERROR(__xludf.DUMMYFUNCTION("""COMPUTED_VALUE"""),"OFICINA CHACARILLA")</f>
        <v>OFICINA CHACARILLA</v>
      </c>
    </row>
    <row r="140" spans="1:7" x14ac:dyDescent="0.25">
      <c r="A140" s="2" t="str">
        <f ca="1">IFERROR(__xludf.DUMMYFUNCTION("""COMPUTED_VALUE"""),"0195")</f>
        <v>0195</v>
      </c>
      <c r="B140" s="2" t="str">
        <f ca="1">IFERROR(__xludf.DUMMYFUNCTION("""COMPUTED_VALUE"""),"OFICINA CUARTEL GENERAL DEL EJÉRCITO")</f>
        <v>OFICINA CUARTEL GENERAL DEL EJÉRCITO</v>
      </c>
      <c r="C140" s="2" t="str">
        <f ca="1">IFERROR(__xludf.DUMMYFUNCTION("""COMPUTED_VALUE"""),"P018652")</f>
        <v>P018652</v>
      </c>
      <c r="D140" s="2" t="str">
        <f ca="1">IFERROR(__xludf.DUMMYFUNCTION("""COMPUTED_VALUE"""),"ARIAS CHOLAN, WENDY YORDAN")</f>
        <v>ARIAS CHOLAN, WENDY YORDAN</v>
      </c>
      <c r="E140" s="2" t="str">
        <f ca="1">IFERROR(__xludf.DUMMYFUNCTION("""COMPUTED_VALUE"""),"WARIASCH@BBVA.COM")</f>
        <v>WARIASCH@BBVA.COM</v>
      </c>
      <c r="F140" s="2" t="str">
        <f ca="1">IFERROR(__xludf.DUMMYFUNCTION("""COMPUTED_VALUE"""),"(B412)SUB GERENTE DE OFICINA B")</f>
        <v>(B412)SUB GERENTE DE OFICINA B</v>
      </c>
      <c r="G140" s="2" t="str">
        <f ca="1">IFERROR(__xludf.DUMMYFUNCTION("""COMPUTED_VALUE"""),"OFICINA CUARTEL GENERAL DEL EJERCITO")</f>
        <v>OFICINA CUARTEL GENERAL DEL EJERCITO</v>
      </c>
    </row>
    <row r="141" spans="1:7" x14ac:dyDescent="0.25">
      <c r="A141" s="2" t="str">
        <f ca="1">IFERROR(__xludf.DUMMYFUNCTION("""COMPUTED_VALUE"""),"0196")</f>
        <v>0196</v>
      </c>
      <c r="B141" s="2" t="str">
        <f ca="1">IFERROR(__xludf.DUMMYFUNCTION("""COMPUTED_VALUE"""),"OFICINA SAN MARTIN DE PORRES")</f>
        <v>OFICINA SAN MARTIN DE PORRES</v>
      </c>
      <c r="C141" s="2" t="str">
        <f ca="1">IFERROR(__xludf.DUMMYFUNCTION("""COMPUTED_VALUE"""),"P008145")</f>
        <v>P008145</v>
      </c>
      <c r="D141" s="2" t="str">
        <f ca="1">IFERROR(__xludf.DUMMYFUNCTION("""COMPUTED_VALUE"""),"CARRILLO ROJAS, ROSANA MARIELA")</f>
        <v>CARRILLO ROJAS, ROSANA MARIELA</v>
      </c>
      <c r="E141" s="2" t="str">
        <f ca="1">IFERROR(__xludf.DUMMYFUNCTION("""COMPUTED_VALUE"""),"RCARRILLO@BBVA.COM")</f>
        <v>RCARRILLO@BBVA.COM</v>
      </c>
      <c r="F141" s="2" t="str">
        <f ca="1">IFERROR(__xludf.DUMMYFUNCTION("""COMPUTED_VALUE"""),"(B415)SUB GERENTE DE OFICINA E")</f>
        <v>(B415)SUB GERENTE DE OFICINA E</v>
      </c>
      <c r="G141" s="2" t="str">
        <f ca="1">IFERROR(__xludf.DUMMYFUNCTION("""COMPUTED_VALUE"""),"OFICINA SAN MARTIN DE PORRAS")</f>
        <v>OFICINA SAN MARTIN DE PORRAS</v>
      </c>
    </row>
    <row r="142" spans="1:7" x14ac:dyDescent="0.25">
      <c r="A142" s="2" t="str">
        <f ca="1">IFERROR(__xludf.DUMMYFUNCTION("""COMPUTED_VALUE"""),"0197")</f>
        <v>0197</v>
      </c>
      <c r="B142" s="2" t="str">
        <f ca="1">IFERROR(__xludf.DUMMYFUNCTION("""COMPUTED_VALUE"""),"OFICINA NICOLÁS ARRIOLA 2")</f>
        <v>OFICINA NICOLÁS ARRIOLA 2</v>
      </c>
      <c r="C142" s="2" t="str">
        <f ca="1">IFERROR(__xludf.DUMMYFUNCTION("""COMPUTED_VALUE"""),"P008659")</f>
        <v>P008659</v>
      </c>
      <c r="D142" s="2" t="str">
        <f ca="1">IFERROR(__xludf.DUMMYFUNCTION("""COMPUTED_VALUE"""),"LEVANO CALDERON, OLGA MONICA")</f>
        <v>LEVANO CALDERON, OLGA MONICA</v>
      </c>
      <c r="E142" s="2" t="str">
        <f ca="1">IFERROR(__xludf.DUMMYFUNCTION("""COMPUTED_VALUE"""),"OLEVANO@BBVA.COM")</f>
        <v>OLEVANO@BBVA.COM</v>
      </c>
      <c r="F142" s="2" t="str">
        <f ca="1">IFERROR(__xludf.DUMMYFUNCTION("""COMPUTED_VALUE"""),"(B414)SUB GERENTE DE OFICINA D")</f>
        <v>(B414)SUB GERENTE DE OFICINA D</v>
      </c>
      <c r="G142" s="2" t="str">
        <f ca="1">IFERROR(__xludf.DUMMYFUNCTION("""COMPUTED_VALUE"""),"OFICINA NICOLAS ARRIOLA 2")</f>
        <v>OFICINA NICOLAS ARRIOLA 2</v>
      </c>
    </row>
    <row r="143" spans="1:7" x14ac:dyDescent="0.25">
      <c r="A143" s="2" t="str">
        <f ca="1">IFERROR(__xludf.DUMMYFUNCTION("""COMPUTED_VALUE"""),"0199")</f>
        <v>0199</v>
      </c>
      <c r="B143" s="2" t="str">
        <f ca="1">IFERROR(__xludf.DUMMYFUNCTION("""COMPUTED_VALUE"""),"OFICINA UNO")</f>
        <v>OFICINA UNO</v>
      </c>
      <c r="C143" s="2" t="str">
        <f ca="1">IFERROR(__xludf.DUMMYFUNCTION("""COMPUTED_VALUE"""),"P005397")</f>
        <v>P005397</v>
      </c>
      <c r="D143" s="2" t="str">
        <f ca="1">IFERROR(__xludf.DUMMYFUNCTION("""COMPUTED_VALUE"""),"ALTAMIRANO GUEVARA, MARIA DEL PILAR")</f>
        <v>ALTAMIRANO GUEVARA, MARIA DEL PILAR</v>
      </c>
      <c r="E143" s="2" t="str">
        <f ca="1">IFERROR(__xludf.DUMMYFUNCTION("""COMPUTED_VALUE"""),"P_ALTAMIRANO@BBVA.COM")</f>
        <v>P_ALTAMIRANO@BBVA.COM</v>
      </c>
      <c r="F143" s="2" t="str">
        <f ca="1">IFERROR(__xludf.DUMMYFUNCTION("""COMPUTED_VALUE"""),"(PJ50)SUB GERENTE OFICINA UNO 1")</f>
        <v>(PJ50)SUB GERENTE OFICINA UNO 1</v>
      </c>
      <c r="G143" s="2" t="str">
        <f ca="1">IFERROR(__xludf.DUMMYFUNCTION("""COMPUTED_VALUE"""),"OFICINA UNO")</f>
        <v>OFICINA UNO</v>
      </c>
    </row>
    <row r="144" spans="1:7" x14ac:dyDescent="0.25">
      <c r="A144" s="2" t="str">
        <f ca="1">IFERROR(__xludf.DUMMYFUNCTION("""COMPUTED_VALUE"""),"0200")</f>
        <v>0200</v>
      </c>
      <c r="B144" s="2" t="str">
        <f ca="1">IFERROR(__xludf.DUMMYFUNCTION("""COMPUTED_VALUE"""),"OFICINA CUSCO")</f>
        <v>OFICINA CUSCO</v>
      </c>
      <c r="C144" s="2" t="str">
        <f ca="1">IFERROR(__xludf.DUMMYFUNCTION("""COMPUTED_VALUE"""),"P019989")</f>
        <v>P019989</v>
      </c>
      <c r="D144" s="2" t="str">
        <f ca="1">IFERROR(__xludf.DUMMYFUNCTION("""COMPUTED_VALUE"""),"CRUZ QUISPE, GARDENIA NATIVIDAD")</f>
        <v>CRUZ QUISPE, GARDENIA NATIVIDAD</v>
      </c>
      <c r="E144" s="2" t="str">
        <f ca="1">IFERROR(__xludf.DUMMYFUNCTION("""COMPUTED_VALUE"""),"GARDENIA.CRUZ@BBVA.COM")</f>
        <v>GARDENIA.CRUZ@BBVA.COM</v>
      </c>
      <c r="F144" s="2" t="str">
        <f ca="1">IFERROR(__xludf.DUMMYFUNCTION("""COMPUTED_VALUE"""),"(B416)SUB GERENTE DE OFICINA A2")</f>
        <v>(B416)SUB GERENTE DE OFICINA A2</v>
      </c>
      <c r="G144" s="2" t="str">
        <f ca="1">IFERROR(__xludf.DUMMYFUNCTION("""COMPUTED_VALUE"""),"OFICINA CUSCO")</f>
        <v>OFICINA CUSCO</v>
      </c>
    </row>
    <row r="145" spans="1:7" x14ac:dyDescent="0.25">
      <c r="A145" s="2" t="str">
        <f ca="1">IFERROR(__xludf.DUMMYFUNCTION("""COMPUTED_VALUE"""),"0201")</f>
        <v>0201</v>
      </c>
      <c r="B145" s="2" t="str">
        <f ca="1">IFERROR(__xludf.DUMMYFUNCTION("""COMPUTED_VALUE"""),"OFICINA WANCHAQ")</f>
        <v>OFICINA WANCHAQ</v>
      </c>
      <c r="C145" s="2" t="str">
        <f ca="1">IFERROR(__xludf.DUMMYFUNCTION("""COMPUTED_VALUE"""),"P021597")</f>
        <v>P021597</v>
      </c>
      <c r="D145" s="2" t="str">
        <f ca="1">IFERROR(__xludf.DUMMYFUNCTION("""COMPUTED_VALUE"""),"LLICA HUAMAN, MARIA PILAR")</f>
        <v>LLICA HUAMAN, MARIA PILAR</v>
      </c>
      <c r="E145" s="2" t="str">
        <f ca="1">IFERROR(__xludf.DUMMYFUNCTION("""COMPUTED_VALUE"""),"MARIA.LLICA@BBVA.COM")</f>
        <v>MARIA.LLICA@BBVA.COM</v>
      </c>
      <c r="F145" s="2" t="str">
        <f ca="1">IFERROR(__xludf.DUMMYFUNCTION("""COMPUTED_VALUE"""),"(B414)SUB GERENTE DE OFICINA D")</f>
        <v>(B414)SUB GERENTE DE OFICINA D</v>
      </c>
      <c r="G145" s="2" t="str">
        <f ca="1">IFERROR(__xludf.DUMMYFUNCTION("""COMPUTED_VALUE"""),"OFICINA WANCHAQ")</f>
        <v>OFICINA WANCHAQ</v>
      </c>
    </row>
    <row r="146" spans="1:7" x14ac:dyDescent="0.25">
      <c r="A146" s="2" t="str">
        <f ca="1">IFERROR(__xludf.DUMMYFUNCTION("""COMPUTED_VALUE"""),"0202")</f>
        <v>0202</v>
      </c>
      <c r="B146" s="2" t="str">
        <f ca="1">IFERROR(__xludf.DUMMYFUNCTION("""COMPUTED_VALUE"""),"OFICINA AYACUCHO")</f>
        <v>OFICINA AYACUCHO</v>
      </c>
      <c r="C146" s="2" t="str">
        <f ca="1">IFERROR(__xludf.DUMMYFUNCTION("""COMPUTED_VALUE"""),"P015851")</f>
        <v>P015851</v>
      </c>
      <c r="D146" s="2" t="str">
        <f ca="1">IFERROR(__xludf.DUMMYFUNCTION("""COMPUTED_VALUE"""),"CAÑARI BOGO, JOHN CESAR")</f>
        <v>CAÑARI BOGO, JOHN CESAR</v>
      </c>
      <c r="E146" s="2" t="str">
        <f ca="1">IFERROR(__xludf.DUMMYFUNCTION("""COMPUTED_VALUE"""),"JCANARI@BBVA.COM")</f>
        <v>JCANARI@BBVA.COM</v>
      </c>
      <c r="F146" s="2" t="str">
        <f ca="1">IFERROR(__xludf.DUMMYFUNCTION("""COMPUTED_VALUE"""),"(B413)SUB GERENTE DE OFICINA C")</f>
        <v>(B413)SUB GERENTE DE OFICINA C</v>
      </c>
      <c r="G146" s="2" t="str">
        <f ca="1">IFERROR(__xludf.DUMMYFUNCTION("""COMPUTED_VALUE"""),"OFICINA AYACUCHO")</f>
        <v>OFICINA AYACUCHO</v>
      </c>
    </row>
    <row r="147" spans="1:7" x14ac:dyDescent="0.25">
      <c r="A147" s="2" t="str">
        <f ca="1">IFERROR(__xludf.DUMMYFUNCTION("""COMPUTED_VALUE"""),"0203")</f>
        <v>0203</v>
      </c>
      <c r="B147" s="2" t="str">
        <f ca="1">IFERROR(__xludf.DUMMYFUNCTION("""COMPUTED_VALUE"""),"OFICINA SAN MARTIN (ICA)")</f>
        <v>OFICINA SAN MARTIN (ICA)</v>
      </c>
      <c r="C147" s="2" t="str">
        <f ca="1">IFERROR(__xludf.DUMMYFUNCTION("""COMPUTED_VALUE"""),"P020708")</f>
        <v>P020708</v>
      </c>
      <c r="D147" s="2" t="str">
        <f ca="1">IFERROR(__xludf.DUMMYFUNCTION("""COMPUTED_VALUE"""),"LINARES GOMEZ, MARIA DE FATIMA")</f>
        <v>LINARES GOMEZ, MARIA DE FATIMA</v>
      </c>
      <c r="E147" s="2" t="str">
        <f ca="1">IFERROR(__xludf.DUMMYFUNCTION("""COMPUTED_VALUE"""),"MARIA.LINARES@BBVA.COM")</f>
        <v>MARIA.LINARES@BBVA.COM</v>
      </c>
      <c r="F147" s="2" t="str">
        <f ca="1">IFERROR(__xludf.DUMMYFUNCTION("""COMPUTED_VALUE"""),"(B413)SUB GERENTE DE OFICINA C")</f>
        <v>(B413)SUB GERENTE DE OFICINA C</v>
      </c>
      <c r="G147" s="2" t="str">
        <f ca="1">IFERROR(__xludf.DUMMYFUNCTION("""COMPUTED_VALUE"""),"OFICINA SAN MARTIN")</f>
        <v>OFICINA SAN MARTIN</v>
      </c>
    </row>
    <row r="148" spans="1:7" x14ac:dyDescent="0.25">
      <c r="A148" s="2" t="str">
        <f ca="1">IFERROR(__xludf.DUMMYFUNCTION("""COMPUTED_VALUE"""),"0205")</f>
        <v>0205</v>
      </c>
      <c r="B148" s="2" t="str">
        <f ca="1">IFERROR(__xludf.DUMMYFUNCTION("""COMPUTED_VALUE"""),"OFICINA TINTAYA")</f>
        <v>OFICINA TINTAYA</v>
      </c>
      <c r="C148" s="2" t="str">
        <f ca="1">IFERROR(__xludf.DUMMYFUNCTION("""COMPUTED_VALUE"""),"P008860")</f>
        <v>P008860</v>
      </c>
      <c r="D148" s="2" t="str">
        <f ca="1">IFERROR(__xludf.DUMMYFUNCTION("""COMPUTED_VALUE"""),"BENITES CASTILLO, ELSA")</f>
        <v>BENITES CASTILLO, ELSA</v>
      </c>
      <c r="E148" s="2" t="str">
        <f ca="1">IFERROR(__xludf.DUMMYFUNCTION("""COMPUTED_VALUE"""),"EBENITES@BBVA.COM")</f>
        <v>EBENITES@BBVA.COM</v>
      </c>
      <c r="F148" s="2" t="str">
        <f ca="1">IFERROR(__xludf.DUMMYFUNCTION("""COMPUTED_VALUE"""),"(B414)SUB GERENTE DE OFICINA D")</f>
        <v>(B414)SUB GERENTE DE OFICINA D</v>
      </c>
      <c r="G148" s="2" t="str">
        <f ca="1">IFERROR(__xludf.DUMMYFUNCTION("""COMPUTED_VALUE"""),"OFICINA TINTAYA")</f>
        <v>OFICINA TINTAYA</v>
      </c>
    </row>
    <row r="149" spans="1:7" x14ac:dyDescent="0.25">
      <c r="A149" s="2" t="str">
        <f ca="1">IFERROR(__xludf.DUMMYFUNCTION("""COMPUTED_VALUE"""),"0208")</f>
        <v>0208</v>
      </c>
      <c r="B149" s="2" t="str">
        <f ca="1">IFERROR(__xludf.DUMMYFUNCTION("""COMPUTED_VALUE"""),"OFICINA HUAYRUROPATA")</f>
        <v>OFICINA HUAYRUROPATA</v>
      </c>
      <c r="C149" s="2" t="str">
        <f ca="1">IFERROR(__xludf.DUMMYFUNCTION("""COMPUTED_VALUE"""),"P027875")</f>
        <v>P027875</v>
      </c>
      <c r="D149" s="2" t="str">
        <f ca="1">IFERROR(__xludf.DUMMYFUNCTION("""COMPUTED_VALUE"""),"CHACON ARAOZ, KIARA FERNANDA")</f>
        <v>CHACON ARAOZ, KIARA FERNANDA</v>
      </c>
      <c r="E149" s="2" t="str">
        <f ca="1">IFERROR(__xludf.DUMMYFUNCTION("""COMPUTED_VALUE"""),"KIARA.CHACON@BBVA.COM")</f>
        <v>KIARA.CHACON@BBVA.COM</v>
      </c>
      <c r="F149" s="2" t="str">
        <f ca="1">IFERROR(__xludf.DUMMYFUNCTION("""COMPUTED_VALUE"""),"(B417)SUB GERENTE DE OFICINA F")</f>
        <v>(B417)SUB GERENTE DE OFICINA F</v>
      </c>
      <c r="G149" s="2" t="str">
        <f ca="1">IFERROR(__xludf.DUMMYFUNCTION("""COMPUTED_VALUE"""),"OFICINA HUAYRUROPATA")</f>
        <v>OFICINA HUAYRUROPATA</v>
      </c>
    </row>
    <row r="150" spans="1:7" x14ac:dyDescent="0.25">
      <c r="A150" s="2" t="str">
        <f ca="1">IFERROR(__xludf.DUMMYFUNCTION("""COMPUTED_VALUE"""),"0210")</f>
        <v>0210</v>
      </c>
      <c r="B150" s="2" t="str">
        <f ca="1">IFERROR(__xludf.DUMMYFUNCTION("""COMPUTED_VALUE"""),"OFICINA HUÁNUCO")</f>
        <v>OFICINA HUÁNUCO</v>
      </c>
      <c r="C150" s="2" t="str">
        <f ca="1">IFERROR(__xludf.DUMMYFUNCTION("""COMPUTED_VALUE"""),"P021026")</f>
        <v>P021026</v>
      </c>
      <c r="D150" s="2" t="str">
        <f ca="1">IFERROR(__xludf.DUMMYFUNCTION("""COMPUTED_VALUE"""),"RAMIREZ PINEDO, SHASHA")</f>
        <v>RAMIREZ PINEDO, SHASHA</v>
      </c>
      <c r="E150" s="2" t="str">
        <f ca="1">IFERROR(__xludf.DUMMYFUNCTION("""COMPUTED_VALUE"""),"SHASHA.RAMIREZ@BBVA.COM")</f>
        <v>SHASHA.RAMIREZ@BBVA.COM</v>
      </c>
      <c r="F150" s="2" t="str">
        <f ca="1">IFERROR(__xludf.DUMMYFUNCTION("""COMPUTED_VALUE"""),"(B416)SUB GERENTE DE OFICINA A2")</f>
        <v>(B416)SUB GERENTE DE OFICINA A2</v>
      </c>
      <c r="G150" s="2" t="str">
        <f ca="1">IFERROR(__xludf.DUMMYFUNCTION("""COMPUTED_VALUE"""),"OFICINA HUANUCO")</f>
        <v>OFICINA HUANUCO</v>
      </c>
    </row>
    <row r="151" spans="1:7" x14ac:dyDescent="0.25">
      <c r="A151" s="2" t="str">
        <f ca="1">IFERROR(__xludf.DUMMYFUNCTION("""COMPUTED_VALUE"""),"0211")</f>
        <v>0211</v>
      </c>
      <c r="B151" s="2" t="str">
        <f ca="1">IFERROR(__xludf.DUMMYFUNCTION("""COMPUTED_VALUE"""),"OFICINA CAÑETE")</f>
        <v>OFICINA CAÑETE</v>
      </c>
      <c r="C151" s="2" t="str">
        <f ca="1">IFERROR(__xludf.DUMMYFUNCTION("""COMPUTED_VALUE"""),"P014561")</f>
        <v>P014561</v>
      </c>
      <c r="D151" s="2" t="str">
        <f ca="1">IFERROR(__xludf.DUMMYFUNCTION("""COMPUTED_VALUE"""),"ZEGARRA ALIAGA, ANA GLORIA")</f>
        <v>ZEGARRA ALIAGA, ANA GLORIA</v>
      </c>
      <c r="E151" s="2" t="str">
        <f ca="1">IFERROR(__xludf.DUMMYFUNCTION("""COMPUTED_VALUE"""),"AGZEGARRA@BBVA.COM")</f>
        <v>AGZEGARRA@BBVA.COM</v>
      </c>
      <c r="F151" s="2" t="str">
        <f ca="1">IFERROR(__xludf.DUMMYFUNCTION("""COMPUTED_VALUE"""),"(B415)SUB GERENTE DE OFICINA E")</f>
        <v>(B415)SUB GERENTE DE OFICINA E</v>
      </c>
      <c r="G151" s="2" t="str">
        <f ca="1">IFERROR(__xludf.DUMMYFUNCTION("""COMPUTED_VALUE"""),"OFICINA CAÑETE")</f>
        <v>OFICINA CAÑETE</v>
      </c>
    </row>
    <row r="152" spans="1:7" x14ac:dyDescent="0.25">
      <c r="A152" s="2" t="str">
        <f ca="1">IFERROR(__xludf.DUMMYFUNCTION("""COMPUTED_VALUE"""),"0214")</f>
        <v>0214</v>
      </c>
      <c r="B152" s="2" t="str">
        <f ca="1">IFERROR(__xludf.DUMMYFUNCTION("""COMPUTED_VALUE"""),"OFICINA UNIVERSITARIA-FREIRE")</f>
        <v>OFICINA UNIVERSITARIA-FREIRE</v>
      </c>
      <c r="C152" s="2" t="str">
        <f ca="1">IFERROR(__xludf.DUMMYFUNCTION("""COMPUTED_VALUE"""),"P024735")</f>
        <v>P024735</v>
      </c>
      <c r="D152" s="2" t="str">
        <f ca="1">IFERROR(__xludf.DUMMYFUNCTION("""COMPUTED_VALUE"""),"CAPCHA PACHERREZ, CLAUDIA MELISSA")</f>
        <v>CAPCHA PACHERREZ, CLAUDIA MELISSA</v>
      </c>
      <c r="E152" s="2" t="str">
        <f ca="1">IFERROR(__xludf.DUMMYFUNCTION("""COMPUTED_VALUE"""),"CLAUDIA.CAPCHA@BBVA.COM")</f>
        <v>CLAUDIA.CAPCHA@BBVA.COM</v>
      </c>
      <c r="F152" s="2" t="str">
        <f ca="1">IFERROR(__xludf.DUMMYFUNCTION("""COMPUTED_VALUE"""),"(B414)SUB GERENTE DE OFICINA D")</f>
        <v>(B414)SUB GERENTE DE OFICINA D</v>
      </c>
      <c r="G152" s="2" t="str">
        <f ca="1">IFERROR(__xludf.DUMMYFUNCTION("""COMPUTED_VALUE"""),"OFICINA UNIVERSITARIA FREIRE")</f>
        <v>OFICINA UNIVERSITARIA FREIRE</v>
      </c>
    </row>
    <row r="153" spans="1:7" x14ac:dyDescent="0.25">
      <c r="A153" s="2" t="str">
        <f ca="1">IFERROR(__xludf.DUMMYFUNCTION("""COMPUTED_VALUE"""),"0215")</f>
        <v>0215</v>
      </c>
      <c r="B153" s="2" t="str">
        <f ca="1">IFERROR(__xludf.DUMMYFUNCTION("""COMPUTED_VALUE"""),"OFICINA CHINCHA")</f>
        <v>OFICINA CHINCHA</v>
      </c>
      <c r="C153" s="2" t="str">
        <f ca="1">IFERROR(__xludf.DUMMYFUNCTION("""COMPUTED_VALUE"""),"P024990")</f>
        <v>P024990</v>
      </c>
      <c r="D153" s="2" t="str">
        <f ca="1">IFERROR(__xludf.DUMMYFUNCTION("""COMPUTED_VALUE"""),"SANTIVAÑEZ MARTINEZ, PEDRO PABLO")</f>
        <v>SANTIVAÑEZ MARTINEZ, PEDRO PABLO</v>
      </c>
      <c r="E153" s="2" t="str">
        <f ca="1">IFERROR(__xludf.DUMMYFUNCTION("""COMPUTED_VALUE"""),"PEDRO.SANTIVANEZ@BBVA.COM")</f>
        <v>PEDRO.SANTIVANEZ@BBVA.COM</v>
      </c>
      <c r="F153" s="2" t="str">
        <f ca="1">IFERROR(__xludf.DUMMYFUNCTION("""COMPUTED_VALUE"""),"(B413)SUB GERENTE DE OFICINA C")</f>
        <v>(B413)SUB GERENTE DE OFICINA C</v>
      </c>
      <c r="G153" s="2" t="str">
        <f ca="1">IFERROR(__xludf.DUMMYFUNCTION("""COMPUTED_VALUE"""),"OFICINA CHINCHA")</f>
        <v>OFICINA CHINCHA</v>
      </c>
    </row>
    <row r="154" spans="1:7" x14ac:dyDescent="0.25">
      <c r="A154" s="2" t="str">
        <f ca="1">IFERROR(__xludf.DUMMYFUNCTION("""COMPUTED_VALUE"""),"0218")</f>
        <v>0218</v>
      </c>
      <c r="B154" s="2" t="str">
        <f ca="1">IFERROR(__xludf.DUMMYFUNCTION("""COMPUTED_VALUE"""),"OFICINA QUILLABAMBA")</f>
        <v>OFICINA QUILLABAMBA</v>
      </c>
      <c r="C154" s="2" t="str">
        <f ca="1">IFERROR(__xludf.DUMMYFUNCTION("""COMPUTED_VALUE"""),"P025126")</f>
        <v>P025126</v>
      </c>
      <c r="D154" s="2" t="str">
        <f ca="1">IFERROR(__xludf.DUMMYFUNCTION("""COMPUTED_VALUE"""),"RODRIGUEZ CHUA, YUSIRA")</f>
        <v>RODRIGUEZ CHUA, YUSIRA</v>
      </c>
      <c r="E154" s="2" t="str">
        <f ca="1">IFERROR(__xludf.DUMMYFUNCTION("""COMPUTED_VALUE"""),"YUSIRA.RODRIGUEZ@BBVA.COM")</f>
        <v>YUSIRA.RODRIGUEZ@BBVA.COM</v>
      </c>
      <c r="F154" s="2" t="str">
        <f ca="1">IFERROR(__xludf.DUMMYFUNCTION("""COMPUTED_VALUE"""),"(B415)SUB GERENTE DE OFICINA E")</f>
        <v>(B415)SUB GERENTE DE OFICINA E</v>
      </c>
      <c r="G154" s="2" t="str">
        <f ca="1">IFERROR(__xludf.DUMMYFUNCTION("""COMPUTED_VALUE"""),"OFICINA QUILLABAMBA")</f>
        <v>OFICINA QUILLABAMBA</v>
      </c>
    </row>
    <row r="155" spans="1:7" x14ac:dyDescent="0.25">
      <c r="A155" s="2" t="str">
        <f ca="1">IFERROR(__xludf.DUMMYFUNCTION("""COMPUTED_VALUE"""),"0221")</f>
        <v>0221</v>
      </c>
      <c r="B155" s="2" t="str">
        <f ca="1">IFERROR(__xludf.DUMMYFUNCTION("""COMPUTED_VALUE"""),"OFICINA SAN CAMILO")</f>
        <v>OFICINA SAN CAMILO</v>
      </c>
      <c r="C155" s="2" t="str">
        <f ca="1">IFERROR(__xludf.DUMMYFUNCTION("""COMPUTED_VALUE"""),"P016891")</f>
        <v>P016891</v>
      </c>
      <c r="D155" s="2" t="str">
        <f ca="1">IFERROR(__xludf.DUMMYFUNCTION("""COMPUTED_VALUE"""),"BEJARANO ALVAREZ, ROBERTO CARLOS")</f>
        <v>BEJARANO ALVAREZ, ROBERTO CARLOS</v>
      </c>
      <c r="E155" s="2" t="str">
        <f ca="1">IFERROR(__xludf.DUMMYFUNCTION("""COMPUTED_VALUE"""),"RBEJARANO@BBVA.COM")</f>
        <v>RBEJARANO@BBVA.COM</v>
      </c>
      <c r="F155" s="2" t="str">
        <f ca="1">IFERROR(__xludf.DUMMYFUNCTION("""COMPUTED_VALUE"""),"(B415)SUB GERENTE DE OFICINA E")</f>
        <v>(B415)SUB GERENTE DE OFICINA E</v>
      </c>
      <c r="G155" s="2" t="str">
        <f ca="1">IFERROR(__xludf.DUMMYFUNCTION("""COMPUTED_VALUE"""),"OFICINA SAN CAMILO")</f>
        <v>OFICINA SAN CAMILO</v>
      </c>
    </row>
    <row r="156" spans="1:7" x14ac:dyDescent="0.25">
      <c r="A156" s="2" t="str">
        <f ca="1">IFERROR(__xludf.DUMMYFUNCTION("""COMPUTED_VALUE"""),"0222")</f>
        <v>0222</v>
      </c>
      <c r="B156" s="2" t="str">
        <f ca="1">IFERROR(__xludf.DUMMYFUNCTION("""COMPUTED_VALUE"""),"OFICINA MIRAFLORES - AREQUIPA")</f>
        <v>OFICINA MIRAFLORES - AREQUIPA</v>
      </c>
      <c r="C156" s="2" t="str">
        <f ca="1">IFERROR(__xludf.DUMMYFUNCTION("""COMPUTED_VALUE"""),"P005890")</f>
        <v>P005890</v>
      </c>
      <c r="D156" s="2" t="str">
        <f ca="1">IFERROR(__xludf.DUMMYFUNCTION("""COMPUTED_VALUE"""),"ZAVALAGA BUSTOS, RODOLFO")</f>
        <v>ZAVALAGA BUSTOS, RODOLFO</v>
      </c>
      <c r="E156" s="2" t="str">
        <f ca="1">IFERROR(__xludf.DUMMYFUNCTION("""COMPUTED_VALUE"""),"RZAVALAGA@BBVA.COM")</f>
        <v>RZAVALAGA@BBVA.COM</v>
      </c>
      <c r="F156" s="2" t="str">
        <f ca="1">IFERROR(__xludf.DUMMYFUNCTION("""COMPUTED_VALUE"""),"(B414)SUB GERENTE DE OFICINA D")</f>
        <v>(B414)SUB GERENTE DE OFICINA D</v>
      </c>
      <c r="G156" s="2" t="str">
        <f ca="1">IFERROR(__xludf.DUMMYFUNCTION("""COMPUTED_VALUE"""),"OFICINA MIRAFLORES - AREQUIPA")</f>
        <v>OFICINA MIRAFLORES - AREQUIPA</v>
      </c>
    </row>
    <row r="157" spans="1:7" x14ac:dyDescent="0.25">
      <c r="A157" s="2" t="str">
        <f ca="1">IFERROR(__xludf.DUMMYFUNCTION("""COMPUTED_VALUE"""),"0223")</f>
        <v>0223</v>
      </c>
      <c r="B157" s="2" t="str">
        <f ca="1">IFERROR(__xludf.DUMMYFUNCTION("""COMPUTED_VALUE"""),"OFICINA CAYMA")</f>
        <v>OFICINA CAYMA</v>
      </c>
      <c r="C157" s="2" t="str">
        <f ca="1">IFERROR(__xludf.DUMMYFUNCTION("""COMPUTED_VALUE"""),"P011981")</f>
        <v>P011981</v>
      </c>
      <c r="D157" s="2" t="str">
        <f ca="1">IFERROR(__xludf.DUMMYFUNCTION("""COMPUTED_VALUE"""),"CALDAS CORRALES, SANDRA MARLENI")</f>
        <v>CALDAS CORRALES, SANDRA MARLENI</v>
      </c>
      <c r="E157" s="2" t="str">
        <f ca="1">IFERROR(__xludf.DUMMYFUNCTION("""COMPUTED_VALUE"""),"SCALDAS@BBVA.COM")</f>
        <v>SCALDAS@BBVA.COM</v>
      </c>
      <c r="F157" s="2" t="str">
        <f ca="1">IFERROR(__xludf.DUMMYFUNCTION("""COMPUTED_VALUE"""),"(B411)SUB GERENTE DE OFICINA A3")</f>
        <v>(B411)SUB GERENTE DE OFICINA A3</v>
      </c>
      <c r="G157" s="2" t="str">
        <f ca="1">IFERROR(__xludf.DUMMYFUNCTION("""COMPUTED_VALUE"""),"OFICINA CAYMA")</f>
        <v>OFICINA CAYMA</v>
      </c>
    </row>
    <row r="158" spans="1:7" x14ac:dyDescent="0.25">
      <c r="A158" s="2" t="str">
        <f ca="1">IFERROR(__xludf.DUMMYFUNCTION("""COMPUTED_VALUE"""),"0224")</f>
        <v>0224</v>
      </c>
      <c r="B158" s="2" t="str">
        <f ca="1">IFERROR(__xludf.DUMMYFUNCTION("""COMPUTED_VALUE"""),"OFICINA MAGISTERIO")</f>
        <v>OFICINA MAGISTERIO</v>
      </c>
      <c r="C158" s="2" t="str">
        <f ca="1">IFERROR(__xludf.DUMMYFUNCTION("""COMPUTED_VALUE"""),"P017929")</f>
        <v>P017929</v>
      </c>
      <c r="D158" s="2" t="str">
        <f ca="1">IFERROR(__xludf.DUMMYFUNCTION("""COMPUTED_VALUE"""),"BOBADILLA ALAGON, JOSE ANGEL")</f>
        <v>BOBADILLA ALAGON, JOSE ANGEL</v>
      </c>
      <c r="E158" s="2" t="str">
        <f ca="1">IFERROR(__xludf.DUMMYFUNCTION("""COMPUTED_VALUE"""),"JBOBADILLA@BBVA.COM")</f>
        <v>JBOBADILLA@BBVA.COM</v>
      </c>
      <c r="F158" s="2" t="str">
        <f ca="1">IFERROR(__xludf.DUMMYFUNCTION("""COMPUTED_VALUE"""),"(B417)SUB GERENTE DE OFICINA F")</f>
        <v>(B417)SUB GERENTE DE OFICINA F</v>
      </c>
      <c r="G158" s="2" t="str">
        <f ca="1">IFERROR(__xludf.DUMMYFUNCTION("""COMPUTED_VALUE"""),"OFICINA MAGISTERIO")</f>
        <v>OFICINA MAGISTERIO</v>
      </c>
    </row>
    <row r="159" spans="1:7" x14ac:dyDescent="0.25">
      <c r="A159" s="2" t="str">
        <f ca="1">IFERROR(__xludf.DUMMYFUNCTION("""COMPUTED_VALUE"""),"0225")</f>
        <v>0225</v>
      </c>
      <c r="B159" s="2" t="str">
        <f ca="1">IFERROR(__xludf.DUMMYFUNCTION("""COMPUTED_VALUE"""),"OFICINA CAMANÁ - AREQUIPA")</f>
        <v>OFICINA CAMANÁ - AREQUIPA</v>
      </c>
      <c r="C159" s="2" t="str">
        <f ca="1">IFERROR(__xludf.DUMMYFUNCTION("""COMPUTED_VALUE"""),"P008546")</f>
        <v>P008546</v>
      </c>
      <c r="D159" s="2" t="str">
        <f ca="1">IFERROR(__xludf.DUMMYFUNCTION("""COMPUTED_VALUE"""),"PINTO RAZURI, ROSA ELENA")</f>
        <v>PINTO RAZURI, ROSA ELENA</v>
      </c>
      <c r="E159" s="2" t="str">
        <f ca="1">IFERROR(__xludf.DUMMYFUNCTION("""COMPUTED_VALUE"""),"ROSAELENA.PINTO@BBVA.COM")</f>
        <v>ROSAELENA.PINTO@BBVA.COM</v>
      </c>
      <c r="F159" s="2" t="str">
        <f ca="1">IFERROR(__xludf.DUMMYFUNCTION("""COMPUTED_VALUE"""),"(B415)SUB GERENTE DE OFICINA E")</f>
        <v>(B415)SUB GERENTE DE OFICINA E</v>
      </c>
      <c r="G159" s="2" t="str">
        <f ca="1">IFERROR(__xludf.DUMMYFUNCTION("""COMPUTED_VALUE"""),"OFICINA CAMANA - AREQUIPA")</f>
        <v>OFICINA CAMANA - AREQUIPA</v>
      </c>
    </row>
    <row r="160" spans="1:7" x14ac:dyDescent="0.25">
      <c r="A160" s="2" t="str">
        <f ca="1">IFERROR(__xludf.DUMMYFUNCTION("""COMPUTED_VALUE"""),"0226")</f>
        <v>0226</v>
      </c>
      <c r="B160" s="2" t="str">
        <f ca="1">IFERROR(__xludf.DUMMYFUNCTION("""COMPUTED_VALUE"""),"OFICINA PARQUE INDUSTRIAL")</f>
        <v>OFICINA PARQUE INDUSTRIAL</v>
      </c>
      <c r="C160" s="2" t="str">
        <f ca="1">IFERROR(__xludf.DUMMYFUNCTION("""COMPUTED_VALUE"""),"P023357")</f>
        <v>P023357</v>
      </c>
      <c r="D160" s="2" t="str">
        <f ca="1">IFERROR(__xludf.DUMMYFUNCTION("""COMPUTED_VALUE"""),"ATAUCURE MENDOZA, DIANA KATHERINE")</f>
        <v>ATAUCURE MENDOZA, DIANA KATHERINE</v>
      </c>
      <c r="E160" s="2" t="str">
        <f ca="1">IFERROR(__xludf.DUMMYFUNCTION("""COMPUTED_VALUE"""),"DIANA.ATAUCURE@BBVA.COM")</f>
        <v>DIANA.ATAUCURE@BBVA.COM</v>
      </c>
      <c r="F160" s="2" t="str">
        <f ca="1">IFERROR(__xludf.DUMMYFUNCTION("""COMPUTED_VALUE"""),"(B414)SUB GERENTE DE OFICINA D")</f>
        <v>(B414)SUB GERENTE DE OFICINA D</v>
      </c>
      <c r="G160" s="2" t="str">
        <f ca="1">IFERROR(__xludf.DUMMYFUNCTION("""COMPUTED_VALUE"""),"OFICINA PARQUE INDUSTRIAL")</f>
        <v>OFICINA PARQUE INDUSTRIAL</v>
      </c>
    </row>
    <row r="161" spans="1:7" x14ac:dyDescent="0.25">
      <c r="A161" s="2" t="str">
        <f ca="1">IFERROR(__xludf.DUMMYFUNCTION("""COMPUTED_VALUE"""),"0228")</f>
        <v>0228</v>
      </c>
      <c r="B161" s="2" t="str">
        <f ca="1">IFERROR(__xludf.DUMMYFUNCTION("""COMPUTED_VALUE"""),"OFICINA JULIACA")</f>
        <v>OFICINA JULIACA</v>
      </c>
      <c r="C161" s="2" t="str">
        <f ca="1">IFERROR(__xludf.DUMMYFUNCTION("""COMPUTED_VALUE"""),"P021258")</f>
        <v>P021258</v>
      </c>
      <c r="D161" s="2" t="str">
        <f ca="1">IFERROR(__xludf.DUMMYFUNCTION("""COMPUTED_VALUE"""),"OLAZABAL CARAZAS, GIORDY MIGUEL")</f>
        <v>OLAZABAL CARAZAS, GIORDY MIGUEL</v>
      </c>
      <c r="E161" s="2" t="str">
        <f ca="1">IFERROR(__xludf.DUMMYFUNCTION("""COMPUTED_VALUE"""),"GIORDY.OLAZABAL@BBVA.COM")</f>
        <v>GIORDY.OLAZABAL@BBVA.COM</v>
      </c>
      <c r="F161" s="2" t="str">
        <f ca="1">IFERROR(__xludf.DUMMYFUNCTION("""COMPUTED_VALUE"""),"(B413)SUB GERENTE DE OFICINA C")</f>
        <v>(B413)SUB GERENTE DE OFICINA C</v>
      </c>
      <c r="G161" s="2" t="str">
        <f ca="1">IFERROR(__xludf.DUMMYFUNCTION("""COMPUTED_VALUE"""),"OFICINA JULIACA")</f>
        <v>OFICINA JULIACA</v>
      </c>
    </row>
    <row r="162" spans="1:7" x14ac:dyDescent="0.25">
      <c r="A162" s="2" t="str">
        <f ca="1">IFERROR(__xludf.DUMMYFUNCTION("""COMPUTED_VALUE"""),"0229")</f>
        <v>0229</v>
      </c>
      <c r="B162" s="2" t="str">
        <f ca="1">IFERROR(__xludf.DUMMYFUNCTION("""COMPUTED_VALUE"""),"OFICINA PUNO")</f>
        <v>OFICINA PUNO</v>
      </c>
      <c r="C162" s="2" t="str">
        <f ca="1">IFERROR(__xludf.DUMMYFUNCTION("""COMPUTED_VALUE"""),"P009337")</f>
        <v>P009337</v>
      </c>
      <c r="D162" s="2" t="str">
        <f ca="1">IFERROR(__xludf.DUMMYFUNCTION("""COMPUTED_VALUE"""),"HALLASI APARICIO, CAMILO")</f>
        <v>HALLASI APARICIO, CAMILO</v>
      </c>
      <c r="E162" s="2" t="str">
        <f ca="1">IFERROR(__xludf.DUMMYFUNCTION("""COMPUTED_VALUE"""),"CHALLASI@BBVA.COM")</f>
        <v>CHALLASI@BBVA.COM</v>
      </c>
      <c r="F162" s="2" t="str">
        <f ca="1">IFERROR(__xludf.DUMMYFUNCTION("""COMPUTED_VALUE"""),"(B413)SUB GERENTE DE OFICINA C")</f>
        <v>(B413)SUB GERENTE DE OFICINA C</v>
      </c>
      <c r="G162" s="2" t="str">
        <f ca="1">IFERROR(__xludf.DUMMYFUNCTION("""COMPUTED_VALUE"""),"OFICINA PUNO")</f>
        <v>OFICINA PUNO</v>
      </c>
    </row>
    <row r="163" spans="1:7" x14ac:dyDescent="0.25">
      <c r="A163" s="2" t="str">
        <f ca="1">IFERROR(__xludf.DUMMYFUNCTION("""COMPUTED_VALUE"""),"0231")</f>
        <v>0231</v>
      </c>
      <c r="B163" s="2" t="str">
        <f ca="1">IFERROR(__xludf.DUMMYFUNCTION("""COMPUTED_VALUE"""),"OFICINA ILO")</f>
        <v>OFICINA ILO</v>
      </c>
      <c r="C163" s="2" t="str">
        <f ca="1">IFERROR(__xludf.DUMMYFUNCTION("""COMPUTED_VALUE"""),"P027907")</f>
        <v>P027907</v>
      </c>
      <c r="D163" s="2" t="str">
        <f ca="1">IFERROR(__xludf.DUMMYFUNCTION("""COMPUTED_VALUE"""),"DIAZ VILCHEZ, PACO EDIN")</f>
        <v>DIAZ VILCHEZ, PACO EDIN</v>
      </c>
      <c r="E163" s="2" t="str">
        <f ca="1">IFERROR(__xludf.DUMMYFUNCTION("""COMPUTED_VALUE"""),"PACO.DIAZ@BBVA.COM")</f>
        <v>PACO.DIAZ@BBVA.COM</v>
      </c>
      <c r="F163" s="2" t="str">
        <f ca="1">IFERROR(__xludf.DUMMYFUNCTION("""COMPUTED_VALUE"""),"(B415)SUB GERENTE DE OFICINA E")</f>
        <v>(B415)SUB GERENTE DE OFICINA E</v>
      </c>
      <c r="G163" s="2" t="str">
        <f ca="1">IFERROR(__xludf.DUMMYFUNCTION("""COMPUTED_VALUE"""),"OFICINA ILO")</f>
        <v>OFICINA ILO</v>
      </c>
    </row>
    <row r="164" spans="1:7" x14ac:dyDescent="0.25">
      <c r="A164" s="2" t="str">
        <f ca="1">IFERROR(__xludf.DUMMYFUNCTION("""COMPUTED_VALUE"""),"0232")</f>
        <v>0232</v>
      </c>
      <c r="B164" s="2" t="str">
        <f ca="1">IFERROR(__xludf.DUMMYFUNCTION("""COMPUTED_VALUE"""),"OFICINA TACNA")</f>
        <v>OFICINA TACNA</v>
      </c>
      <c r="C164" s="2" t="str">
        <f ca="1">IFERROR(__xludf.DUMMYFUNCTION("""COMPUTED_VALUE"""),"P021416")</f>
        <v>P021416</v>
      </c>
      <c r="D164" s="2" t="str">
        <f ca="1">IFERROR(__xludf.DUMMYFUNCTION("""COMPUTED_VALUE"""),"FLORES GOMEZ, DIANA CAROLINA")</f>
        <v>FLORES GOMEZ, DIANA CAROLINA</v>
      </c>
      <c r="E164" s="2" t="str">
        <f ca="1">IFERROR(__xludf.DUMMYFUNCTION("""COMPUTED_VALUE"""),"DIANA.FLORES.GOMEZ@BBVA.COM")</f>
        <v>DIANA.FLORES.GOMEZ@BBVA.COM</v>
      </c>
      <c r="F164" s="2" t="str">
        <f ca="1">IFERROR(__xludf.DUMMYFUNCTION("""COMPUTED_VALUE"""),"(B416)SUB GERENTE DE OFICINA A2")</f>
        <v>(B416)SUB GERENTE DE OFICINA A2</v>
      </c>
      <c r="G164" s="2" t="str">
        <f ca="1">IFERROR(__xludf.DUMMYFUNCTION("""COMPUTED_VALUE"""),"OFICINA TACNA")</f>
        <v>OFICINA TACNA</v>
      </c>
    </row>
    <row r="165" spans="1:7" x14ac:dyDescent="0.25">
      <c r="A165" s="2" t="str">
        <f ca="1">IFERROR(__xludf.DUMMYFUNCTION("""COMPUTED_VALUE"""),"0233")</f>
        <v>0233</v>
      </c>
      <c r="B165" s="2" t="str">
        <f ca="1">IFERROR(__xludf.DUMMYFUNCTION("""COMPUTED_VALUE"""),"OFICINA 7 DE JUNIO")</f>
        <v>OFICINA 7 DE JUNIO</v>
      </c>
      <c r="C165" s="2" t="str">
        <f ca="1">IFERROR(__xludf.DUMMYFUNCTION("""COMPUTED_VALUE"""),"P024679")</f>
        <v>P024679</v>
      </c>
      <c r="D165" s="2" t="str">
        <f ca="1">IFERROR(__xludf.DUMMYFUNCTION("""COMPUTED_VALUE"""),"GUIMARAES AREVALO, YADIRA VANESSA")</f>
        <v>GUIMARAES AREVALO, YADIRA VANESSA</v>
      </c>
      <c r="E165" s="2" t="str">
        <f ca="1">IFERROR(__xludf.DUMMYFUNCTION("""COMPUTED_VALUE"""),"YADIRA.GUIMARAES@BBVA.COM")</f>
        <v>YADIRA.GUIMARAES@BBVA.COM</v>
      </c>
      <c r="F165" s="2" t="str">
        <f ca="1">IFERROR(__xludf.DUMMYFUNCTION("""COMPUTED_VALUE"""),"(B415)SUB GERENTE DE OFICINA E")</f>
        <v>(B415)SUB GERENTE DE OFICINA E</v>
      </c>
      <c r="G165" s="2" t="str">
        <f ca="1">IFERROR(__xludf.DUMMYFUNCTION("""COMPUTED_VALUE"""),"OFICINA 7 DE JUNIO")</f>
        <v>OFICINA 7 DE JUNIO</v>
      </c>
    </row>
    <row r="166" spans="1:7" x14ac:dyDescent="0.25">
      <c r="A166" s="2" t="str">
        <f ca="1">IFERROR(__xludf.DUMMYFUNCTION("""COMPUTED_VALUE"""),"0234")</f>
        <v>0234</v>
      </c>
      <c r="B166" s="2" t="str">
        <f ca="1">IFERROR(__xludf.DUMMYFUNCTION("""COMPUTED_VALUE"""),"OFICINA PARQUE INDUSTRIAL VILLA EL SALVADOR")</f>
        <v>OFICINA PARQUE INDUSTRIAL VILLA EL SALVADOR</v>
      </c>
      <c r="C166" s="2" t="str">
        <f ca="1">IFERROR(__xludf.DUMMYFUNCTION("""COMPUTED_VALUE"""),"P024372")</f>
        <v>P024372</v>
      </c>
      <c r="D166" s="2" t="str">
        <f ca="1">IFERROR(__xludf.DUMMYFUNCTION("""COMPUTED_VALUE"""),"CALERO QUISPE, JUNIOR")</f>
        <v>CALERO QUISPE, JUNIOR</v>
      </c>
      <c r="E166" s="2" t="str">
        <f ca="1">IFERROR(__xludf.DUMMYFUNCTION("""COMPUTED_VALUE"""),"JUNIOR.CALERO@BBVA.COM")</f>
        <v>JUNIOR.CALERO@BBVA.COM</v>
      </c>
      <c r="F166" s="2" t="str">
        <f ca="1">IFERROR(__xludf.DUMMYFUNCTION("""COMPUTED_VALUE"""),"(B415)SUB GERENTE DE OFICINA E")</f>
        <v>(B415)SUB GERENTE DE OFICINA E</v>
      </c>
      <c r="G166" s="2" t="str">
        <f ca="1">IFERROR(__xludf.DUMMYFUNCTION("""COMPUTED_VALUE"""),"OFICINA PARQUE INDUSTRIAL VILLA EL SALVADOR")</f>
        <v>OFICINA PARQUE INDUSTRIAL VILLA EL SALVADOR</v>
      </c>
    </row>
    <row r="167" spans="1:7" x14ac:dyDescent="0.25">
      <c r="A167" s="2" t="str">
        <f ca="1">IFERROR(__xludf.DUMMYFUNCTION("""COMPUTED_VALUE"""),"0235")</f>
        <v>0235</v>
      </c>
      <c r="B167" s="2" t="str">
        <f ca="1">IFERROR(__xludf.DUMMYFUNCTION("""COMPUTED_VALUE"""),"OFICINA HUANCAYO")</f>
        <v>OFICINA HUANCAYO</v>
      </c>
      <c r="C167" s="2" t="str">
        <f ca="1">IFERROR(__xludf.DUMMYFUNCTION("""COMPUTED_VALUE"""),"P016918")</f>
        <v>P016918</v>
      </c>
      <c r="D167" s="2" t="str">
        <f ca="1">IFERROR(__xludf.DUMMYFUNCTION("""COMPUTED_VALUE"""),"CONDOR AMARO, LIZ KAREN")</f>
        <v>CONDOR AMARO, LIZ KAREN</v>
      </c>
      <c r="E167" s="2" t="str">
        <f ca="1">IFERROR(__xludf.DUMMYFUNCTION("""COMPUTED_VALUE"""),"LCONDOR@BBVA.COM")</f>
        <v>LCONDOR@BBVA.COM</v>
      </c>
      <c r="F167" s="2" t="str">
        <f ca="1">IFERROR(__xludf.DUMMYFUNCTION("""COMPUTED_VALUE"""),"(B416)SUB GERENTE DE OFICINA A2")</f>
        <v>(B416)SUB GERENTE DE OFICINA A2</v>
      </c>
      <c r="G167" s="2" t="str">
        <f ca="1">IFERROR(__xludf.DUMMYFUNCTION("""COMPUTED_VALUE"""),"OFICINA HUANCAYO")</f>
        <v>OFICINA HUANCAYO</v>
      </c>
    </row>
    <row r="168" spans="1:7" x14ac:dyDescent="0.25">
      <c r="A168" s="2" t="str">
        <f ca="1">IFERROR(__xludf.DUMMYFUNCTION("""COMPUTED_VALUE"""),"0236")</f>
        <v>0236</v>
      </c>
      <c r="B168" s="2" t="str">
        <f ca="1">IFERROR(__xludf.DUMMYFUNCTION("""COMPUTED_VALUE"""),"OFICINA LA OROYA")</f>
        <v>OFICINA LA OROYA</v>
      </c>
      <c r="C168" s="2" t="str">
        <f ca="1">IFERROR(__xludf.DUMMYFUNCTION("""COMPUTED_VALUE"""),"P018019")</f>
        <v>P018019</v>
      </c>
      <c r="D168" s="2" t="str">
        <f ca="1">IFERROR(__xludf.DUMMYFUNCTION("""COMPUTED_VALUE"""),"OLAZO FRANCO, EDSON")</f>
        <v>OLAZO FRANCO, EDSON</v>
      </c>
      <c r="E168" s="2" t="str">
        <f ca="1">IFERROR(__xludf.DUMMYFUNCTION("""COMPUTED_VALUE"""),"EOLAZO@BBVA.COM")</f>
        <v>EOLAZO@BBVA.COM</v>
      </c>
      <c r="F168" s="2" t="str">
        <f ca="1">IFERROR(__xludf.DUMMYFUNCTION("""COMPUTED_VALUE"""),"(B413)SUB GERENTE DE OFICINA C")</f>
        <v>(B413)SUB GERENTE DE OFICINA C</v>
      </c>
      <c r="G168" s="2" t="str">
        <f ca="1">IFERROR(__xludf.DUMMYFUNCTION("""COMPUTED_VALUE"""),"OFICINA LA OROYA")</f>
        <v>OFICINA LA OROYA</v>
      </c>
    </row>
    <row r="169" spans="1:7" x14ac:dyDescent="0.25">
      <c r="A169" s="2" t="str">
        <f ca="1">IFERROR(__xludf.DUMMYFUNCTION("""COMPUTED_VALUE"""),"0237")</f>
        <v>0237</v>
      </c>
      <c r="B169" s="2" t="str">
        <f ca="1">IFERROR(__xludf.DUMMYFUNCTION("""COMPUTED_VALUE"""),"OFICINA EL TAMBO")</f>
        <v>OFICINA EL TAMBO</v>
      </c>
      <c r="C169" s="2" t="str">
        <f ca="1">IFERROR(__xludf.DUMMYFUNCTION("""COMPUTED_VALUE"""),"P008881")</f>
        <v>P008881</v>
      </c>
      <c r="D169" s="2" t="str">
        <f ca="1">IFERROR(__xludf.DUMMYFUNCTION("""COMPUTED_VALUE"""),"ALVA ROSALES, JIMMY YURY")</f>
        <v>ALVA ROSALES, JIMMY YURY</v>
      </c>
      <c r="E169" s="2" t="str">
        <f ca="1">IFERROR(__xludf.DUMMYFUNCTION("""COMPUTED_VALUE"""),"JALVA@BBVA.COM")</f>
        <v>JALVA@BBVA.COM</v>
      </c>
      <c r="F169" s="2" t="str">
        <f ca="1">IFERROR(__xludf.DUMMYFUNCTION("""COMPUTED_VALUE"""),"(B413)SUB GERENTE DE OFICINA C")</f>
        <v>(B413)SUB GERENTE DE OFICINA C</v>
      </c>
      <c r="G169" s="2" t="str">
        <f ca="1">IFERROR(__xludf.DUMMYFUNCTION("""COMPUTED_VALUE"""),"OFICINA EL TAMBO")</f>
        <v>OFICINA EL TAMBO</v>
      </c>
    </row>
    <row r="170" spans="1:7" x14ac:dyDescent="0.25">
      <c r="A170" s="2" t="str">
        <f ca="1">IFERROR(__xludf.DUMMYFUNCTION("""COMPUTED_VALUE"""),"0238")</f>
        <v>0238</v>
      </c>
      <c r="B170" s="2" t="str">
        <f ca="1">IFERROR(__xludf.DUMMYFUNCTION("""COMPUTED_VALUE"""),"OFICINA LA MERCED")</f>
        <v>OFICINA LA MERCED</v>
      </c>
      <c r="C170" s="2" t="str">
        <f ca="1">IFERROR(__xludf.DUMMYFUNCTION("""COMPUTED_VALUE"""),"P019158")</f>
        <v>P019158</v>
      </c>
      <c r="D170" s="2" t="str">
        <f ca="1">IFERROR(__xludf.DUMMYFUNCTION("""COMPUTED_VALUE"""),"BONTEMPS HERNANDEZ, JUAN CARLOS")</f>
        <v>BONTEMPS HERNANDEZ, JUAN CARLOS</v>
      </c>
      <c r="E170" s="2" t="str">
        <f ca="1">IFERROR(__xludf.DUMMYFUNCTION("""COMPUTED_VALUE"""),"JBONTEMPS@BBVA.COM")</f>
        <v>JBONTEMPS@BBVA.COM</v>
      </c>
      <c r="F170" s="2" t="str">
        <f ca="1">IFERROR(__xludf.DUMMYFUNCTION("""COMPUTED_VALUE"""),"(B415)SUB GERENTE DE OFICINA E")</f>
        <v>(B415)SUB GERENTE DE OFICINA E</v>
      </c>
      <c r="G170" s="2" t="str">
        <f ca="1">IFERROR(__xludf.DUMMYFUNCTION("""COMPUTED_VALUE"""),"OFICINA LA MERCED")</f>
        <v>OFICINA LA MERCED</v>
      </c>
    </row>
    <row r="171" spans="1:7" x14ac:dyDescent="0.25">
      <c r="A171" s="2" t="str">
        <f ca="1">IFERROR(__xludf.DUMMYFUNCTION("""COMPUTED_VALUE"""),"0240")</f>
        <v>0240</v>
      </c>
      <c r="B171" s="2" t="str">
        <f ca="1">IFERROR(__xludf.DUMMYFUNCTION("""COMPUTED_VALUE"""),"OFICINA ICA")</f>
        <v>OFICINA ICA</v>
      </c>
      <c r="C171" s="2" t="str">
        <f ca="1">IFERROR(__xludf.DUMMYFUNCTION("""COMPUTED_VALUE"""),"P012367")</f>
        <v>P012367</v>
      </c>
      <c r="D171" s="2" t="str">
        <f ca="1">IFERROR(__xludf.DUMMYFUNCTION("""COMPUTED_VALUE"""),"POSTILLON AGUADO, DANITZA ZAIDA")</f>
        <v>POSTILLON AGUADO, DANITZA ZAIDA</v>
      </c>
      <c r="E171" s="2" t="str">
        <f ca="1">IFERROR(__xludf.DUMMYFUNCTION("""COMPUTED_VALUE"""),"DPOSTILLON@BBVA.COM")</f>
        <v>DPOSTILLON@BBVA.COM</v>
      </c>
      <c r="F171" s="2" t="str">
        <f ca="1">IFERROR(__xludf.DUMMYFUNCTION("""COMPUTED_VALUE"""),"(B412)SUB GERENTE DE OFICINA B")</f>
        <v>(B412)SUB GERENTE DE OFICINA B</v>
      </c>
      <c r="G171" s="2" t="str">
        <f ca="1">IFERROR(__xludf.DUMMYFUNCTION("""COMPUTED_VALUE"""),"OFICINA ICA")</f>
        <v>OFICINA ICA</v>
      </c>
    </row>
    <row r="172" spans="1:7" x14ac:dyDescent="0.25">
      <c r="A172" s="2" t="str">
        <f ca="1">IFERROR(__xludf.DUMMYFUNCTION("""COMPUTED_VALUE"""),"0241")</f>
        <v>0241</v>
      </c>
      <c r="B172" s="2" t="str">
        <f ca="1">IFERROR(__xludf.DUMMYFUNCTION("""COMPUTED_VALUE"""),"OFICINA PISCO")</f>
        <v>OFICINA PISCO</v>
      </c>
      <c r="C172" s="2" t="str">
        <f ca="1">IFERROR(__xludf.DUMMYFUNCTION("""COMPUTED_VALUE"""),"P012493")</f>
        <v>P012493</v>
      </c>
      <c r="D172" s="2" t="str">
        <f ca="1">IFERROR(__xludf.DUMMYFUNCTION("""COMPUTED_VALUE"""),"TORRES ESPINOZA, MARIA ELIZABETH")</f>
        <v>TORRES ESPINOZA, MARIA ELIZABETH</v>
      </c>
      <c r="E172" s="2" t="str">
        <f ca="1">IFERROR(__xludf.DUMMYFUNCTION("""COMPUTED_VALUE"""),"MTORRESE@BBVA.COM")</f>
        <v>MTORRESE@BBVA.COM</v>
      </c>
      <c r="F172" s="2" t="str">
        <f ca="1">IFERROR(__xludf.DUMMYFUNCTION("""COMPUTED_VALUE"""),"(B413)SUB GERENTE DE OFICINA C")</f>
        <v>(B413)SUB GERENTE DE OFICINA C</v>
      </c>
      <c r="G172" s="2" t="str">
        <f ca="1">IFERROR(__xludf.DUMMYFUNCTION("""COMPUTED_VALUE"""),"OFICINA PISCO")</f>
        <v>OFICINA PISCO</v>
      </c>
    </row>
    <row r="173" spans="1:7" x14ac:dyDescent="0.25">
      <c r="A173" s="2" t="str">
        <f ca="1">IFERROR(__xludf.DUMMYFUNCTION("""COMPUTED_VALUE"""),"0242")</f>
        <v>0242</v>
      </c>
      <c r="B173" s="2" t="str">
        <f ca="1">IFERROR(__xludf.DUMMYFUNCTION("""COMPUTED_VALUE"""),"OFICINA DAMERO GAMARRA")</f>
        <v>OFICINA DAMERO GAMARRA</v>
      </c>
      <c r="C173" s="2" t="str">
        <f ca="1">IFERROR(__xludf.DUMMYFUNCTION("""COMPUTED_VALUE"""),"P013112")</f>
        <v>P013112</v>
      </c>
      <c r="D173" s="2" t="str">
        <f ca="1">IFERROR(__xludf.DUMMYFUNCTION("""COMPUTED_VALUE"""),"CHAVEZ TAPIA, DIANA ANA PAOLA")</f>
        <v>CHAVEZ TAPIA, DIANA ANA PAOLA</v>
      </c>
      <c r="E173" s="2" t="str">
        <f ca="1">IFERROR(__xludf.DUMMYFUNCTION("""COMPUTED_VALUE"""),"DCHAVEZ@BBVA.COM")</f>
        <v>DCHAVEZ@BBVA.COM</v>
      </c>
      <c r="F173" s="2" t="str">
        <f ca="1">IFERROR(__xludf.DUMMYFUNCTION("""COMPUTED_VALUE"""),"(B415)SUB GERENTE DE OFICINA E")</f>
        <v>(B415)SUB GERENTE DE OFICINA E</v>
      </c>
      <c r="G173" s="2" t="str">
        <f ca="1">IFERROR(__xludf.DUMMYFUNCTION("""COMPUTED_VALUE"""),"OFICINA DAMERO GAMARRA")</f>
        <v>OFICINA DAMERO GAMARRA</v>
      </c>
    </row>
    <row r="174" spans="1:7" x14ac:dyDescent="0.25">
      <c r="A174" s="2" t="str">
        <f ca="1">IFERROR(__xludf.DUMMYFUNCTION("""COMPUTED_VALUE"""),"0245")</f>
        <v>0245</v>
      </c>
      <c r="B174" s="2" t="str">
        <f ca="1">IFERROR(__xludf.DUMMYFUNCTION("""COMPUTED_VALUE"""),"OFICINA PASEO MEGA PIURA")</f>
        <v>OFICINA PASEO MEGA PIURA</v>
      </c>
      <c r="C174" s="2" t="str">
        <f ca="1">IFERROR(__xludf.DUMMYFUNCTION("""COMPUTED_VALUE"""),"P008813")</f>
        <v>P008813</v>
      </c>
      <c r="D174" s="2" t="str">
        <f ca="1">IFERROR(__xludf.DUMMYFUNCTION("""COMPUTED_VALUE"""),"BARRIENTOS CASTRO, JACQUELINE DEL PILAR")</f>
        <v>BARRIENTOS CASTRO, JACQUELINE DEL PILAR</v>
      </c>
      <c r="E174" s="2" t="str">
        <f ca="1">IFERROR(__xludf.DUMMYFUNCTION("""COMPUTED_VALUE"""),"JBARRIENTOS@BBVA.COM")</f>
        <v>JBARRIENTOS@BBVA.COM</v>
      </c>
      <c r="F174" s="2" t="str">
        <f ca="1">IFERROR(__xludf.DUMMYFUNCTION("""COMPUTED_VALUE"""),"(B417)SUB GERENTE DE OFICINA F")</f>
        <v>(B417)SUB GERENTE DE OFICINA F</v>
      </c>
      <c r="G174" s="2" t="str">
        <f ca="1">IFERROR(__xludf.DUMMYFUNCTION("""COMPUTED_VALUE"""),"OFICINA PASEO MEGA PIURA")</f>
        <v>OFICINA PASEO MEGA PIURA</v>
      </c>
    </row>
    <row r="175" spans="1:7" x14ac:dyDescent="0.25">
      <c r="A175" s="2" t="str">
        <f ca="1">IFERROR(__xludf.DUMMYFUNCTION("""COMPUTED_VALUE"""),"0246")</f>
        <v>0246</v>
      </c>
      <c r="B175" s="2" t="str">
        <f ca="1">IFERROR(__xludf.DUMMYFUNCTION("""COMPUTED_VALUE"""),"OFICINA HÚSARES DE JUNIN")</f>
        <v>OFICINA HÚSARES DE JUNIN</v>
      </c>
      <c r="C175" s="2" t="str">
        <f ca="1">IFERROR(__xludf.DUMMYFUNCTION("""COMPUTED_VALUE"""),"P019253")</f>
        <v>P019253</v>
      </c>
      <c r="D175" s="2" t="str">
        <f ca="1">IFERROR(__xludf.DUMMYFUNCTION("""COMPUTED_VALUE"""),"SANDOVAL ALBAN, CLAUDIA FIORELLA")</f>
        <v>SANDOVAL ALBAN, CLAUDIA FIORELLA</v>
      </c>
      <c r="E175" s="2" t="str">
        <f ca="1">IFERROR(__xludf.DUMMYFUNCTION("""COMPUTED_VALUE"""),"CSANDOVAL@BBVA.COM")</f>
        <v>CSANDOVAL@BBVA.COM</v>
      </c>
      <c r="F175" s="2" t="str">
        <f ca="1">IFERROR(__xludf.DUMMYFUNCTION("""COMPUTED_VALUE"""),"(B413)SUB GERENTE DE OFICINA C")</f>
        <v>(B413)SUB GERENTE DE OFICINA C</v>
      </c>
      <c r="G175" s="2" t="str">
        <f ca="1">IFERROR(__xludf.DUMMYFUNCTION("""COMPUTED_VALUE"""),"OFICINA HUSARES DE JUNIN")</f>
        <v>OFICINA HUSARES DE JUNIN</v>
      </c>
    </row>
    <row r="176" spans="1:7" x14ac:dyDescent="0.25">
      <c r="A176" s="2" t="str">
        <f ca="1">IFERROR(__xludf.DUMMYFUNCTION("""COMPUTED_VALUE"""),"0247")</f>
        <v>0247</v>
      </c>
      <c r="B176" s="2" t="str">
        <f ca="1">IFERROR(__xludf.DUMMYFUNCTION("""COMPUTED_VALUE"""),"OFICINA CHEPÉN")</f>
        <v>OFICINA CHEPÉN</v>
      </c>
      <c r="C176" s="2" t="str">
        <f ca="1">IFERROR(__xludf.DUMMYFUNCTION("""COMPUTED_VALUE"""),"P012598")</f>
        <v>P012598</v>
      </c>
      <c r="D176" s="2" t="str">
        <f ca="1">IFERROR(__xludf.DUMMYFUNCTION("""COMPUTED_VALUE"""),"TORRES CUBAS, BETTY VANESSA DEL ROSARIO")</f>
        <v>TORRES CUBAS, BETTY VANESSA DEL ROSARIO</v>
      </c>
      <c r="E176" s="2" t="str">
        <f ca="1">IFERROR(__xludf.DUMMYFUNCTION("""COMPUTED_VALUE"""),"BTORRESC@BBVA.COM")</f>
        <v>BTORRESC@BBVA.COM</v>
      </c>
      <c r="F176" s="2" t="str">
        <f ca="1">IFERROR(__xludf.DUMMYFUNCTION("""COMPUTED_VALUE"""),"(B415)SUB GERENTE DE OFICINA E")</f>
        <v>(B415)SUB GERENTE DE OFICINA E</v>
      </c>
      <c r="G176" s="2" t="str">
        <f ca="1">IFERROR(__xludf.DUMMYFUNCTION("""COMPUTED_VALUE"""),"OFICINA CHEPEN")</f>
        <v>OFICINA CHEPEN</v>
      </c>
    </row>
    <row r="177" spans="1:7" x14ac:dyDescent="0.25">
      <c r="A177" s="2" t="str">
        <f ca="1">IFERROR(__xludf.DUMMYFUNCTION("""COMPUTED_VALUE"""),"0248")</f>
        <v>0248</v>
      </c>
      <c r="B177" s="2" t="str">
        <f ca="1">IFERROR(__xludf.DUMMYFUNCTION("""COMPUTED_VALUE"""),"OFICINA C.C. EL QUINDE")</f>
        <v>OFICINA C.C. EL QUINDE</v>
      </c>
      <c r="C177" s="2" t="str">
        <f ca="1">IFERROR(__xludf.DUMMYFUNCTION("""COMPUTED_VALUE"""),"P025078")</f>
        <v>P025078</v>
      </c>
      <c r="D177" s="2" t="str">
        <f ca="1">IFERROR(__xludf.DUMMYFUNCTION("""COMPUTED_VALUE"""),"CHAVEZ CARRERA, DIEGO PAUL")</f>
        <v>CHAVEZ CARRERA, DIEGO PAUL</v>
      </c>
      <c r="E177" s="2" t="str">
        <f ca="1">IFERROR(__xludf.DUMMYFUNCTION("""COMPUTED_VALUE"""),"DIEGO.CHAVEZ.CARRERA@BBVA.COM")</f>
        <v>DIEGO.CHAVEZ.CARRERA@BBVA.COM</v>
      </c>
      <c r="F177" s="2" t="str">
        <f ca="1">IFERROR(__xludf.DUMMYFUNCTION("""COMPUTED_VALUE"""),"(B415)SUB GERENTE DE OFICINA E")</f>
        <v>(B415)SUB GERENTE DE OFICINA E</v>
      </c>
      <c r="G177" s="2" t="str">
        <f ca="1">IFERROR(__xludf.DUMMYFUNCTION("""COMPUTED_VALUE"""),"OFICINA CENTRO COMERCIAL EL QUINDE")</f>
        <v>OFICINA CENTRO COMERCIAL EL QUINDE</v>
      </c>
    </row>
    <row r="178" spans="1:7" x14ac:dyDescent="0.25">
      <c r="A178" s="2" t="str">
        <f ca="1">IFERROR(__xludf.DUMMYFUNCTION("""COMPUTED_VALUE"""),"0249")</f>
        <v>0249</v>
      </c>
      <c r="B178" s="2" t="str">
        <f ca="1">IFERROR(__xludf.DUMMYFUNCTION("""COMPUTED_VALUE"""),"OFICINA TRUJILLO")</f>
        <v>OFICINA TRUJILLO</v>
      </c>
      <c r="C178" s="2" t="str">
        <f ca="1">IFERROR(__xludf.DUMMYFUNCTION("""COMPUTED_VALUE"""),"P019738")</f>
        <v>P019738</v>
      </c>
      <c r="D178" s="2" t="str">
        <f ca="1">IFERROR(__xludf.DUMMYFUNCTION("""COMPUTED_VALUE"""),"DIAZ BUSTAMANTE, YONY HERNAN")</f>
        <v>DIAZ BUSTAMANTE, YONY HERNAN</v>
      </c>
      <c r="E178" s="2" t="str">
        <f ca="1">IFERROR(__xludf.DUMMYFUNCTION("""COMPUTED_VALUE"""),"YONY.DIAZ@BBVA.COM")</f>
        <v>YONY.DIAZ@BBVA.COM</v>
      </c>
      <c r="F178" s="2" t="str">
        <f ca="1">IFERROR(__xludf.DUMMYFUNCTION("""COMPUTED_VALUE"""),"(B416)SUB GERENTE DE OFICINA A2")</f>
        <v>(B416)SUB GERENTE DE OFICINA A2</v>
      </c>
      <c r="G178" s="2" t="str">
        <f ca="1">IFERROR(__xludf.DUMMYFUNCTION("""COMPUTED_VALUE"""),"OFICINA TRUJILLO")</f>
        <v>OFICINA TRUJILLO</v>
      </c>
    </row>
    <row r="179" spans="1:7" x14ac:dyDescent="0.25">
      <c r="A179" s="2" t="str">
        <f ca="1">IFERROR(__xludf.DUMMYFUNCTION("""COMPUTED_VALUE"""),"0250")</f>
        <v>0250</v>
      </c>
      <c r="B179" s="2" t="str">
        <f ca="1">IFERROR(__xludf.DUMMYFUNCTION("""COMPUTED_VALUE"""),"OFICINA PRIMAVERA")</f>
        <v>OFICINA PRIMAVERA</v>
      </c>
      <c r="C179" s="2" t="str">
        <f ca="1">IFERROR(__xludf.DUMMYFUNCTION("""COMPUTED_VALUE"""),"P012068")</f>
        <v>P012068</v>
      </c>
      <c r="D179" s="2" t="str">
        <f ca="1">IFERROR(__xludf.DUMMYFUNCTION("""COMPUTED_VALUE"""),"GALVEZ GOICOCHEA, ALICIA HELIANA VICTORIA")</f>
        <v>GALVEZ GOICOCHEA, ALICIA HELIANA VICTORIA</v>
      </c>
      <c r="E179" s="2" t="str">
        <f ca="1">IFERROR(__xludf.DUMMYFUNCTION("""COMPUTED_VALUE"""),"AGALVEZG@BBVA.COM")</f>
        <v>AGALVEZG@BBVA.COM</v>
      </c>
      <c r="F179" s="2" t="str">
        <f ca="1">IFERROR(__xludf.DUMMYFUNCTION("""COMPUTED_VALUE"""),"(B412)SUB GERENTE DE OFICINA B")</f>
        <v>(B412)SUB GERENTE DE OFICINA B</v>
      </c>
      <c r="G179" s="2" t="str">
        <f ca="1">IFERROR(__xludf.DUMMYFUNCTION("""COMPUTED_VALUE"""),"OFICINA PRIMAVERA")</f>
        <v>OFICINA PRIMAVERA</v>
      </c>
    </row>
    <row r="180" spans="1:7" x14ac:dyDescent="0.25">
      <c r="A180" s="2" t="str">
        <f ca="1">IFERROR(__xludf.DUMMYFUNCTION("""COMPUTED_VALUE"""),"0251")</f>
        <v>0251</v>
      </c>
      <c r="B180" s="2" t="str">
        <f ca="1">IFERROR(__xludf.DUMMYFUNCTION("""COMPUTED_VALUE"""),"OFICINA MERCADO MAYORISTA TRUJILLO")</f>
        <v>OFICINA MERCADO MAYORISTA TRUJILLO</v>
      </c>
      <c r="C180" s="2" t="str">
        <f ca="1">IFERROR(__xludf.DUMMYFUNCTION("""COMPUTED_VALUE"""),"P017943")</f>
        <v>P017943</v>
      </c>
      <c r="D180" s="2" t="str">
        <f ca="1">IFERROR(__xludf.DUMMYFUNCTION("""COMPUTED_VALUE"""),"AVALOS AGREDA, JOHAN JUNIOR")</f>
        <v>AVALOS AGREDA, JOHAN JUNIOR</v>
      </c>
      <c r="E180" s="2" t="str">
        <f ca="1">IFERROR(__xludf.DUMMYFUNCTION("""COMPUTED_VALUE"""),"JOHAN.AVALOSA@BBVA.COM")</f>
        <v>JOHAN.AVALOSA@BBVA.COM</v>
      </c>
      <c r="F180" s="2" t="str">
        <f ca="1">IFERROR(__xludf.DUMMYFUNCTION("""COMPUTED_VALUE"""),"(B414)SUB GERENTE DE OFICINA D")</f>
        <v>(B414)SUB GERENTE DE OFICINA D</v>
      </c>
      <c r="G180" s="2" t="str">
        <f ca="1">IFERROR(__xludf.DUMMYFUNCTION("""COMPUTED_VALUE"""),"OFICINA MERCADO MAYORISTA - TRUJILLO")</f>
        <v>OFICINA MERCADO MAYORISTA - TRUJILLO</v>
      </c>
    </row>
    <row r="181" spans="1:7" x14ac:dyDescent="0.25">
      <c r="A181" s="2" t="str">
        <f ca="1">IFERROR(__xludf.DUMMYFUNCTION("""COMPUTED_VALUE"""),"0252")</f>
        <v>0252</v>
      </c>
      <c r="B181" s="2" t="str">
        <f ca="1">IFERROR(__xludf.DUMMYFUNCTION("""COMPUTED_VALUE"""),"OFICINA MALL AVENTURA PLAZA CALLAO")</f>
        <v>OFICINA MALL AVENTURA PLAZA CALLAO</v>
      </c>
      <c r="C181" s="2" t="str">
        <f ca="1">IFERROR(__xludf.DUMMYFUNCTION("""COMPUTED_VALUE"""),"P023427")</f>
        <v>P023427</v>
      </c>
      <c r="D181" s="2" t="str">
        <f ca="1">IFERROR(__xludf.DUMMYFUNCTION("""COMPUTED_VALUE"""),"RODRIGUEZ PINGO, FATIMA KATHERINE")</f>
        <v>RODRIGUEZ PINGO, FATIMA KATHERINE</v>
      </c>
      <c r="E181" s="2" t="str">
        <f ca="1">IFERROR(__xludf.DUMMYFUNCTION("""COMPUTED_VALUE"""),"FATIMA.RODRIGUEZ.PINGO@BBVA.COM")</f>
        <v>FATIMA.RODRIGUEZ.PINGO@BBVA.COM</v>
      </c>
      <c r="F181" s="2" t="str">
        <f ca="1">IFERROR(__xludf.DUMMYFUNCTION("""COMPUTED_VALUE"""),"(B415)SUB GERENTE DE OFICINA E")</f>
        <v>(B415)SUB GERENTE DE OFICINA E</v>
      </c>
      <c r="G181" s="2" t="str">
        <f ca="1">IFERROR(__xludf.DUMMYFUNCTION("""COMPUTED_VALUE"""),"OFICINA MALL PLAZA CALLAO")</f>
        <v>OFICINA MALL PLAZA CALLAO</v>
      </c>
    </row>
    <row r="182" spans="1:7" x14ac:dyDescent="0.25">
      <c r="A182" s="2" t="str">
        <f ca="1">IFERROR(__xludf.DUMMYFUNCTION("""COMPUTED_VALUE"""),"0253")</f>
        <v>0253</v>
      </c>
      <c r="B182" s="2" t="str">
        <f ca="1">IFERROR(__xludf.DUMMYFUNCTION("""COMPUTED_VALUE"""),"OFICINA CC. REAL PLAZA PRO")</f>
        <v>OFICINA CC. REAL PLAZA PRO</v>
      </c>
      <c r="C182" s="2" t="str">
        <f ca="1">IFERROR(__xludf.DUMMYFUNCTION("""COMPUTED_VALUE"""),"P022855")</f>
        <v>P022855</v>
      </c>
      <c r="D182" s="2" t="str">
        <f ca="1">IFERROR(__xludf.DUMMYFUNCTION("""COMPUTED_VALUE"""),"QUISPE RIOS, JACKELYNE JENNYFER")</f>
        <v>QUISPE RIOS, JACKELYNE JENNYFER</v>
      </c>
      <c r="E182" s="2" t="str">
        <f ca="1">IFERROR(__xludf.DUMMYFUNCTION("""COMPUTED_VALUE"""),"JACKELYNE.QUISPE@BBVA.COM")</f>
        <v>JACKELYNE.QUISPE@BBVA.COM</v>
      </c>
      <c r="F182" s="2" t="str">
        <f ca="1">IFERROR(__xludf.DUMMYFUNCTION("""COMPUTED_VALUE"""),"(B414)SUB GERENTE DE OFICINA D")</f>
        <v>(B414)SUB GERENTE DE OFICINA D</v>
      </c>
      <c r="G182" s="2" t="str">
        <f ca="1">IFERROR(__xludf.DUMMYFUNCTION("""COMPUTED_VALUE"""),"OFICINA CENTRO COMERCIAL REAL PLAZA PRO")</f>
        <v>OFICINA CENTRO COMERCIAL REAL PLAZA PRO</v>
      </c>
    </row>
    <row r="183" spans="1:7" x14ac:dyDescent="0.25">
      <c r="A183" s="2" t="str">
        <f ca="1">IFERROR(__xludf.DUMMYFUNCTION("""COMPUTED_VALUE"""),"0254")</f>
        <v>0254</v>
      </c>
      <c r="B183" s="2" t="str">
        <f ca="1">IFERROR(__xludf.DUMMYFUNCTION("""COMPUTED_VALUE"""),"OFICINA LARCO - TRUJILLO")</f>
        <v>OFICINA LARCO - TRUJILLO</v>
      </c>
      <c r="C183" s="2" t="str">
        <f ca="1">IFERROR(__xludf.DUMMYFUNCTION("""COMPUTED_VALUE"""),"P013655")</f>
        <v>P013655</v>
      </c>
      <c r="D183" s="2" t="str">
        <f ca="1">IFERROR(__xludf.DUMMYFUNCTION("""COMPUTED_VALUE"""),"FALLA CHUNGA, MARCO ANTONIO")</f>
        <v>FALLA CHUNGA, MARCO ANTONIO</v>
      </c>
      <c r="E183" s="2" t="str">
        <f ca="1">IFERROR(__xludf.DUMMYFUNCTION("""COMPUTED_VALUE"""),"MFALLA@BBVA.COM")</f>
        <v>MFALLA@BBVA.COM</v>
      </c>
      <c r="F183" s="2" t="str">
        <f ca="1">IFERROR(__xludf.DUMMYFUNCTION("""COMPUTED_VALUE"""),"(B413)SUB GERENTE DE OFICINA C")</f>
        <v>(B413)SUB GERENTE DE OFICINA C</v>
      </c>
      <c r="G183" s="2" t="str">
        <f ca="1">IFERROR(__xludf.DUMMYFUNCTION("""COMPUTED_VALUE"""),"OFICINA LARCO TRUJILLO")</f>
        <v>OFICINA LARCO TRUJILLO</v>
      </c>
    </row>
    <row r="184" spans="1:7" x14ac:dyDescent="0.25">
      <c r="A184" s="2" t="str">
        <f ca="1">IFERROR(__xludf.DUMMYFUNCTION("""COMPUTED_VALUE"""),"0256")</f>
        <v>0256</v>
      </c>
      <c r="B184" s="2" t="str">
        <f ca="1">IFERROR(__xludf.DUMMYFUNCTION("""COMPUTED_VALUE"""),"OFICINA EL MURO")</f>
        <v>OFICINA EL MURO</v>
      </c>
      <c r="C184" s="2" t="str">
        <f ca="1">IFERROR(__xludf.DUMMYFUNCTION("""COMPUTED_VALUE"""),"P029125")</f>
        <v>P029125</v>
      </c>
      <c r="D184" s="2" t="str">
        <f ca="1">IFERROR(__xludf.DUMMYFUNCTION("""COMPUTED_VALUE"""),"PASACHE SALCEDO, ROSALIA DE LOS ANGELES")</f>
        <v>PASACHE SALCEDO, ROSALIA DE LOS ANGELES</v>
      </c>
      <c r="E184" s="2" t="str">
        <f ca="1">IFERROR(__xludf.DUMMYFUNCTION("""COMPUTED_VALUE"""),"ROSALIA.PASACHE@BBVA.COM")</f>
        <v>ROSALIA.PASACHE@BBVA.COM</v>
      </c>
      <c r="F184" s="2" t="str">
        <f ca="1">IFERROR(__xludf.DUMMYFUNCTION("""COMPUTED_VALUE"""),"(B415)SUB GERENTE DE OFICINA E")</f>
        <v>(B415)SUB GERENTE DE OFICINA E</v>
      </c>
      <c r="G184" s="2" t="str">
        <f ca="1">IFERROR(__xludf.DUMMYFUNCTION("""COMPUTED_VALUE"""),"OFICINA EL MURO")</f>
        <v>OFICINA EL MURO</v>
      </c>
    </row>
    <row r="185" spans="1:7" x14ac:dyDescent="0.25">
      <c r="A185" s="2" t="str">
        <f ca="1">IFERROR(__xludf.DUMMYFUNCTION("""COMPUTED_VALUE"""),"0257")</f>
        <v>0257</v>
      </c>
      <c r="B185" s="2" t="str">
        <f ca="1">IFERROR(__xludf.DUMMYFUNCTION("""COMPUTED_VALUE"""),"OFICINA GRAN CHIMÚ")</f>
        <v>OFICINA GRAN CHIMÚ</v>
      </c>
      <c r="C185" s="2" t="str">
        <f ca="1">IFERROR(__xludf.DUMMYFUNCTION("""COMPUTED_VALUE"""),"P022459")</f>
        <v>P022459</v>
      </c>
      <c r="D185" s="2" t="str">
        <f ca="1">IFERROR(__xludf.DUMMYFUNCTION("""COMPUTED_VALUE"""),"VIVANCO CERRON, LIDIA DORA")</f>
        <v>VIVANCO CERRON, LIDIA DORA</v>
      </c>
      <c r="E185" s="2" t="str">
        <f ca="1">IFERROR(__xludf.DUMMYFUNCTION("""COMPUTED_VALUE"""),"LIDIA.VIVANCO@BBVA.COM")</f>
        <v>LIDIA.VIVANCO@BBVA.COM</v>
      </c>
      <c r="F185" s="2" t="str">
        <f ca="1">IFERROR(__xludf.DUMMYFUNCTION("""COMPUTED_VALUE"""),"(B412)SUB GERENTE DE OFICINA B")</f>
        <v>(B412)SUB GERENTE DE OFICINA B</v>
      </c>
      <c r="G185" s="2" t="str">
        <f ca="1">IFERROR(__xludf.DUMMYFUNCTION("""COMPUTED_VALUE"""),"OFICINA GRAN CHIMU")</f>
        <v>OFICINA GRAN CHIMU</v>
      </c>
    </row>
    <row r="186" spans="1:7" x14ac:dyDescent="0.25">
      <c r="A186" s="2" t="str">
        <f ca="1">IFERROR(__xludf.DUMMYFUNCTION("""COMPUTED_VALUE"""),"0258")</f>
        <v>0258</v>
      </c>
      <c r="B186" s="2" t="str">
        <f ca="1">IFERROR(__xludf.DUMMYFUNCTION("""COMPUTED_VALUE"""),"OFICINA LARAPA CUSCO")</f>
        <v>OFICINA LARAPA CUSCO</v>
      </c>
      <c r="C186" s="2" t="str">
        <f ca="1">IFERROR(__xludf.DUMMYFUNCTION("""COMPUTED_VALUE"""),"P028398")</f>
        <v>P028398</v>
      </c>
      <c r="D186" s="2" t="str">
        <f ca="1">IFERROR(__xludf.DUMMYFUNCTION("""COMPUTED_VALUE"""),"MEDINA CCAMA, WIDMER ROY")</f>
        <v>MEDINA CCAMA, WIDMER ROY</v>
      </c>
      <c r="E186" s="2" t="str">
        <f ca="1">IFERROR(__xludf.DUMMYFUNCTION("""COMPUTED_VALUE"""),"WIDMER.MEDINA@BBVA.COM")</f>
        <v>WIDMER.MEDINA@BBVA.COM</v>
      </c>
      <c r="F186" s="2" t="str">
        <f ca="1">IFERROR(__xludf.DUMMYFUNCTION("""COMPUTED_VALUE"""),"(B417)SUB GERENTE DE OFICINA F")</f>
        <v>(B417)SUB GERENTE DE OFICINA F</v>
      </c>
      <c r="G186" s="2" t="str">
        <f ca="1">IFERROR(__xludf.DUMMYFUNCTION("""COMPUTED_VALUE"""),"OFICINA LARAPA CUSCO")</f>
        <v>OFICINA LARAPA CUSCO</v>
      </c>
    </row>
    <row r="187" spans="1:7" x14ac:dyDescent="0.25">
      <c r="A187" s="2" t="str">
        <f ca="1">IFERROR(__xludf.DUMMYFUNCTION("""COMPUTED_VALUE"""),"0259")</f>
        <v>0259</v>
      </c>
      <c r="B187" s="2" t="str">
        <f ca="1">IFERROR(__xludf.DUMMYFUNCTION("""COMPUTED_VALUE"""),"OFICINA CANTA CALLAO")</f>
        <v>OFICINA CANTA CALLAO</v>
      </c>
      <c r="C187" s="2" t="str">
        <f ca="1">IFERROR(__xludf.DUMMYFUNCTION("""COMPUTED_VALUE"""),"P025399")</f>
        <v>P025399</v>
      </c>
      <c r="D187" s="2" t="str">
        <f ca="1">IFERROR(__xludf.DUMMYFUNCTION("""COMPUTED_VALUE"""),"APOLINARIO TOLEDO, JEFFERSON RONALD")</f>
        <v>APOLINARIO TOLEDO, JEFFERSON RONALD</v>
      </c>
      <c r="E187" s="2" t="str">
        <f ca="1">IFERROR(__xludf.DUMMYFUNCTION("""COMPUTED_VALUE"""),"JEFFERSON.APOLINARIO@BBVA.COM")</f>
        <v>JEFFERSON.APOLINARIO@BBVA.COM</v>
      </c>
      <c r="F187" s="2" t="str">
        <f ca="1">IFERROR(__xludf.DUMMYFUNCTION("""COMPUTED_VALUE"""),"(B415)SUB GERENTE DE OFICINA E")</f>
        <v>(B415)SUB GERENTE DE OFICINA E</v>
      </c>
      <c r="G187" s="2" t="str">
        <f ca="1">IFERROR(__xludf.DUMMYFUNCTION("""COMPUTED_VALUE"""),"OFICINA CENTRO COMERCIAL CANTA CALLAO")</f>
        <v>OFICINA CENTRO COMERCIAL CANTA CALLAO</v>
      </c>
    </row>
    <row r="188" spans="1:7" x14ac:dyDescent="0.25">
      <c r="A188" s="2" t="str">
        <f ca="1">IFERROR(__xludf.DUMMYFUNCTION("""COMPUTED_VALUE"""),"0260")</f>
        <v>0260</v>
      </c>
      <c r="B188" s="2" t="str">
        <f ca="1">IFERROR(__xludf.DUMMYFUNCTION("""COMPUTED_VALUE"""),"OFICINA HUARAZ")</f>
        <v>OFICINA HUARAZ</v>
      </c>
      <c r="C188" s="2" t="str">
        <f ca="1">IFERROR(__xludf.DUMMYFUNCTION("""COMPUTED_VALUE"""),"P013078")</f>
        <v>P013078</v>
      </c>
      <c r="D188" s="2" t="str">
        <f ca="1">IFERROR(__xludf.DUMMYFUNCTION("""COMPUTED_VALUE"""),"VASQUEZ ORTIZ, ROSA MARIA")</f>
        <v>VASQUEZ ORTIZ, ROSA MARIA</v>
      </c>
      <c r="E188" s="2" t="str">
        <f ca="1">IFERROR(__xludf.DUMMYFUNCTION("""COMPUTED_VALUE"""),"RVASQUEZO@BBVA.COM")</f>
        <v>RVASQUEZO@BBVA.COM</v>
      </c>
      <c r="F188" s="2" t="str">
        <f ca="1">IFERROR(__xludf.DUMMYFUNCTION("""COMPUTED_VALUE"""),"(B411)SUB GERENTE DE OFICINA A3")</f>
        <v>(B411)SUB GERENTE DE OFICINA A3</v>
      </c>
      <c r="G188" s="2" t="str">
        <f ca="1">IFERROR(__xludf.DUMMYFUNCTION("""COMPUTED_VALUE"""),"OFICINA HUARAZ")</f>
        <v>OFICINA HUARAZ</v>
      </c>
    </row>
    <row r="189" spans="1:7" x14ac:dyDescent="0.25">
      <c r="A189" s="2" t="str">
        <f ca="1">IFERROR(__xludf.DUMMYFUNCTION("""COMPUTED_VALUE"""),"0261")</f>
        <v>0261</v>
      </c>
      <c r="B189" s="2" t="str">
        <f ca="1">IFERROR(__xludf.DUMMYFUNCTION("""COMPUTED_VALUE"""),"OFICINA MALL DEL SUR")</f>
        <v>OFICINA MALL DEL SUR</v>
      </c>
      <c r="C189" s="2" t="str">
        <f ca="1">IFERROR(__xludf.DUMMYFUNCTION("""COMPUTED_VALUE"""),"P022441")</f>
        <v>P022441</v>
      </c>
      <c r="D189" s="2" t="str">
        <f ca="1">IFERROR(__xludf.DUMMYFUNCTION("""COMPUTED_VALUE"""),"CANO PANANA, SANDRA SOFIA")</f>
        <v>CANO PANANA, SANDRA SOFIA</v>
      </c>
      <c r="E189" s="2" t="str">
        <f ca="1">IFERROR(__xludf.DUMMYFUNCTION("""COMPUTED_VALUE"""),"SANDRA.CANO.PANANA@BBVA.COM")</f>
        <v>SANDRA.CANO.PANANA@BBVA.COM</v>
      </c>
      <c r="F189" s="2" t="str">
        <f ca="1">IFERROR(__xludf.DUMMYFUNCTION("""COMPUTED_VALUE"""),"(B415)SUB GERENTE DE OFICINA E")</f>
        <v>(B415)SUB GERENTE DE OFICINA E</v>
      </c>
      <c r="G189" s="2" t="str">
        <f ca="1">IFERROR(__xludf.DUMMYFUNCTION("""COMPUTED_VALUE"""),"OFICINA MALL DEL SUR")</f>
        <v>OFICINA MALL DEL SUR</v>
      </c>
    </row>
    <row r="190" spans="1:7" x14ac:dyDescent="0.25">
      <c r="A190" s="2" t="str">
        <f ca="1">IFERROR(__xludf.DUMMYFUNCTION("""COMPUTED_VALUE"""),"0262")</f>
        <v>0262</v>
      </c>
      <c r="B190" s="2" t="str">
        <f ca="1">IFERROR(__xludf.DUMMYFUNCTION("""COMPUTED_VALUE"""),"OFICINA LA PLANICIE")</f>
        <v>OFICINA LA PLANICIE</v>
      </c>
      <c r="C190" s="2" t="str">
        <f ca="1">IFERROR(__xludf.DUMMYFUNCTION("""COMPUTED_VALUE"""),"P023169")</f>
        <v>P023169</v>
      </c>
      <c r="D190" s="2" t="str">
        <f ca="1">IFERROR(__xludf.DUMMYFUNCTION("""COMPUTED_VALUE"""),"GALLO QUISPE, JOEL JEREMIAS")</f>
        <v>GALLO QUISPE, JOEL JEREMIAS</v>
      </c>
      <c r="E190" s="2" t="str">
        <f ca="1">IFERROR(__xludf.DUMMYFUNCTION("""COMPUTED_VALUE"""),"JOEL.GALLO@BBVA.COM")</f>
        <v>JOEL.GALLO@BBVA.COM</v>
      </c>
      <c r="F190" s="2" t="str">
        <f ca="1">IFERROR(__xludf.DUMMYFUNCTION("""COMPUTED_VALUE"""),"(B413)SUB GERENTE DE OFICINA C")</f>
        <v>(B413)SUB GERENTE DE OFICINA C</v>
      </c>
      <c r="G190" s="2" t="str">
        <f ca="1">IFERROR(__xludf.DUMMYFUNCTION("""COMPUTED_VALUE"""),"OFICINA LA PLANICIE")</f>
        <v>OFICINA LA PLANICIE</v>
      </c>
    </row>
    <row r="191" spans="1:7" x14ac:dyDescent="0.25">
      <c r="A191" s="2" t="str">
        <f ca="1">IFERROR(__xludf.DUMMYFUNCTION("""COMPUTED_VALUE"""),"0263")</f>
        <v>0263</v>
      </c>
      <c r="B191" s="2" t="str">
        <f ca="1">IFERROR(__xludf.DUMMYFUNCTION("""COMPUTED_VALUE"""),"OFICINA PUERTO MALDONADO")</f>
        <v>OFICINA PUERTO MALDONADO</v>
      </c>
      <c r="C191" s="2" t="str">
        <f ca="1">IFERROR(__xludf.DUMMYFUNCTION("""COMPUTED_VALUE"""),"P033461")</f>
        <v>P033461</v>
      </c>
      <c r="D191" s="2" t="str">
        <f ca="1">IFERROR(__xludf.DUMMYFUNCTION("""COMPUTED_VALUE"""),"APAZA BAYLÓN, PAOLO CESAR")</f>
        <v>APAZA BAYLÓN, PAOLO CESAR</v>
      </c>
      <c r="E191" s="2" t="str">
        <f ca="1">IFERROR(__xludf.DUMMYFUNCTION("""COMPUTED_VALUE"""),"PAOLO.APAZA@BBVA.COM")</f>
        <v>PAOLO.APAZA@BBVA.COM</v>
      </c>
      <c r="F191" s="2" t="str">
        <f ca="1">IFERROR(__xludf.DUMMYFUNCTION("""COMPUTED_VALUE"""),"(B415)SUB GERENTE DE OFICINA E")</f>
        <v>(B415)SUB GERENTE DE OFICINA E</v>
      </c>
      <c r="G191" s="2" t="str">
        <f ca="1">IFERROR(__xludf.DUMMYFUNCTION("""COMPUTED_VALUE"""),"OFICINA PUERTO MALDONADO")</f>
        <v>OFICINA PUERTO MALDONADO</v>
      </c>
    </row>
    <row r="192" spans="1:7" x14ac:dyDescent="0.25">
      <c r="A192" s="2" t="str">
        <f ca="1">IFERROR(__xludf.DUMMYFUNCTION("""COMPUTED_VALUE"""),"0264")</f>
        <v>0264</v>
      </c>
      <c r="B192" s="2" t="str">
        <f ca="1">IFERROR(__xludf.DUMMYFUNCTION("""COMPUTED_VALUE"""),"OFICINA CHANCAY")</f>
        <v>OFICINA CHANCAY</v>
      </c>
      <c r="C192" s="2" t="str">
        <f ca="1">IFERROR(__xludf.DUMMYFUNCTION("""COMPUTED_VALUE"""),"P012646")</f>
        <v>P012646</v>
      </c>
      <c r="D192" s="2" t="str">
        <f ca="1">IFERROR(__xludf.DUMMYFUNCTION("""COMPUTED_VALUE"""),"MANCO RUIZ, FIORELLA MILUSKA")</f>
        <v>MANCO RUIZ, FIORELLA MILUSKA</v>
      </c>
      <c r="E192" s="2" t="str">
        <f ca="1">IFERROR(__xludf.DUMMYFUNCTION("""COMPUTED_VALUE"""),"FMANCO@BBVA.COM")</f>
        <v>FMANCO@BBVA.COM</v>
      </c>
      <c r="F192" s="2" t="str">
        <f ca="1">IFERROR(__xludf.DUMMYFUNCTION("""COMPUTED_VALUE"""),"(B417)SUB GERENTE DE OFICINA F")</f>
        <v>(B417)SUB GERENTE DE OFICINA F</v>
      </c>
      <c r="G192" s="2" t="str">
        <f ca="1">IFERROR(__xludf.DUMMYFUNCTION("""COMPUTED_VALUE"""),"OFICINA CHANCAY")</f>
        <v>OFICINA CHANCAY</v>
      </c>
    </row>
    <row r="193" spans="1:7" x14ac:dyDescent="0.25">
      <c r="A193" s="2" t="str">
        <f ca="1">IFERROR(__xludf.DUMMYFUNCTION("""COMPUTED_VALUE"""),"0265")</f>
        <v>0265</v>
      </c>
      <c r="B193" s="2" t="str">
        <f ca="1">IFERROR(__xludf.DUMMYFUNCTION("""COMPUTED_VALUE"""),"OFICINA TUMBES")</f>
        <v>OFICINA TUMBES</v>
      </c>
      <c r="C193" s="2" t="str">
        <f ca="1">IFERROR(__xludf.DUMMYFUNCTION("""COMPUTED_VALUE"""),"P015274")</f>
        <v>P015274</v>
      </c>
      <c r="D193" s="2" t="str">
        <f ca="1">IFERROR(__xludf.DUMMYFUNCTION("""COMPUTED_VALUE"""),"ACOSTA AGUIRRE, KARINA LIZBETH")</f>
        <v>ACOSTA AGUIRRE, KARINA LIZBETH</v>
      </c>
      <c r="E193" s="2" t="str">
        <f ca="1">IFERROR(__xludf.DUMMYFUNCTION("""COMPUTED_VALUE"""),"KACOSTA@BBVA.COM")</f>
        <v>KACOSTA@BBVA.COM</v>
      </c>
      <c r="F193" s="2" t="str">
        <f ca="1">IFERROR(__xludf.DUMMYFUNCTION("""COMPUTED_VALUE"""),"(B413)SUB GERENTE DE OFICINA C")</f>
        <v>(B413)SUB GERENTE DE OFICINA C</v>
      </c>
      <c r="G193" s="2" t="str">
        <f ca="1">IFERROR(__xludf.DUMMYFUNCTION("""COMPUTED_VALUE"""),"OFICINA TUMBES")</f>
        <v>OFICINA TUMBES</v>
      </c>
    </row>
    <row r="194" spans="1:7" x14ac:dyDescent="0.25">
      <c r="A194" s="2" t="str">
        <f ca="1">IFERROR(__xludf.DUMMYFUNCTION("""COMPUTED_VALUE"""),"0266")</f>
        <v>0266</v>
      </c>
      <c r="B194" s="2" t="str">
        <f ca="1">IFERROR(__xludf.DUMMYFUNCTION("""COMPUTED_VALUE"""),"OFICINA C.C. REAL PLAZA HUANCAYO")</f>
        <v>OFICINA C.C. REAL PLAZA HUANCAYO</v>
      </c>
      <c r="C194" s="2" t="str">
        <f ca="1">IFERROR(__xludf.DUMMYFUNCTION("""COMPUTED_VALUE"""),"P028497")</f>
        <v>P028497</v>
      </c>
      <c r="D194" s="2" t="str">
        <f ca="1">IFERROR(__xludf.DUMMYFUNCTION("""COMPUTED_VALUE"""),"DOMINGUEZ RIOS, RENZO ARMANDO CESAR")</f>
        <v>DOMINGUEZ RIOS, RENZO ARMANDO CESAR</v>
      </c>
      <c r="E194" s="2" t="str">
        <f ca="1">IFERROR(__xludf.DUMMYFUNCTION("""COMPUTED_VALUE"""),"RENZO.DOMINGUEZ@BBVA.COM")</f>
        <v>RENZO.DOMINGUEZ@BBVA.COM</v>
      </c>
      <c r="F194" s="2" t="str">
        <f ca="1">IFERROR(__xludf.DUMMYFUNCTION("""COMPUTED_VALUE"""),"(B415)SUB GERENTE DE OFICINA E")</f>
        <v>(B415)SUB GERENTE DE OFICINA E</v>
      </c>
      <c r="G194" s="2" t="str">
        <f ca="1">IFERROR(__xludf.DUMMYFUNCTION("""COMPUTED_VALUE"""),"OFICINA REAL PLAZA HUANCAYO")</f>
        <v>OFICINA REAL PLAZA HUANCAYO</v>
      </c>
    </row>
    <row r="195" spans="1:7" x14ac:dyDescent="0.25">
      <c r="A195" s="2" t="str">
        <f ca="1">IFERROR(__xludf.DUMMYFUNCTION("""COMPUTED_VALUE"""),"0267")</f>
        <v>0267</v>
      </c>
      <c r="B195" s="2" t="str">
        <f ca="1">IFERROR(__xludf.DUMMYFUNCTION("""COMPUTED_VALUE"""),"OFICINA PIURA")</f>
        <v>OFICINA PIURA</v>
      </c>
      <c r="C195" s="2" t="str">
        <f ca="1">IFERROR(__xludf.DUMMYFUNCTION("""COMPUTED_VALUE"""),"P011367")</f>
        <v>P011367</v>
      </c>
      <c r="D195" s="2" t="str">
        <f ca="1">IFERROR(__xludf.DUMMYFUNCTION("""COMPUTED_VALUE"""),"APUY RISCO, JORGE ANTONIO")</f>
        <v>APUY RISCO, JORGE ANTONIO</v>
      </c>
      <c r="E195" s="2" t="str">
        <f ca="1">IFERROR(__xludf.DUMMYFUNCTION("""COMPUTED_VALUE"""),"JAPUY@BBVA.COM")</f>
        <v>JAPUY@BBVA.COM</v>
      </c>
      <c r="F195" s="2" t="str">
        <f ca="1">IFERROR(__xludf.DUMMYFUNCTION("""COMPUTED_VALUE"""),"(B411)SUB GERENTE DE OFICINA A3")</f>
        <v>(B411)SUB GERENTE DE OFICINA A3</v>
      </c>
      <c r="G195" s="2" t="str">
        <f ca="1">IFERROR(__xludf.DUMMYFUNCTION("""COMPUTED_VALUE"""),"OFICINA PIURA")</f>
        <v>OFICINA PIURA</v>
      </c>
    </row>
    <row r="196" spans="1:7" x14ac:dyDescent="0.25">
      <c r="A196" s="2" t="str">
        <f ca="1">IFERROR(__xludf.DUMMYFUNCTION("""COMPUTED_VALUE"""),"0268")</f>
        <v>0268</v>
      </c>
      <c r="B196" s="2" t="str">
        <f ca="1">IFERROR(__xludf.DUMMYFUNCTION("""COMPUTED_VALUE"""),"OFICINA MERCADO MODELO PIURA")</f>
        <v>OFICINA MERCADO MODELO PIURA</v>
      </c>
      <c r="C196" s="2" t="str">
        <f ca="1">IFERROR(__xludf.DUMMYFUNCTION("""COMPUTED_VALUE"""),"P022747")</f>
        <v>P022747</v>
      </c>
      <c r="D196" s="2" t="str">
        <f ca="1">IFERROR(__xludf.DUMMYFUNCTION("""COMPUTED_VALUE"""),"VILCA LUJAN, ALESSANDRA JACQUELINE")</f>
        <v>VILCA LUJAN, ALESSANDRA JACQUELINE</v>
      </c>
      <c r="E196" s="2" t="str">
        <f ca="1">IFERROR(__xludf.DUMMYFUNCTION("""COMPUTED_VALUE"""),"ALESSANDRA.VILCA@BBVA.COM")</f>
        <v>ALESSANDRA.VILCA@BBVA.COM</v>
      </c>
      <c r="F196" s="2" t="str">
        <f ca="1">IFERROR(__xludf.DUMMYFUNCTION("""COMPUTED_VALUE"""),"(B415)SUB GERENTE DE OFICINA E")</f>
        <v>(B415)SUB GERENTE DE OFICINA E</v>
      </c>
      <c r="G196" s="2" t="str">
        <f ca="1">IFERROR(__xludf.DUMMYFUNCTION("""COMPUTED_VALUE"""),"OFICINA MERCADO MODELO PIURA")</f>
        <v>OFICINA MERCADO MODELO PIURA</v>
      </c>
    </row>
    <row r="197" spans="1:7" x14ac:dyDescent="0.25">
      <c r="A197" s="2" t="str">
        <f ca="1">IFERROR(__xludf.DUMMYFUNCTION("""COMPUTED_VALUE"""),"0269")</f>
        <v>0269</v>
      </c>
      <c r="B197" s="2" t="str">
        <f ca="1">IFERROR(__xludf.DUMMYFUNCTION("""COMPUTED_VALUE"""),"OFICINA EL AGUSTINO")</f>
        <v>OFICINA EL AGUSTINO</v>
      </c>
      <c r="C197" s="2" t="str">
        <f ca="1">IFERROR(__xludf.DUMMYFUNCTION("""COMPUTED_VALUE"""),"P028578")</f>
        <v>P028578</v>
      </c>
      <c r="D197" s="2" t="str">
        <f ca="1">IFERROR(__xludf.DUMMYFUNCTION("""COMPUTED_VALUE"""),"NUÑEZ HIDALGO, BRYAN MAURI")</f>
        <v>NUÑEZ HIDALGO, BRYAN MAURI</v>
      </c>
      <c r="E197" s="2" t="str">
        <f ca="1">IFERROR(__xludf.DUMMYFUNCTION("""COMPUTED_VALUE"""),"BRYAN.NUNEZ@BBVA.COM")</f>
        <v>BRYAN.NUNEZ@BBVA.COM</v>
      </c>
      <c r="F197" s="2" t="str">
        <f ca="1">IFERROR(__xludf.DUMMYFUNCTION("""COMPUTED_VALUE"""),"(B415)SUB GERENTE DE OFICINA E")</f>
        <v>(B415)SUB GERENTE DE OFICINA E</v>
      </c>
      <c r="G197" s="2" t="str">
        <f ca="1">IFERROR(__xludf.DUMMYFUNCTION("""COMPUTED_VALUE"""),"OFICINA EL AGUSTINO")</f>
        <v>OFICINA EL AGUSTINO</v>
      </c>
    </row>
    <row r="198" spans="1:7" x14ac:dyDescent="0.25">
      <c r="A198" s="2" t="str">
        <f ca="1">IFERROR(__xludf.DUMMYFUNCTION("""COMPUTED_VALUE"""),"0270")</f>
        <v>0270</v>
      </c>
      <c r="B198" s="2" t="str">
        <f ca="1">IFERROR(__xludf.DUMMYFUNCTION("""COMPUTED_VALUE"""),"OFICINA TALARA")</f>
        <v>OFICINA TALARA</v>
      </c>
      <c r="C198" s="2" t="str">
        <f ca="1">IFERROR(__xludf.DUMMYFUNCTION("""COMPUTED_VALUE"""),"P022687")</f>
        <v>P022687</v>
      </c>
      <c r="D198" s="2" t="str">
        <f ca="1">IFERROR(__xludf.DUMMYFUNCTION("""COMPUTED_VALUE"""),"RUFINO CASTRO, VIVIANA")</f>
        <v>RUFINO CASTRO, VIVIANA</v>
      </c>
      <c r="E198" s="2" t="str">
        <f ca="1">IFERROR(__xludf.DUMMYFUNCTION("""COMPUTED_VALUE"""),"VIVIANA.RUFINO@BBVA.COM")</f>
        <v>VIVIANA.RUFINO@BBVA.COM</v>
      </c>
      <c r="F198" s="2" t="str">
        <f ca="1">IFERROR(__xludf.DUMMYFUNCTION("""COMPUTED_VALUE"""),"(B414)SUB GERENTE DE OFICINA D")</f>
        <v>(B414)SUB GERENTE DE OFICINA D</v>
      </c>
      <c r="G198" s="2" t="str">
        <f ca="1">IFERROR(__xludf.DUMMYFUNCTION("""COMPUTED_VALUE"""),"OFICINA TALARA")</f>
        <v>OFICINA TALARA</v>
      </c>
    </row>
    <row r="199" spans="1:7" x14ac:dyDescent="0.25">
      <c r="A199" s="2" t="str">
        <f ca="1">IFERROR(__xludf.DUMMYFUNCTION("""COMPUTED_VALUE"""),"0271")</f>
        <v>0271</v>
      </c>
      <c r="B199" s="2" t="str">
        <f ca="1">IFERROR(__xludf.DUMMYFUNCTION("""COMPUTED_VALUE"""),"OFICINA PAITA")</f>
        <v>OFICINA PAITA</v>
      </c>
      <c r="C199" s="2" t="str">
        <f ca="1">IFERROR(__xludf.DUMMYFUNCTION("""COMPUTED_VALUE"""),"P021098")</f>
        <v>P021098</v>
      </c>
      <c r="D199" s="2" t="str">
        <f ca="1">IFERROR(__xludf.DUMMYFUNCTION("""COMPUTED_VALUE"""),"ZEVALLOS SOBRINO, ALMAYDER VIDAL")</f>
        <v>ZEVALLOS SOBRINO, ALMAYDER VIDAL</v>
      </c>
      <c r="E199" s="2" t="str">
        <f ca="1">IFERROR(__xludf.DUMMYFUNCTION("""COMPUTED_VALUE"""),"ALMAYDER.ZEVALLOS@BBVA.COM")</f>
        <v>ALMAYDER.ZEVALLOS@BBVA.COM</v>
      </c>
      <c r="F199" s="2" t="str">
        <f ca="1">IFERROR(__xludf.DUMMYFUNCTION("""COMPUTED_VALUE"""),"(B414)SUB GERENTE DE OFICINA D")</f>
        <v>(B414)SUB GERENTE DE OFICINA D</v>
      </c>
      <c r="G199" s="2" t="str">
        <f ca="1">IFERROR(__xludf.DUMMYFUNCTION("""COMPUTED_VALUE"""),"OFICINA PAITA")</f>
        <v>OFICINA PAITA</v>
      </c>
    </row>
    <row r="200" spans="1:7" x14ac:dyDescent="0.25">
      <c r="A200" s="2" t="str">
        <f ca="1">IFERROR(__xludf.DUMMYFUNCTION("""COMPUTED_VALUE"""),"0272")</f>
        <v>0272</v>
      </c>
      <c r="B200" s="2" t="str">
        <f ca="1">IFERROR(__xludf.DUMMYFUNCTION("""COMPUTED_VALUE"""),"OFICINA NUEVO CHIMBOTE")</f>
        <v>OFICINA NUEVO CHIMBOTE</v>
      </c>
      <c r="C200" s="2" t="str">
        <f ca="1">IFERROR(__xludf.DUMMYFUNCTION("""COMPUTED_VALUE"""),"P017934")</f>
        <v>P017934</v>
      </c>
      <c r="D200" s="2" t="str">
        <f ca="1">IFERROR(__xludf.DUMMYFUNCTION("""COMPUTED_VALUE"""),"PINTO MAGUIÑA, JORDY DAVID")</f>
        <v>PINTO MAGUIÑA, JORDY DAVID</v>
      </c>
      <c r="E200" s="2" t="str">
        <f ca="1">IFERROR(__xludf.DUMMYFUNCTION("""COMPUTED_VALUE"""),"JPINTOM@BBVA.COM")</f>
        <v>JPINTOM@BBVA.COM</v>
      </c>
      <c r="F200" s="2" t="str">
        <f ca="1">IFERROR(__xludf.DUMMYFUNCTION("""COMPUTED_VALUE"""),"(B417)SUB GERENTE DE OFICINA F")</f>
        <v>(B417)SUB GERENTE DE OFICINA F</v>
      </c>
      <c r="G200" s="2" t="str">
        <f ca="1">IFERROR(__xludf.DUMMYFUNCTION("""COMPUTED_VALUE"""),"OFICINA NUEVO CHIMBOTE")</f>
        <v>OFICINA NUEVO CHIMBOTE</v>
      </c>
    </row>
    <row r="201" spans="1:7" x14ac:dyDescent="0.25">
      <c r="A201" s="2" t="str">
        <f ca="1">IFERROR(__xludf.DUMMYFUNCTION("""COMPUTED_VALUE"""),"0273")</f>
        <v>0273</v>
      </c>
      <c r="B201" s="2" t="str">
        <f ca="1">IFERROR(__xludf.DUMMYFUNCTION("""COMPUTED_VALUE"""),"OFICINA HUARAL")</f>
        <v>OFICINA HUARAL</v>
      </c>
      <c r="C201" s="2" t="str">
        <f ca="1">IFERROR(__xludf.DUMMYFUNCTION("""COMPUTED_VALUE"""),"P014190")</f>
        <v>P014190</v>
      </c>
      <c r="D201" s="2" t="str">
        <f ca="1">IFERROR(__xludf.DUMMYFUNCTION("""COMPUTED_VALUE"""),"PEREZ INFANTE, ELOY")</f>
        <v>PEREZ INFANTE, ELOY</v>
      </c>
      <c r="E201" s="2" t="str">
        <f ca="1">IFERROR(__xludf.DUMMYFUNCTION("""COMPUTED_VALUE"""),"EPEREZI@BBVA.COM")</f>
        <v>EPEREZI@BBVA.COM</v>
      </c>
      <c r="F201" s="2" t="str">
        <f ca="1">IFERROR(__xludf.DUMMYFUNCTION("""COMPUTED_VALUE"""),"(B413)SUB GERENTE DE OFICINA C")</f>
        <v>(B413)SUB GERENTE DE OFICINA C</v>
      </c>
      <c r="G201" s="2" t="str">
        <f ca="1">IFERROR(__xludf.DUMMYFUNCTION("""COMPUTED_VALUE"""),"OFICINA HUARAL")</f>
        <v>OFICINA HUARAL</v>
      </c>
    </row>
    <row r="202" spans="1:7" x14ac:dyDescent="0.25">
      <c r="A202" s="2" t="str">
        <f ca="1">IFERROR(__xludf.DUMMYFUNCTION("""COMPUTED_VALUE"""),"0274")</f>
        <v>0274</v>
      </c>
      <c r="B202" s="2" t="str">
        <f ca="1">IFERROR(__xludf.DUMMYFUNCTION("""COMPUTED_VALUE"""),"OFICINA SULLANA")</f>
        <v>OFICINA SULLANA</v>
      </c>
      <c r="C202" s="2" t="str">
        <f ca="1">IFERROR(__xludf.DUMMYFUNCTION("""COMPUTED_VALUE"""),"P013813")</f>
        <v>P013813</v>
      </c>
      <c r="D202" s="2" t="str">
        <f ca="1">IFERROR(__xludf.DUMMYFUNCTION("""COMPUTED_VALUE"""),"BARRIENTOS GARCIA, ROSALYN")</f>
        <v>BARRIENTOS GARCIA, ROSALYN</v>
      </c>
      <c r="E202" s="2" t="str">
        <f ca="1">IFERROR(__xludf.DUMMYFUNCTION("""COMPUTED_VALUE"""),"RBARRIENTOSG@BBVA.COM")</f>
        <v>RBARRIENTOSG@BBVA.COM</v>
      </c>
      <c r="F202" s="2" t="str">
        <f ca="1">IFERROR(__xludf.DUMMYFUNCTION("""COMPUTED_VALUE"""),"(B415)SUB GERENTE DE OFICINA E")</f>
        <v>(B415)SUB GERENTE DE OFICINA E</v>
      </c>
      <c r="G202" s="2" t="str">
        <f ca="1">IFERROR(__xludf.DUMMYFUNCTION("""COMPUTED_VALUE"""),"OFICINA SULLANA")</f>
        <v>OFICINA SULLANA</v>
      </c>
    </row>
    <row r="203" spans="1:7" x14ac:dyDescent="0.25">
      <c r="A203" s="2" t="str">
        <f ca="1">IFERROR(__xludf.DUMMYFUNCTION("""COMPUTED_VALUE"""),"0275")</f>
        <v>0275</v>
      </c>
      <c r="B203" s="2" t="str">
        <f ca="1">IFERROR(__xludf.DUMMYFUNCTION("""COMPUTED_VALUE"""),"OFICINA HUACHO")</f>
        <v>OFICINA HUACHO</v>
      </c>
      <c r="C203" s="2" t="str">
        <f ca="1">IFERROR(__xludf.DUMMYFUNCTION("""COMPUTED_VALUE"""),"P007037")</f>
        <v>P007037</v>
      </c>
      <c r="D203" s="2" t="str">
        <f ca="1">IFERROR(__xludf.DUMMYFUNCTION("""COMPUTED_VALUE"""),"RIVERA SUAREZ, JOSE ANGEL")</f>
        <v>RIVERA SUAREZ, JOSE ANGEL</v>
      </c>
      <c r="E203" s="2" t="str">
        <f ca="1">IFERROR(__xludf.DUMMYFUNCTION("""COMPUTED_VALUE"""),"JRIVERA@BBVA.COM")</f>
        <v>JRIVERA@BBVA.COM</v>
      </c>
      <c r="F203" s="2" t="str">
        <f ca="1">IFERROR(__xludf.DUMMYFUNCTION("""COMPUTED_VALUE"""),"(B412)SUB GERENTE DE OFICINA B")</f>
        <v>(B412)SUB GERENTE DE OFICINA B</v>
      </c>
      <c r="G203" s="2" t="str">
        <f ca="1">IFERROR(__xludf.DUMMYFUNCTION("""COMPUTED_VALUE"""),"OFICINA HUACHO")</f>
        <v>OFICINA HUACHO</v>
      </c>
    </row>
    <row r="204" spans="1:7" x14ac:dyDescent="0.25">
      <c r="A204" s="2" t="str">
        <f ca="1">IFERROR(__xludf.DUMMYFUNCTION("""COMPUTED_VALUE"""),"0276")</f>
        <v>0276</v>
      </c>
      <c r="B204" s="2" t="str">
        <f ca="1">IFERROR(__xludf.DUMMYFUNCTION("""COMPUTED_VALUE"""),"OFICINA BARRANCA")</f>
        <v>OFICINA BARRANCA</v>
      </c>
      <c r="C204" s="2" t="str">
        <f ca="1">IFERROR(__xludf.DUMMYFUNCTION("""COMPUTED_VALUE"""),"P020278")</f>
        <v>P020278</v>
      </c>
      <c r="D204" s="2" t="str">
        <f ca="1">IFERROR(__xludf.DUMMYFUNCTION("""COMPUTED_VALUE"""),"VIERA VEGA, LIZ DEYSI")</f>
        <v>VIERA VEGA, LIZ DEYSI</v>
      </c>
      <c r="E204" s="2" t="str">
        <f ca="1">IFERROR(__xludf.DUMMYFUNCTION("""COMPUTED_VALUE"""),"LIZ.VIERA@BBVA.COM")</f>
        <v>LIZ.VIERA@BBVA.COM</v>
      </c>
      <c r="F204" s="2" t="str">
        <f ca="1">IFERROR(__xludf.DUMMYFUNCTION("""COMPUTED_VALUE"""),"(B414)SUB GERENTE DE OFICINA D")</f>
        <v>(B414)SUB GERENTE DE OFICINA D</v>
      </c>
      <c r="G204" s="2" t="str">
        <f ca="1">IFERROR(__xludf.DUMMYFUNCTION("""COMPUTED_VALUE"""),"OFICINA BARRANCA")</f>
        <v>OFICINA BARRANCA</v>
      </c>
    </row>
    <row r="205" spans="1:7" x14ac:dyDescent="0.25">
      <c r="A205" s="2" t="str">
        <f ca="1">IFERROR(__xludf.DUMMYFUNCTION("""COMPUTED_VALUE"""),"0277")</f>
        <v>0277</v>
      </c>
      <c r="B205" s="2" t="str">
        <f ca="1">IFERROR(__xludf.DUMMYFUNCTION("""COMPUTED_VALUE"""),"OFICINA CAJAMARCA")</f>
        <v>OFICINA CAJAMARCA</v>
      </c>
      <c r="C205" s="2" t="str">
        <f ca="1">IFERROR(__xludf.DUMMYFUNCTION("""COMPUTED_VALUE"""),"P012626")</f>
        <v>P012626</v>
      </c>
      <c r="D205" s="2" t="str">
        <f ca="1">IFERROR(__xludf.DUMMYFUNCTION("""COMPUTED_VALUE"""),"TELLO GRANDEZ, ABEL CHRISTIAN")</f>
        <v>TELLO GRANDEZ, ABEL CHRISTIAN</v>
      </c>
      <c r="E205" s="2" t="str">
        <f ca="1">IFERROR(__xludf.DUMMYFUNCTION("""COMPUTED_VALUE"""),"ATELLO@BBVA.COM")</f>
        <v>ATELLO@BBVA.COM</v>
      </c>
      <c r="F205" s="2" t="str">
        <f ca="1">IFERROR(__xludf.DUMMYFUNCTION("""COMPUTED_VALUE"""),"(B411)SUB GERENTE DE OFICINA A3")</f>
        <v>(B411)SUB GERENTE DE OFICINA A3</v>
      </c>
      <c r="G205" s="2" t="str">
        <f ca="1">IFERROR(__xludf.DUMMYFUNCTION("""COMPUTED_VALUE"""),"OFICINA CAJAMARCA")</f>
        <v>OFICINA CAJAMARCA</v>
      </c>
    </row>
    <row r="206" spans="1:7" x14ac:dyDescent="0.25">
      <c r="A206" s="2" t="str">
        <f ca="1">IFERROR(__xludf.DUMMYFUNCTION("""COMPUTED_VALUE"""),"0281")</f>
        <v>0281</v>
      </c>
      <c r="B206" s="2" t="str">
        <f ca="1">IFERROR(__xludf.DUMMYFUNCTION("""COMPUTED_VALUE"""),"OFICINA JAÉN")</f>
        <v>OFICINA JAÉN</v>
      </c>
      <c r="C206" s="2" t="str">
        <f ca="1">IFERROR(__xludf.DUMMYFUNCTION("""COMPUTED_VALUE"""),"P024759")</f>
        <v>P024759</v>
      </c>
      <c r="D206" s="2" t="str">
        <f ca="1">IFERROR(__xludf.DUMMYFUNCTION("""COMPUTED_VALUE"""),"PORTOCARRERO RIOS, HANS CRISTHIAN")</f>
        <v>PORTOCARRERO RIOS, HANS CRISTHIAN</v>
      </c>
      <c r="E206" s="2" t="str">
        <f ca="1">IFERROR(__xludf.DUMMYFUNCTION("""COMPUTED_VALUE"""),"HANS.PORTOCARRERO@BBVA.COM")</f>
        <v>HANS.PORTOCARRERO@BBVA.COM</v>
      </c>
      <c r="F206" s="2" t="str">
        <f ca="1">IFERROR(__xludf.DUMMYFUNCTION("""COMPUTED_VALUE"""),"(B413)SUB GERENTE DE OFICINA C")</f>
        <v>(B413)SUB GERENTE DE OFICINA C</v>
      </c>
      <c r="G206" s="2" t="str">
        <f ca="1">IFERROR(__xludf.DUMMYFUNCTION("""COMPUTED_VALUE"""),"OFICINA JAEN")</f>
        <v>OFICINA JAEN</v>
      </c>
    </row>
    <row r="207" spans="1:7" x14ac:dyDescent="0.25">
      <c r="A207" s="2" t="str">
        <f ca="1">IFERROR(__xludf.DUMMYFUNCTION("""COMPUTED_VALUE"""),"0284")</f>
        <v>0284</v>
      </c>
      <c r="B207" s="2" t="str">
        <f ca="1">IFERROR(__xludf.DUMMYFUNCTION("""COMPUTED_VALUE"""),"OFICINA PLAZA LIMA NORTE")</f>
        <v>OFICINA PLAZA LIMA NORTE</v>
      </c>
      <c r="C207" s="2" t="str">
        <f ca="1">IFERROR(__xludf.DUMMYFUNCTION("""COMPUTED_VALUE"""),"P024832")</f>
        <v>P024832</v>
      </c>
      <c r="D207" s="2" t="str">
        <f ca="1">IFERROR(__xludf.DUMMYFUNCTION("""COMPUTED_VALUE"""),"MEZA CANO, MIRTHA DENISSE")</f>
        <v>MEZA CANO, MIRTHA DENISSE</v>
      </c>
      <c r="E207" s="2" t="str">
        <f ca="1">IFERROR(__xludf.DUMMYFUNCTION("""COMPUTED_VALUE"""),"MIRTHA.MEZA@BBVA.COM")</f>
        <v>MIRTHA.MEZA@BBVA.COM</v>
      </c>
      <c r="F207" s="2" t="str">
        <f ca="1">IFERROR(__xludf.DUMMYFUNCTION("""COMPUTED_VALUE"""),"(B414)SUB GERENTE DE OFICINA D")</f>
        <v>(B414)SUB GERENTE DE OFICINA D</v>
      </c>
      <c r="G207" s="2" t="str">
        <f ca="1">IFERROR(__xludf.DUMMYFUNCTION("""COMPUTED_VALUE"""),"OFICINA PLAZA LIMA NORTE")</f>
        <v>OFICINA PLAZA LIMA NORTE</v>
      </c>
    </row>
    <row r="208" spans="1:7" x14ac:dyDescent="0.25">
      <c r="A208" s="2" t="str">
        <f ca="1">IFERROR(__xludf.DUMMYFUNCTION("""COMPUTED_VALUE"""),"0285")</f>
        <v>0285</v>
      </c>
      <c r="B208" s="2" t="str">
        <f ca="1">IFERROR(__xludf.DUMMYFUNCTION("""COMPUTED_VALUE"""),"OFICINA CHICLAYO")</f>
        <v>OFICINA CHICLAYO</v>
      </c>
      <c r="C208" s="2" t="str">
        <f ca="1">IFERROR(__xludf.DUMMYFUNCTION("""COMPUTED_VALUE"""),"P008857")</f>
        <v>P008857</v>
      </c>
      <c r="D208" s="2" t="str">
        <f ca="1">IFERROR(__xludf.DUMMYFUNCTION("""COMPUTED_VALUE"""),"SAGASTEGUI ARANA, KARLA EMPERATRIZ")</f>
        <v>SAGASTEGUI ARANA, KARLA EMPERATRIZ</v>
      </c>
      <c r="E208" s="2" t="str">
        <f ca="1">IFERROR(__xludf.DUMMYFUNCTION("""COMPUTED_VALUE"""),"KSAGASTEGUI@BBVA.COM")</f>
        <v>KSAGASTEGUI@BBVA.COM</v>
      </c>
      <c r="F208" s="2" t="str">
        <f ca="1">IFERROR(__xludf.DUMMYFUNCTION("""COMPUTED_VALUE"""),"(B416)SUB GERENTE DE OFICINA A2")</f>
        <v>(B416)SUB GERENTE DE OFICINA A2</v>
      </c>
      <c r="G208" s="2" t="str">
        <f ca="1">IFERROR(__xludf.DUMMYFUNCTION("""COMPUTED_VALUE"""),"OFICINA CHICLAYO")</f>
        <v>OFICINA CHICLAYO</v>
      </c>
    </row>
    <row r="209" spans="1:7" x14ac:dyDescent="0.25">
      <c r="A209" s="2" t="str">
        <f ca="1">IFERROR(__xludf.DUMMYFUNCTION("""COMPUTED_VALUE"""),"0286")</f>
        <v>0286</v>
      </c>
      <c r="B209" s="2" t="str">
        <f ca="1">IFERROR(__xludf.DUMMYFUNCTION("""COMPUTED_VALUE"""),"OFICINA LOS ALAMOS")</f>
        <v>OFICINA LOS ALAMOS</v>
      </c>
      <c r="C209" s="2" t="str">
        <f ca="1">IFERROR(__xludf.DUMMYFUNCTION("""COMPUTED_VALUE"""),"P007054")</f>
        <v>P007054</v>
      </c>
      <c r="D209" s="2" t="str">
        <f ca="1">IFERROR(__xludf.DUMMYFUNCTION("""COMPUTED_VALUE"""),"JARA PENADILLO, MARCELINO")</f>
        <v>JARA PENADILLO, MARCELINO</v>
      </c>
      <c r="E209" s="2" t="str">
        <f ca="1">IFERROR(__xludf.DUMMYFUNCTION("""COMPUTED_VALUE"""),"MJARA@BBVA.COM")</f>
        <v>MJARA@BBVA.COM</v>
      </c>
      <c r="F209" s="2" t="str">
        <f ca="1">IFERROR(__xludf.DUMMYFUNCTION("""COMPUTED_VALUE"""),"(B411)SUB GERENTE DE OFICINA A3")</f>
        <v>(B411)SUB GERENTE DE OFICINA A3</v>
      </c>
      <c r="G209" s="2" t="str">
        <f ca="1">IFERROR(__xludf.DUMMYFUNCTION("""COMPUTED_VALUE"""),"OFICINA LOS ALAMOS")</f>
        <v>OFICINA LOS ALAMOS</v>
      </c>
    </row>
    <row r="210" spans="1:7" x14ac:dyDescent="0.25">
      <c r="A210" s="2" t="str">
        <f ca="1">IFERROR(__xludf.DUMMYFUNCTION("""COMPUTED_VALUE"""),"0287")</f>
        <v>0287</v>
      </c>
      <c r="B210" s="2" t="str">
        <f ca="1">IFERROR(__xludf.DUMMYFUNCTION("""COMPUTED_VALUE"""),"OFICINA MERCADO MODELO CHICLAYO")</f>
        <v>OFICINA MERCADO MODELO CHICLAYO</v>
      </c>
      <c r="C210" s="2" t="str">
        <f ca="1">IFERROR(__xludf.DUMMYFUNCTION("""COMPUTED_VALUE"""),"P023491")</f>
        <v>P023491</v>
      </c>
      <c r="D210" s="2" t="str">
        <f ca="1">IFERROR(__xludf.DUMMYFUNCTION("""COMPUTED_VALUE"""),"CAMACHO GARCIA, ROBERTO CARLOS")</f>
        <v>CAMACHO GARCIA, ROBERTO CARLOS</v>
      </c>
      <c r="E210" s="2" t="str">
        <f ca="1">IFERROR(__xludf.DUMMYFUNCTION("""COMPUTED_VALUE"""),"ROBERTO.CAMACHO@BBVA.COM")</f>
        <v>ROBERTO.CAMACHO@BBVA.COM</v>
      </c>
      <c r="F210" s="2" t="str">
        <f ca="1">IFERROR(__xludf.DUMMYFUNCTION("""COMPUTED_VALUE"""),"(B415)SUB GERENTE DE OFICINA E")</f>
        <v>(B415)SUB GERENTE DE OFICINA E</v>
      </c>
      <c r="G210" s="2" t="str">
        <f ca="1">IFERROR(__xludf.DUMMYFUNCTION("""COMPUTED_VALUE"""),"OFICINA MERCADO MODELO CHICLAYO")</f>
        <v>OFICINA MERCADO MODELO CHICLAYO</v>
      </c>
    </row>
    <row r="211" spans="1:7" x14ac:dyDescent="0.25">
      <c r="A211" s="2" t="str">
        <f ca="1">IFERROR(__xludf.DUMMYFUNCTION("""COMPUTED_VALUE"""),"0288")</f>
        <v>0288</v>
      </c>
      <c r="B211" s="2" t="str">
        <f ca="1">IFERROR(__xludf.DUMMYFUNCTION("""COMPUTED_VALUE"""),"OFICINA MOSHOQUEQUE")</f>
        <v>OFICINA MOSHOQUEQUE</v>
      </c>
      <c r="C211" s="2" t="str">
        <f ca="1">IFERROR(__xludf.DUMMYFUNCTION("""COMPUTED_VALUE"""),"P017711")</f>
        <v>P017711</v>
      </c>
      <c r="D211" s="2" t="str">
        <f ca="1">IFERROR(__xludf.DUMMYFUNCTION("""COMPUTED_VALUE"""),"ARRIETA CASTAÑEDA, ANA DE LOS ANGELES")</f>
        <v>ARRIETA CASTAÑEDA, ANA DE LOS ANGELES</v>
      </c>
      <c r="E211" s="2" t="str">
        <f ca="1">IFERROR(__xludf.DUMMYFUNCTION("""COMPUTED_VALUE"""),"AARRIETA@BBVA.COM")</f>
        <v>AARRIETA@BBVA.COM</v>
      </c>
      <c r="F211" s="2" t="str">
        <f ca="1">IFERROR(__xludf.DUMMYFUNCTION("""COMPUTED_VALUE"""),"(B415)SUB GERENTE DE OFICINA E")</f>
        <v>(B415)SUB GERENTE DE OFICINA E</v>
      </c>
      <c r="G211" s="2" t="str">
        <f ca="1">IFERROR(__xludf.DUMMYFUNCTION("""COMPUTED_VALUE"""),"OFICINA MOSHOQUEQUE")</f>
        <v>OFICINA MOSHOQUEQUE</v>
      </c>
    </row>
    <row r="212" spans="1:7" x14ac:dyDescent="0.25">
      <c r="A212" s="2" t="str">
        <f ca="1">IFERROR(__xludf.DUMMYFUNCTION("""COMPUTED_VALUE"""),"0291")</f>
        <v>0291</v>
      </c>
      <c r="B212" s="2" t="str">
        <f ca="1">IFERROR(__xludf.DUMMYFUNCTION("""COMPUTED_VALUE"""),"OFICINA PACASMAYO")</f>
        <v>OFICINA PACASMAYO</v>
      </c>
      <c r="C212" s="2" t="str">
        <f ca="1">IFERROR(__xludf.DUMMYFUNCTION("""COMPUTED_VALUE"""),"P012721")</f>
        <v>P012721</v>
      </c>
      <c r="D212" s="2" t="str">
        <f ca="1">IFERROR(__xludf.DUMMYFUNCTION("""COMPUTED_VALUE"""),"ALVAN ALCANTARA, GUILLERMO AUGUSTO")</f>
        <v>ALVAN ALCANTARA, GUILLERMO AUGUSTO</v>
      </c>
      <c r="E212" s="2" t="str">
        <f ca="1">IFERROR(__xludf.DUMMYFUNCTION("""COMPUTED_VALUE"""),"GALVAN@BBVA.COM")</f>
        <v>GALVAN@BBVA.COM</v>
      </c>
      <c r="F212" s="2" t="str">
        <f ca="1">IFERROR(__xludf.DUMMYFUNCTION("""COMPUTED_VALUE"""),"(B415)SUB GERENTE DE OFICINA E")</f>
        <v>(B415)SUB GERENTE DE OFICINA E</v>
      </c>
      <c r="G212" s="2" t="str">
        <f ca="1">IFERROR(__xludf.DUMMYFUNCTION("""COMPUTED_VALUE"""),"OFICINA PACASMAYO")</f>
        <v>OFICINA PACASMAYO</v>
      </c>
    </row>
    <row r="213" spans="1:7" x14ac:dyDescent="0.25">
      <c r="A213" s="2" t="str">
        <f ca="1">IFERROR(__xludf.DUMMYFUNCTION("""COMPUTED_VALUE"""),"0295")</f>
        <v>0295</v>
      </c>
      <c r="B213" s="2" t="str">
        <f ca="1">IFERROR(__xludf.DUMMYFUNCTION("""COMPUTED_VALUE"""),"OFICINA CHIMBOTE")</f>
        <v>OFICINA CHIMBOTE</v>
      </c>
      <c r="C213" s="2" t="str">
        <f ca="1">IFERROR(__xludf.DUMMYFUNCTION("""COMPUTED_VALUE"""),"P008158")</f>
        <v>P008158</v>
      </c>
      <c r="D213" s="2" t="str">
        <f ca="1">IFERROR(__xludf.DUMMYFUNCTION("""COMPUTED_VALUE"""),"PEREZ VELASQUEZ, JORGE EDGARD")</f>
        <v>PEREZ VELASQUEZ, JORGE EDGARD</v>
      </c>
      <c r="E213" s="2" t="str">
        <f ca="1">IFERROR(__xludf.DUMMYFUNCTION("""COMPUTED_VALUE"""),"JPEREZV@BBVA.COM")</f>
        <v>JPEREZV@BBVA.COM</v>
      </c>
      <c r="F213" s="2" t="str">
        <f ca="1">IFERROR(__xludf.DUMMYFUNCTION("""COMPUTED_VALUE"""),"(B416)SUB GERENTE DE OFICINA A2")</f>
        <v>(B416)SUB GERENTE DE OFICINA A2</v>
      </c>
      <c r="G213" s="2" t="str">
        <f ca="1">IFERROR(__xludf.DUMMYFUNCTION("""COMPUTED_VALUE"""),"OFICINA CHIMBOTE")</f>
        <v>OFICINA CHIMBOTE</v>
      </c>
    </row>
    <row r="214" spans="1:7" x14ac:dyDescent="0.25">
      <c r="A214" s="2" t="str">
        <f ca="1">IFERROR(__xludf.DUMMYFUNCTION("""COMPUTED_VALUE"""),"0297")</f>
        <v>0297</v>
      </c>
      <c r="B214" s="2" t="str">
        <f ca="1">IFERROR(__xludf.DUMMYFUNCTION("""COMPUTED_VALUE"""),"OFICINA MERCADO MODELO CHIMBOTE")</f>
        <v>OFICINA MERCADO MODELO CHIMBOTE</v>
      </c>
      <c r="C214" s="2" t="str">
        <f ca="1">IFERROR(__xludf.DUMMYFUNCTION("""COMPUTED_VALUE"""),"P008161")</f>
        <v>P008161</v>
      </c>
      <c r="D214" s="2" t="str">
        <f ca="1">IFERROR(__xludf.DUMMYFUNCTION("""COMPUTED_VALUE"""),"SALAZAR ALEGRE, YSELA JANET")</f>
        <v>SALAZAR ALEGRE, YSELA JANET</v>
      </c>
      <c r="E214" s="2" t="str">
        <f ca="1">IFERROR(__xludf.DUMMYFUNCTION("""COMPUTED_VALUE"""),"YSALAZAR@BBVA.COM")</f>
        <v>YSALAZAR@BBVA.COM</v>
      </c>
      <c r="F214" s="2" t="str">
        <f ca="1">IFERROR(__xludf.DUMMYFUNCTION("""COMPUTED_VALUE"""),"(B415)SUB GERENTE DE OFICINA E")</f>
        <v>(B415)SUB GERENTE DE OFICINA E</v>
      </c>
      <c r="G214" s="2" t="str">
        <f ca="1">IFERROR(__xludf.DUMMYFUNCTION("""COMPUTED_VALUE"""),"OFICINA MERCADO MODELO CHIMBOTE")</f>
        <v>OFICINA MERCADO MODELO CHIMBOTE</v>
      </c>
    </row>
    <row r="215" spans="1:7" x14ac:dyDescent="0.25">
      <c r="A215" s="2" t="str">
        <f ca="1">IFERROR(__xludf.DUMMYFUNCTION("""COMPUTED_VALUE"""),"0299")</f>
        <v>0299</v>
      </c>
      <c r="B215" s="2" t="str">
        <f ca="1">IFERROR(__xludf.DUMMYFUNCTION("""COMPUTED_VALUE"""),"OFICINA ESPECIAL EXPRESS BELLAVISTA")</f>
        <v>OFICINA ESPECIAL EXPRESS BELLAVISTA</v>
      </c>
      <c r="C215" s="2" t="str">
        <f ca="1">IFERROR(__xludf.DUMMYFUNCTION("""COMPUTED_VALUE"""),"P022069")</f>
        <v>P022069</v>
      </c>
      <c r="D215" s="2" t="str">
        <f ca="1">IFERROR(__xludf.DUMMYFUNCTION("""COMPUTED_VALUE"""),"TUESTA HIDALGO, KARINA LIZETH")</f>
        <v>TUESTA HIDALGO, KARINA LIZETH</v>
      </c>
      <c r="E215" s="2" t="str">
        <f ca="1">IFERROR(__xludf.DUMMYFUNCTION("""COMPUTED_VALUE"""),"KARINA.TUESTA@BBVA.COM")</f>
        <v>KARINA.TUESTA@BBVA.COM</v>
      </c>
      <c r="F215" s="2" t="str">
        <f ca="1">IFERROR(__xludf.DUMMYFUNCTION("""COMPUTED_VALUE"""),"(B417)SUB GERENTE DE OFICINA F")</f>
        <v>(B417)SUB GERENTE DE OFICINA F</v>
      </c>
      <c r="G215" s="2" t="str">
        <f ca="1">IFERROR(__xludf.DUMMYFUNCTION("""COMPUTED_VALUE"""),"OFICINA BELLAVISTA")</f>
        <v>OFICINA BELLAVISTA</v>
      </c>
    </row>
    <row r="216" spans="1:7" x14ac:dyDescent="0.25">
      <c r="A216" s="2" t="str">
        <f ca="1">IFERROR(__xludf.DUMMYFUNCTION("""COMPUTED_VALUE"""),"0301")</f>
        <v>0301</v>
      </c>
      <c r="B216" s="2" t="str">
        <f ca="1">IFERROR(__xludf.DUMMYFUNCTION("""COMPUTED_VALUE"""),"OFICINA IQUITOS")</f>
        <v>OFICINA IQUITOS</v>
      </c>
      <c r="C216" s="2" t="str">
        <f ca="1">IFERROR(__xludf.DUMMYFUNCTION("""COMPUTED_VALUE"""),"P008122")</f>
        <v>P008122</v>
      </c>
      <c r="D216" s="2" t="str">
        <f ca="1">IFERROR(__xludf.DUMMYFUNCTION("""COMPUTED_VALUE"""),"CORNEJO PALOMINO, JOHNNY WILLIAM")</f>
        <v>CORNEJO PALOMINO, JOHNNY WILLIAM</v>
      </c>
      <c r="E216" s="2" t="str">
        <f ca="1">IFERROR(__xludf.DUMMYFUNCTION("""COMPUTED_VALUE"""),"JCORNEJO@BBVA.COM")</f>
        <v>JCORNEJO@BBVA.COM</v>
      </c>
      <c r="F216" s="2" t="str">
        <f ca="1">IFERROR(__xludf.DUMMYFUNCTION("""COMPUTED_VALUE"""),"(B416)SUB GERENTE DE OFICINA A2")</f>
        <v>(B416)SUB GERENTE DE OFICINA A2</v>
      </c>
      <c r="G216" s="2" t="str">
        <f ca="1">IFERROR(__xludf.DUMMYFUNCTION("""COMPUTED_VALUE"""),"OFICINA IQUITOS")</f>
        <v>OFICINA IQUITOS</v>
      </c>
    </row>
    <row r="217" spans="1:7" x14ac:dyDescent="0.25">
      <c r="A217" s="2" t="str">
        <f ca="1">IFERROR(__xludf.DUMMYFUNCTION("""COMPUTED_VALUE"""),"0304")</f>
        <v>0304</v>
      </c>
      <c r="B217" s="2" t="str">
        <f ca="1">IFERROR(__xludf.DUMMYFUNCTION("""COMPUTED_VALUE"""),"OFICINA BELÉN")</f>
        <v>OFICINA BELÉN</v>
      </c>
      <c r="C217" s="2" t="str">
        <f ca="1">IFERROR(__xludf.DUMMYFUNCTION("""COMPUTED_VALUE"""),"P028876")</f>
        <v>P028876</v>
      </c>
      <c r="D217" s="2" t="str">
        <f ca="1">IFERROR(__xludf.DUMMYFUNCTION("""COMPUTED_VALUE"""),"GOMEZ FACHIN, ADRIANA CAROLINA")</f>
        <v>GOMEZ FACHIN, ADRIANA CAROLINA</v>
      </c>
      <c r="E217" s="2" t="str">
        <f ca="1">IFERROR(__xludf.DUMMYFUNCTION("""COMPUTED_VALUE"""),"ADRIANA.GOMEZ.FACHIN@BBVA.COM")</f>
        <v>ADRIANA.GOMEZ.FACHIN@BBVA.COM</v>
      </c>
      <c r="F217" s="2" t="str">
        <f ca="1">IFERROR(__xludf.DUMMYFUNCTION("""COMPUTED_VALUE"""),"(B414)SUB GERENTE DE OFICINA D")</f>
        <v>(B414)SUB GERENTE DE OFICINA D</v>
      </c>
      <c r="G217" s="2" t="str">
        <f ca="1">IFERROR(__xludf.DUMMYFUNCTION("""COMPUTED_VALUE"""),"OFICINA BELEN")</f>
        <v>OFICINA BELEN</v>
      </c>
    </row>
    <row r="218" spans="1:7" x14ac:dyDescent="0.25">
      <c r="A218" s="2" t="str">
        <f ca="1">IFERROR(__xludf.DUMMYFUNCTION("""COMPUTED_VALUE"""),"0306")</f>
        <v>0306</v>
      </c>
      <c r="B218" s="2" t="str">
        <f ca="1">IFERROR(__xludf.DUMMYFUNCTION("""COMPUTED_VALUE"""),"OFICINA PUCALLPA")</f>
        <v>OFICINA PUCALLPA</v>
      </c>
      <c r="C218" s="2" t="str">
        <f ca="1">IFERROR(__xludf.DUMMYFUNCTION("""COMPUTED_VALUE"""),"P005962")</f>
        <v>P005962</v>
      </c>
      <c r="D218" s="2" t="str">
        <f ca="1">IFERROR(__xludf.DUMMYFUNCTION("""COMPUTED_VALUE"""),"AJALCRIÑA YRIARTE, JUAN CARLOS")</f>
        <v>AJALCRIÑA YRIARTE, JUAN CARLOS</v>
      </c>
      <c r="E218" s="2" t="str">
        <f ca="1">IFERROR(__xludf.DUMMYFUNCTION("""COMPUTED_VALUE"""),"JAJALCRINA@BBVA.COM")</f>
        <v>JAJALCRINA@BBVA.COM</v>
      </c>
      <c r="F218" s="2" t="str">
        <f ca="1">IFERROR(__xludf.DUMMYFUNCTION("""COMPUTED_VALUE"""),"(B410)SUB GERENTE DE OFICINA A1")</f>
        <v>(B410)SUB GERENTE DE OFICINA A1</v>
      </c>
      <c r="G218" s="2" t="str">
        <f ca="1">IFERROR(__xludf.DUMMYFUNCTION("""COMPUTED_VALUE"""),"OFICINA PUCALLPA")</f>
        <v>OFICINA PUCALLPA</v>
      </c>
    </row>
    <row r="219" spans="1:7" x14ac:dyDescent="0.25">
      <c r="A219" s="2" t="str">
        <f ca="1">IFERROR(__xludf.DUMMYFUNCTION("""COMPUTED_VALUE"""),"0310")</f>
        <v>0310</v>
      </c>
      <c r="B219" s="2" t="str">
        <f ca="1">IFERROR(__xludf.DUMMYFUNCTION("""COMPUTED_VALUE"""),"OFICINA TARAPOTO")</f>
        <v>OFICINA TARAPOTO</v>
      </c>
      <c r="C219" s="2" t="str">
        <f ca="1">IFERROR(__xludf.DUMMYFUNCTION("""COMPUTED_VALUE"""),"P013083")</f>
        <v>P013083</v>
      </c>
      <c r="D219" s="2" t="str">
        <f ca="1">IFERROR(__xludf.DUMMYFUNCTION("""COMPUTED_VALUE"""),"DEL AGUILA CASTAÑEDA, DANIEL ALFREDO")</f>
        <v>DEL AGUILA CASTAÑEDA, DANIEL ALFREDO</v>
      </c>
      <c r="E219" s="2" t="str">
        <f ca="1">IFERROR(__xludf.DUMMYFUNCTION("""COMPUTED_VALUE"""),"DDELAGUILA@BBVA.COM")</f>
        <v>DDELAGUILA@BBVA.COM</v>
      </c>
      <c r="F219" s="2" t="str">
        <f ca="1">IFERROR(__xludf.DUMMYFUNCTION("""COMPUTED_VALUE"""),"(B416)SUB GERENTE DE OFICINA A2")</f>
        <v>(B416)SUB GERENTE DE OFICINA A2</v>
      </c>
      <c r="G219" s="2" t="str">
        <f ca="1">IFERROR(__xludf.DUMMYFUNCTION("""COMPUTED_VALUE"""),"OFICINA TARAPOTO")</f>
        <v>OFICINA TARAPOTO</v>
      </c>
    </row>
    <row r="220" spans="1:7" x14ac:dyDescent="0.25">
      <c r="A220" s="2" t="str">
        <f ca="1">IFERROR(__xludf.DUMMYFUNCTION("""COMPUTED_VALUE"""),"0312")</f>
        <v>0312</v>
      </c>
      <c r="B220" s="2" t="str">
        <f ca="1">IFERROR(__xludf.DUMMYFUNCTION("""COMPUTED_VALUE"""),"OFICINA PRO")</f>
        <v>OFICINA PRO</v>
      </c>
      <c r="C220" s="2" t="str">
        <f ca="1">IFERROR(__xludf.DUMMYFUNCTION("""COMPUTED_VALUE"""),"P013354")</f>
        <v>P013354</v>
      </c>
      <c r="D220" s="2" t="str">
        <f ca="1">IFERROR(__xludf.DUMMYFUNCTION("""COMPUTED_VALUE"""),"PINEDA OYOLA, SARITA DEL ROSARIO")</f>
        <v>PINEDA OYOLA, SARITA DEL ROSARIO</v>
      </c>
      <c r="E220" s="2" t="str">
        <f ca="1">IFERROR(__xludf.DUMMYFUNCTION("""COMPUTED_VALUE"""),"SPINEDA@BBVA.COM")</f>
        <v>SPINEDA@BBVA.COM</v>
      </c>
      <c r="F220" s="2" t="str">
        <f ca="1">IFERROR(__xludf.DUMMYFUNCTION("""COMPUTED_VALUE"""),"(B415)SUB GERENTE DE OFICINA E")</f>
        <v>(B415)SUB GERENTE DE OFICINA E</v>
      </c>
      <c r="G220" s="2" t="str">
        <f ca="1">IFERROR(__xludf.DUMMYFUNCTION("""COMPUTED_VALUE"""),"OFICINA PRO")</f>
        <v>OFICINA PRO</v>
      </c>
    </row>
    <row r="221" spans="1:7" x14ac:dyDescent="0.25">
      <c r="A221" s="2" t="str">
        <f ca="1">IFERROR(__xludf.DUMMYFUNCTION("""COMPUTED_VALUE"""),"0314")</f>
        <v>0314</v>
      </c>
      <c r="B221" s="2" t="str">
        <f ca="1">IFERROR(__xludf.DUMMYFUNCTION("""COMPUTED_VALUE"""),"OFICINA MOYOBAMBA")</f>
        <v>OFICINA MOYOBAMBA</v>
      </c>
      <c r="C221" s="2" t="str">
        <f ca="1">IFERROR(__xludf.DUMMYFUNCTION("""COMPUTED_VALUE"""),"P019513")</f>
        <v>P019513</v>
      </c>
      <c r="D221" s="2" t="str">
        <f ca="1">IFERROR(__xludf.DUMMYFUNCTION("""COMPUTED_VALUE"""),"PROA GOMEZ, JHERSON DAVID")</f>
        <v>PROA GOMEZ, JHERSON DAVID</v>
      </c>
      <c r="E221" s="2" t="str">
        <f ca="1">IFERROR(__xludf.DUMMYFUNCTION("""COMPUTED_VALUE"""),"JHERSON.PROA@BBVA.COM")</f>
        <v>JHERSON.PROA@BBVA.COM</v>
      </c>
      <c r="F221" s="2" t="str">
        <f ca="1">IFERROR(__xludf.DUMMYFUNCTION("""COMPUTED_VALUE"""),"(B413)SUB GERENTE DE OFICINA C")</f>
        <v>(B413)SUB GERENTE DE OFICINA C</v>
      </c>
      <c r="G221" s="2" t="str">
        <f ca="1">IFERROR(__xludf.DUMMYFUNCTION("""COMPUTED_VALUE"""),"OFICINA MOYOBAMBA")</f>
        <v>OFICINA MOYOBAMBA</v>
      </c>
    </row>
    <row r="222" spans="1:7" x14ac:dyDescent="0.25">
      <c r="A222" s="2" t="str">
        <f ca="1">IFERROR(__xludf.DUMMYFUNCTION("""COMPUTED_VALUE"""),"0315")</f>
        <v>0315</v>
      </c>
      <c r="B222" s="2" t="str">
        <f ca="1">IFERROR(__xludf.DUMMYFUNCTION("""COMPUTED_VALUE"""),"OFICINA ESPECIAL BACKUS")</f>
        <v>OFICINA ESPECIAL BACKUS</v>
      </c>
      <c r="C222" s="2" t="str">
        <f ca="1">IFERROR(__xludf.DUMMYFUNCTION("""COMPUTED_VALUE"""),"P011733")</f>
        <v>P011733</v>
      </c>
      <c r="D222" s="2" t="str">
        <f ca="1">IFERROR(__xludf.DUMMYFUNCTION("""COMPUTED_VALUE"""),"ZUÑIGA VELA, JUAN CARLOS")</f>
        <v>ZUÑIGA VELA, JUAN CARLOS</v>
      </c>
      <c r="E222" s="2" t="str">
        <f ca="1">IFERROR(__xludf.DUMMYFUNCTION("""COMPUTED_VALUE"""),"JCZUNIGA@BBVA.COM")</f>
        <v>JCZUNIGA@BBVA.COM</v>
      </c>
      <c r="F222" s="2" t="str">
        <f ca="1">IFERROR(__xludf.DUMMYFUNCTION("""COMPUTED_VALUE"""),"(B414)SUB GERENTE DE OFICINA D")</f>
        <v>(B414)SUB GERENTE DE OFICINA D</v>
      </c>
      <c r="G222" s="2" t="str">
        <f ca="1">IFERROR(__xludf.DUMMYFUNCTION("""COMPUTED_VALUE"""),"OFICINA BACKUS")</f>
        <v>OFICINA BACKUS</v>
      </c>
    </row>
    <row r="223" spans="1:7" x14ac:dyDescent="0.25">
      <c r="A223" s="2" t="str">
        <f ca="1">IFERROR(__xludf.DUMMYFUNCTION("""COMPUTED_VALUE"""),"0316")</f>
        <v>0316</v>
      </c>
      <c r="B223" s="2" t="str">
        <f ca="1">IFERROR(__xludf.DUMMYFUNCTION("""COMPUTED_VALUE"""),"OFICINA PUENTE PIEDRA")</f>
        <v>OFICINA PUENTE PIEDRA</v>
      </c>
      <c r="C223" s="2" t="str">
        <f ca="1">IFERROR(__xludf.DUMMYFUNCTION("""COMPUTED_VALUE"""),"P021907")</f>
        <v>P021907</v>
      </c>
      <c r="D223" s="2" t="str">
        <f ca="1">IFERROR(__xludf.DUMMYFUNCTION("""COMPUTED_VALUE"""),"INGA ALVAREZ, JAHAIRA")</f>
        <v>INGA ALVAREZ, JAHAIRA</v>
      </c>
      <c r="E223" s="2" t="str">
        <f ca="1">IFERROR(__xludf.DUMMYFUNCTION("""COMPUTED_VALUE"""),"JAHAIRA.INGA@BBVA.COM")</f>
        <v>JAHAIRA.INGA@BBVA.COM</v>
      </c>
      <c r="F223" s="2" t="str">
        <f ca="1">IFERROR(__xludf.DUMMYFUNCTION("""COMPUTED_VALUE"""),"(B414)SUB GERENTE DE OFICINA D")</f>
        <v>(B414)SUB GERENTE DE OFICINA D</v>
      </c>
      <c r="G223" s="2" t="str">
        <f ca="1">IFERROR(__xludf.DUMMYFUNCTION("""COMPUTED_VALUE"""),"OFICINA PUENTE PIEDRA")</f>
        <v>OFICINA PUENTE PIEDRA</v>
      </c>
    </row>
    <row r="224" spans="1:7" x14ac:dyDescent="0.25">
      <c r="A224" s="2" t="str">
        <f ca="1">IFERROR(__xludf.DUMMYFUNCTION("""COMPUTED_VALUE"""),"0317")</f>
        <v>0317</v>
      </c>
      <c r="B224" s="2" t="str">
        <f ca="1">IFERROR(__xludf.DUMMYFUNCTION("""COMPUTED_VALUE"""),"OFICINA PLAZA LIMA SUR")</f>
        <v>OFICINA PLAZA LIMA SUR</v>
      </c>
      <c r="C224" s="2" t="str">
        <f ca="1">IFERROR(__xludf.DUMMYFUNCTION("""COMPUTED_VALUE"""),"P023171")</f>
        <v>P023171</v>
      </c>
      <c r="D224" s="2" t="str">
        <f ca="1">IFERROR(__xludf.DUMMYFUNCTION("""COMPUTED_VALUE"""),"RAMIREZ GALVEZ, BRIZETH ISABEL")</f>
        <v>RAMIREZ GALVEZ, BRIZETH ISABEL</v>
      </c>
      <c r="E224" s="2" t="str">
        <f ca="1">IFERROR(__xludf.DUMMYFUNCTION("""COMPUTED_VALUE"""),"BRIZETH.RAMIREZ@BBVA.COM")</f>
        <v>BRIZETH.RAMIREZ@BBVA.COM</v>
      </c>
      <c r="F224" s="2" t="str">
        <f ca="1">IFERROR(__xludf.DUMMYFUNCTION("""COMPUTED_VALUE"""),"(B414)SUB GERENTE DE OFICINA D")</f>
        <v>(B414)SUB GERENTE DE OFICINA D</v>
      </c>
      <c r="G224" s="2" t="str">
        <f ca="1">IFERROR(__xludf.DUMMYFUNCTION("""COMPUTED_VALUE"""),"OFICINA PLAZA LIMA SUR")</f>
        <v>OFICINA PLAZA LIMA SUR</v>
      </c>
    </row>
    <row r="225" spans="1:7" x14ac:dyDescent="0.25">
      <c r="A225" s="2" t="str">
        <f ca="1">IFERROR(__xludf.DUMMYFUNCTION("""COMPUTED_VALUE"""),"0318")</f>
        <v>0318</v>
      </c>
      <c r="B225" s="2" t="str">
        <f ca="1">IFERROR(__xludf.DUMMYFUNCTION("""COMPUTED_VALUE"""),"OFICINA TINGO MARÍA")</f>
        <v>OFICINA TINGO MARÍA</v>
      </c>
      <c r="C225" s="2" t="str">
        <f ca="1">IFERROR(__xludf.DUMMYFUNCTION("""COMPUTED_VALUE"""),"P029259")</f>
        <v>P029259</v>
      </c>
      <c r="D225" s="2" t="str">
        <f ca="1">IFERROR(__xludf.DUMMYFUNCTION("""COMPUTED_VALUE"""),"ESTRELLA MENDIVIL, MARIA CELESTE")</f>
        <v>ESTRELLA MENDIVIL, MARIA CELESTE</v>
      </c>
      <c r="E225" s="2" t="str">
        <f ca="1">IFERROR(__xludf.DUMMYFUNCTION("""COMPUTED_VALUE"""),"MARIA.ESTRELLA@BBVA.COM")</f>
        <v>MARIA.ESTRELLA@BBVA.COM</v>
      </c>
      <c r="F225" s="2" t="str">
        <f ca="1">IFERROR(__xludf.DUMMYFUNCTION("""COMPUTED_VALUE"""),"(B414)SUB GERENTE DE OFICINA D")</f>
        <v>(B414)SUB GERENTE DE OFICINA D</v>
      </c>
      <c r="G225" s="2" t="str">
        <f ca="1">IFERROR(__xludf.DUMMYFUNCTION("""COMPUTED_VALUE"""),"OFICINA TINGO MARIA")</f>
        <v>OFICINA TINGO MARIA</v>
      </c>
    </row>
    <row r="226" spans="1:7" x14ac:dyDescent="0.25">
      <c r="A226" s="2" t="str">
        <f ca="1">IFERROR(__xludf.DUMMYFUNCTION("""COMPUTED_VALUE"""),"0319")</f>
        <v>0319</v>
      </c>
      <c r="B226" s="2" t="str">
        <f ca="1">IFERROR(__xludf.DUMMYFUNCTION("""COMPUTED_VALUE"""),"OFICINA IZAGUIRRE")</f>
        <v>OFICINA IZAGUIRRE</v>
      </c>
      <c r="C226" s="2" t="str">
        <f ca="1">IFERROR(__xludf.DUMMYFUNCTION("""COMPUTED_VALUE"""),"P030078")</f>
        <v>P030078</v>
      </c>
      <c r="D226" s="2" t="str">
        <f ca="1">IFERROR(__xludf.DUMMYFUNCTION("""COMPUTED_VALUE"""),"ORELLANA QUISPE, GUSTAVO REYNALDO")</f>
        <v>ORELLANA QUISPE, GUSTAVO REYNALDO</v>
      </c>
      <c r="E226" s="2" t="str">
        <f ca="1">IFERROR(__xludf.DUMMYFUNCTION("""COMPUTED_VALUE"""),"GUSTAVO.ORELLANA@BBVA.COM")</f>
        <v>GUSTAVO.ORELLANA@BBVA.COM</v>
      </c>
      <c r="F226" s="2" t="str">
        <f ca="1">IFERROR(__xludf.DUMMYFUNCTION("""COMPUTED_VALUE"""),"(B414)SUB GERENTE DE OFICINA D")</f>
        <v>(B414)SUB GERENTE DE OFICINA D</v>
      </c>
      <c r="G226" s="2" t="str">
        <f ca="1">IFERROR(__xludf.DUMMYFUNCTION("""COMPUTED_VALUE"""),"OFICINA IZAGUIRRE")</f>
        <v>OFICINA IZAGUIRRE</v>
      </c>
    </row>
    <row r="227" spans="1:7" x14ac:dyDescent="0.25">
      <c r="A227" s="2" t="str">
        <f ca="1">IFERROR(__xludf.DUMMYFUNCTION("""COMPUTED_VALUE"""),"0320")</f>
        <v>0320</v>
      </c>
      <c r="B227" s="2" t="str">
        <f ca="1">IFERROR(__xludf.DUMMYFUNCTION("""COMPUTED_VALUE"""),"OFICINA ESSALUD")</f>
        <v>OFICINA ESSALUD</v>
      </c>
      <c r="C227" s="2" t="str">
        <f ca="1">IFERROR(__xludf.DUMMYFUNCTION("""COMPUTED_VALUE"""),"P008581")</f>
        <v>P008581</v>
      </c>
      <c r="D227" s="2" t="str">
        <f ca="1">IFERROR(__xludf.DUMMYFUNCTION("""COMPUTED_VALUE"""),"LINGAN TARRILLO, ANGELICA MARIANA DEL CARMEN")</f>
        <v>LINGAN TARRILLO, ANGELICA MARIANA DEL CARMEN</v>
      </c>
      <c r="E227" s="2" t="str">
        <f ca="1">IFERROR(__xludf.DUMMYFUNCTION("""COMPUTED_VALUE"""),"ALINGAN@BBVA.COM")</f>
        <v>ALINGAN@BBVA.COM</v>
      </c>
      <c r="F227" s="2" t="str">
        <f ca="1">IFERROR(__xludf.DUMMYFUNCTION("""COMPUTED_VALUE"""),"(B416)SUB GERENTE DE OFICINA A2")</f>
        <v>(B416)SUB GERENTE DE OFICINA A2</v>
      </c>
      <c r="G227" s="2" t="str">
        <f ca="1">IFERROR(__xludf.DUMMYFUNCTION("""COMPUTED_VALUE"""),"OFICINA ESSALUD")</f>
        <v>OFICINA ESSALUD</v>
      </c>
    </row>
    <row r="228" spans="1:7" x14ac:dyDescent="0.25">
      <c r="A228" s="2" t="str">
        <f ca="1">IFERROR(__xludf.DUMMYFUNCTION("""COMPUTED_VALUE"""),"0321")</f>
        <v>0321</v>
      </c>
      <c r="B228" s="2" t="str">
        <f ca="1">IFERROR(__xludf.DUMMYFUNCTION("""COMPUTED_VALUE"""),"OFICINA CERRO DE PASCO")</f>
        <v>OFICINA CERRO DE PASCO</v>
      </c>
      <c r="C228" s="2" t="str">
        <f ca="1">IFERROR(__xludf.DUMMYFUNCTION("""COMPUTED_VALUE"""),"P020827")</f>
        <v>P020827</v>
      </c>
      <c r="D228" s="2" t="str">
        <f ca="1">IFERROR(__xludf.DUMMYFUNCTION("""COMPUTED_VALUE"""),"LAGONES DAVILA, DIEGO OSVALDO")</f>
        <v>LAGONES DAVILA, DIEGO OSVALDO</v>
      </c>
      <c r="E228" s="2" t="str">
        <f ca="1">IFERROR(__xludf.DUMMYFUNCTION("""COMPUTED_VALUE"""),"DIEGO.LAGONES@BBVA.COM")</f>
        <v>DIEGO.LAGONES@BBVA.COM</v>
      </c>
      <c r="F228" s="2" t="str">
        <f ca="1">IFERROR(__xludf.DUMMYFUNCTION("""COMPUTED_VALUE"""),"(B411)SUB GERENTE DE OFICINA A3")</f>
        <v>(B411)SUB GERENTE DE OFICINA A3</v>
      </c>
      <c r="G228" s="2" t="str">
        <f ca="1">IFERROR(__xludf.DUMMYFUNCTION("""COMPUTED_VALUE"""),"OFICINA CERRO DE PASCO")</f>
        <v>OFICINA CERRO DE PASCO</v>
      </c>
    </row>
    <row r="229" spans="1:7" x14ac:dyDescent="0.25">
      <c r="A229" s="2" t="str">
        <f ca="1">IFERROR(__xludf.DUMMYFUNCTION("""COMPUTED_VALUE"""),"0322")</f>
        <v>0322</v>
      </c>
      <c r="B229" s="2" t="str">
        <f ca="1">IFERROR(__xludf.DUMMYFUNCTION("""COMPUTED_VALUE"""),"OFICINA CANTO GRANDE")</f>
        <v>OFICINA CANTO GRANDE</v>
      </c>
      <c r="C229" s="2" t="str">
        <f ca="1">IFERROR(__xludf.DUMMYFUNCTION("""COMPUTED_VALUE"""),"P027699")</f>
        <v>P027699</v>
      </c>
      <c r="D229" s="2" t="str">
        <f ca="1">IFERROR(__xludf.DUMMYFUNCTION("""COMPUTED_VALUE"""),"AYALA PANTA, YESSENIA")</f>
        <v>AYALA PANTA, YESSENIA</v>
      </c>
      <c r="E229" s="2" t="str">
        <f ca="1">IFERROR(__xludf.DUMMYFUNCTION("""COMPUTED_VALUE"""),"YESSENIA.AYALA@BBVA.COM")</f>
        <v>YESSENIA.AYALA@BBVA.COM</v>
      </c>
      <c r="F229" s="2" t="str">
        <f ca="1">IFERROR(__xludf.DUMMYFUNCTION("""COMPUTED_VALUE"""),"(B414)SUB GERENTE DE OFICINA D")</f>
        <v>(B414)SUB GERENTE DE OFICINA D</v>
      </c>
      <c r="G229" s="2" t="str">
        <f ca="1">IFERROR(__xludf.DUMMYFUNCTION("""COMPUTED_VALUE"""),"OFICINA CANTO GRANDE")</f>
        <v>OFICINA CANTO GRANDE</v>
      </c>
    </row>
    <row r="230" spans="1:7" x14ac:dyDescent="0.25">
      <c r="A230" s="2" t="str">
        <f ca="1">IFERROR(__xludf.DUMMYFUNCTION("""COMPUTED_VALUE"""),"0323")</f>
        <v>0323</v>
      </c>
      <c r="B230" s="2" t="str">
        <f ca="1">IFERROR(__xludf.DUMMYFUNCTION("""COMPUTED_VALUE"""),"OFICINA VILLA EL SALVADOR")</f>
        <v>OFICINA VILLA EL SALVADOR</v>
      </c>
      <c r="C230" s="2" t="str">
        <f ca="1">IFERROR(__xludf.DUMMYFUNCTION("""COMPUTED_VALUE"""),"P025554")</f>
        <v>P025554</v>
      </c>
      <c r="D230" s="2" t="str">
        <f ca="1">IFERROR(__xludf.DUMMYFUNCTION("""COMPUTED_VALUE"""),"GONZALES ARCE, GIANCARLO KEVIN")</f>
        <v>GONZALES ARCE, GIANCARLO KEVIN</v>
      </c>
      <c r="E230" s="2" t="str">
        <f ca="1">IFERROR(__xludf.DUMMYFUNCTION("""COMPUTED_VALUE"""),"GIANCARLO.GONZALES@BBVA.COM")</f>
        <v>GIANCARLO.GONZALES@BBVA.COM</v>
      </c>
      <c r="F230" s="2" t="str">
        <f ca="1">IFERROR(__xludf.DUMMYFUNCTION("""COMPUTED_VALUE"""),"(B415)SUB GERENTE DE OFICINA E")</f>
        <v>(B415)SUB GERENTE DE OFICINA E</v>
      </c>
      <c r="G230" s="2" t="str">
        <f ca="1">IFERROR(__xludf.DUMMYFUNCTION("""COMPUTED_VALUE"""),"OFICINA VILLA EL SALVADOR")</f>
        <v>OFICINA VILLA EL SALVADOR</v>
      </c>
    </row>
    <row r="231" spans="1:7" x14ac:dyDescent="0.25">
      <c r="A231" s="2" t="str">
        <f ca="1">IFERROR(__xludf.DUMMYFUNCTION("""COMPUTED_VALUE"""),"0324")</f>
        <v>0324</v>
      </c>
      <c r="B231" s="2" t="str">
        <f ca="1">IFERROR(__xludf.DUMMYFUNCTION("""COMPUTED_VALUE"""),"OFICINA YURIMAGUAS")</f>
        <v>OFICINA YURIMAGUAS</v>
      </c>
      <c r="C231" s="2" t="str">
        <f ca="1">IFERROR(__xludf.DUMMYFUNCTION("""COMPUTED_VALUE"""),"P025000")</f>
        <v>P025000</v>
      </c>
      <c r="D231" s="2" t="str">
        <f ca="1">IFERROR(__xludf.DUMMYFUNCTION("""COMPUTED_VALUE"""),"BARDALEZ VILLACORTA, GECYA")</f>
        <v>BARDALEZ VILLACORTA, GECYA</v>
      </c>
      <c r="E231" s="2" t="str">
        <f ca="1">IFERROR(__xludf.DUMMYFUNCTION("""COMPUTED_VALUE"""),"GECYA.BARDALEZ@BBVA.COM")</f>
        <v>GECYA.BARDALEZ@BBVA.COM</v>
      </c>
      <c r="F231" s="2" t="str">
        <f ca="1">IFERROR(__xludf.DUMMYFUNCTION("""COMPUTED_VALUE"""),"(B414)SUB GERENTE DE OFICINA D")</f>
        <v>(B414)SUB GERENTE DE OFICINA D</v>
      </c>
      <c r="G231" s="2" t="str">
        <f ca="1">IFERROR(__xludf.DUMMYFUNCTION("""COMPUTED_VALUE"""),"OFICINA YURIMAGUAS")</f>
        <v>OFICINA YURIMAGUAS</v>
      </c>
    </row>
    <row r="232" spans="1:7" x14ac:dyDescent="0.25">
      <c r="A232" s="2" t="str">
        <f ca="1">IFERROR(__xludf.DUMMYFUNCTION("""COMPUTED_VALUE"""),"0327")</f>
        <v>0327</v>
      </c>
      <c r="B232" s="2" t="str">
        <f ca="1">IFERROR(__xludf.DUMMYFUNCTION("""COMPUTED_VALUE"""),"OFICINA JUANJUI")</f>
        <v>OFICINA JUANJUI</v>
      </c>
      <c r="C232" s="2" t="str">
        <f ca="1">IFERROR(__xludf.DUMMYFUNCTION("""COMPUTED_VALUE"""),"P028406")</f>
        <v>P028406</v>
      </c>
      <c r="D232" s="2" t="str">
        <f ca="1">IFERROR(__xludf.DUMMYFUNCTION("""COMPUTED_VALUE"""),"LOPEZ HUAPAYA, ESTEFANIA YAQUELINE")</f>
        <v>LOPEZ HUAPAYA, ESTEFANIA YAQUELINE</v>
      </c>
      <c r="E232" s="2" t="str">
        <f ca="1">IFERROR(__xludf.DUMMYFUNCTION("""COMPUTED_VALUE"""),"ESTEFANIA.LOPEZ.HUAPAYA@BBVA.COM")</f>
        <v>ESTEFANIA.LOPEZ.HUAPAYA@BBVA.COM</v>
      </c>
      <c r="F232" s="2" t="str">
        <f ca="1">IFERROR(__xludf.DUMMYFUNCTION("""COMPUTED_VALUE"""),"(B415)SUB GERENTE DE OFICINA E")</f>
        <v>(B415)SUB GERENTE DE OFICINA E</v>
      </c>
      <c r="G232" s="2" t="str">
        <f ca="1">IFERROR(__xludf.DUMMYFUNCTION("""COMPUTED_VALUE"""),"OFICINA JUANJUI")</f>
        <v>OFICINA JUANJUI</v>
      </c>
    </row>
    <row r="233" spans="1:7" x14ac:dyDescent="0.25">
      <c r="A233" s="2" t="str">
        <f ca="1">IFERROR(__xludf.DUMMYFUNCTION("""COMPUTED_VALUE"""),"0332")</f>
        <v>0332</v>
      </c>
      <c r="B233" s="2" t="str">
        <f ca="1">IFERROR(__xludf.DUMMYFUNCTION("""COMPUTED_VALUE"""),"OFICINA MERCADO PRODUCTORES SANTA ANITA")</f>
        <v>OFICINA MERCADO PRODUCTORES SANTA ANITA</v>
      </c>
      <c r="C233" s="2" t="str">
        <f ca="1">IFERROR(__xludf.DUMMYFUNCTION("""COMPUTED_VALUE"""),"P017226")</f>
        <v>P017226</v>
      </c>
      <c r="D233" s="2" t="str">
        <f ca="1">IFERROR(__xludf.DUMMYFUNCTION("""COMPUTED_VALUE"""),"ELESCANO CAMAC, CRISTHIAN ANDREE")</f>
        <v>ELESCANO CAMAC, CRISTHIAN ANDREE</v>
      </c>
      <c r="E233" s="2" t="str">
        <f ca="1">IFERROR(__xludf.DUMMYFUNCTION("""COMPUTED_VALUE"""),"CELESCANO@BBVA.COM")</f>
        <v>CELESCANO@BBVA.COM</v>
      </c>
      <c r="F233" s="2" t="str">
        <f ca="1">IFERROR(__xludf.DUMMYFUNCTION("""COMPUTED_VALUE"""),"(B415)SUB GERENTE DE OFICINA E")</f>
        <v>(B415)SUB GERENTE DE OFICINA E</v>
      </c>
      <c r="G233" s="2" t="str">
        <f ca="1">IFERROR(__xludf.DUMMYFUNCTION("""COMPUTED_VALUE"""),"OFICINA MERCADO DE PRODUCTORES")</f>
        <v>OFICINA MERCADO DE PRODUCTORES</v>
      </c>
    </row>
    <row r="234" spans="1:7" x14ac:dyDescent="0.25">
      <c r="A234" s="2" t="str">
        <f ca="1">IFERROR(__xludf.DUMMYFUNCTION("""COMPUTED_VALUE"""),"0333")</f>
        <v>0333</v>
      </c>
      <c r="B234" s="2" t="str">
        <f ca="1">IFERROR(__xludf.DUMMYFUNCTION("""COMPUTED_VALUE"""),"OFICINA MIRAFLORES")</f>
        <v>OFICINA MIRAFLORES</v>
      </c>
      <c r="C234" s="2" t="str">
        <f ca="1">IFERROR(__xludf.DUMMYFUNCTION("""COMPUTED_VALUE"""),"P010865")</f>
        <v>P010865</v>
      </c>
      <c r="D234" s="2" t="str">
        <f ca="1">IFERROR(__xludf.DUMMYFUNCTION("""COMPUTED_VALUE"""),"OVALLE CORNEJO, GISSELLA GABRIELA")</f>
        <v>OVALLE CORNEJO, GISSELLA GABRIELA</v>
      </c>
      <c r="E234" s="2" t="str">
        <f ca="1">IFERROR(__xludf.DUMMYFUNCTION("""COMPUTED_VALUE"""),"GOVALLE@BBVA.COM")</f>
        <v>GOVALLE@BBVA.COM</v>
      </c>
      <c r="F234" s="2" t="str">
        <f ca="1">IFERROR(__xludf.DUMMYFUNCTION("""COMPUTED_VALUE"""),"(B410)SUB GERENTE DE OFICINA A1")</f>
        <v>(B410)SUB GERENTE DE OFICINA A1</v>
      </c>
      <c r="G234" s="2" t="str">
        <f ca="1">IFERROR(__xludf.DUMMYFUNCTION("""COMPUTED_VALUE"""),"OFICINA MIRAFLORES")</f>
        <v>OFICINA MIRAFLORES</v>
      </c>
    </row>
    <row r="235" spans="1:7" x14ac:dyDescent="0.25">
      <c r="A235" s="2" t="str">
        <f ca="1">IFERROR(__xludf.DUMMYFUNCTION("""COMPUTED_VALUE"""),"0335")</f>
        <v>0335</v>
      </c>
      <c r="B235" s="2" t="str">
        <f ca="1">IFERROR(__xludf.DUMMYFUNCTION("""COMPUTED_VALUE"""),"OFICINA EL PINO")</f>
        <v>OFICINA EL PINO</v>
      </c>
      <c r="C235" s="2" t="str">
        <f ca="1">IFERROR(__xludf.DUMMYFUNCTION("""COMPUTED_VALUE"""),"P019965")</f>
        <v>P019965</v>
      </c>
      <c r="D235" s="2" t="str">
        <f ca="1">IFERROR(__xludf.DUMMYFUNCTION("""COMPUTED_VALUE"""),"PORTOCARRERO TAFUR, MARDELIT")</f>
        <v>PORTOCARRERO TAFUR, MARDELIT</v>
      </c>
      <c r="E235" s="2" t="str">
        <f ca="1">IFERROR(__xludf.DUMMYFUNCTION("""COMPUTED_VALUE"""),"MARDELIT.PORTOCARRERO@BBVA.COM")</f>
        <v>MARDELIT.PORTOCARRERO@BBVA.COM</v>
      </c>
      <c r="F235" s="2" t="str">
        <f ca="1">IFERROR(__xludf.DUMMYFUNCTION("""COMPUTED_VALUE"""),"(B415)SUB GERENTE DE OFICINA E")</f>
        <v>(B415)SUB GERENTE DE OFICINA E</v>
      </c>
      <c r="G235" s="2" t="str">
        <f ca="1">IFERROR(__xludf.DUMMYFUNCTION("""COMPUTED_VALUE"""),"OFICINA EL PINO")</f>
        <v>OFICINA EL PINO</v>
      </c>
    </row>
    <row r="236" spans="1:7" x14ac:dyDescent="0.25">
      <c r="A236" s="2" t="str">
        <f ca="1">IFERROR(__xludf.DUMMYFUNCTION("""COMPUTED_VALUE"""),"0338")</f>
        <v>0338</v>
      </c>
      <c r="B236" s="2" t="str">
        <f ca="1">IFERROR(__xludf.DUMMYFUNCTION("""COMPUTED_VALUE"""),"OFICINA VARGAS MACHUCA")</f>
        <v>OFICINA VARGAS MACHUCA</v>
      </c>
      <c r="C236" s="2" t="str">
        <f ca="1">IFERROR(__xludf.DUMMYFUNCTION("""COMPUTED_VALUE"""),"P017804")</f>
        <v>P017804</v>
      </c>
      <c r="D236" s="2" t="str">
        <f ca="1">IFERROR(__xludf.DUMMYFUNCTION("""COMPUTED_VALUE"""),"YAUYO BARRIENTOS, YECIVELA KATIA")</f>
        <v>YAUYO BARRIENTOS, YECIVELA KATIA</v>
      </c>
      <c r="E236" s="2" t="str">
        <f ca="1">IFERROR(__xludf.DUMMYFUNCTION("""COMPUTED_VALUE"""),"YYAUYO@BBVA.COM")</f>
        <v>YYAUYO@BBVA.COM</v>
      </c>
      <c r="F236" s="2" t="str">
        <f ca="1">IFERROR(__xludf.DUMMYFUNCTION("""COMPUTED_VALUE"""),"(B415)SUB GERENTE DE OFICINA E")</f>
        <v>(B415)SUB GERENTE DE OFICINA E</v>
      </c>
      <c r="G236" s="2" t="str">
        <f ca="1">IFERROR(__xludf.DUMMYFUNCTION("""COMPUTED_VALUE"""),"OFICINA VARGAS MACHUCA")</f>
        <v>OFICINA VARGAS MACHUCA</v>
      </c>
    </row>
    <row r="237" spans="1:7" x14ac:dyDescent="0.25">
      <c r="A237" s="2" t="str">
        <f ca="1">IFERROR(__xludf.DUMMYFUNCTION("""COMPUTED_VALUE"""),"0339")</f>
        <v>0339</v>
      </c>
      <c r="B237" s="2" t="str">
        <f ca="1">IFERROR(__xludf.DUMMYFUNCTION("""COMPUTED_VALUE"""),"OFICINA VENTANILLA")</f>
        <v>OFICINA VENTANILLA</v>
      </c>
      <c r="C237" s="2" t="str">
        <f ca="1">IFERROR(__xludf.DUMMYFUNCTION("""COMPUTED_VALUE"""),"P013600")</f>
        <v>P013600</v>
      </c>
      <c r="D237" s="2" t="str">
        <f ca="1">IFERROR(__xludf.DUMMYFUNCTION("""COMPUTED_VALUE"""),"BALLESTEROS MACO, ALFREDO ENRRIQUE")</f>
        <v>BALLESTEROS MACO, ALFREDO ENRRIQUE</v>
      </c>
      <c r="E237" s="2" t="str">
        <f ca="1">IFERROR(__xludf.DUMMYFUNCTION("""COMPUTED_VALUE"""),"ABALLESTEROS@BBVA.COM")</f>
        <v>ABALLESTEROS@BBVA.COM</v>
      </c>
      <c r="F237" s="2" t="str">
        <f ca="1">IFERROR(__xludf.DUMMYFUNCTION("""COMPUTED_VALUE"""),"(B415)SUB GERENTE DE OFICINA E")</f>
        <v>(B415)SUB GERENTE DE OFICINA E</v>
      </c>
      <c r="G237" s="2" t="str">
        <f ca="1">IFERROR(__xludf.DUMMYFUNCTION("""COMPUTED_VALUE"""),"OFICINA VENTANILLA")</f>
        <v>OFICINA VENTANILLA</v>
      </c>
    </row>
    <row r="238" spans="1:7" x14ac:dyDescent="0.25">
      <c r="A238" s="2" t="str">
        <f ca="1">IFERROR(__xludf.DUMMYFUNCTION("""COMPUTED_VALUE"""),"0340")</f>
        <v>0340</v>
      </c>
      <c r="B238" s="2" t="str">
        <f ca="1">IFERROR(__xludf.DUMMYFUNCTION("""COMPUTED_VALUE"""),"OFICINA 28 DE JULIO")</f>
        <v>OFICINA 28 DE JULIO</v>
      </c>
      <c r="C238" s="2" t="str">
        <f ca="1">IFERROR(__xludf.DUMMYFUNCTION("""COMPUTED_VALUE"""),"P026495")</f>
        <v>P026495</v>
      </c>
      <c r="D238" s="2" t="str">
        <f ca="1">IFERROR(__xludf.DUMMYFUNCTION("""COMPUTED_VALUE"""),"TITO FERMIN, JENNY ALESSANDRA")</f>
        <v>TITO FERMIN, JENNY ALESSANDRA</v>
      </c>
      <c r="E238" s="2" t="str">
        <f ca="1">IFERROR(__xludf.DUMMYFUNCTION("""COMPUTED_VALUE"""),"JENNY.TITO@BBVA.COM")</f>
        <v>JENNY.TITO@BBVA.COM</v>
      </c>
      <c r="F238" s="2" t="str">
        <f ca="1">IFERROR(__xludf.DUMMYFUNCTION("""COMPUTED_VALUE"""),"(B415)SUB GERENTE DE OFICINA E")</f>
        <v>(B415)SUB GERENTE DE OFICINA E</v>
      </c>
      <c r="G238" s="2" t="str">
        <f ca="1">IFERROR(__xludf.DUMMYFUNCTION("""COMPUTED_VALUE"""),"OFICINA 28 DE JULIO")</f>
        <v>OFICINA 28 DE JULIO</v>
      </c>
    </row>
    <row r="239" spans="1:7" x14ac:dyDescent="0.25">
      <c r="A239" s="2" t="str">
        <f ca="1">IFERROR(__xludf.DUMMYFUNCTION("""COMPUTED_VALUE"""),"0341")</f>
        <v>0341</v>
      </c>
      <c r="B239" s="2" t="str">
        <f ca="1">IFERROR(__xludf.DUMMYFUNCTION("""COMPUTED_VALUE"""),"OFICINA CANADÁ LA ROSA TORO")</f>
        <v>OFICINA CANADÁ LA ROSA TORO</v>
      </c>
      <c r="C239" s="2" t="str">
        <f ca="1">IFERROR(__xludf.DUMMYFUNCTION("""COMPUTED_VALUE"""),"P026624")</f>
        <v>P026624</v>
      </c>
      <c r="D239" s="2" t="str">
        <f ca="1">IFERROR(__xludf.DUMMYFUNCTION("""COMPUTED_VALUE"""),"CHOQUE AYALA, LIZBETH YOSELIN")</f>
        <v>CHOQUE AYALA, LIZBETH YOSELIN</v>
      </c>
      <c r="E239" s="2" t="str">
        <f ca="1">IFERROR(__xludf.DUMMYFUNCTION("""COMPUTED_VALUE"""),"LIZBETH.CHOQUE@BBVA.COM")</f>
        <v>LIZBETH.CHOQUE@BBVA.COM</v>
      </c>
      <c r="F239" s="2" t="str">
        <f ca="1">IFERROR(__xludf.DUMMYFUNCTION("""COMPUTED_VALUE"""),"(B415)SUB GERENTE DE OFICINA E")</f>
        <v>(B415)SUB GERENTE DE OFICINA E</v>
      </c>
      <c r="G239" s="2" t="str">
        <f ca="1">IFERROR(__xludf.DUMMYFUNCTION("""COMPUTED_VALUE"""),"OFICINA CANADA-LA ROSA TORO")</f>
        <v>OFICINA CANADA-LA ROSA TORO</v>
      </c>
    </row>
    <row r="240" spans="1:7" x14ac:dyDescent="0.25">
      <c r="A240" s="2" t="str">
        <f ca="1">IFERROR(__xludf.DUMMYFUNCTION("""COMPUTED_VALUE"""),"0342")</f>
        <v>0342</v>
      </c>
      <c r="B240" s="2" t="str">
        <f ca="1">IFERROR(__xludf.DUMMYFUNCTION("""COMPUTED_VALUE"""),"OFICINA MULTIPLAZA")</f>
        <v>OFICINA MULTIPLAZA</v>
      </c>
      <c r="C240" s="2" t="str">
        <f ca="1">IFERROR(__xludf.DUMMYFUNCTION("""COMPUTED_VALUE"""),"P014938")</f>
        <v>P014938</v>
      </c>
      <c r="D240" s="2" t="str">
        <f ca="1">IFERROR(__xludf.DUMMYFUNCTION("""COMPUTED_VALUE"""),"GORDILLO CORDOVA, VERONICA MILAGROS")</f>
        <v>GORDILLO CORDOVA, VERONICA MILAGROS</v>
      </c>
      <c r="E240" s="2" t="str">
        <f ca="1">IFERROR(__xludf.DUMMYFUNCTION("""COMPUTED_VALUE"""),"VGORDILLO@BBVA.COM")</f>
        <v>VGORDILLO@BBVA.COM</v>
      </c>
      <c r="F240" s="2" t="str">
        <f ca="1">IFERROR(__xludf.DUMMYFUNCTION("""COMPUTED_VALUE"""),"(B415)SUB GERENTE DE OFICINA E")</f>
        <v>(B415)SUB GERENTE DE OFICINA E</v>
      </c>
      <c r="G240" s="2" t="str">
        <f ca="1">IFERROR(__xludf.DUMMYFUNCTION("""COMPUTED_VALUE"""),"OFICINA MULTIPLAZA")</f>
        <v>OFICINA MULTIPLAZA</v>
      </c>
    </row>
    <row r="241" spans="1:7" x14ac:dyDescent="0.25">
      <c r="A241" s="2" t="str">
        <f ca="1">IFERROR(__xludf.DUMMYFUNCTION("""COMPUTED_VALUE"""),"0344")</f>
        <v>0344</v>
      </c>
      <c r="B241" s="2" t="str">
        <f ca="1">IFERROR(__xludf.DUMMYFUNCTION("""COMPUTED_VALUE"""),"OFICINA ESPEC BIENESTAR LA MARINA")</f>
        <v>OFICINA ESPEC BIENESTAR LA MARINA</v>
      </c>
      <c r="C241" s="2" t="str">
        <f ca="1">IFERROR(__xludf.DUMMYFUNCTION("""COMPUTED_VALUE"""),"P022671")</f>
        <v>P022671</v>
      </c>
      <c r="D241" s="2" t="str">
        <f ca="1">IFERROR(__xludf.DUMMYFUNCTION("""COMPUTED_VALUE"""),"KUONG CHINO, SHUJEIDI LUZ MARIA")</f>
        <v>KUONG CHINO, SHUJEIDI LUZ MARIA</v>
      </c>
      <c r="E241" s="2" t="str">
        <f ca="1">IFERROR(__xludf.DUMMYFUNCTION("""COMPUTED_VALUE"""),"SHUJEIDI.KUONG@BBVA.COM")</f>
        <v>SHUJEIDI.KUONG@BBVA.COM</v>
      </c>
      <c r="F241" s="2" t="str">
        <f ca="1">IFERROR(__xludf.DUMMYFUNCTION("""COMPUTED_VALUE"""),"(B415)SUB GERENTE DE OFICINA E")</f>
        <v>(B415)SUB GERENTE DE OFICINA E</v>
      </c>
      <c r="G241" s="2" t="str">
        <f ca="1">IFERROR(__xludf.DUMMYFUNCTION("""COMPUTED_VALUE"""),"OFICINA BASE NAVAL")</f>
        <v>OFICINA BASE NAVAL</v>
      </c>
    </row>
    <row r="242" spans="1:7" x14ac:dyDescent="0.25">
      <c r="A242" s="2" t="str">
        <f ca="1">IFERROR(__xludf.DUMMYFUNCTION("""COMPUTED_VALUE"""),"0345")</f>
        <v>0345</v>
      </c>
      <c r="B242" s="2" t="str">
        <f ca="1">IFERROR(__xludf.DUMMYFUNCTION("""COMPUTED_VALUE"""),"OFICINA CHOSICA")</f>
        <v>OFICINA CHOSICA</v>
      </c>
      <c r="C242" s="2" t="str">
        <f ca="1">IFERROR(__xludf.DUMMYFUNCTION("""COMPUTED_VALUE"""),"P024715")</f>
        <v>P024715</v>
      </c>
      <c r="D242" s="2" t="str">
        <f ca="1">IFERROR(__xludf.DUMMYFUNCTION("""COMPUTED_VALUE"""),"ALZA BENDEZU, GERLADY JOAN MARIAN")</f>
        <v>ALZA BENDEZU, GERLADY JOAN MARIAN</v>
      </c>
      <c r="E242" s="2" t="str">
        <f ca="1">IFERROR(__xludf.DUMMYFUNCTION("""COMPUTED_VALUE"""),"GERLADY.ALZA@BBVA.COM")</f>
        <v>GERLADY.ALZA@BBVA.COM</v>
      </c>
      <c r="F242" s="2" t="str">
        <f ca="1">IFERROR(__xludf.DUMMYFUNCTION("""COMPUTED_VALUE"""),"(B415)SUB GERENTE DE OFICINA E")</f>
        <v>(B415)SUB GERENTE DE OFICINA E</v>
      </c>
      <c r="G242" s="2" t="str">
        <f ca="1">IFERROR(__xludf.DUMMYFUNCTION("""COMPUTED_VALUE"""),"OFICINA CHOSICA")</f>
        <v>OFICINA CHOSICA</v>
      </c>
    </row>
    <row r="243" spans="1:7" x14ac:dyDescent="0.25">
      <c r="A243" s="2" t="str">
        <f ca="1">IFERROR(__xludf.DUMMYFUNCTION("""COMPUTED_VALUE"""),"0346")</f>
        <v>0346</v>
      </c>
      <c r="B243" s="2" t="str">
        <f ca="1">IFERROR(__xludf.DUMMYFUNCTION("""COMPUTED_VALUE"""),"OFICINA PARURO")</f>
        <v>OFICINA PARURO</v>
      </c>
      <c r="C243" s="2" t="str">
        <f ca="1">IFERROR(__xludf.DUMMYFUNCTION("""COMPUTED_VALUE"""),"P022663")</f>
        <v>P022663</v>
      </c>
      <c r="D243" s="2" t="str">
        <f ca="1">IFERROR(__xludf.DUMMYFUNCTION("""COMPUTED_VALUE"""),"QUISPE SALAS, ELIZABETH")</f>
        <v>QUISPE SALAS, ELIZABETH</v>
      </c>
      <c r="E243" s="2" t="str">
        <f ca="1">IFERROR(__xludf.DUMMYFUNCTION("""COMPUTED_VALUE"""),"ELIZABETH.QUISPE@BBVA.COM")</f>
        <v>ELIZABETH.QUISPE@BBVA.COM</v>
      </c>
      <c r="F243" s="2" t="str">
        <f ca="1">IFERROR(__xludf.DUMMYFUNCTION("""COMPUTED_VALUE"""),"(B415)SUB GERENTE DE OFICINA E")</f>
        <v>(B415)SUB GERENTE DE OFICINA E</v>
      </c>
      <c r="G243" s="2" t="str">
        <f ca="1">IFERROR(__xludf.DUMMYFUNCTION("""COMPUTED_VALUE"""),"OFICINA ESPECIAL PARURO")</f>
        <v>OFICINA ESPECIAL PARURO</v>
      </c>
    </row>
    <row r="244" spans="1:7" x14ac:dyDescent="0.25">
      <c r="A244" s="2" t="str">
        <f ca="1">IFERROR(__xludf.DUMMYFUNCTION("""COMPUTED_VALUE"""),"0348")</f>
        <v>0348</v>
      </c>
      <c r="B244" s="2" t="str">
        <f ca="1">IFERROR(__xludf.DUMMYFUNCTION("""COMPUTED_VALUE"""),"OFICINA ESPECIAL REAL PLAZA CHICLAYO")</f>
        <v>OFICINA ESPECIAL REAL PLAZA CHICLAYO</v>
      </c>
      <c r="C244" s="2" t="str">
        <f ca="1">IFERROR(__xludf.DUMMYFUNCTION("""COMPUTED_VALUE"""),"P020818")</f>
        <v>P020818</v>
      </c>
      <c r="D244" s="2" t="str">
        <f ca="1">IFERROR(__xludf.DUMMYFUNCTION("""COMPUTED_VALUE"""),"QUIROZ CASTILLO, DIANA PAOLA")</f>
        <v>QUIROZ CASTILLO, DIANA PAOLA</v>
      </c>
      <c r="E244" s="2" t="str">
        <f ca="1">IFERROR(__xludf.DUMMYFUNCTION("""COMPUTED_VALUE"""),"DIANA.QUIROZ@BBVA.COM")</f>
        <v>DIANA.QUIROZ@BBVA.COM</v>
      </c>
      <c r="F244" s="2" t="str">
        <f ca="1">IFERROR(__xludf.DUMMYFUNCTION("""COMPUTED_VALUE"""),"(B415)SUB GERENTE DE OFICINA E")</f>
        <v>(B415)SUB GERENTE DE OFICINA E</v>
      </c>
      <c r="G244" s="2" t="str">
        <f ca="1">IFERROR(__xludf.DUMMYFUNCTION("""COMPUTED_VALUE"""),"OFICINA REAL PLAZA CHICLAYO")</f>
        <v>OFICINA REAL PLAZA CHICLAYO</v>
      </c>
    </row>
    <row r="245" spans="1:7" x14ac:dyDescent="0.25">
      <c r="A245" s="2" t="str">
        <f ca="1">IFERROR(__xludf.DUMMYFUNCTION("""COMPUTED_VALUE"""),"0352")</f>
        <v>0352</v>
      </c>
      <c r="B245" s="2" t="str">
        <f ca="1">IFERROR(__xludf.DUMMYFUNCTION("""COMPUTED_VALUE"""),"OFICINA LAS TIENDAS")</f>
        <v>OFICINA LAS TIENDAS</v>
      </c>
      <c r="C245" s="2" t="str">
        <f ca="1">IFERROR(__xludf.DUMMYFUNCTION("""COMPUTED_VALUE"""),"P027916")</f>
        <v>P027916</v>
      </c>
      <c r="D245" s="2" t="str">
        <f ca="1">IFERROR(__xludf.DUMMYFUNCTION("""COMPUTED_VALUE"""),"GONZALES GONZALES, CARMEN JULIA")</f>
        <v>GONZALES GONZALES, CARMEN JULIA</v>
      </c>
      <c r="E245" s="2" t="str">
        <f ca="1">IFERROR(__xludf.DUMMYFUNCTION("""COMPUTED_VALUE"""),"CARMEN.GONZALES@BBVA.COM")</f>
        <v>CARMEN.GONZALES@BBVA.COM</v>
      </c>
      <c r="F245" s="2" t="str">
        <f ca="1">IFERROR(__xludf.DUMMYFUNCTION("""COMPUTED_VALUE"""),"(B414)SUB GERENTE DE OFICINA D")</f>
        <v>(B414)SUB GERENTE DE OFICINA D</v>
      </c>
      <c r="G245" s="2" t="str">
        <f ca="1">IFERROR(__xludf.DUMMYFUNCTION("""COMPUTED_VALUE"""),"OFICINA LAS TIENDAS")</f>
        <v>OFICINA LAS TIENDAS</v>
      </c>
    </row>
    <row r="246" spans="1:7" x14ac:dyDescent="0.25">
      <c r="A246" s="2" t="str">
        <f ca="1">IFERROR(__xludf.DUMMYFUNCTION("""COMPUTED_VALUE"""),"0353")</f>
        <v>0353</v>
      </c>
      <c r="B246" s="2" t="str">
        <f ca="1">IFERROR(__xludf.DUMMYFUNCTION("""COMPUTED_VALUE"""),"OFICINA DOMINGO CUETO")</f>
        <v>OFICINA DOMINGO CUETO</v>
      </c>
      <c r="C246" s="2" t="str">
        <f ca="1">IFERROR(__xludf.DUMMYFUNCTION("""COMPUTED_VALUE"""),"P025738")</f>
        <v>P025738</v>
      </c>
      <c r="D246" s="2" t="str">
        <f ca="1">IFERROR(__xludf.DUMMYFUNCTION("""COMPUTED_VALUE"""),"BAZAN FLORES, CLAUDIA MARIANA")</f>
        <v>BAZAN FLORES, CLAUDIA MARIANA</v>
      </c>
      <c r="E246" s="2" t="str">
        <f ca="1">IFERROR(__xludf.DUMMYFUNCTION("""COMPUTED_VALUE"""),"CLAUDIA.BAZAN@BBVA.COM")</f>
        <v>CLAUDIA.BAZAN@BBVA.COM</v>
      </c>
      <c r="F246" s="2" t="str">
        <f ca="1">IFERROR(__xludf.DUMMYFUNCTION("""COMPUTED_VALUE"""),"(B414)SUB GERENTE DE OFICINA D")</f>
        <v>(B414)SUB GERENTE DE OFICINA D</v>
      </c>
      <c r="G246" s="2" t="str">
        <f ca="1">IFERROR(__xludf.DUMMYFUNCTION("""COMPUTED_VALUE"""),"OFICINA DOMINGO CUETO")</f>
        <v>OFICINA DOMINGO CUETO</v>
      </c>
    </row>
    <row r="247" spans="1:7" x14ac:dyDescent="0.25">
      <c r="A247" s="2" t="str">
        <f ca="1">IFERROR(__xludf.DUMMYFUNCTION("""COMPUTED_VALUE"""),"0354")</f>
        <v>0354</v>
      </c>
      <c r="B247" s="2" t="str">
        <f ca="1">IFERROR(__xludf.DUMMYFUNCTION("""COMPUTED_VALUE"""),"OFICINA LAS BEGONIAS")</f>
        <v>OFICINA LAS BEGONIAS</v>
      </c>
      <c r="C247" s="2" t="str">
        <f ca="1">IFERROR(__xludf.DUMMYFUNCTION("""COMPUTED_VALUE"""),"P015732")</f>
        <v>P015732</v>
      </c>
      <c r="D247" s="2" t="str">
        <f ca="1">IFERROR(__xludf.DUMMYFUNCTION("""COMPUTED_VALUE"""),"MOREANO ARIAS, MARILYN MATILDE")</f>
        <v>MOREANO ARIAS, MARILYN MATILDE</v>
      </c>
      <c r="E247" s="2" t="str">
        <f ca="1">IFERROR(__xludf.DUMMYFUNCTION("""COMPUTED_VALUE"""),"MMOREANO@BBVA.COM")</f>
        <v>MMOREANO@BBVA.COM</v>
      </c>
      <c r="F247" s="2" t="str">
        <f ca="1">IFERROR(__xludf.DUMMYFUNCTION("""COMPUTED_VALUE"""),"(B411)SUB GERENTE DE OFICINA A3")</f>
        <v>(B411)SUB GERENTE DE OFICINA A3</v>
      </c>
      <c r="G247" s="2" t="str">
        <f ca="1">IFERROR(__xludf.DUMMYFUNCTION("""COMPUTED_VALUE"""),"OFICINA LAS BEGONIAS")</f>
        <v>OFICINA LAS BEGONIAS</v>
      </c>
    </row>
    <row r="248" spans="1:7" x14ac:dyDescent="0.25">
      <c r="A248" s="2" t="str">
        <f ca="1">IFERROR(__xludf.DUMMYFUNCTION("""COMPUTED_VALUE"""),"0355")</f>
        <v>0355</v>
      </c>
      <c r="B248" s="2" t="str">
        <f ca="1">IFERROR(__xludf.DUMMYFUNCTION("""COMPUTED_VALUE"""),"OFICINA AVIACIÓN")</f>
        <v>OFICINA AVIACIÓN</v>
      </c>
      <c r="C248" s="2" t="str">
        <f ca="1">IFERROR(__xludf.DUMMYFUNCTION("""COMPUTED_VALUE"""),"P016908")</f>
        <v>P016908</v>
      </c>
      <c r="D248" s="2" t="str">
        <f ca="1">IFERROR(__xludf.DUMMYFUNCTION("""COMPUTED_VALUE"""),"JIMENEZ RIVERA, BRENDY NOEMI")</f>
        <v>JIMENEZ RIVERA, BRENDY NOEMI</v>
      </c>
      <c r="E248" s="2" t="str">
        <f ca="1">IFERROR(__xludf.DUMMYFUNCTION("""COMPUTED_VALUE"""),"BJIMENEZ@BBVA.COM")</f>
        <v>BJIMENEZ@BBVA.COM</v>
      </c>
      <c r="F248" s="2" t="str">
        <f ca="1">IFERROR(__xludf.DUMMYFUNCTION("""COMPUTED_VALUE"""),"(B415)SUB GERENTE DE OFICINA E")</f>
        <v>(B415)SUB GERENTE DE OFICINA E</v>
      </c>
      <c r="G248" s="2" t="str">
        <f ca="1">IFERROR(__xludf.DUMMYFUNCTION("""COMPUTED_VALUE"""),"OFICINA AVIACION")</f>
        <v>OFICINA AVIACION</v>
      </c>
    </row>
    <row r="249" spans="1:7" x14ac:dyDescent="0.25">
      <c r="A249" s="2" t="str">
        <f ca="1">IFERROR(__xludf.DUMMYFUNCTION("""COMPUTED_VALUE"""),"0358")</f>
        <v>0358</v>
      </c>
      <c r="B249" s="2" t="str">
        <f ca="1">IFERROR(__xludf.DUMMYFUNCTION("""COMPUTED_VALUE"""),"OFICINA SAN LUIS")</f>
        <v>OFICINA SAN LUIS</v>
      </c>
      <c r="C249" s="2" t="str">
        <f ca="1">IFERROR(__xludf.DUMMYFUNCTION("""COMPUTED_VALUE"""),"P013800")</f>
        <v>P013800</v>
      </c>
      <c r="D249" s="2" t="str">
        <f ca="1">IFERROR(__xludf.DUMMYFUNCTION("""COMPUTED_VALUE"""),"PALOMARES HUASIPOMA, MARIA DEL CARMEN")</f>
        <v>PALOMARES HUASIPOMA, MARIA DEL CARMEN</v>
      </c>
      <c r="E249" s="2" t="str">
        <f ca="1">IFERROR(__xludf.DUMMYFUNCTION("""COMPUTED_VALUE"""),"MPALOMARES@BBVA.COM")</f>
        <v>MPALOMARES@BBVA.COM</v>
      </c>
      <c r="F249" s="2" t="str">
        <f ca="1">IFERROR(__xludf.DUMMYFUNCTION("""COMPUTED_VALUE"""),"(B412)SUB GERENTE DE OFICINA B")</f>
        <v>(B412)SUB GERENTE DE OFICINA B</v>
      </c>
      <c r="G249" s="2" t="str">
        <f ca="1">IFERROR(__xludf.DUMMYFUNCTION("""COMPUTED_VALUE"""),"OFICINA SAN LUIS")</f>
        <v>OFICINA SAN LUIS</v>
      </c>
    </row>
    <row r="250" spans="1:7" x14ac:dyDescent="0.25">
      <c r="A250" s="2" t="str">
        <f ca="1">IFERROR(__xludf.DUMMYFUNCTION("""COMPUTED_VALUE"""),"0359")</f>
        <v>0359</v>
      </c>
      <c r="B250" s="2" t="str">
        <f ca="1">IFERROR(__xludf.DUMMYFUNCTION("""COMPUTED_VALUE"""),"OFICINA AVENIDA CENTRAL")</f>
        <v>OFICINA AVENIDA CENTRAL</v>
      </c>
      <c r="C250" s="2" t="str">
        <f ca="1">IFERROR(__xludf.DUMMYFUNCTION("""COMPUTED_VALUE"""),"P005412")</f>
        <v>P005412</v>
      </c>
      <c r="D250" s="2" t="str">
        <f ca="1">IFERROR(__xludf.DUMMYFUNCTION("""COMPUTED_VALUE"""),"SERRANO GUEVARA, SANDRA")</f>
        <v>SERRANO GUEVARA, SANDRA</v>
      </c>
      <c r="E250" s="2" t="str">
        <f ca="1">IFERROR(__xludf.DUMMYFUNCTION("""COMPUTED_VALUE"""),"SSERRANO@BBVA.COM")</f>
        <v>SSERRANO@BBVA.COM</v>
      </c>
      <c r="F250" s="2" t="str">
        <f ca="1">IFERROR(__xludf.DUMMYFUNCTION("""COMPUTED_VALUE"""),"(B411)SUB GERENTE DE OFICINA A3")</f>
        <v>(B411)SUB GERENTE DE OFICINA A3</v>
      </c>
      <c r="G250" s="2" t="str">
        <f ca="1">IFERROR(__xludf.DUMMYFUNCTION("""COMPUTED_VALUE"""),"OFICINA AVENIDA CENTRAL")</f>
        <v>OFICINA AVENIDA CENTRAL</v>
      </c>
    </row>
    <row r="251" spans="1:7" x14ac:dyDescent="0.25">
      <c r="A251" s="2" t="str">
        <f ca="1">IFERROR(__xludf.DUMMYFUNCTION("""COMPUTED_VALUE"""),"0360")</f>
        <v>0360</v>
      </c>
      <c r="B251" s="2" t="str">
        <f ca="1">IFERROR(__xludf.DUMMYFUNCTION("""COMPUTED_VALUE"""),"OFICINA JOCKEY PLAZA")</f>
        <v>OFICINA JOCKEY PLAZA</v>
      </c>
      <c r="C251" s="2" t="str">
        <f ca="1">IFERROR(__xludf.DUMMYFUNCTION("""COMPUTED_VALUE"""),"P008391")</f>
        <v>P008391</v>
      </c>
      <c r="D251" s="2" t="str">
        <f ca="1">IFERROR(__xludf.DUMMYFUNCTION("""COMPUTED_VALUE"""),"VIGO RIVERA, CLAUDIA LILIANA")</f>
        <v>VIGO RIVERA, CLAUDIA LILIANA</v>
      </c>
      <c r="E251" s="2" t="str">
        <f ca="1">IFERROR(__xludf.DUMMYFUNCTION("""COMPUTED_VALUE"""),"CVIGO@BBVA.COM")</f>
        <v>CVIGO@BBVA.COM</v>
      </c>
      <c r="F251" s="2" t="str">
        <f ca="1">IFERROR(__xludf.DUMMYFUNCTION("""COMPUTED_VALUE"""),"(B412)SUB GERENTE DE OFICINA B")</f>
        <v>(B412)SUB GERENTE DE OFICINA B</v>
      </c>
      <c r="G251" s="2" t="str">
        <f ca="1">IFERROR(__xludf.DUMMYFUNCTION("""COMPUTED_VALUE"""),"OFICINA JOCKEY PLAZA")</f>
        <v>OFICINA JOCKEY PLAZA</v>
      </c>
    </row>
    <row r="252" spans="1:7" x14ac:dyDescent="0.25">
      <c r="A252" s="2" t="str">
        <f ca="1">IFERROR(__xludf.DUMMYFUNCTION("""COMPUTED_VALUE"""),"0361")</f>
        <v>0361</v>
      </c>
      <c r="B252" s="2" t="str">
        <f ca="1">IFERROR(__xludf.DUMMYFUNCTION("""COMPUTED_VALUE"""),"OFICINA ABANCAY CONGRESO")</f>
        <v>OFICINA ABANCAY CONGRESO</v>
      </c>
      <c r="C252" s="2" t="str">
        <f ca="1">IFERROR(__xludf.DUMMYFUNCTION("""COMPUTED_VALUE"""),"P027049")</f>
        <v>P027049</v>
      </c>
      <c r="D252" s="2" t="str">
        <f ca="1">IFERROR(__xludf.DUMMYFUNCTION("""COMPUTED_VALUE"""),"GUTIERREZ HIDALGO, MILAGROS DEYANIRA")</f>
        <v>GUTIERREZ HIDALGO, MILAGROS DEYANIRA</v>
      </c>
      <c r="E252" s="2" t="str">
        <f ca="1">IFERROR(__xludf.DUMMYFUNCTION("""COMPUTED_VALUE"""),"MILAGROS.GUTIERREZ@BBVA.COM")</f>
        <v>MILAGROS.GUTIERREZ@BBVA.COM</v>
      </c>
      <c r="F252" s="2" t="str">
        <f ca="1">IFERROR(__xludf.DUMMYFUNCTION("""COMPUTED_VALUE"""),"(B414)SUB GERENTE DE OFICINA D")</f>
        <v>(B414)SUB GERENTE DE OFICINA D</v>
      </c>
      <c r="G252" s="2" t="str">
        <f ca="1">IFERROR(__xludf.DUMMYFUNCTION("""COMPUTED_VALUE"""),"OFICINA ABANCAY CONGRESO")</f>
        <v>OFICINA ABANCAY CONGRESO</v>
      </c>
    </row>
    <row r="253" spans="1:7" x14ac:dyDescent="0.25">
      <c r="A253" s="2" t="str">
        <f ca="1">IFERROR(__xludf.DUMMYFUNCTION("""COMPUTED_VALUE"""),"0364")</f>
        <v>0364</v>
      </c>
      <c r="B253" s="2" t="str">
        <f ca="1">IFERROR(__xludf.DUMMYFUNCTION("""COMPUTED_VALUE"""),"OFICINA JORGE BASADRE")</f>
        <v>OFICINA JORGE BASADRE</v>
      </c>
      <c r="C253" s="2" t="str">
        <f ca="1">IFERROR(__xludf.DUMMYFUNCTION("""COMPUTED_VALUE"""),"P027767")</f>
        <v>P027767</v>
      </c>
      <c r="D253" s="2" t="str">
        <f ca="1">IFERROR(__xludf.DUMMYFUNCTION("""COMPUTED_VALUE"""),"ROJAS FALCON, YASMINDA")</f>
        <v>ROJAS FALCON, YASMINDA</v>
      </c>
      <c r="E253" s="2" t="str">
        <f ca="1">IFERROR(__xludf.DUMMYFUNCTION("""COMPUTED_VALUE"""),"YASMINDA.ROJAS@BBVA.COM")</f>
        <v>YASMINDA.ROJAS@BBVA.COM</v>
      </c>
      <c r="F253" s="2" t="str">
        <f ca="1">IFERROR(__xludf.DUMMYFUNCTION("""COMPUTED_VALUE"""),"(B414)SUB GERENTE DE OFICINA D")</f>
        <v>(B414)SUB GERENTE DE OFICINA D</v>
      </c>
      <c r="G253" s="2" t="str">
        <f ca="1">IFERROR(__xludf.DUMMYFUNCTION("""COMPUTED_VALUE"""),"OFICINA JORGE BASADRE")</f>
        <v>OFICINA JORGE BASADRE</v>
      </c>
    </row>
    <row r="254" spans="1:7" x14ac:dyDescent="0.25">
      <c r="A254" s="2" t="str">
        <f ca="1">IFERROR(__xludf.DUMMYFUNCTION("""COMPUTED_VALUE"""),"0365")</f>
        <v>0365</v>
      </c>
      <c r="B254" s="2" t="str">
        <f ca="1">IFERROR(__xludf.DUMMYFUNCTION("""COMPUTED_VALUE"""),"OFICINA ABANCAY")</f>
        <v>OFICINA ABANCAY</v>
      </c>
      <c r="C254" s="2" t="str">
        <f ca="1">IFERROR(__xludf.DUMMYFUNCTION("""COMPUTED_VALUE"""),"P026177")</f>
        <v>P026177</v>
      </c>
      <c r="D254" s="2" t="str">
        <f ca="1">IFERROR(__xludf.DUMMYFUNCTION("""COMPUTED_VALUE"""),"CASTRO MORA, ROSSI")</f>
        <v>CASTRO MORA, ROSSI</v>
      </c>
      <c r="E254" s="2" t="str">
        <f ca="1">IFERROR(__xludf.DUMMYFUNCTION("""COMPUTED_VALUE"""),"ROSSI.CASTRO@BBVA.COM")</f>
        <v>ROSSI.CASTRO@BBVA.COM</v>
      </c>
      <c r="F254" s="2" t="str">
        <f ca="1">IFERROR(__xludf.DUMMYFUNCTION("""COMPUTED_VALUE"""),"(B417)SUB GERENTE DE OFICINA F")</f>
        <v>(B417)SUB GERENTE DE OFICINA F</v>
      </c>
      <c r="G254" s="2" t="str">
        <f ca="1">IFERROR(__xludf.DUMMYFUNCTION("""COMPUTED_VALUE"""),"OFICINA ABANCAY")</f>
        <v>OFICINA ABANCAY</v>
      </c>
    </row>
    <row r="255" spans="1:7" x14ac:dyDescent="0.25">
      <c r="A255" s="2" t="str">
        <f ca="1">IFERROR(__xludf.DUMMYFUNCTION("""COMPUTED_VALUE"""),"0366")</f>
        <v>0366</v>
      </c>
      <c r="B255" s="2" t="str">
        <f ca="1">IFERROR(__xludf.DUMMYFUNCTION("""COMPUTED_VALUE"""),"OFICINA CONQUISTADORES")</f>
        <v>OFICINA CONQUISTADORES</v>
      </c>
      <c r="C255" s="2" t="str">
        <f ca="1">IFERROR(__xludf.DUMMYFUNCTION("""COMPUTED_VALUE"""),"P028371")</f>
        <v>P028371</v>
      </c>
      <c r="D255" s="2" t="str">
        <f ca="1">IFERROR(__xludf.DUMMYFUNCTION("""COMPUTED_VALUE"""),"BUENO PUELL, BRENDA ROSA")</f>
        <v>BUENO PUELL, BRENDA ROSA</v>
      </c>
      <c r="E255" s="2" t="str">
        <f ca="1">IFERROR(__xludf.DUMMYFUNCTION("""COMPUTED_VALUE"""),"BRENDA.BUENO@BBVA.COM")</f>
        <v>BRENDA.BUENO@BBVA.COM</v>
      </c>
      <c r="F255" s="2" t="str">
        <f ca="1">IFERROR(__xludf.DUMMYFUNCTION("""COMPUTED_VALUE"""),"(B414)SUB GERENTE DE OFICINA D")</f>
        <v>(B414)SUB GERENTE DE OFICINA D</v>
      </c>
      <c r="G255" s="2" t="str">
        <f ca="1">IFERROR(__xludf.DUMMYFUNCTION("""COMPUTED_VALUE"""),"OFICINA CONQUISTADORES")</f>
        <v>OFICINA CONQUISTADORES</v>
      </c>
    </row>
    <row r="256" spans="1:7" x14ac:dyDescent="0.25">
      <c r="A256" s="2" t="str">
        <f ca="1">IFERROR(__xludf.DUMMYFUNCTION("""COMPUTED_VALUE"""),"0367")</f>
        <v>0367</v>
      </c>
      <c r="B256" s="2" t="str">
        <f ca="1">IFERROR(__xludf.DUMMYFUNCTION("""COMPUTED_VALUE"""),"OFICINA BENAVIDES")</f>
        <v>OFICINA BENAVIDES</v>
      </c>
      <c r="C256" s="2" t="str">
        <f ca="1">IFERROR(__xludf.DUMMYFUNCTION("""COMPUTED_VALUE"""),"P022270")</f>
        <v>P022270</v>
      </c>
      <c r="D256" s="2" t="str">
        <f ca="1">IFERROR(__xludf.DUMMYFUNCTION("""COMPUTED_VALUE"""),"PRADO REATEGUI, GERARDO MARTIN")</f>
        <v>PRADO REATEGUI, GERARDO MARTIN</v>
      </c>
      <c r="E256" s="2" t="str">
        <f ca="1">IFERROR(__xludf.DUMMYFUNCTION("""COMPUTED_VALUE"""),"GERARDO.PRADO@BBVA.COM")</f>
        <v>GERARDO.PRADO@BBVA.COM</v>
      </c>
      <c r="F256" s="2" t="str">
        <f ca="1">IFERROR(__xludf.DUMMYFUNCTION("""COMPUTED_VALUE"""),"(B414)SUB GERENTE DE OFICINA D")</f>
        <v>(B414)SUB GERENTE DE OFICINA D</v>
      </c>
      <c r="G256" s="2" t="str">
        <f ca="1">IFERROR(__xludf.DUMMYFUNCTION("""COMPUTED_VALUE"""),"OFICINA BENAVIDES")</f>
        <v>OFICINA BENAVIDES</v>
      </c>
    </row>
    <row r="257" spans="1:7" x14ac:dyDescent="0.25">
      <c r="A257" s="2" t="str">
        <f ca="1">IFERROR(__xludf.DUMMYFUNCTION("""COMPUTED_VALUE"""),"0368")</f>
        <v>0368</v>
      </c>
      <c r="B257" s="2" t="str">
        <f ca="1">IFERROR(__xludf.DUMMYFUNCTION("""COMPUTED_VALUE"""),"OFICINA RICARDO PALMA")</f>
        <v>OFICINA RICARDO PALMA</v>
      </c>
      <c r="C257" s="2" t="str">
        <f ca="1">IFERROR(__xludf.DUMMYFUNCTION("""COMPUTED_VALUE"""),"P024394")</f>
        <v>P024394</v>
      </c>
      <c r="D257" s="2" t="str">
        <f ca="1">IFERROR(__xludf.DUMMYFUNCTION("""COMPUTED_VALUE"""),"LAVADO SANTAYA, FERNANDA")</f>
        <v>LAVADO SANTAYA, FERNANDA</v>
      </c>
      <c r="E257" s="2" t="str">
        <f ca="1">IFERROR(__xludf.DUMMYFUNCTION("""COMPUTED_VALUE"""),"FERNANDA.LAVADO@BBVA.COM")</f>
        <v>FERNANDA.LAVADO@BBVA.COM</v>
      </c>
      <c r="F257" s="2" t="str">
        <f ca="1">IFERROR(__xludf.DUMMYFUNCTION("""COMPUTED_VALUE"""),"(B413)SUB GERENTE DE OFICINA C")</f>
        <v>(B413)SUB GERENTE DE OFICINA C</v>
      </c>
      <c r="G257" s="2" t="str">
        <f ca="1">IFERROR(__xludf.DUMMYFUNCTION("""COMPUTED_VALUE"""),"OFICINA RICARDO PALMA")</f>
        <v>OFICINA RICARDO PALMA</v>
      </c>
    </row>
    <row r="258" spans="1:7" x14ac:dyDescent="0.25">
      <c r="A258" s="2" t="str">
        <f ca="1">IFERROR(__xludf.DUMMYFUNCTION("""COMPUTED_VALUE"""),"0370")</f>
        <v>0370</v>
      </c>
      <c r="B258" s="2" t="str">
        <f ca="1">IFERROR(__xludf.DUMMYFUNCTION("""COMPUTED_VALUE"""),"OFICINA LIMATAMBO")</f>
        <v>OFICINA LIMATAMBO</v>
      </c>
      <c r="C258" s="2" t="str">
        <f ca="1">IFERROR(__xludf.DUMMYFUNCTION("""COMPUTED_VALUE"""),"P014593")</f>
        <v>P014593</v>
      </c>
      <c r="D258" s="2" t="str">
        <f ca="1">IFERROR(__xludf.DUMMYFUNCTION("""COMPUTED_VALUE"""),"CAHUAS VALLE, KATHERINE PATRICIA")</f>
        <v>CAHUAS VALLE, KATHERINE PATRICIA</v>
      </c>
      <c r="E258" s="2" t="str">
        <f ca="1">IFERROR(__xludf.DUMMYFUNCTION("""COMPUTED_VALUE"""),"KCAHUAS@BBVA.COM")</f>
        <v>KCAHUAS@BBVA.COM</v>
      </c>
      <c r="F258" s="2" t="str">
        <f ca="1">IFERROR(__xludf.DUMMYFUNCTION("""COMPUTED_VALUE"""),"(B414)SUB GERENTE DE OFICINA D")</f>
        <v>(B414)SUB GERENTE DE OFICINA D</v>
      </c>
      <c r="G258" s="2" t="str">
        <f ca="1">IFERROR(__xludf.DUMMYFUNCTION("""COMPUTED_VALUE"""),"OFICINA LIMATAMBO")</f>
        <v>OFICINA LIMATAMBO</v>
      </c>
    </row>
    <row r="259" spans="1:7" x14ac:dyDescent="0.25">
      <c r="A259" s="2" t="str">
        <f ca="1">IFERROR(__xludf.DUMMYFUNCTION("""COMPUTED_VALUE"""),"0372")</f>
        <v>0372</v>
      </c>
      <c r="B259" s="2" t="str">
        <f ca="1">IFERROR(__xludf.DUMMYFUNCTION("""COMPUTED_VALUE"""),"OFICINA LOS ROBLES")</f>
        <v>OFICINA LOS ROBLES</v>
      </c>
      <c r="C259" s="2" t="str">
        <f ca="1">IFERROR(__xludf.DUMMYFUNCTION("""COMPUTED_VALUE"""),"P021902")</f>
        <v>P021902</v>
      </c>
      <c r="D259" s="2" t="str">
        <f ca="1">IFERROR(__xludf.DUMMYFUNCTION("""COMPUTED_VALUE"""),"YARLEQUE ROJAS, JOSE LUIS")</f>
        <v>YARLEQUE ROJAS, JOSE LUIS</v>
      </c>
      <c r="E259" s="2" t="str">
        <f ca="1">IFERROR(__xludf.DUMMYFUNCTION("""COMPUTED_VALUE"""),"JOSE.YARLEQUE@BBVA.COM")</f>
        <v>JOSE.YARLEQUE@BBVA.COM</v>
      </c>
      <c r="F259" s="2" t="str">
        <f ca="1">IFERROR(__xludf.DUMMYFUNCTION("""COMPUTED_VALUE"""),"(B412)SUB GERENTE DE OFICINA B")</f>
        <v>(B412)SUB GERENTE DE OFICINA B</v>
      </c>
      <c r="G259" s="2" t="str">
        <f ca="1">IFERROR(__xludf.DUMMYFUNCTION("""COMPUTED_VALUE"""),"OFICINA LOS ROBLES")</f>
        <v>OFICINA LOS ROBLES</v>
      </c>
    </row>
    <row r="260" spans="1:7" x14ac:dyDescent="0.25">
      <c r="A260" s="2" t="str">
        <f ca="1">IFERROR(__xludf.DUMMYFUNCTION("""COMPUTED_VALUE"""),"0383")</f>
        <v>0383</v>
      </c>
      <c r="B260" s="2" t="str">
        <f ca="1">IFERROR(__xludf.DUMMYFUNCTION("""COMPUTED_VALUE"""),"OFICINA FAUCETT 2")</f>
        <v>OFICINA FAUCETT 2</v>
      </c>
      <c r="C260" s="2" t="str">
        <f ca="1">IFERROR(__xludf.DUMMYFUNCTION("""COMPUTED_VALUE"""),"P022643")</f>
        <v>P022643</v>
      </c>
      <c r="D260" s="2" t="str">
        <f ca="1">IFERROR(__xludf.DUMMYFUNCTION("""COMPUTED_VALUE"""),"SOSA FARFAN, GILARY")</f>
        <v>SOSA FARFAN, GILARY</v>
      </c>
      <c r="E260" s="2" t="str">
        <f ca="1">IFERROR(__xludf.DUMMYFUNCTION("""COMPUTED_VALUE"""),"GILARY.SOSA@BBVA.COM")</f>
        <v>GILARY.SOSA@BBVA.COM</v>
      </c>
      <c r="F260" s="2" t="str">
        <f ca="1">IFERROR(__xludf.DUMMYFUNCTION("""COMPUTED_VALUE"""),"(B414)SUB GERENTE DE OFICINA D")</f>
        <v>(B414)SUB GERENTE DE OFICINA D</v>
      </c>
      <c r="G260" s="2" t="str">
        <f ca="1">IFERROR(__xludf.DUMMYFUNCTION("""COMPUTED_VALUE"""),"OFICINA FAUCETT 2")</f>
        <v>OFICINA FAUCETT 2</v>
      </c>
    </row>
    <row r="261" spans="1:7" x14ac:dyDescent="0.25">
      <c r="A261" s="2" t="str">
        <f ca="1">IFERROR(__xludf.DUMMYFUNCTION("""COMPUTED_VALUE"""),"0387")</f>
        <v>0387</v>
      </c>
      <c r="B261" s="2" t="str">
        <f ca="1">IFERROR(__xludf.DUMMYFUNCTION("""COMPUTED_VALUE"""),"OFICINA CANAVAL Y MOREYRA")</f>
        <v>OFICINA CANAVAL Y MOREYRA</v>
      </c>
      <c r="C261" s="2" t="str">
        <f ca="1">IFERROR(__xludf.DUMMYFUNCTION("""COMPUTED_VALUE"""),"P005010")</f>
        <v>P005010</v>
      </c>
      <c r="D261" s="2" t="str">
        <f ca="1">IFERROR(__xludf.DUMMYFUNCTION("""COMPUTED_VALUE"""),"VADILLO LOPEZ, NORA IRMA")</f>
        <v>VADILLO LOPEZ, NORA IRMA</v>
      </c>
      <c r="E261" s="2" t="str">
        <f ca="1">IFERROR(__xludf.DUMMYFUNCTION("""COMPUTED_VALUE"""),"NVADILLO@BBVA.COM")</f>
        <v>NVADILLO@BBVA.COM</v>
      </c>
      <c r="F261" s="2" t="str">
        <f ca="1">IFERROR(__xludf.DUMMYFUNCTION("""COMPUTED_VALUE"""),"(B413)SUB GERENTE DE OFICINA C")</f>
        <v>(B413)SUB GERENTE DE OFICINA C</v>
      </c>
      <c r="G261" s="2" t="str">
        <f ca="1">IFERROR(__xludf.DUMMYFUNCTION("""COMPUTED_VALUE"""),"OFICINA CANAVAL Y MOREYRA")</f>
        <v>OFICINA CANAVAL Y MOREYRA</v>
      </c>
    </row>
    <row r="262" spans="1:7" x14ac:dyDescent="0.25">
      <c r="A262" s="2" t="str">
        <f ca="1">IFERROR(__xludf.DUMMYFUNCTION("""COMPUTED_VALUE"""),"0418")</f>
        <v>0418</v>
      </c>
      <c r="B262" s="2" t="str">
        <f ca="1">IFERROR(__xludf.DUMMYFUNCTION("""COMPUTED_VALUE"""),"OFICINA VILLA INFANTAS")</f>
        <v>OFICINA VILLA INFANTAS</v>
      </c>
      <c r="C262" s="2" t="str">
        <f ca="1">IFERROR(__xludf.DUMMYFUNCTION("""COMPUTED_VALUE"""),"P020051")</f>
        <v>P020051</v>
      </c>
      <c r="D262" s="2" t="str">
        <f ca="1">IFERROR(__xludf.DUMMYFUNCTION("""COMPUTED_VALUE"""),"DIAZ ALVA, URSULA DIANA")</f>
        <v>DIAZ ALVA, URSULA DIANA</v>
      </c>
      <c r="E262" s="2" t="str">
        <f ca="1">IFERROR(__xludf.DUMMYFUNCTION("""COMPUTED_VALUE"""),"URSULA.DIAZ@BBVA.COM")</f>
        <v>URSULA.DIAZ@BBVA.COM</v>
      </c>
      <c r="F262" s="2" t="str">
        <f ca="1">IFERROR(__xludf.DUMMYFUNCTION("""COMPUTED_VALUE"""),"(B417)SUB GERENTE DE OFICINA F")</f>
        <v>(B417)SUB GERENTE DE OFICINA F</v>
      </c>
      <c r="G262" s="2" t="str">
        <f ca="1">IFERROR(__xludf.DUMMYFUNCTION("""COMPUTED_VALUE"""),"OFICINA CENTRO COMERCIAL REAL PLAZA PRO")</f>
        <v>OFICINA CENTRO COMERCIAL REAL PLAZA PRO</v>
      </c>
    </row>
    <row r="263" spans="1:7" x14ac:dyDescent="0.25">
      <c r="A263" s="2" t="str">
        <f ca="1">IFERROR(__xludf.DUMMYFUNCTION("""COMPUTED_VALUE"""),"0421")</f>
        <v>0421</v>
      </c>
      <c r="B263" s="2" t="str">
        <f ca="1">IFERROR(__xludf.DUMMYFUNCTION("""COMPUTED_VALUE"""),"OFICINA MALL PLAZA SAN JUAN DE LURIGANCHO")</f>
        <v>OFICINA MALL PLAZA SAN JUAN DE LURIGANCHO</v>
      </c>
      <c r="C263" s="2" t="str">
        <f ca="1">IFERROR(__xludf.DUMMYFUNCTION("""COMPUTED_VALUE"""),"P019175")</f>
        <v>P019175</v>
      </c>
      <c r="D263" s="2" t="str">
        <f ca="1">IFERROR(__xludf.DUMMYFUNCTION("""COMPUTED_VALUE"""),"PAREDES QUISPE, MIGUEL ANGEL")</f>
        <v>PAREDES QUISPE, MIGUEL ANGEL</v>
      </c>
      <c r="E263" s="2" t="str">
        <f ca="1">IFERROR(__xludf.DUMMYFUNCTION("""COMPUTED_VALUE"""),"MPAREDESQ@BBVA.COM")</f>
        <v>MPAREDESQ@BBVA.COM</v>
      </c>
      <c r="F263" s="2" t="str">
        <f ca="1">IFERROR(__xludf.DUMMYFUNCTION("""COMPUTED_VALUE"""),"(B417)SUB GERENTE DE OFICINA F")</f>
        <v>(B417)SUB GERENTE DE OFICINA F</v>
      </c>
      <c r="G263" s="2" t="str">
        <f ca="1">IFERROR(__xludf.DUMMYFUNCTION("""COMPUTED_VALUE"""),"OFICINA MALL PLAZA SAN JUAN DE LURIGANCHO")</f>
        <v>OFICINA MALL PLAZA SAN JUAN DE LURIGANCHO</v>
      </c>
    </row>
    <row r="264" spans="1:7" x14ac:dyDescent="0.25">
      <c r="A264" s="2" t="str">
        <f ca="1">IFERROR(__xludf.DUMMYFUNCTION("""COMPUTED_VALUE"""),"0426")</f>
        <v>0426</v>
      </c>
      <c r="B264" s="2" t="str">
        <f ca="1">IFERROR(__xludf.DUMMYFUNCTION("""COMPUTED_VALUE"""),"OFICINA AV. DEL EJÉRCITO")</f>
        <v>OFICINA AV. DEL EJÉRCITO</v>
      </c>
      <c r="C264" s="2" t="str">
        <f ca="1">IFERROR(__xludf.DUMMYFUNCTION("""COMPUTED_VALUE"""),"P026115")</f>
        <v>P026115</v>
      </c>
      <c r="D264" s="2" t="str">
        <f ca="1">IFERROR(__xludf.DUMMYFUNCTION("""COMPUTED_VALUE"""),"TORRES AZORZA, JOHANNA STHEFANY")</f>
        <v>TORRES AZORZA, JOHANNA STHEFANY</v>
      </c>
      <c r="E264" s="2" t="str">
        <f ca="1">IFERROR(__xludf.DUMMYFUNCTION("""COMPUTED_VALUE"""),"JOHANNA.TORRES@BBVA.COM")</f>
        <v>JOHANNA.TORRES@BBVA.COM</v>
      </c>
      <c r="F264" s="2" t="str">
        <f ca="1">IFERROR(__xludf.DUMMYFUNCTION("""COMPUTED_VALUE"""),"(B415)SUB GERENTE DE OFICINA E")</f>
        <v>(B415)SUB GERENTE DE OFICINA E</v>
      </c>
      <c r="G264" s="2" t="str">
        <f ca="1">IFERROR(__xludf.DUMMYFUNCTION("""COMPUTED_VALUE"""),"OFICINA AVENIDA DEL EJERCITO")</f>
        <v>OFICINA AVENIDA DEL EJERCITO</v>
      </c>
    </row>
    <row r="265" spans="1:7" x14ac:dyDescent="0.25">
      <c r="A265" s="2" t="str">
        <f ca="1">IFERROR(__xludf.DUMMYFUNCTION("""COMPUTED_VALUE"""),"0427")</f>
        <v>0427</v>
      </c>
      <c r="B265" s="2" t="str">
        <f ca="1">IFERROR(__xludf.DUMMYFUNCTION("""COMPUTED_VALUE"""),"OFICINA BOLOGNESI")</f>
        <v>OFICINA BOLOGNESI</v>
      </c>
      <c r="C265" s="2" t="str">
        <f ca="1">IFERROR(__xludf.DUMMYFUNCTION("""COMPUTED_VALUE"""),"P019091")</f>
        <v>P019091</v>
      </c>
      <c r="D265" s="2" t="str">
        <f ca="1">IFERROR(__xludf.DUMMYFUNCTION("""COMPUTED_VALUE"""),"ROCHA FLORES, CYNTHIA")</f>
        <v>ROCHA FLORES, CYNTHIA</v>
      </c>
      <c r="E265" s="2" t="str">
        <f ca="1">IFERROR(__xludf.DUMMYFUNCTION("""COMPUTED_VALUE"""),"CROCHA@BBVA.COM")</f>
        <v>CROCHA@BBVA.COM</v>
      </c>
      <c r="F265" s="2" t="str">
        <f ca="1">IFERROR(__xludf.DUMMYFUNCTION("""COMPUTED_VALUE"""),"(B415)SUB GERENTE DE OFICINA E")</f>
        <v>(B415)SUB GERENTE DE OFICINA E</v>
      </c>
      <c r="G265" s="2" t="str">
        <f ca="1">IFERROR(__xludf.DUMMYFUNCTION("""COMPUTED_VALUE"""),"OFICINA BOLOGNESI")</f>
        <v>OFICINA BOLOGNESI</v>
      </c>
    </row>
    <row r="266" spans="1:7" x14ac:dyDescent="0.25">
      <c r="A266" s="2" t="str">
        <f ca="1">IFERROR(__xludf.DUMMYFUNCTION("""COMPUTED_VALUE"""),"0442")</f>
        <v>0442</v>
      </c>
      <c r="B266" s="2" t="str">
        <f ca="1">IFERROR(__xludf.DUMMYFUNCTION("""COMPUTED_VALUE"""),"OFICINA LAMBAYEQUE")</f>
        <v>OFICINA LAMBAYEQUE</v>
      </c>
      <c r="C266" s="2" t="str">
        <f ca="1">IFERROR(__xludf.DUMMYFUNCTION("""COMPUTED_VALUE"""),"P022684")</f>
        <v>P022684</v>
      </c>
      <c r="D266" s="2" t="str">
        <f ca="1">IFERROR(__xludf.DUMMYFUNCTION("""COMPUTED_VALUE"""),"TANTALEAN BRIONES, CARLOS FERNANDO")</f>
        <v>TANTALEAN BRIONES, CARLOS FERNANDO</v>
      </c>
      <c r="E266" s="2" t="str">
        <f ca="1">IFERROR(__xludf.DUMMYFUNCTION("""COMPUTED_VALUE"""),"CARLOS.TANTALEAN@BBVA.COM")</f>
        <v>CARLOS.TANTALEAN@BBVA.COM</v>
      </c>
      <c r="F266" s="2" t="str">
        <f ca="1">IFERROR(__xludf.DUMMYFUNCTION("""COMPUTED_VALUE"""),"(B417)SUB GERENTE DE OFICINA F")</f>
        <v>(B417)SUB GERENTE DE OFICINA F</v>
      </c>
      <c r="G266" s="2" t="str">
        <f ca="1">IFERROR(__xludf.DUMMYFUNCTION("""COMPUTED_VALUE"""),"OFICINA LAMBAYEQUE")</f>
        <v>OFICINA LAMBAYEQUE</v>
      </c>
    </row>
    <row r="267" spans="1:7" x14ac:dyDescent="0.25">
      <c r="A267" s="2" t="str">
        <f ca="1">IFERROR(__xludf.DUMMYFUNCTION("""COMPUTED_VALUE"""),"0467")</f>
        <v>0467</v>
      </c>
      <c r="B267" s="2" t="str">
        <f ca="1">IFERROR(__xludf.DUMMYFUNCTION("""COMPUTED_VALUE"""),"OFICINA GUARDIA CHALACA")</f>
        <v>OFICINA GUARDIA CHALACA</v>
      </c>
      <c r="C267" s="2" t="str">
        <f ca="1">IFERROR(__xludf.DUMMYFUNCTION("""COMPUTED_VALUE"""),"P012675")</f>
        <v>P012675</v>
      </c>
      <c r="D267" s="2" t="str">
        <f ca="1">IFERROR(__xludf.DUMMYFUNCTION("""COMPUTED_VALUE"""),"FUENTES DAVILA AGUILAR, ROGER CHRISTIAN")</f>
        <v>FUENTES DAVILA AGUILAR, ROGER CHRISTIAN</v>
      </c>
      <c r="E267" s="2" t="str">
        <f ca="1">IFERROR(__xludf.DUMMYFUNCTION("""COMPUTED_VALUE"""),"RFUENTES-DAVILA@BBVA.COM")</f>
        <v>RFUENTES-DAVILA@BBVA.COM</v>
      </c>
      <c r="F267" s="2" t="str">
        <f ca="1">IFERROR(__xludf.DUMMYFUNCTION("""COMPUTED_VALUE"""),"(B412)SUB GERENTE DE OFICINA B")</f>
        <v>(B412)SUB GERENTE DE OFICINA B</v>
      </c>
      <c r="G267" s="2" t="str">
        <f ca="1">IFERROR(__xludf.DUMMYFUNCTION("""COMPUTED_VALUE"""),"OFICINA GUARDIA CHALACA")</f>
        <v>OFICINA GUARDIA CHALACA</v>
      </c>
    </row>
    <row r="268" spans="1:7" x14ac:dyDescent="0.25">
      <c r="A268" s="2" t="str">
        <f ca="1">IFERROR(__xludf.DUMMYFUNCTION("""COMPUTED_VALUE"""),"0480")</f>
        <v>0480</v>
      </c>
      <c r="B268" s="2" t="str">
        <f ca="1">IFERROR(__xludf.DUMMYFUNCTION("""COMPUTED_VALUE"""),"OFICINA LA MARINA")</f>
        <v>OFICINA LA MARINA</v>
      </c>
      <c r="C268" s="2" t="str">
        <f ca="1">IFERROR(__xludf.DUMMYFUNCTION("""COMPUTED_VALUE"""),"P009980")</f>
        <v>P009980</v>
      </c>
      <c r="D268" s="2" t="str">
        <f ca="1">IFERROR(__xludf.DUMMYFUNCTION("""COMPUTED_VALUE"""),"ARROYO MADRID, GIANCARLO MARCIAL")</f>
        <v>ARROYO MADRID, GIANCARLO MARCIAL</v>
      </c>
      <c r="E268" s="2" t="str">
        <f ca="1">IFERROR(__xludf.DUMMYFUNCTION("""COMPUTED_VALUE"""),"GARROYO@BBVA.COM")</f>
        <v>GARROYO@BBVA.COM</v>
      </c>
      <c r="F268" s="2" t="str">
        <f ca="1">IFERROR(__xludf.DUMMYFUNCTION("""COMPUTED_VALUE"""),"(B411)SUB GERENTE DE OFICINA A3")</f>
        <v>(B411)SUB GERENTE DE OFICINA A3</v>
      </c>
      <c r="G268" s="2" t="str">
        <f ca="1">IFERROR(__xludf.DUMMYFUNCTION("""COMPUTED_VALUE"""),"OFICINA LA MARINA")</f>
        <v>OFICINA LA MARINA</v>
      </c>
    </row>
    <row r="269" spans="1:7" x14ac:dyDescent="0.25">
      <c r="A269" s="2" t="str">
        <f ca="1">IFERROR(__xludf.DUMMYFUNCTION("""COMPUTED_VALUE"""),"0484")</f>
        <v>0484</v>
      </c>
      <c r="B269" s="2" t="str">
        <f ca="1">IFERROR(__xludf.DUMMYFUNCTION("""COMPUTED_VALUE"""),"OFICINA HUAYCÁN")</f>
        <v>OFICINA HUAYCÁN</v>
      </c>
      <c r="C269" s="2" t="str">
        <f ca="1">IFERROR(__xludf.DUMMYFUNCTION("""COMPUTED_VALUE"""),"P026739")</f>
        <v>P026739</v>
      </c>
      <c r="D269" s="2" t="str">
        <f ca="1">IFERROR(__xludf.DUMMYFUNCTION("""COMPUTED_VALUE"""),"DE LA CRUZ SUBELETE, JHOSELYN STEICY")</f>
        <v>DE LA CRUZ SUBELETE, JHOSELYN STEICY</v>
      </c>
      <c r="E269" s="2" t="str">
        <f ca="1">IFERROR(__xludf.DUMMYFUNCTION("""COMPUTED_VALUE"""),"JHOSELYN.DELACRUZ@BBVA.COM")</f>
        <v>JHOSELYN.DELACRUZ@BBVA.COM</v>
      </c>
      <c r="F269" s="2" t="str">
        <f ca="1">IFERROR(__xludf.DUMMYFUNCTION("""COMPUTED_VALUE"""),"(B415)SUB GERENTE DE OFICINA E")</f>
        <v>(B415)SUB GERENTE DE OFICINA E</v>
      </c>
      <c r="G269" s="2" t="str">
        <f ca="1">IFERROR(__xludf.DUMMYFUNCTION("""COMPUTED_VALUE"""),"OFICINA HUAYCAN")</f>
        <v>OFICINA HUAYCAN</v>
      </c>
    </row>
    <row r="270" spans="1:7" x14ac:dyDescent="0.25">
      <c r="A270" s="2" t="str">
        <f ca="1">IFERROR(__xludf.DUMMYFUNCTION("""COMPUTED_VALUE"""),"0486")</f>
        <v>0486</v>
      </c>
      <c r="B270" s="2" t="str">
        <f ca="1">IFERROR(__xludf.DUMMYFUNCTION("""COMPUTED_VALUE"""),"OFICINA SAN ISIDRO")</f>
        <v>OFICINA SAN ISIDRO</v>
      </c>
      <c r="C270" s="2" t="str">
        <f ca="1">IFERROR(__xludf.DUMMYFUNCTION("""COMPUTED_VALUE"""),"P008282")</f>
        <v>P008282</v>
      </c>
      <c r="D270" s="2" t="str">
        <f ca="1">IFERROR(__xludf.DUMMYFUNCTION("""COMPUTED_VALUE"""),"PEÑALOZA MENDOZA, JOSE ANTONIO")</f>
        <v>PEÑALOZA MENDOZA, JOSE ANTONIO</v>
      </c>
      <c r="E270" s="2" t="str">
        <f ca="1">IFERROR(__xludf.DUMMYFUNCTION("""COMPUTED_VALUE"""),"JAPENALOZA@BBVA.COM")</f>
        <v>JAPENALOZA@BBVA.COM</v>
      </c>
      <c r="F270" s="2" t="str">
        <f ca="1">IFERROR(__xludf.DUMMYFUNCTION("""COMPUTED_VALUE"""),"(B410)SUB GERENTE DE OFICINA A1")</f>
        <v>(B410)SUB GERENTE DE OFICINA A1</v>
      </c>
      <c r="G270" s="2" t="str">
        <f ca="1">IFERROR(__xludf.DUMMYFUNCTION("""COMPUTED_VALUE"""),"OFICINA SAN ISIDRO")</f>
        <v>OFICINA SAN ISIDRO</v>
      </c>
    </row>
    <row r="271" spans="1:7" x14ac:dyDescent="0.25">
      <c r="A271" s="2" t="str">
        <f ca="1">IFERROR(__xludf.DUMMYFUNCTION("""COMPUTED_VALUE"""),"0508")</f>
        <v>0508</v>
      </c>
      <c r="B271" s="2" t="str">
        <f ca="1">IFERROR(__xludf.DUMMYFUNCTION("""COMPUTED_VALUE"""),"OFICINA OPEN PLAZA ANGAMOS")</f>
        <v>OFICINA OPEN PLAZA ANGAMOS</v>
      </c>
      <c r="C271" s="2" t="str">
        <f ca="1">IFERROR(__xludf.DUMMYFUNCTION("""COMPUTED_VALUE"""),"P019478")</f>
        <v>P019478</v>
      </c>
      <c r="D271" s="2" t="str">
        <f ca="1">IFERROR(__xludf.DUMMYFUNCTION("""COMPUTED_VALUE"""),"PALACIOS SANCHEZ, JORGE DANIEL")</f>
        <v>PALACIOS SANCHEZ, JORGE DANIEL</v>
      </c>
      <c r="E271" s="2" t="str">
        <f ca="1">IFERROR(__xludf.DUMMYFUNCTION("""COMPUTED_VALUE"""),"JPALACIOS@BBVA.COM")</f>
        <v>JPALACIOS@BBVA.COM</v>
      </c>
      <c r="F271" s="2" t="str">
        <f ca="1">IFERROR(__xludf.DUMMYFUNCTION("""COMPUTED_VALUE"""),"(B414)SUB GERENTE DE OFICINA D")</f>
        <v>(B414)SUB GERENTE DE OFICINA D</v>
      </c>
      <c r="G271" s="2" t="str">
        <f ca="1">IFERROR(__xludf.DUMMYFUNCTION("""COMPUTED_VALUE"""),"OFICINA OPEN PLAZA ANGAMOS")</f>
        <v>OFICINA OPEN PLAZA ANGAMOS</v>
      </c>
    </row>
    <row r="272" spans="1:7" x14ac:dyDescent="0.25">
      <c r="A272" s="2" t="str">
        <f ca="1">IFERROR(__xludf.DUMMYFUNCTION("""COMPUTED_VALUE"""),"0518")</f>
        <v>0518</v>
      </c>
      <c r="B272" s="2" t="str">
        <f ca="1">IFERROR(__xludf.DUMMYFUNCTION("""COMPUTED_VALUE"""),"OFICINA VELASCO ASTETE")</f>
        <v>OFICINA VELASCO ASTETE</v>
      </c>
      <c r="C272" s="2" t="str">
        <f ca="1">IFERROR(__xludf.DUMMYFUNCTION("""COMPUTED_VALUE"""),"P012449")</f>
        <v>P012449</v>
      </c>
      <c r="D272" s="2" t="str">
        <f ca="1">IFERROR(__xludf.DUMMYFUNCTION("""COMPUTED_VALUE"""),"NAVAS NAVARRETE, MELIDA GLADYS")</f>
        <v>NAVAS NAVARRETE, MELIDA GLADYS</v>
      </c>
      <c r="E272" s="2" t="str">
        <f ca="1">IFERROR(__xludf.DUMMYFUNCTION("""COMPUTED_VALUE"""),"MNAVASN@BBVA.COM")</f>
        <v>MNAVASN@BBVA.COM</v>
      </c>
      <c r="F272" s="2" t="str">
        <f ca="1">IFERROR(__xludf.DUMMYFUNCTION("""COMPUTED_VALUE"""),"(B415)SUB GERENTE DE OFICINA E")</f>
        <v>(B415)SUB GERENTE DE OFICINA E</v>
      </c>
      <c r="G272" s="2" t="str">
        <f ca="1">IFERROR(__xludf.DUMMYFUNCTION("""COMPUTED_VALUE"""),"OFICINA VELASCO ASTETE")</f>
        <v>OFICINA VELASCO ASTETE</v>
      </c>
    </row>
    <row r="273" spans="1:7" x14ac:dyDescent="0.25">
      <c r="A273" s="2" t="str">
        <f ca="1">IFERROR(__xludf.DUMMYFUNCTION("""COMPUTED_VALUE"""),"0521")</f>
        <v>0521</v>
      </c>
      <c r="B273" s="2" t="str">
        <f ca="1">IFERROR(__xludf.DUMMYFUNCTION("""COMPUTED_VALUE"""),"OFICINA PRÓCERES")</f>
        <v>OFICINA PRÓCERES</v>
      </c>
      <c r="C273" s="2" t="str">
        <f ca="1">IFERROR(__xludf.DUMMYFUNCTION("""COMPUTED_VALUE"""),"P024242")</f>
        <v>P024242</v>
      </c>
      <c r="D273" s="2" t="str">
        <f ca="1">IFERROR(__xludf.DUMMYFUNCTION("""COMPUTED_VALUE"""),"LOPEZ VILLEGAS, ASTRID LUCILA")</f>
        <v>LOPEZ VILLEGAS, ASTRID LUCILA</v>
      </c>
      <c r="E273" s="2" t="str">
        <f ca="1">IFERROR(__xludf.DUMMYFUNCTION("""COMPUTED_VALUE"""),"ASTRID.LOPEZ@BBVA.COM")</f>
        <v>ASTRID.LOPEZ@BBVA.COM</v>
      </c>
      <c r="F273" s="2" t="str">
        <f ca="1">IFERROR(__xludf.DUMMYFUNCTION("""COMPUTED_VALUE"""),"(B415)SUB GERENTE DE OFICINA E")</f>
        <v>(B415)SUB GERENTE DE OFICINA E</v>
      </c>
      <c r="G273" s="2" t="str">
        <f ca="1">IFERROR(__xludf.DUMMYFUNCTION("""COMPUTED_VALUE"""),"OFICINA PROCERES")</f>
        <v>OFICINA PROCERES</v>
      </c>
    </row>
    <row r="274" spans="1:7" x14ac:dyDescent="0.25">
      <c r="A274" s="2" t="str">
        <f ca="1">IFERROR(__xludf.DUMMYFUNCTION("""COMPUTED_VALUE"""),"0524")</f>
        <v>0524</v>
      </c>
      <c r="B274" s="2" t="str">
        <f ca="1">IFERROR(__xludf.DUMMYFUNCTION("""COMPUTED_VALUE"""),"OFICINA GRIMALDO DEL SOLAR")</f>
        <v>OFICINA GRIMALDO DEL SOLAR</v>
      </c>
      <c r="C274" s="2" t="str">
        <f ca="1">IFERROR(__xludf.DUMMYFUNCTION("""COMPUTED_VALUE"""),"P017762")</f>
        <v>P017762</v>
      </c>
      <c r="D274" s="2" t="str">
        <f ca="1">IFERROR(__xludf.DUMMYFUNCTION("""COMPUTED_VALUE"""),"ALDAMA SABOYA, DIEGO ERNESTO")</f>
        <v>ALDAMA SABOYA, DIEGO ERNESTO</v>
      </c>
      <c r="E274" s="2" t="str">
        <f ca="1">IFERROR(__xludf.DUMMYFUNCTION("""COMPUTED_VALUE"""),"DALDAMA@BBVA.COM")</f>
        <v>DALDAMA@BBVA.COM</v>
      </c>
      <c r="F274" s="2" t="str">
        <f ca="1">IFERROR(__xludf.DUMMYFUNCTION("""COMPUTED_VALUE"""),"(B417)SUB GERENTE DE OFICINA F")</f>
        <v>(B417)SUB GERENTE DE OFICINA F</v>
      </c>
      <c r="G274" s="2" t="str">
        <f ca="1">IFERROR(__xludf.DUMMYFUNCTION("""COMPUTED_VALUE"""),"OFICINA GRIMALDO DEL SOLAR")</f>
        <v>OFICINA GRIMALDO DEL SOLAR</v>
      </c>
    </row>
    <row r="275" spans="1:7" x14ac:dyDescent="0.25">
      <c r="A275" s="2" t="str">
        <f ca="1">IFERROR(__xludf.DUMMYFUNCTION("""COMPUTED_VALUE"""),"0554")</f>
        <v>0554</v>
      </c>
      <c r="B275" s="2" t="str">
        <f ca="1">IFERROR(__xludf.DUMMYFUNCTION("""COMPUTED_VALUE"""),"OFICINA OPEN PLAZA PIURA")</f>
        <v>OFICINA OPEN PLAZA PIURA</v>
      </c>
      <c r="C275" s="2" t="str">
        <f ca="1">IFERROR(__xludf.DUMMYFUNCTION("""COMPUTED_VALUE"""),"P025133")</f>
        <v>P025133</v>
      </c>
      <c r="D275" s="2" t="str">
        <f ca="1">IFERROR(__xludf.DUMMYFUNCTION("""COMPUTED_VALUE"""),"ALVA VICTORIO, NELSON DAVID")</f>
        <v>ALVA VICTORIO, NELSON DAVID</v>
      </c>
      <c r="E275" s="2" t="str">
        <f ca="1">IFERROR(__xludf.DUMMYFUNCTION("""COMPUTED_VALUE"""),"NELSON.ALVA@BBVA.COM")</f>
        <v>NELSON.ALVA@BBVA.COM</v>
      </c>
      <c r="F275" s="2" t="str">
        <f ca="1">IFERROR(__xludf.DUMMYFUNCTION("""COMPUTED_VALUE"""),"(B415)SUB GERENTE DE OFICINA E")</f>
        <v>(B415)SUB GERENTE DE OFICINA E</v>
      </c>
      <c r="G275" s="2" t="str">
        <f ca="1">IFERROR(__xludf.DUMMYFUNCTION("""COMPUTED_VALUE"""),"OFICINA OPEN PLAZA PIURA")</f>
        <v>OFICINA OPEN PLAZA PIURA</v>
      </c>
    </row>
    <row r="276" spans="1:7" x14ac:dyDescent="0.25">
      <c r="A276" s="2" t="str">
        <f ca="1">IFERROR(__xludf.DUMMYFUNCTION("""COMPUTED_VALUE"""),"0564")</f>
        <v>0564</v>
      </c>
      <c r="B276" s="2" t="str">
        <f ca="1">IFERROR(__xludf.DUMMYFUNCTION("""COMPUTED_VALUE"""),"OFICINA PLAZA BUTTERS")</f>
        <v>OFICINA PLAZA BUTTERS</v>
      </c>
      <c r="C276" s="2" t="str">
        <f ca="1">IFERROR(__xludf.DUMMYFUNCTION("""COMPUTED_VALUE"""),"P015072")</f>
        <v>P015072</v>
      </c>
      <c r="D276" s="2" t="str">
        <f ca="1">IFERROR(__xludf.DUMMYFUNCTION("""COMPUTED_VALUE"""),"GANOZA HONORES, NATALIE ELIZABETH")</f>
        <v>GANOZA HONORES, NATALIE ELIZABETH</v>
      </c>
      <c r="E276" s="2" t="str">
        <f ca="1">IFERROR(__xludf.DUMMYFUNCTION("""COMPUTED_VALUE"""),"NGANOZA@BBVA.COM")</f>
        <v>NGANOZA@BBVA.COM</v>
      </c>
      <c r="F276" s="2" t="str">
        <f ca="1">IFERROR(__xludf.DUMMYFUNCTION("""COMPUTED_VALUE"""),"(B417)SUB GERENTE DE OFICINA F")</f>
        <v>(B417)SUB GERENTE DE OFICINA F</v>
      </c>
      <c r="G276" s="2" t="str">
        <f ca="1">IFERROR(__xludf.DUMMYFUNCTION("""COMPUTED_VALUE"""),"OFICINA PLAZA BUTTERS")</f>
        <v>OFICINA PLAZA BUTTERS</v>
      </c>
    </row>
    <row r="277" spans="1:7" x14ac:dyDescent="0.25">
      <c r="A277" s="2" t="str">
        <f ca="1">IFERROR(__xludf.DUMMYFUNCTION("""COMPUTED_VALUE"""),"0566")</f>
        <v>0566</v>
      </c>
      <c r="B277" s="2" t="str">
        <f ca="1">IFERROR(__xludf.DUMMYFUNCTION("""COMPUTED_VALUE"""),"OFICINA METRO PLAZA CASTILLA")</f>
        <v>OFICINA METRO PLAZA CASTILLA</v>
      </c>
      <c r="C277" s="2" t="str">
        <f ca="1">IFERROR(__xludf.DUMMYFUNCTION("""COMPUTED_VALUE"""),"P029157")</f>
        <v>P029157</v>
      </c>
      <c r="D277" s="2" t="str">
        <f ca="1">IFERROR(__xludf.DUMMYFUNCTION("""COMPUTED_VALUE"""),"FEBRES AMASIFUEN, DEBORAH GISELLE")</f>
        <v>FEBRES AMASIFUEN, DEBORAH GISELLE</v>
      </c>
      <c r="E277" s="2" t="str">
        <f ca="1">IFERROR(__xludf.DUMMYFUNCTION("""COMPUTED_VALUE"""),"DEBORAH.FEBRES@BBVA.COM")</f>
        <v>DEBORAH.FEBRES@BBVA.COM</v>
      </c>
      <c r="F277" s="2" t="str">
        <f ca="1">IFERROR(__xludf.DUMMYFUNCTION("""COMPUTED_VALUE"""),"(B417)SUB GERENTE DE OFICINA F")</f>
        <v>(B417)SUB GERENTE DE OFICINA F</v>
      </c>
      <c r="G277" s="2" t="str">
        <f ca="1">IFERROR(__xludf.DUMMYFUNCTION("""COMPUTED_VALUE"""),"OFICINA METRO PLAZA CASTILLA")</f>
        <v>OFICINA METRO PLAZA CASTILLA</v>
      </c>
    </row>
    <row r="278" spans="1:7" x14ac:dyDescent="0.25">
      <c r="A278" s="2" t="str">
        <f ca="1">IFERROR(__xludf.DUMMYFUNCTION("""COMPUTED_VALUE"""),"0584")</f>
        <v>0584</v>
      </c>
      <c r="B278" s="2" t="str">
        <f ca="1">IFERROR(__xludf.DUMMYFUNCTION("""COMPUTED_VALUE"""),"OFICINA REAL PLAZA JULIACA")</f>
        <v>OFICINA REAL PLAZA JULIACA</v>
      </c>
      <c r="C278" s="2" t="str">
        <f ca="1">IFERROR(__xludf.DUMMYFUNCTION("""COMPUTED_VALUE"""),"P021415")</f>
        <v>P021415</v>
      </c>
      <c r="D278" s="2" t="str">
        <f ca="1">IFERROR(__xludf.DUMMYFUNCTION("""COMPUTED_VALUE"""),"COLQUE MARAZA, YOMAYRA LICELY")</f>
        <v>COLQUE MARAZA, YOMAYRA LICELY</v>
      </c>
      <c r="E278" s="2" t="str">
        <f ca="1">IFERROR(__xludf.DUMMYFUNCTION("""COMPUTED_VALUE"""),"YOMAYRA.COLQUE@BBVA.COM")</f>
        <v>YOMAYRA.COLQUE@BBVA.COM</v>
      </c>
      <c r="F278" s="2" t="str">
        <f ca="1">IFERROR(__xludf.DUMMYFUNCTION("""COMPUTED_VALUE"""),"(B417)SUB GERENTE DE OFICINA F")</f>
        <v>(B417)SUB GERENTE DE OFICINA F</v>
      </c>
      <c r="G278" s="2" t="str">
        <f ca="1">IFERROR(__xludf.DUMMYFUNCTION("""COMPUTED_VALUE"""),"OFICINA REAL PLAZA JULIACA")</f>
        <v>OFICINA REAL PLAZA JULIACA</v>
      </c>
    </row>
    <row r="279" spans="1:7" x14ac:dyDescent="0.25">
      <c r="A279" s="2" t="str">
        <f ca="1">IFERROR(__xludf.DUMMYFUNCTION("""COMPUTED_VALUE"""),"0597")</f>
        <v>0597</v>
      </c>
      <c r="B279" s="2" t="str">
        <f ca="1">IFERROR(__xludf.DUMMYFUNCTION("""COMPUTED_VALUE"""),"OFICINA PICHANAQUI")</f>
        <v>OFICINA PICHANAQUI</v>
      </c>
      <c r="C279" s="2" t="str">
        <f ca="1">IFERROR(__xludf.DUMMYFUNCTION("""COMPUTED_VALUE"""),"P029719")</f>
        <v>P029719</v>
      </c>
      <c r="D279" s="2" t="str">
        <f ca="1">IFERROR(__xludf.DUMMYFUNCTION("""COMPUTED_VALUE"""),"TRILLO MENDOZA, GUILLERMO ALONSO")</f>
        <v>TRILLO MENDOZA, GUILLERMO ALONSO</v>
      </c>
      <c r="E279" s="2" t="str">
        <f ca="1">IFERROR(__xludf.DUMMYFUNCTION("""COMPUTED_VALUE"""),"GUILLERMO.TRILLO@BBVA.COM")</f>
        <v>GUILLERMO.TRILLO@BBVA.COM</v>
      </c>
      <c r="F279" s="2" t="str">
        <f ca="1">IFERROR(__xludf.DUMMYFUNCTION("""COMPUTED_VALUE"""),"(B415)SUB GERENTE DE OFICINA E")</f>
        <v>(B415)SUB GERENTE DE OFICINA E</v>
      </c>
      <c r="G279" s="2" t="str">
        <f ca="1">IFERROR(__xludf.DUMMYFUNCTION("""COMPUTED_VALUE"""),"OFICINA PICHANAQUI")</f>
        <v>OFICINA PICHANAQUI</v>
      </c>
    </row>
    <row r="280" spans="1:7" x14ac:dyDescent="0.25">
      <c r="A280" s="2" t="str">
        <f ca="1">IFERROR(__xludf.DUMMYFUNCTION("""COMPUTED_VALUE"""),"0609")</f>
        <v>0609</v>
      </c>
      <c r="B280" s="2" t="str">
        <f ca="1">IFERROR(__xludf.DUMMYFUNCTION("""COMPUTED_VALUE"""),"OFICINA SAN RAFAEL")</f>
        <v>OFICINA SAN RAFAEL</v>
      </c>
      <c r="C280" s="2" t="str">
        <f ca="1">IFERROR(__xludf.DUMMYFUNCTION("""COMPUTED_VALUE"""),"P031781")</f>
        <v>P031781</v>
      </c>
      <c r="D280" s="2" t="str">
        <f ca="1">IFERROR(__xludf.DUMMYFUNCTION("""COMPUTED_VALUE"""),"FERNANDEZ ZAMBRANO, MAYRA DANIELA")</f>
        <v>FERNANDEZ ZAMBRANO, MAYRA DANIELA</v>
      </c>
      <c r="E280" s="2" t="str">
        <f ca="1">IFERROR(__xludf.DUMMYFUNCTION("""COMPUTED_VALUE"""),"MAYRA.FERNANDEZ.ZAMBRANO@BBVA.COM")</f>
        <v>MAYRA.FERNANDEZ.ZAMBRANO@BBVA.COM</v>
      </c>
      <c r="F280" s="2" t="str">
        <f ca="1">IFERROR(__xludf.DUMMYFUNCTION("""COMPUTED_VALUE"""),"(B417)SUB GERENTE DE OFICINA F")</f>
        <v>(B417)SUB GERENTE DE OFICINA F</v>
      </c>
      <c r="G280" s="2" t="str">
        <f ca="1">IFERROR(__xludf.DUMMYFUNCTION("""COMPUTED_VALUE"""),"OFICINA SAN RAFAEL")</f>
        <v>OFICINA SAN RAFAEL</v>
      </c>
    </row>
    <row r="281" spans="1:7" x14ac:dyDescent="0.25">
      <c r="A281" s="2" t="str">
        <f ca="1">IFERROR(__xludf.DUMMYFUNCTION("""COMPUTED_VALUE"""),"0614")</f>
        <v>0614</v>
      </c>
      <c r="B281" s="2" t="str">
        <f ca="1">IFERROR(__xludf.DUMMYFUNCTION("""COMPUTED_VALUE"""),"OFICINA SEPARADORA INDUSTRIAL")</f>
        <v>OFICINA SEPARADORA INDUSTRIAL</v>
      </c>
      <c r="C281" s="2" t="str">
        <f ca="1">IFERROR(__xludf.DUMMYFUNCTION("""COMPUTED_VALUE"""),"P022885")</f>
        <v>P022885</v>
      </c>
      <c r="D281" s="2" t="str">
        <f ca="1">IFERROR(__xludf.DUMMYFUNCTION("""COMPUTED_VALUE"""),"VEGA YACTAYO, JOSE ADERLY")</f>
        <v>VEGA YACTAYO, JOSE ADERLY</v>
      </c>
      <c r="E281" s="2" t="str">
        <f ca="1">IFERROR(__xludf.DUMMYFUNCTION("""COMPUTED_VALUE"""),"JOSE.VEGA.YACTAYO@BBVA.COM")</f>
        <v>JOSE.VEGA.YACTAYO@BBVA.COM</v>
      </c>
      <c r="F281" s="2" t="str">
        <f ca="1">IFERROR(__xludf.DUMMYFUNCTION("""COMPUTED_VALUE"""),"(B412)SUB GERENTE DE OFICINA B")</f>
        <v>(B412)SUB GERENTE DE OFICINA B</v>
      </c>
      <c r="G281" s="2" t="str">
        <f ca="1">IFERROR(__xludf.DUMMYFUNCTION("""COMPUTED_VALUE"""),"OFICINA SEPARADORA INDUSTRIAL")</f>
        <v>OFICINA SEPARADORA INDUSTRIAL</v>
      </c>
    </row>
    <row r="282" spans="1:7" x14ac:dyDescent="0.25">
      <c r="A282" s="2" t="str">
        <f ca="1">IFERROR(__xludf.DUMMYFUNCTION("""COMPUTED_VALUE"""),"0615")</f>
        <v>0615</v>
      </c>
      <c r="B282" s="2" t="str">
        <f ca="1">IFERROR(__xludf.DUMMYFUNCTION("""COMPUTED_VALUE"""),"OFICINA SAN BORJA SUR")</f>
        <v>OFICINA SAN BORJA SUR</v>
      </c>
      <c r="C282" s="2" t="str">
        <f ca="1">IFERROR(__xludf.DUMMYFUNCTION("""COMPUTED_VALUE"""),"P025901")</f>
        <v>P025901</v>
      </c>
      <c r="D282" s="2" t="str">
        <f ca="1">IFERROR(__xludf.DUMMYFUNCTION("""COMPUTED_VALUE"""),"NEYRA LINARES, KATERIN GIOVANA")</f>
        <v>NEYRA LINARES, KATERIN GIOVANA</v>
      </c>
      <c r="E282" s="2" t="str">
        <f ca="1">IFERROR(__xludf.DUMMYFUNCTION("""COMPUTED_VALUE"""),"KATERIN.NEYRA@BBVA.COM")</f>
        <v>KATERIN.NEYRA@BBVA.COM</v>
      </c>
      <c r="F282" s="2" t="str">
        <f ca="1">IFERROR(__xludf.DUMMYFUNCTION("""COMPUTED_VALUE"""),"(B413)SUB GERENTE DE OFICINA C")</f>
        <v>(B413)SUB GERENTE DE OFICINA C</v>
      </c>
      <c r="G282" s="2" t="str">
        <f ca="1">IFERROR(__xludf.DUMMYFUNCTION("""COMPUTED_VALUE"""),"OFICINA SAN BORJA SUR")</f>
        <v>OFICINA SAN BORJA SUR</v>
      </c>
    </row>
    <row r="283" spans="1:7" x14ac:dyDescent="0.25">
      <c r="A283" s="2" t="str">
        <f ca="1">IFERROR(__xludf.DUMMYFUNCTION("""COMPUTED_VALUE"""),"0616")</f>
        <v>0616</v>
      </c>
      <c r="B283" s="2" t="str">
        <f ca="1">IFERROR(__xludf.DUMMYFUNCTION("""COMPUTED_VALUE"""),"OFICINA ANGAMOS ESTE")</f>
        <v>OFICINA ANGAMOS ESTE</v>
      </c>
      <c r="C283" s="2" t="str">
        <f ca="1">IFERROR(__xludf.DUMMYFUNCTION("""COMPUTED_VALUE"""),"P020060")</f>
        <v>P020060</v>
      </c>
      <c r="D283" s="2" t="str">
        <f ca="1">IFERROR(__xludf.DUMMYFUNCTION("""COMPUTED_VALUE"""),"OCAÑA CAMPOS, ARTURO REYNALDO")</f>
        <v>OCAÑA CAMPOS, ARTURO REYNALDO</v>
      </c>
      <c r="E283" s="2" t="str">
        <f ca="1">IFERROR(__xludf.DUMMYFUNCTION("""COMPUTED_VALUE"""),"ARTUROREYNALDO.OCANA@BBVA.COM")</f>
        <v>ARTUROREYNALDO.OCANA@BBVA.COM</v>
      </c>
      <c r="F283" s="2" t="str">
        <f ca="1">IFERROR(__xludf.DUMMYFUNCTION("""COMPUTED_VALUE"""),"(B417)SUB GERENTE DE OFICINA F")</f>
        <v>(B417)SUB GERENTE DE OFICINA F</v>
      </c>
      <c r="G283" s="2" t="str">
        <f ca="1">IFERROR(__xludf.DUMMYFUNCTION("""COMPUTED_VALUE"""),"OFICINA ANGAMOS ESTE")</f>
        <v>OFICINA ANGAMOS ESTE</v>
      </c>
    </row>
    <row r="284" spans="1:7" x14ac:dyDescent="0.25">
      <c r="A284" s="2" t="str">
        <f ca="1">IFERROR(__xludf.DUMMYFUNCTION("""COMPUTED_VALUE"""),"0621")</f>
        <v>0621</v>
      </c>
      <c r="B284" s="2" t="str">
        <f ca="1">IFERROR(__xludf.DUMMYFUNCTION("""COMPUTED_VALUE"""),"OFICINA MOQUEGUA")</f>
        <v>OFICINA MOQUEGUA</v>
      </c>
      <c r="C284" s="2" t="str">
        <f ca="1">IFERROR(__xludf.DUMMYFUNCTION("""COMPUTED_VALUE"""),"P028243")</f>
        <v>P028243</v>
      </c>
      <c r="D284" s="2" t="str">
        <f ca="1">IFERROR(__xludf.DUMMYFUNCTION("""COMPUTED_VALUE"""),"QUISPE CCOYA, YANETH ROCIO")</f>
        <v>QUISPE CCOYA, YANETH ROCIO</v>
      </c>
      <c r="E284" s="2" t="str">
        <f ca="1">IFERROR(__xludf.DUMMYFUNCTION("""COMPUTED_VALUE"""),"YANETH.QUISPE@BBVA.COM")</f>
        <v>YANETH.QUISPE@BBVA.COM</v>
      </c>
      <c r="F284" s="2" t="str">
        <f ca="1">IFERROR(__xludf.DUMMYFUNCTION("""COMPUTED_VALUE"""),"(B417)SUB GERENTE DE OFICINA F")</f>
        <v>(B417)SUB GERENTE DE OFICINA F</v>
      </c>
      <c r="G284" s="2" t="str">
        <f ca="1">IFERROR(__xludf.DUMMYFUNCTION("""COMPUTED_VALUE"""),"OFICINA MOQUEGUA")</f>
        <v>OFICINA MOQUEGUA</v>
      </c>
    </row>
    <row r="285" spans="1:7" x14ac:dyDescent="0.25">
      <c r="A285" s="2" t="str">
        <f ca="1">IFERROR(__xludf.DUMMYFUNCTION("""COMPUTED_VALUE"""),"0627")</f>
        <v>0627</v>
      </c>
      <c r="B285" s="2" t="str">
        <f ca="1">IFERROR(__xludf.DUMMYFUNCTION("""COMPUTED_VALUE"""),"OFICINA ESPECIAL SEDAPAL")</f>
        <v>OFICINA ESPECIAL SEDAPAL</v>
      </c>
      <c r="C285" s="2" t="str">
        <f ca="1">IFERROR(__xludf.DUMMYFUNCTION("""COMPUTED_VALUE"""),"P026275")</f>
        <v>P026275</v>
      </c>
      <c r="D285" s="2" t="str">
        <f ca="1">IFERROR(__xludf.DUMMYFUNCTION("""COMPUTED_VALUE"""),"POMACANCHARI VILCA, FLOR MARINA")</f>
        <v>POMACANCHARI VILCA, FLOR MARINA</v>
      </c>
      <c r="E285" s="2" t="str">
        <f ca="1">IFERROR(__xludf.DUMMYFUNCTION("""COMPUTED_VALUE"""),"FLOR.POMACANCHARI@BBVA.COM")</f>
        <v>FLOR.POMACANCHARI@BBVA.COM</v>
      </c>
      <c r="F285" s="2" t="str">
        <f ca="1">IFERROR(__xludf.DUMMYFUNCTION("""COMPUTED_VALUE"""),"(B415)SUB GERENTE DE OFICINA E")</f>
        <v>(B415)SUB GERENTE DE OFICINA E</v>
      </c>
      <c r="G285" s="2" t="str">
        <f ca="1">IFERROR(__xludf.DUMMYFUNCTION("""COMPUTED_VALUE"""),"OFICINA SANTA ANITA")</f>
        <v>OFICINA SANTA ANITA</v>
      </c>
    </row>
    <row r="286" spans="1:7" x14ac:dyDescent="0.25">
      <c r="A286" s="2" t="str">
        <f ca="1">IFERROR(__xludf.DUMMYFUNCTION("""COMPUTED_VALUE"""),"0628")</f>
        <v>0628</v>
      </c>
      <c r="B286" s="2" t="str">
        <f ca="1">IFERROR(__xludf.DUMMYFUNCTION("""COMPUTED_VALUE"""),"OFICINA SATIPO")</f>
        <v>OFICINA SATIPO</v>
      </c>
      <c r="C286" s="2" t="str">
        <f ca="1">IFERROR(__xludf.DUMMYFUNCTION("""COMPUTED_VALUE"""),"P024987")</f>
        <v>P024987</v>
      </c>
      <c r="D286" s="2" t="str">
        <f ca="1">IFERROR(__xludf.DUMMYFUNCTION("""COMPUTED_VALUE"""),"VILLARREAL BERNAL, MIGUEL ANGEL")</f>
        <v>VILLARREAL BERNAL, MIGUEL ANGEL</v>
      </c>
      <c r="E286" s="2" t="str">
        <f ca="1">IFERROR(__xludf.DUMMYFUNCTION("""COMPUTED_VALUE"""),"MIGUEL.VILLARREAL@BBVA.COM")</f>
        <v>MIGUEL.VILLARREAL@BBVA.COM</v>
      </c>
      <c r="F286" s="2" t="str">
        <f ca="1">IFERROR(__xludf.DUMMYFUNCTION("""COMPUTED_VALUE"""),"(B417)SUB GERENTE DE OFICINA F")</f>
        <v>(B417)SUB GERENTE DE OFICINA F</v>
      </c>
      <c r="G286" s="2" t="str">
        <f ca="1">IFERROR(__xludf.DUMMYFUNCTION("""COMPUTED_VALUE"""),"OFICINA SATIPO")</f>
        <v>OFICINA SATIPO</v>
      </c>
    </row>
    <row r="287" spans="1:7" x14ac:dyDescent="0.25">
      <c r="A287" s="2" t="str">
        <f ca="1">IFERROR(__xludf.DUMMYFUNCTION("""COMPUTED_VALUE"""),"0643")</f>
        <v>0643</v>
      </c>
      <c r="B287" s="2" t="str">
        <f ca="1">IFERROR(__xludf.DUMMYFUNCTION("""COMPUTED_VALUE"""),"OFICINA TARMA")</f>
        <v>OFICINA TARMA</v>
      </c>
      <c r="C287" s="2" t="str">
        <f ca="1">IFERROR(__xludf.DUMMYFUNCTION("""COMPUTED_VALUE"""),"P028179")</f>
        <v>P028179</v>
      </c>
      <c r="D287" s="2" t="str">
        <f ca="1">IFERROR(__xludf.DUMMYFUNCTION("""COMPUTED_VALUE"""),"TORRES SOTO, FRANK ANDERSON")</f>
        <v>TORRES SOTO, FRANK ANDERSON</v>
      </c>
      <c r="E287" s="2" t="str">
        <f ca="1">IFERROR(__xludf.DUMMYFUNCTION("""COMPUTED_VALUE"""),"FRANK.TORRES@BBVA.COM")</f>
        <v>FRANK.TORRES@BBVA.COM</v>
      </c>
      <c r="F287" s="2" t="str">
        <f ca="1">IFERROR(__xludf.DUMMYFUNCTION("""COMPUTED_VALUE"""),"(B417)SUB GERENTE DE OFICINA F")</f>
        <v>(B417)SUB GERENTE DE OFICINA F</v>
      </c>
      <c r="G287" s="2" t="str">
        <f ca="1">IFERROR(__xludf.DUMMYFUNCTION("""COMPUTED_VALUE"""),"OFICINA TARMA")</f>
        <v>OFICINA TARMA</v>
      </c>
    </row>
    <row r="288" spans="1:7" x14ac:dyDescent="0.25">
      <c r="A288" s="2" t="str">
        <f ca="1">IFERROR(__xludf.DUMMYFUNCTION("""COMPUTED_VALUE"""),"0648")</f>
        <v>0648</v>
      </c>
      <c r="B288" s="2" t="str">
        <f ca="1">IFERROR(__xludf.DUMMYFUNCTION("""COMPUTED_VALUE"""),"OFICINA CHOTA")</f>
        <v>OFICINA CHOTA</v>
      </c>
      <c r="C288" s="2" t="str">
        <f ca="1">IFERROR(__xludf.DUMMYFUNCTION("""COMPUTED_VALUE"""),"P027003")</f>
        <v>P027003</v>
      </c>
      <c r="D288" s="2" t="str">
        <f ca="1">IFERROR(__xludf.DUMMYFUNCTION("""COMPUTED_VALUE"""),"VASQUEZ MALCA, YEYMILA")</f>
        <v>VASQUEZ MALCA, YEYMILA</v>
      </c>
      <c r="E288" s="2" t="str">
        <f ca="1">IFERROR(__xludf.DUMMYFUNCTION("""COMPUTED_VALUE"""),"YEYMILA.VASQUEZ@BBVA.COM")</f>
        <v>YEYMILA.VASQUEZ@BBVA.COM</v>
      </c>
      <c r="F288" s="2" t="str">
        <f ca="1">IFERROR(__xludf.DUMMYFUNCTION("""COMPUTED_VALUE"""),"(B417)SUB GERENTE DE OFICINA F")</f>
        <v>(B417)SUB GERENTE DE OFICINA F</v>
      </c>
      <c r="G288" s="2" t="str">
        <f ca="1">IFERROR(__xludf.DUMMYFUNCTION("""COMPUTED_VALUE"""),"OFICINA EXPRESS CHOTA")</f>
        <v>OFICINA EXPRESS CHOTA</v>
      </c>
    </row>
    <row r="289" spans="1:7" x14ac:dyDescent="0.25">
      <c r="A289" s="2" t="str">
        <f ca="1">IFERROR(__xludf.DUMMYFUNCTION("""COMPUTED_VALUE"""),"0654")</f>
        <v>0654</v>
      </c>
      <c r="B289" s="2" t="str">
        <f ca="1">IFERROR(__xludf.DUMMYFUNCTION("""COMPUTED_VALUE"""),"OFICINA PLAZA DEL SOL HUACHO")</f>
        <v>OFICINA PLAZA DEL SOL HUACHO</v>
      </c>
      <c r="C289" s="2" t="str">
        <f ca="1">IFERROR(__xludf.DUMMYFUNCTION("""COMPUTED_VALUE"""),"P029392")</f>
        <v>P029392</v>
      </c>
      <c r="D289" s="2" t="str">
        <f ca="1">IFERROR(__xludf.DUMMYFUNCTION("""COMPUTED_VALUE"""),"PADILLA MEDINA, BRYAN ARTURO")</f>
        <v>PADILLA MEDINA, BRYAN ARTURO</v>
      </c>
      <c r="E289" s="2" t="str">
        <f ca="1">IFERROR(__xludf.DUMMYFUNCTION("""COMPUTED_VALUE"""),"BRYAN.PADILLA@BBVA.COM")</f>
        <v>BRYAN.PADILLA@BBVA.COM</v>
      </c>
      <c r="F289" s="2" t="str">
        <f ca="1">IFERROR(__xludf.DUMMYFUNCTION("""COMPUTED_VALUE"""),"(B417)SUB GERENTE DE OFICINA F")</f>
        <v>(B417)SUB GERENTE DE OFICINA F</v>
      </c>
      <c r="G289" s="2" t="str">
        <f ca="1">IFERROR(__xludf.DUMMYFUNCTION("""COMPUTED_VALUE"""),"OFICINA PLAZA DEL SOL HUACHO")</f>
        <v>OFICINA PLAZA DEL SOL HUACHO</v>
      </c>
    </row>
    <row r="290" spans="1:7" x14ac:dyDescent="0.25">
      <c r="A290" s="2" t="str">
        <f ca="1">IFERROR(__xludf.DUMMYFUNCTION("""COMPUTED_VALUE"""),"0659")</f>
        <v>0659</v>
      </c>
      <c r="B290" s="2" t="str">
        <f ca="1">IFERROR(__xludf.DUMMYFUNCTION("""COMPUTED_VALUE"""),"OFICINA SEBASTIÁN BARRANCA")</f>
        <v>OFICINA SEBASTIÁN BARRANCA</v>
      </c>
      <c r="C290" s="2" t="str">
        <f ca="1">IFERROR(__xludf.DUMMYFUNCTION("""COMPUTED_VALUE"""),"P005403")</f>
        <v>P005403</v>
      </c>
      <c r="D290" s="2" t="str">
        <f ca="1">IFERROR(__xludf.DUMMYFUNCTION("""COMPUTED_VALUE"""),"MORALES ANGEL, BERNARDO DOMINGO")</f>
        <v>MORALES ANGEL, BERNARDO DOMINGO</v>
      </c>
      <c r="E290" s="2" t="str">
        <f ca="1">IFERROR(__xludf.DUMMYFUNCTION("""COMPUTED_VALUE"""),"BMORALES@BBVA.COM")</f>
        <v>BMORALES@BBVA.COM</v>
      </c>
      <c r="F290" s="2" t="str">
        <f ca="1">IFERROR(__xludf.DUMMYFUNCTION("""COMPUTED_VALUE"""),"(B411)SUB GERENTE DE OFICINA A3")</f>
        <v>(B411)SUB GERENTE DE OFICINA A3</v>
      </c>
      <c r="G290" s="2" t="str">
        <f ca="1">IFERROR(__xludf.DUMMYFUNCTION("""COMPUTED_VALUE"""),"OFICINA SEBASTIAN BARRANCA")</f>
        <v>OFICINA SEBASTIAN BARRANCA</v>
      </c>
    </row>
    <row r="291" spans="1:7" x14ac:dyDescent="0.25">
      <c r="A291" s="2" t="str">
        <f ca="1">IFERROR(__xludf.DUMMYFUNCTION("""COMPUTED_VALUE"""),"0667")</f>
        <v>0667</v>
      </c>
      <c r="B291" s="2" t="str">
        <f ca="1">IFERROR(__xludf.DUMMYFUNCTION("""COMPUTED_VALUE"""),"OFICINA REAL PLAZA PIURA")</f>
        <v>OFICINA REAL PLAZA PIURA</v>
      </c>
      <c r="C291" s="2" t="str">
        <f ca="1">IFERROR(__xludf.DUMMYFUNCTION("""COMPUTED_VALUE"""),"P026196")</f>
        <v>P026196</v>
      </c>
      <c r="D291" s="2" t="str">
        <f ca="1">IFERROR(__xludf.DUMMYFUNCTION("""COMPUTED_VALUE"""),"VENTURA VALDIVIA, LOURDES KIARAMONICA")</f>
        <v>VENTURA VALDIVIA, LOURDES KIARAMONICA</v>
      </c>
      <c r="E291" s="2" t="str">
        <f ca="1">IFERROR(__xludf.DUMMYFUNCTION("""COMPUTED_VALUE"""),"LOURDES.VENTURA@BBVA.COM")</f>
        <v>LOURDES.VENTURA@BBVA.COM</v>
      </c>
      <c r="F291" s="2" t="str">
        <f ca="1">IFERROR(__xludf.DUMMYFUNCTION("""COMPUTED_VALUE"""),"(B417)SUB GERENTE DE OFICINA F")</f>
        <v>(B417)SUB GERENTE DE OFICINA F</v>
      </c>
      <c r="G291" s="2" t="str">
        <f ca="1">IFERROR(__xludf.DUMMYFUNCTION("""COMPUTED_VALUE"""),"OFICINA REAL PLAZA PIURA")</f>
        <v>OFICINA REAL PLAZA PIURA</v>
      </c>
    </row>
    <row r="292" spans="1:7" x14ac:dyDescent="0.25">
      <c r="A292" s="2" t="str">
        <f ca="1">IFERROR(__xludf.DUMMYFUNCTION("""COMPUTED_VALUE"""),"0672")</f>
        <v>0672</v>
      </c>
      <c r="B292" s="2" t="str">
        <f ca="1">IFERROR(__xludf.DUMMYFUNCTION("""COMPUTED_VALUE"""),"OFICINA PRIME CRONOS")</f>
        <v>OFICINA PRIME CRONOS</v>
      </c>
      <c r="C292" s="2" t="str">
        <f ca="1">IFERROR(__xludf.DUMMYFUNCTION("""COMPUTED_VALUE"""),"P014940")</f>
        <v>P014940</v>
      </c>
      <c r="D292" s="2" t="str">
        <f ca="1">IFERROR(__xludf.DUMMYFUNCTION("""COMPUTED_VALUE"""),"LAZARTE ARICA, DALMA NEREA")</f>
        <v>LAZARTE ARICA, DALMA NEREA</v>
      </c>
      <c r="E292" s="2" t="str">
        <f ca="1">IFERROR(__xludf.DUMMYFUNCTION("""COMPUTED_VALUE"""),"DLAZARTE@BBVA.COM")</f>
        <v>DLAZARTE@BBVA.COM</v>
      </c>
      <c r="F292" s="2" t="str">
        <f ca="1">IFERROR(__xludf.DUMMYFUNCTION("""COMPUTED_VALUE"""),"(B490)SUB GERENTE OFICINA PRIME I")</f>
        <v>(B490)SUB GERENTE OFICINA PRIME I</v>
      </c>
      <c r="G292" s="2" t="str">
        <f ca="1">IFERROR(__xludf.DUMMYFUNCTION("""COMPUTED_VALUE"""),"OFICINA PRIME CRONOS")</f>
        <v>OFICINA PRIME CRONOS</v>
      </c>
    </row>
    <row r="293" spans="1:7" x14ac:dyDescent="0.25">
      <c r="A293" s="2" t="str">
        <f ca="1">IFERROR(__xludf.DUMMYFUNCTION("""COMPUTED_VALUE"""),"0712")</f>
        <v>0712</v>
      </c>
      <c r="B293" s="2" t="str">
        <f ca="1">IFERROR(__xludf.DUMMYFUNCTION("""COMPUTED_VALUE"""),"OFICINA MALL AV. PLAZA STA ANITA")</f>
        <v>OFICINA MALL AV. PLAZA STA ANITA</v>
      </c>
      <c r="C293" s="2" t="str">
        <f ca="1">IFERROR(__xludf.DUMMYFUNCTION("""COMPUTED_VALUE"""),"P017274")</f>
        <v>P017274</v>
      </c>
      <c r="D293" s="2" t="str">
        <f ca="1">IFERROR(__xludf.DUMMYFUNCTION("""COMPUTED_VALUE"""),"MEZA VEGA, EVELYN JACINTA")</f>
        <v>MEZA VEGA, EVELYN JACINTA</v>
      </c>
      <c r="E293" s="2" t="str">
        <f ca="1">IFERROR(__xludf.DUMMYFUNCTION("""COMPUTED_VALUE"""),"EMEZAV@BBVA.COM")</f>
        <v>EMEZAV@BBVA.COM</v>
      </c>
      <c r="F293" s="2" t="str">
        <f ca="1">IFERROR(__xludf.DUMMYFUNCTION("""COMPUTED_VALUE"""),"(B417)SUB GERENTE DE OFICINA F")</f>
        <v>(B417)SUB GERENTE DE OFICINA F</v>
      </c>
      <c r="G293" s="2" t="str">
        <f ca="1">IFERROR(__xludf.DUMMYFUNCTION("""COMPUTED_VALUE"""),"OFICINA MALL AVENTURA SANTA ANITA")</f>
        <v>OFICINA MALL AVENTURA SANTA ANITA</v>
      </c>
    </row>
    <row r="294" spans="1:7" x14ac:dyDescent="0.25">
      <c r="A294" s="2" t="str">
        <f ca="1">IFERROR(__xludf.DUMMYFUNCTION("""COMPUTED_VALUE"""),"0713")</f>
        <v>0713</v>
      </c>
      <c r="B294" s="2" t="str">
        <f ca="1">IFERROR(__xludf.DUMMYFUNCTION("""COMPUTED_VALUE"""),"OFICINA CAMINOS DEL INCA")</f>
        <v>OFICINA CAMINOS DEL INCA</v>
      </c>
      <c r="C294" s="2" t="str">
        <f ca="1">IFERROR(__xludf.DUMMYFUNCTION("""COMPUTED_VALUE"""),"P024722")</f>
        <v>P024722</v>
      </c>
      <c r="D294" s="2" t="str">
        <f ca="1">IFERROR(__xludf.DUMMYFUNCTION("""COMPUTED_VALUE"""),"TINEO SAENZ, CRISTHIAN EDUARDO")</f>
        <v>TINEO SAENZ, CRISTHIAN EDUARDO</v>
      </c>
      <c r="E294" s="2" t="str">
        <f ca="1">IFERROR(__xludf.DUMMYFUNCTION("""COMPUTED_VALUE"""),"CRISTHIAN.TINEO@BBVA.COM")</f>
        <v>CRISTHIAN.TINEO@BBVA.COM</v>
      </c>
      <c r="F294" s="2" t="str">
        <f ca="1">IFERROR(__xludf.DUMMYFUNCTION("""COMPUTED_VALUE"""),"(B415)SUB GERENTE DE OFICINA E")</f>
        <v>(B415)SUB GERENTE DE OFICINA E</v>
      </c>
      <c r="G294" s="2" t="str">
        <f ca="1">IFERROR(__xludf.DUMMYFUNCTION("""COMPUTED_VALUE"""),"OFICINA CAMINOS DEL INCA")</f>
        <v>OFICINA CAMINOS DEL INCA</v>
      </c>
    </row>
    <row r="295" spans="1:7" x14ac:dyDescent="0.25">
      <c r="A295" s="2" t="str">
        <f ca="1">IFERROR(__xludf.DUMMYFUNCTION("""COMPUTED_VALUE"""),"0716")</f>
        <v>0716</v>
      </c>
      <c r="B295" s="2" t="str">
        <f ca="1">IFERROR(__xludf.DUMMYFUNCTION("""COMPUTED_VALUE"""),"OFICINA SANTA CRUZ")</f>
        <v>OFICINA SANTA CRUZ</v>
      </c>
      <c r="C295" s="2" t="str">
        <f ca="1">IFERROR(__xludf.DUMMYFUNCTION("""COMPUTED_VALUE"""),"P012479")</f>
        <v>P012479</v>
      </c>
      <c r="D295" s="2" t="str">
        <f ca="1">IFERROR(__xludf.DUMMYFUNCTION("""COMPUTED_VALUE"""),"GONZALES MENDOZA, MARIANA")</f>
        <v>GONZALES MENDOZA, MARIANA</v>
      </c>
      <c r="E295" s="2" t="str">
        <f ca="1">IFERROR(__xludf.DUMMYFUNCTION("""COMPUTED_VALUE"""),"MGONZALESM@BBVA.COM")</f>
        <v>MGONZALESM@BBVA.COM</v>
      </c>
      <c r="F295" s="2" t="str">
        <f ca="1">IFERROR(__xludf.DUMMYFUNCTION("""COMPUTED_VALUE"""),"(B411)SUB GERENTE DE OFICINA A3")</f>
        <v>(B411)SUB GERENTE DE OFICINA A3</v>
      </c>
      <c r="G295" s="2" t="str">
        <f ca="1">IFERROR(__xludf.DUMMYFUNCTION("""COMPUTED_VALUE"""),"OFICINA SANTA CRUZ")</f>
        <v>OFICINA SANTA CRUZ</v>
      </c>
    </row>
    <row r="296" spans="1:7" x14ac:dyDescent="0.25">
      <c r="A296" s="2" t="str">
        <f ca="1">IFERROR(__xludf.DUMMYFUNCTION("""COMPUTED_VALUE"""),"0717")</f>
        <v>0717</v>
      </c>
      <c r="B296" s="2" t="str">
        <f ca="1">IFERROR(__xludf.DUMMYFUNCTION("""COMPUTED_VALUE"""),"OFICINA JOSE LUIS BUSTAMANTE Y RIVERO")</f>
        <v>OFICINA JOSE LUIS BUSTAMANTE Y RIVERO</v>
      </c>
      <c r="C296" s="2" t="str">
        <f ca="1">IFERROR(__xludf.DUMMYFUNCTION("""COMPUTED_VALUE"""),"P022170")</f>
        <v>P022170</v>
      </c>
      <c r="D296" s="2" t="str">
        <f ca="1">IFERROR(__xludf.DUMMYFUNCTION("""COMPUTED_VALUE"""),"ESCOBEDO HUACASI, ANALI")</f>
        <v>ESCOBEDO HUACASI, ANALI</v>
      </c>
      <c r="E296" s="2" t="str">
        <f ca="1">IFERROR(__xludf.DUMMYFUNCTION("""COMPUTED_VALUE"""),"ANALI.ESCOBEDO@BBVA.COM")</f>
        <v>ANALI.ESCOBEDO@BBVA.COM</v>
      </c>
      <c r="F296" s="2" t="str">
        <f ca="1">IFERROR(__xludf.DUMMYFUNCTION("""COMPUTED_VALUE"""),"(B417)SUB GERENTE DE OFICINA F")</f>
        <v>(B417)SUB GERENTE DE OFICINA F</v>
      </c>
      <c r="G296" s="2" t="str">
        <f ca="1">IFERROR(__xludf.DUMMYFUNCTION("""COMPUTED_VALUE"""),"OFICINA BUSTAMANTE Y RIVERO")</f>
        <v>OFICINA BUSTAMANTE Y RIVERO</v>
      </c>
    </row>
    <row r="297" spans="1:7" x14ac:dyDescent="0.25">
      <c r="A297" s="2" t="str">
        <f ca="1">IFERROR(__xludf.DUMMYFUNCTION("""COMPUTED_VALUE"""),"0730")</f>
        <v>0730</v>
      </c>
      <c r="B297" s="2" t="str">
        <f ca="1">IFERROR(__xludf.DUMMYFUNCTION("""COMPUTED_VALUE"""),"OFICINA PRIME LA FLORESTA")</f>
        <v>OFICINA PRIME LA FLORESTA</v>
      </c>
      <c r="C297" s="2" t="str">
        <f ca="1">IFERROR(__xludf.DUMMYFUNCTION("""COMPUTED_VALUE"""),"P011478")</f>
        <v>P011478</v>
      </c>
      <c r="D297" s="2" t="str">
        <f ca="1">IFERROR(__xludf.DUMMYFUNCTION("""COMPUTED_VALUE"""),"LEON CORES, EDUARDO ALFREDO")</f>
        <v>LEON CORES, EDUARDO ALFREDO</v>
      </c>
      <c r="E297" s="2" t="str">
        <f ca="1">IFERROR(__xludf.DUMMYFUNCTION("""COMPUTED_VALUE"""),"EALEON@BBVA.COM")</f>
        <v>EALEON@BBVA.COM</v>
      </c>
      <c r="F297" s="2" t="str">
        <f ca="1">IFERROR(__xludf.DUMMYFUNCTION("""COMPUTED_VALUE"""),"(B490)SUB GERENTE OFICINA PRIME I")</f>
        <v>(B490)SUB GERENTE OFICINA PRIME I</v>
      </c>
      <c r="G297" s="2" t="str">
        <f ca="1">IFERROR(__xludf.DUMMYFUNCTION("""COMPUTED_VALUE"""),"OFICINA PRIME LA FLORESTA")</f>
        <v>OFICINA PRIME LA FLORESTA</v>
      </c>
    </row>
    <row r="298" spans="1:7" x14ac:dyDescent="0.25">
      <c r="A298" s="2" t="str">
        <f ca="1">IFERROR(__xludf.DUMMYFUNCTION("""COMPUTED_VALUE"""),"0733")</f>
        <v>0733</v>
      </c>
      <c r="B298" s="2" t="str">
        <f ca="1">IFERROR(__xludf.DUMMYFUNCTION("""COMPUTED_VALUE"""),"OFICINA PALAO")</f>
        <v>OFICINA PALAO</v>
      </c>
      <c r="C298" s="2" t="str">
        <f ca="1">IFERROR(__xludf.DUMMYFUNCTION("""COMPUTED_VALUE"""),"P008533")</f>
        <v>P008533</v>
      </c>
      <c r="D298" s="2" t="str">
        <f ca="1">IFERROR(__xludf.DUMMYFUNCTION("""COMPUTED_VALUE"""),"ROJAS GARCIA, KAREN IVONNE")</f>
        <v>ROJAS GARCIA, KAREN IVONNE</v>
      </c>
      <c r="E298" s="2" t="str">
        <f ca="1">IFERROR(__xludf.DUMMYFUNCTION("""COMPUTED_VALUE"""),"KROJASG@BBVA.COM")</f>
        <v>KROJASG@BBVA.COM</v>
      </c>
      <c r="F298" s="2" t="str">
        <f ca="1">IFERROR(__xludf.DUMMYFUNCTION("""COMPUTED_VALUE"""),"(B417)SUB GERENTE DE OFICINA F")</f>
        <v>(B417)SUB GERENTE DE OFICINA F</v>
      </c>
      <c r="G298" s="2" t="str">
        <f ca="1">IFERROR(__xludf.DUMMYFUNCTION("""COMPUTED_VALUE"""),"OFICINA PALAO")</f>
        <v>OFICINA PALAO</v>
      </c>
    </row>
    <row r="299" spans="1:7" x14ac:dyDescent="0.25">
      <c r="A299" s="2" t="str">
        <f ca="1">IFERROR(__xludf.DUMMYFUNCTION("""COMPUTED_VALUE"""),"0750")</f>
        <v>0750</v>
      </c>
      <c r="B299" s="2" t="str">
        <f ca="1">IFERROR(__xludf.DUMMYFUNCTION("""COMPUTED_VALUE"""),"OFICINA REAL PLAZA SANTA CLARA")</f>
        <v>OFICINA REAL PLAZA SANTA CLARA</v>
      </c>
      <c r="C299" s="2" t="str">
        <f ca="1">IFERROR(__xludf.DUMMYFUNCTION("""COMPUTED_VALUE"""),"P029308")</f>
        <v>P029308</v>
      </c>
      <c r="D299" s="2" t="str">
        <f ca="1">IFERROR(__xludf.DUMMYFUNCTION("""COMPUTED_VALUE"""),"MENDOZA VASQUEZ, KIMBERLY LIZBETH")</f>
        <v>MENDOZA VASQUEZ, KIMBERLY LIZBETH</v>
      </c>
      <c r="E299" s="2" t="str">
        <f ca="1">IFERROR(__xludf.DUMMYFUNCTION("""COMPUTED_VALUE"""),"KIMBERLY.MENDOZA.VASQUEZ@BBVA.COM")</f>
        <v>KIMBERLY.MENDOZA.VASQUEZ@BBVA.COM</v>
      </c>
      <c r="F299" s="2" t="str">
        <f ca="1">IFERROR(__xludf.DUMMYFUNCTION("""COMPUTED_VALUE"""),"(B415)SUB GERENTE DE OFICINA E")</f>
        <v>(B415)SUB GERENTE DE OFICINA E</v>
      </c>
      <c r="G299" s="2" t="str">
        <f ca="1">IFERROR(__xludf.DUMMYFUNCTION("""COMPUTED_VALUE"""),"OFICINA REAL PLAZA SANTA CLARA")</f>
        <v>OFICINA REAL PLAZA SANTA CLARA</v>
      </c>
    </row>
    <row r="300" spans="1:7" x14ac:dyDescent="0.25">
      <c r="A300" s="2" t="str">
        <f ca="1">IFERROR(__xludf.DUMMYFUNCTION("""COMPUTED_VALUE"""),"0751")</f>
        <v>0751</v>
      </c>
      <c r="B300" s="2" t="str">
        <f ca="1">IFERROR(__xludf.DUMMYFUNCTION("""COMPUTED_VALUE"""),"OFICINA EL TRIGAL")</f>
        <v>OFICINA EL TRIGAL</v>
      </c>
      <c r="C300" s="2" t="str">
        <f ca="1">IFERROR(__xludf.DUMMYFUNCTION("""COMPUTED_VALUE"""),"P014917")</f>
        <v>P014917</v>
      </c>
      <c r="D300" s="2" t="str">
        <f ca="1">IFERROR(__xludf.DUMMYFUNCTION("""COMPUTED_VALUE"""),"CARPIO IZAGUIRRE, MAYRA ALEJANDRA")</f>
        <v>CARPIO IZAGUIRRE, MAYRA ALEJANDRA</v>
      </c>
      <c r="E300" s="2" t="str">
        <f ca="1">IFERROR(__xludf.DUMMYFUNCTION("""COMPUTED_VALUE"""),"MCARPIO@BBVA.COM")</f>
        <v>MCARPIO@BBVA.COM</v>
      </c>
      <c r="F300" s="2" t="str">
        <f ca="1">IFERROR(__xludf.DUMMYFUNCTION("""COMPUTED_VALUE"""),"(B411)SUB GERENTE DE OFICINA A3")</f>
        <v>(B411)SUB GERENTE DE OFICINA A3</v>
      </c>
      <c r="G300" s="2" t="str">
        <f ca="1">IFERROR(__xludf.DUMMYFUNCTION("""COMPUTED_VALUE"""),"OFICINA EL TRIGAL")</f>
        <v>OFICINA EL TRIGAL</v>
      </c>
    </row>
    <row r="301" spans="1:7" x14ac:dyDescent="0.25">
      <c r="A301" s="2" t="str">
        <f ca="1">IFERROR(__xludf.DUMMYFUNCTION("""COMPUTED_VALUE"""),"0752")</f>
        <v>0752</v>
      </c>
      <c r="B301" s="2" t="str">
        <f ca="1">IFERROR(__xludf.DUMMYFUNCTION("""COMPUTED_VALUE"""),"OFICINA SAN FELIPE COMAS")</f>
        <v>OFICINA SAN FELIPE COMAS</v>
      </c>
      <c r="C301" s="2" t="str">
        <f ca="1">IFERROR(__xludf.DUMMYFUNCTION("""COMPUTED_VALUE"""),"P023894")</f>
        <v>P023894</v>
      </c>
      <c r="D301" s="2" t="str">
        <f ca="1">IFERROR(__xludf.DUMMYFUNCTION("""COMPUTED_VALUE"""),"DE LA OLIVA LOPEZ, MARIA JOAQUINA")</f>
        <v>DE LA OLIVA LOPEZ, MARIA JOAQUINA</v>
      </c>
      <c r="E301" s="2" t="str">
        <f ca="1">IFERROR(__xludf.DUMMYFUNCTION("""COMPUTED_VALUE"""),"MARIA.DELAOLIVA@BBVA.COM")</f>
        <v>MARIA.DELAOLIVA@BBVA.COM</v>
      </c>
      <c r="F301" s="2" t="str">
        <f ca="1">IFERROR(__xludf.DUMMYFUNCTION("""COMPUTED_VALUE"""),"(B415)SUB GERENTE DE OFICINA E")</f>
        <v>(B415)SUB GERENTE DE OFICINA E</v>
      </c>
      <c r="G301" s="2" t="str">
        <f ca="1">IFERROR(__xludf.DUMMYFUNCTION("""COMPUTED_VALUE"""),"OFICINA SAN FELIPE COMAS")</f>
        <v>OFICINA SAN FELIPE COMAS</v>
      </c>
    </row>
    <row r="302" spans="1:7" x14ac:dyDescent="0.25">
      <c r="A302" s="2" t="str">
        <f ca="1">IFERROR(__xludf.DUMMYFUNCTION("""COMPUTED_VALUE"""),"0763")</f>
        <v>0763</v>
      </c>
      <c r="B302" s="2" t="str">
        <f ca="1">IFERROR(__xludf.DUMMYFUNCTION("""COMPUTED_VALUE"""),"OFICINA PEDREGAL")</f>
        <v>OFICINA PEDREGAL</v>
      </c>
      <c r="C302" s="2" t="str">
        <f ca="1">IFERROR(__xludf.DUMMYFUNCTION("""COMPUTED_VALUE"""),"P025930")</f>
        <v>P025930</v>
      </c>
      <c r="D302" s="2" t="str">
        <f ca="1">IFERROR(__xludf.DUMMYFUNCTION("""COMPUTED_VALUE"""),"SUEROS ZARATE, RAUL ALONSO")</f>
        <v>SUEROS ZARATE, RAUL ALONSO</v>
      </c>
      <c r="E302" s="2" t="str">
        <f ca="1">IFERROR(__xludf.DUMMYFUNCTION("""COMPUTED_VALUE"""),"RAUL.SUEROS@BBVA.COM")</f>
        <v>RAUL.SUEROS@BBVA.COM</v>
      </c>
      <c r="F302" s="2" t="str">
        <f ca="1">IFERROR(__xludf.DUMMYFUNCTION("""COMPUTED_VALUE"""),"(B417)SUB GERENTE DE OFICINA F")</f>
        <v>(B417)SUB GERENTE DE OFICINA F</v>
      </c>
      <c r="G302" s="2" t="str">
        <f ca="1">IFERROR(__xludf.DUMMYFUNCTION("""COMPUTED_VALUE"""),"OFICINA PEDREGAL")</f>
        <v>OFICINA PEDREGAL</v>
      </c>
    </row>
    <row r="303" spans="1:7" x14ac:dyDescent="0.25">
      <c r="A303" s="2" t="str">
        <f ca="1">IFERROR(__xludf.DUMMYFUNCTION("""COMPUTED_VALUE"""),"0764")</f>
        <v>0764</v>
      </c>
      <c r="B303" s="2" t="str">
        <f ca="1">IFERROR(__xludf.DUMMYFUNCTION("""COMPUTED_VALUE"""),"OFICINA MALL PLAZA AVENTURA AREQUIPA")</f>
        <v>OFICINA MALL PLAZA AVENTURA AREQUIPA</v>
      </c>
      <c r="C303" s="2" t="str">
        <f ca="1">IFERROR(__xludf.DUMMYFUNCTION("""COMPUTED_VALUE"""),"P008470")</f>
        <v>P008470</v>
      </c>
      <c r="D303" s="2" t="str">
        <f ca="1">IFERROR(__xludf.DUMMYFUNCTION("""COMPUTED_VALUE"""),"GAMBARINI SALAS, CARLOS CESAR")</f>
        <v>GAMBARINI SALAS, CARLOS CESAR</v>
      </c>
      <c r="E303" s="2" t="str">
        <f ca="1">IFERROR(__xludf.DUMMYFUNCTION("""COMPUTED_VALUE"""),"CGAMBARINI@BBVA.COM")</f>
        <v>CGAMBARINI@BBVA.COM</v>
      </c>
      <c r="F303" s="2" t="str">
        <f ca="1">IFERROR(__xludf.DUMMYFUNCTION("""COMPUTED_VALUE"""),"(B415)SUB GERENTE DE OFICINA E")</f>
        <v>(B415)SUB GERENTE DE OFICINA E</v>
      </c>
      <c r="G303" s="2" t="str">
        <f ca="1">IFERROR(__xludf.DUMMYFUNCTION("""COMPUTED_VALUE"""),"OFICINA MALL PLAZA AVENTURA AREQUIPA")</f>
        <v>OFICINA MALL PLAZA AVENTURA AREQUIPA</v>
      </c>
    </row>
    <row r="304" spans="1:7" x14ac:dyDescent="0.25">
      <c r="A304" s="2" t="str">
        <f ca="1">IFERROR(__xludf.DUMMYFUNCTION("""COMPUTED_VALUE"""),"0766")</f>
        <v>0766</v>
      </c>
      <c r="B304" s="2" t="str">
        <f ca="1">IFERROR(__xludf.DUMMYFUNCTION("""COMPUTED_VALUE"""),"OFICINA BANCA PRIVADA EL POLO")</f>
        <v>OFICINA BANCA PRIVADA EL POLO</v>
      </c>
      <c r="C304" s="2" t="str">
        <f ca="1">IFERROR(__xludf.DUMMYFUNCTION("""COMPUTED_VALUE"""),"P012331")</f>
        <v>P012331</v>
      </c>
      <c r="D304" s="2" t="str">
        <f ca="1">IFERROR(__xludf.DUMMYFUNCTION("""COMPUTED_VALUE"""),"MEZONES MERCADO, ROBERT ALBERTO")</f>
        <v>MEZONES MERCADO, ROBERT ALBERTO</v>
      </c>
      <c r="E304" s="2" t="str">
        <f ca="1">IFERROR(__xludf.DUMMYFUNCTION("""COMPUTED_VALUE"""),"RAMEZONES@BBVA.COM")</f>
        <v>RAMEZONES@BBVA.COM</v>
      </c>
      <c r="F304" s="2" t="str">
        <f ca="1">IFERROR(__xludf.DUMMYFUNCTION("""COMPUTED_VALUE"""),"(B491)SUBGTE BCA PATRIMON Y PRIVA 2")</f>
        <v>(B491)SUBGTE BCA PATRIMON Y PRIVA 2</v>
      </c>
      <c r="G304" s="2" t="str">
        <f ca="1">IFERROR(__xludf.DUMMYFUNCTION("""COMPUTED_VALUE"""),"PRIVATE BANKING")</f>
        <v>PRIVATE BANKING</v>
      </c>
    </row>
    <row r="305" spans="1:7" x14ac:dyDescent="0.25">
      <c r="A305" s="2" t="str">
        <f ca="1">IFERROR(__xludf.DUMMYFUNCTION("""COMPUTED_VALUE"""),"0778")</f>
        <v>0778</v>
      </c>
      <c r="B305" s="2" t="str">
        <f ca="1">IFERROR(__xludf.DUMMYFUNCTION("""COMPUTED_VALUE"""),"OFICINA CERRO COLORADO")</f>
        <v>OFICINA CERRO COLORADO</v>
      </c>
      <c r="C305" s="2" t="str">
        <f ca="1">IFERROR(__xludf.DUMMYFUNCTION("""COMPUTED_VALUE"""),"P017016")</f>
        <v>P017016</v>
      </c>
      <c r="D305" s="2" t="str">
        <f ca="1">IFERROR(__xludf.DUMMYFUNCTION("""COMPUTED_VALUE"""),"CARNERO PRADO, JOSUE GABRIEL")</f>
        <v>CARNERO PRADO, JOSUE GABRIEL</v>
      </c>
      <c r="E305" s="2" t="str">
        <f ca="1">IFERROR(__xludf.DUMMYFUNCTION("""COMPUTED_VALUE"""),"JCARNERO@BBVA.COM")</f>
        <v>JCARNERO@BBVA.COM</v>
      </c>
      <c r="F305" s="2" t="str">
        <f ca="1">IFERROR(__xludf.DUMMYFUNCTION("""COMPUTED_VALUE"""),"(B417)SUB GERENTE DE OFICINA F")</f>
        <v>(B417)SUB GERENTE DE OFICINA F</v>
      </c>
      <c r="G305" s="2" t="str">
        <f ca="1">IFERROR(__xludf.DUMMYFUNCTION("""COMPUTED_VALUE"""),"OFICINA CERRO COLORADO")</f>
        <v>OFICINA CERRO COLORADO</v>
      </c>
    </row>
    <row r="306" spans="1:7" x14ac:dyDescent="0.25">
      <c r="A306" s="2" t="str">
        <f ca="1">IFERROR(__xludf.DUMMYFUNCTION("""COMPUTED_VALUE"""),"0787")</f>
        <v>0787</v>
      </c>
      <c r="B306" s="2" t="str">
        <f ca="1">IFERROR(__xludf.DUMMYFUNCTION("""COMPUTED_VALUE"""),"OFICINA MONTEGRANDE")</f>
        <v>OFICINA MONTEGRANDE</v>
      </c>
      <c r="C306" s="2" t="str">
        <f ca="1">IFERROR(__xludf.DUMMYFUNCTION("""COMPUTED_VALUE"""),"P026134")</f>
        <v>P026134</v>
      </c>
      <c r="D306" s="2" t="str">
        <f ca="1">IFERROR(__xludf.DUMMYFUNCTION("""COMPUTED_VALUE"""),"QUIJAITE ARRIETA, MARIA DE LOS ANGELES")</f>
        <v>QUIJAITE ARRIETA, MARIA DE LOS ANGELES</v>
      </c>
      <c r="E306" s="2" t="str">
        <f ca="1">IFERROR(__xludf.DUMMYFUNCTION("""COMPUTED_VALUE"""),"MARIA.QUIJAITE@BBVA.COM")</f>
        <v>MARIA.QUIJAITE@BBVA.COM</v>
      </c>
      <c r="F306" s="2" t="str">
        <f ca="1">IFERROR(__xludf.DUMMYFUNCTION("""COMPUTED_VALUE"""),"(B414)SUB GERENTE DE OFICINA D")</f>
        <v>(B414)SUB GERENTE DE OFICINA D</v>
      </c>
      <c r="G306" s="2" t="str">
        <f ca="1">IFERROR(__xludf.DUMMYFUNCTION("""COMPUTED_VALUE"""),"OFICINA MONTEGRANDE")</f>
        <v>OFICINA MONTEGRANDE</v>
      </c>
    </row>
    <row r="307" spans="1:7" x14ac:dyDescent="0.25">
      <c r="A307" s="2" t="str">
        <f ca="1">IFERROR(__xludf.DUMMYFUNCTION("""COMPUTED_VALUE"""),"0791")</f>
        <v>0791</v>
      </c>
      <c r="B307" s="2" t="str">
        <f ca="1">IFERROR(__xludf.DUMMYFUNCTION("""COMPUTED_VALUE"""),"OFICINA LA ROTONDA")</f>
        <v>OFICINA LA ROTONDA</v>
      </c>
      <c r="C307" s="2" t="str">
        <f ca="1">IFERROR(__xludf.DUMMYFUNCTION("""COMPUTED_VALUE"""),"P021563")</f>
        <v>P021563</v>
      </c>
      <c r="D307" s="2" t="str">
        <f ca="1">IFERROR(__xludf.DUMMYFUNCTION("""COMPUTED_VALUE"""),"UCHARIMA CCOSI, JESSICA FABIOLA")</f>
        <v>UCHARIMA CCOSI, JESSICA FABIOLA</v>
      </c>
      <c r="E307" s="2" t="str">
        <f ca="1">IFERROR(__xludf.DUMMYFUNCTION("""COMPUTED_VALUE"""),"JESSICA.UCHARIMA@BBVA.COM")</f>
        <v>JESSICA.UCHARIMA@BBVA.COM</v>
      </c>
      <c r="F307" s="2" t="str">
        <f ca="1">IFERROR(__xludf.DUMMYFUNCTION("""COMPUTED_VALUE"""),"(B413)SUB GERENTE DE OFICINA C")</f>
        <v>(B413)SUB GERENTE DE OFICINA C</v>
      </c>
      <c r="G307" s="2" t="str">
        <f ca="1">IFERROR(__xludf.DUMMYFUNCTION("""COMPUTED_VALUE"""),"OFICINA LA ROTONDA")</f>
        <v>OFICINA LA ROTONDA</v>
      </c>
    </row>
    <row r="308" spans="1:7" x14ac:dyDescent="0.25">
      <c r="A308" s="2" t="str">
        <f ca="1">IFERROR(__xludf.DUMMYFUNCTION("""COMPUTED_VALUE"""),"0796")</f>
        <v>0796</v>
      </c>
      <c r="B308" s="2" t="str">
        <f ca="1">IFERROR(__xludf.DUMMYFUNCTION("""COMPUTED_VALUE"""),"OFICINA METRO SANTA ELENA")</f>
        <v>OFICINA METRO SANTA ELENA</v>
      </c>
      <c r="C308" s="2" t="str">
        <f ca="1">IFERROR(__xludf.DUMMYFUNCTION("""COMPUTED_VALUE"""),"P017136")</f>
        <v>P017136</v>
      </c>
      <c r="D308" s="2" t="str">
        <f ca="1">IFERROR(__xludf.DUMMYFUNCTION("""COMPUTED_VALUE"""),"DEL CASTILLO VASQUEZ, SANDRA DEL ROCIO")</f>
        <v>DEL CASTILLO VASQUEZ, SANDRA DEL ROCIO</v>
      </c>
      <c r="E308" s="2" t="str">
        <f ca="1">IFERROR(__xludf.DUMMYFUNCTION("""COMPUTED_VALUE"""),"SDELCASTILLO@BBVA.COM")</f>
        <v>SDELCASTILLO@BBVA.COM</v>
      </c>
      <c r="F308" s="2" t="str">
        <f ca="1">IFERROR(__xludf.DUMMYFUNCTION("""COMPUTED_VALUE"""),"(B417)SUB GERENTE DE OFICINA F")</f>
        <v>(B417)SUB GERENTE DE OFICINA F</v>
      </c>
      <c r="G308" s="2" t="str">
        <f ca="1">IFERROR(__xludf.DUMMYFUNCTION("""COMPUTED_VALUE"""),"OFICINA METRO SANTA ELENA")</f>
        <v>OFICINA METRO SANTA ELENA</v>
      </c>
    </row>
    <row r="309" spans="1:7" x14ac:dyDescent="0.25">
      <c r="A309" s="2" t="str">
        <f ca="1">IFERROR(__xludf.DUMMYFUNCTION("""COMPUTED_VALUE"""),"0797")</f>
        <v>0797</v>
      </c>
      <c r="B309" s="2" t="str">
        <f ca="1">IFERROR(__xludf.DUMMYFUNCTION("""COMPUTED_VALUE"""),"OFICINA BARRIO COMERCIO")</f>
        <v>OFICINA BARRIO COMERCIO</v>
      </c>
      <c r="C309" s="2" t="str">
        <f ca="1">IFERROR(__xludf.DUMMYFUNCTION("""COMPUTED_VALUE"""),"P029199")</f>
        <v>P029199</v>
      </c>
      <c r="D309" s="2" t="str">
        <f ca="1">IFERROR(__xludf.DUMMYFUNCTION("""COMPUTED_VALUE"""),"PIZANGO CAMAN, SILVIA ELIZABETH")</f>
        <v>PIZANGO CAMAN, SILVIA ELIZABETH</v>
      </c>
      <c r="E309" s="2" t="str">
        <f ca="1">IFERROR(__xludf.DUMMYFUNCTION("""COMPUTED_VALUE"""),"SILVIA.PIZANGO@BBVA.COM")</f>
        <v>SILVIA.PIZANGO@BBVA.COM</v>
      </c>
      <c r="F309" s="2" t="str">
        <f ca="1">IFERROR(__xludf.DUMMYFUNCTION("""COMPUTED_VALUE"""),"(B417)SUB GERENTE DE OFICINA F")</f>
        <v>(B417)SUB GERENTE DE OFICINA F</v>
      </c>
      <c r="G309" s="2" t="str">
        <f ca="1">IFERROR(__xludf.DUMMYFUNCTION("""COMPUTED_VALUE"""),"OFICINA BARRIO COMERCIO")</f>
        <v>OFICINA BARRIO COMERCIO</v>
      </c>
    </row>
    <row r="310" spans="1:7" x14ac:dyDescent="0.25">
      <c r="A310" s="2" t="str">
        <f ca="1">IFERROR(__xludf.DUMMYFUNCTION("""COMPUTED_VALUE"""),"0827")</f>
        <v>0827</v>
      </c>
      <c r="B310" s="2" t="str">
        <f ca="1">IFERROR(__xludf.DUMMYFUNCTION("""COMPUTED_VALUE"""),"OFICINA PLAZA ARMAS HUÁNUCO")</f>
        <v>OFICINA PLAZA ARMAS HUÁNUCO</v>
      </c>
      <c r="C310" s="2" t="str">
        <f ca="1">IFERROR(__xludf.DUMMYFUNCTION("""COMPUTED_VALUE"""),"P014362")</f>
        <v>P014362</v>
      </c>
      <c r="D310" s="2" t="str">
        <f ca="1">IFERROR(__xludf.DUMMYFUNCTION("""COMPUTED_VALUE"""),"MARQUEZ CUBAS, CARLOS FERNANDO")</f>
        <v>MARQUEZ CUBAS, CARLOS FERNANDO</v>
      </c>
      <c r="E310" s="2" t="str">
        <f ca="1">IFERROR(__xludf.DUMMYFUNCTION("""COMPUTED_VALUE"""),"CFMARQUEZ@BBVA.COM")</f>
        <v>CFMARQUEZ@BBVA.COM</v>
      </c>
      <c r="F310" s="2" t="str">
        <f ca="1">IFERROR(__xludf.DUMMYFUNCTION("""COMPUTED_VALUE"""),"(B415)SUB GERENTE DE OFICINA E")</f>
        <v>(B415)SUB GERENTE DE OFICINA E</v>
      </c>
      <c r="G310" s="2" t="str">
        <f ca="1">IFERROR(__xludf.DUMMYFUNCTION("""COMPUTED_VALUE"""),"OFICINA PLAZA DE ARMAS HUANUCO")</f>
        <v>OFICINA PLAZA DE ARMAS HUANUCO</v>
      </c>
    </row>
    <row r="311" spans="1:7" x14ac:dyDescent="0.25">
      <c r="A311" s="2" t="str">
        <f ca="1">IFERROR(__xludf.DUMMYFUNCTION("""COMPUTED_VALUE"""),"0832")</f>
        <v>0832</v>
      </c>
      <c r="B311" s="2" t="str">
        <f ca="1">IFERROR(__xludf.DUMMYFUNCTION("""COMPUTED_VALUE"""),"OFICINA EL SOL")</f>
        <v>OFICINA EL SOL</v>
      </c>
      <c r="C311" s="2" t="str">
        <f ca="1">IFERROR(__xludf.DUMMYFUNCTION("""COMPUTED_VALUE"""),"P028190")</f>
        <v>P028190</v>
      </c>
      <c r="D311" s="2" t="str">
        <f ca="1">IFERROR(__xludf.DUMMYFUNCTION("""COMPUTED_VALUE"""),"LLIUYA CANCHARI, VICTOR MANUEL")</f>
        <v>LLIUYA CANCHARI, VICTOR MANUEL</v>
      </c>
      <c r="E311" s="2" t="str">
        <f ca="1">IFERROR(__xludf.DUMMYFUNCTION("""COMPUTED_VALUE"""),"VICTOR.LLIUYA@BBVA.COM")</f>
        <v>VICTOR.LLIUYA@BBVA.COM</v>
      </c>
      <c r="F311" s="2" t="str">
        <f ca="1">IFERROR(__xludf.DUMMYFUNCTION("""COMPUTED_VALUE"""),"(B415)SUB GERENTE DE OFICINA E")</f>
        <v>(B415)SUB GERENTE DE OFICINA E</v>
      </c>
      <c r="G311" s="2" t="str">
        <f ca="1">IFERROR(__xludf.DUMMYFUNCTION("""COMPUTED_VALUE"""),"OFICINA EL SOL")</f>
        <v>OFICINA EL SOL</v>
      </c>
    </row>
    <row r="312" spans="1:7" x14ac:dyDescent="0.25">
      <c r="A312" s="2" t="str">
        <f ca="1">IFERROR(__xludf.DUMMYFUNCTION("""COMPUTED_VALUE"""),"0837")</f>
        <v>0837</v>
      </c>
      <c r="B312" s="2" t="str">
        <f ca="1">IFERROR(__xludf.DUMMYFUNCTION("""COMPUTED_VALUE"""),"OFICINA PRIME CENTRAL")</f>
        <v>OFICINA PRIME CENTRAL</v>
      </c>
      <c r="C312" s="2" t="str">
        <f ca="1">IFERROR(__xludf.DUMMYFUNCTION("""COMPUTED_VALUE"""),"P005925")</f>
        <v>P005925</v>
      </c>
      <c r="D312" s="2" t="str">
        <f ca="1">IFERROR(__xludf.DUMMYFUNCTION("""COMPUTED_VALUE"""),"OLIVA DELLEPIANE, ROCIO DEL PILAR")</f>
        <v>OLIVA DELLEPIANE, ROCIO DEL PILAR</v>
      </c>
      <c r="E312" s="2" t="str">
        <f ca="1">IFERROR(__xludf.DUMMYFUNCTION("""COMPUTED_VALUE"""),"ROLIVA@BBVA.COM")</f>
        <v>ROLIVA@BBVA.COM</v>
      </c>
      <c r="F312" s="2" t="str">
        <f ca="1">IFERROR(__xludf.DUMMYFUNCTION("""COMPUTED_VALUE"""),"(B491)SUBGTE BCA PATRIMON Y PRIVA 2")</f>
        <v>(B491)SUBGTE BCA PATRIMON Y PRIVA 2</v>
      </c>
      <c r="G312" s="2" t="str">
        <f ca="1">IFERROR(__xludf.DUMMYFUNCTION("""COMPUTED_VALUE"""),"OFICINA PRIME CENTRAL")</f>
        <v>OFICINA PRIME CENTRAL</v>
      </c>
    </row>
    <row r="313" spans="1:7" x14ac:dyDescent="0.25">
      <c r="A313" s="2" t="str">
        <f ca="1">IFERROR(__xludf.DUMMYFUNCTION("""COMPUTED_VALUE"""),"0842")</f>
        <v>0842</v>
      </c>
      <c r="B313" s="2" t="str">
        <f ca="1">IFERROR(__xludf.DUMMYFUNCTION("""COMPUTED_VALUE"""),"OFICINA CARABAYLLO")</f>
        <v>OFICINA CARABAYLLO</v>
      </c>
      <c r="C313" s="2" t="str">
        <f ca="1">IFERROR(__xludf.DUMMYFUNCTION("""COMPUTED_VALUE"""),"P005463")</f>
        <v>P005463</v>
      </c>
      <c r="D313" s="2" t="str">
        <f ca="1">IFERROR(__xludf.DUMMYFUNCTION("""COMPUTED_VALUE"""),"HORNA GONZALES, CESAR ENRIQUE")</f>
        <v>HORNA GONZALES, CESAR ENRIQUE</v>
      </c>
      <c r="E313" s="2" t="str">
        <f ca="1">IFERROR(__xludf.DUMMYFUNCTION("""COMPUTED_VALUE"""),"CHORNA@BBVA.COM")</f>
        <v>CHORNA@BBVA.COM</v>
      </c>
      <c r="F313" s="2" t="str">
        <f ca="1">IFERROR(__xludf.DUMMYFUNCTION("""COMPUTED_VALUE"""),"(B417)SUB GERENTE DE OFICINA F")</f>
        <v>(B417)SUB GERENTE DE OFICINA F</v>
      </c>
      <c r="G313" s="2" t="str">
        <f ca="1">IFERROR(__xludf.DUMMYFUNCTION("""COMPUTED_VALUE"""),"OFICINA CARABAYLLO")</f>
        <v>OFICINA CARABAYLLO</v>
      </c>
    </row>
    <row r="314" spans="1:7" x14ac:dyDescent="0.25">
      <c r="A314" s="2" t="str">
        <f ca="1">IFERROR(__xludf.DUMMYFUNCTION("""COMPUTED_VALUE"""),"0843")</f>
        <v>0843</v>
      </c>
      <c r="B314" s="2" t="str">
        <f ca="1">IFERROR(__xludf.DUMMYFUNCTION("""COMPUTED_VALUE"""),"OFICINA METRO OVALO PAPAL")</f>
        <v>OFICINA METRO OVALO PAPAL</v>
      </c>
      <c r="C314" s="2" t="str">
        <f ca="1">IFERROR(__xludf.DUMMYFUNCTION("""COMPUTED_VALUE"""),"P011735")</f>
        <v>P011735</v>
      </c>
      <c r="D314" s="2" t="str">
        <f ca="1">IFERROR(__xludf.DUMMYFUNCTION("""COMPUTED_VALUE"""),"GONZALES HUAMAN, SHEILA KATHERINE")</f>
        <v>GONZALES HUAMAN, SHEILA KATHERINE</v>
      </c>
      <c r="E314" s="2" t="str">
        <f ca="1">IFERROR(__xludf.DUMMYFUNCTION("""COMPUTED_VALUE"""),"SGONZALES@BBVA.COM")</f>
        <v>SGONZALES@BBVA.COM</v>
      </c>
      <c r="F314" s="2" t="str">
        <f ca="1">IFERROR(__xludf.DUMMYFUNCTION("""COMPUTED_VALUE"""),"(B417)SUB GERENTE DE OFICINA F")</f>
        <v>(B417)SUB GERENTE DE OFICINA F</v>
      </c>
      <c r="G314" s="2" t="str">
        <f ca="1">IFERROR(__xludf.DUMMYFUNCTION("""COMPUTED_VALUE"""),"OFICINA METRO OVALO PAPAL")</f>
        <v>OFICINA METRO OVALO PAPAL</v>
      </c>
    </row>
    <row r="315" spans="1:7" x14ac:dyDescent="0.25">
      <c r="A315" s="2" t="str">
        <f ca="1">IFERROR(__xludf.DUMMYFUNCTION("""COMPUTED_VALUE"""),"0847")</f>
        <v>0847</v>
      </c>
      <c r="B315" s="2" t="str">
        <f ca="1">IFERROR(__xludf.DUMMYFUNCTION("""COMPUTED_VALUE"""),"OFICINA MALL PLAZA COMAS")</f>
        <v>OFICINA MALL PLAZA COMAS</v>
      </c>
      <c r="C315" s="2" t="str">
        <f ca="1">IFERROR(__xludf.DUMMYFUNCTION("""COMPUTED_VALUE"""),"P021081")</f>
        <v>P021081</v>
      </c>
      <c r="D315" s="2" t="str">
        <f ca="1">IFERROR(__xludf.DUMMYFUNCTION("""COMPUTED_VALUE"""),"SAFORAS ACHARTE, GEORG ANTHONY")</f>
        <v>SAFORAS ACHARTE, GEORG ANTHONY</v>
      </c>
      <c r="E315" s="2" t="str">
        <f ca="1">IFERROR(__xludf.DUMMYFUNCTION("""COMPUTED_VALUE"""),"GEORG.SAFORAS@BBVA.COM")</f>
        <v>GEORG.SAFORAS@BBVA.COM</v>
      </c>
      <c r="F315" s="2" t="str">
        <f ca="1">IFERROR(__xludf.DUMMYFUNCTION("""COMPUTED_VALUE"""),"(B415)SUB GERENTE DE OFICINA E")</f>
        <v>(B415)SUB GERENTE DE OFICINA E</v>
      </c>
      <c r="G315" s="2" t="str">
        <f ca="1">IFERROR(__xludf.DUMMYFUNCTION("""COMPUTED_VALUE"""),"OFICINA MALL PLAZA COMAS")</f>
        <v>OFICINA MALL PLAZA COMAS</v>
      </c>
    </row>
    <row r="316" spans="1:7" x14ac:dyDescent="0.25">
      <c r="A316" s="2" t="str">
        <f ca="1">IFERROR(__xludf.DUMMYFUNCTION("""COMPUTED_VALUE"""),"0849")</f>
        <v>0849</v>
      </c>
      <c r="B316" s="2" t="str">
        <f ca="1">IFERROR(__xludf.DUMMYFUNCTION("""COMPUTED_VALUE"""),"OFICINA CEDROS DE VILLA")</f>
        <v>OFICINA CEDROS DE VILLA</v>
      </c>
      <c r="C316" s="2" t="str">
        <f ca="1">IFERROR(__xludf.DUMMYFUNCTION("""COMPUTED_VALUE"""),"P028293")</f>
        <v>P028293</v>
      </c>
      <c r="D316" s="2" t="str">
        <f ca="1">IFERROR(__xludf.DUMMYFUNCTION("""COMPUTED_VALUE"""),"GUERRERO PICHARDO, ANA JUDITH")</f>
        <v>GUERRERO PICHARDO, ANA JUDITH</v>
      </c>
      <c r="E316" s="2" t="str">
        <f ca="1">IFERROR(__xludf.DUMMYFUNCTION("""COMPUTED_VALUE"""),"ANA.GUERRERO.PICHARDO@BBVA.COM")</f>
        <v>ANA.GUERRERO.PICHARDO@BBVA.COM</v>
      </c>
      <c r="F316" s="2" t="str">
        <f ca="1">IFERROR(__xludf.DUMMYFUNCTION("""COMPUTED_VALUE"""),"(B417)SUB GERENTE DE OFICINA F")</f>
        <v>(B417)SUB GERENTE DE OFICINA F</v>
      </c>
      <c r="G316" s="2" t="str">
        <f ca="1">IFERROR(__xludf.DUMMYFUNCTION("""COMPUTED_VALUE"""),"OFICINA CEDROS DE VILLA")</f>
        <v>OFICINA CEDROS DE VILLA</v>
      </c>
    </row>
    <row r="317" spans="1:7" x14ac:dyDescent="0.25">
      <c r="A317" s="2" t="str">
        <f ca="1">IFERROR(__xludf.DUMMYFUNCTION("""COMPUTED_VALUE"""),"0857")</f>
        <v>0857</v>
      </c>
      <c r="B317" s="2" t="str">
        <f ca="1">IFERROR(__xludf.DUMMYFUNCTION("""COMPUTED_VALUE"""),"OFICINA VALLE SHARON")</f>
        <v>OFICINA VALLE SHARON</v>
      </c>
      <c r="C317" s="2" t="str">
        <f ca="1">IFERROR(__xludf.DUMMYFUNCTION("""COMPUTED_VALUE"""),"P017114")</f>
        <v>P017114</v>
      </c>
      <c r="D317" s="2" t="str">
        <f ca="1">IFERROR(__xludf.DUMMYFUNCTION("""COMPUTED_VALUE"""),"SEGIL SANTAMARIA, ADOLFO GIANFRANCO")</f>
        <v>SEGIL SANTAMARIA, ADOLFO GIANFRANCO</v>
      </c>
      <c r="E317" s="2" t="str">
        <f ca="1">IFERROR(__xludf.DUMMYFUNCTION("""COMPUTED_VALUE"""),"ASEGIL@BBVA.COM")</f>
        <v>ASEGIL@BBVA.COM</v>
      </c>
      <c r="F317" s="2" t="str">
        <f ca="1">IFERROR(__xludf.DUMMYFUNCTION("""COMPUTED_VALUE"""),"(B413)SUB GERENTE DE OFICINA C")</f>
        <v>(B413)SUB GERENTE DE OFICINA C</v>
      </c>
      <c r="G317" s="2" t="str">
        <f ca="1">IFERROR(__xludf.DUMMYFUNCTION("""COMPUTED_VALUE"""),"OFICINA VALLE SHARON")</f>
        <v>OFICINA VALLE SHARON</v>
      </c>
    </row>
    <row r="318" spans="1:7" x14ac:dyDescent="0.25">
      <c r="A318" s="2" t="str">
        <f ca="1">IFERROR(__xludf.DUMMYFUNCTION("""COMPUTED_VALUE"""),"0868")</f>
        <v>0868</v>
      </c>
      <c r="B318" s="2" t="str">
        <f ca="1">IFERROR(__xludf.DUMMYFUNCTION("""COMPUTED_VALUE"""),"OFICINA MALA")</f>
        <v>OFICINA MALA</v>
      </c>
      <c r="C318" s="2" t="str">
        <f ca="1">IFERROR(__xludf.DUMMYFUNCTION("""COMPUTED_VALUE"""),"P021613")</f>
        <v>P021613</v>
      </c>
      <c r="D318" s="2" t="str">
        <f ca="1">IFERROR(__xludf.DUMMYFUNCTION("""COMPUTED_VALUE"""),"VICENTE CABRERA, CRISTHIAN EMERSON")</f>
        <v>VICENTE CABRERA, CRISTHIAN EMERSON</v>
      </c>
      <c r="E318" s="2" t="str">
        <f ca="1">IFERROR(__xludf.DUMMYFUNCTION("""COMPUTED_VALUE"""),"CRISTHIAN.VICENTE@BBVA.COM")</f>
        <v>CRISTHIAN.VICENTE@BBVA.COM</v>
      </c>
      <c r="F318" s="2" t="str">
        <f ca="1">IFERROR(__xludf.DUMMYFUNCTION("""COMPUTED_VALUE"""),"(B417)SUB GERENTE DE OFICINA F")</f>
        <v>(B417)SUB GERENTE DE OFICINA F</v>
      </c>
      <c r="G318" s="2" t="str">
        <f ca="1">IFERROR(__xludf.DUMMYFUNCTION("""COMPUTED_VALUE"""),"OFICINA MALA")</f>
        <v>OFICINA MALA</v>
      </c>
    </row>
    <row r="319" spans="1:7" x14ac:dyDescent="0.25">
      <c r="A319" s="2" t="str">
        <f ca="1">IFERROR(__xludf.DUMMYFUNCTION("""COMPUTED_VALUE"""),"0876")</f>
        <v>0876</v>
      </c>
      <c r="B319" s="2" t="str">
        <f ca="1">IFERROR(__xludf.DUMMYFUNCTION("""COMPUTED_VALUE"""),"OFICINA JAVIER PRADO OESTE")</f>
        <v>OFICINA JAVIER PRADO OESTE</v>
      </c>
      <c r="C319" s="2" t="str">
        <f ca="1">IFERROR(__xludf.DUMMYFUNCTION("""COMPUTED_VALUE"""),"P016194")</f>
        <v>P016194</v>
      </c>
      <c r="D319" s="2" t="str">
        <f ca="1">IFERROR(__xludf.DUMMYFUNCTION("""COMPUTED_VALUE"""),"DE SOTO ODRIA, GONZALO DANIEL")</f>
        <v>DE SOTO ODRIA, GONZALO DANIEL</v>
      </c>
      <c r="E319" s="2" t="str">
        <f ca="1">IFERROR(__xludf.DUMMYFUNCTION("""COMPUTED_VALUE"""),"GDESOTO@BBVA.COM")</f>
        <v>GDESOTO@BBVA.COM</v>
      </c>
      <c r="F319" s="2" t="str">
        <f ca="1">IFERROR(__xludf.DUMMYFUNCTION("""COMPUTED_VALUE"""),"(B411)SUB GERENTE DE OFICINA A3")</f>
        <v>(B411)SUB GERENTE DE OFICINA A3</v>
      </c>
      <c r="G319" s="2" t="str">
        <f ca="1">IFERROR(__xludf.DUMMYFUNCTION("""COMPUTED_VALUE"""),"OFICINA JAVIER PRADO OESTE")</f>
        <v>OFICINA JAVIER PRADO OESTE</v>
      </c>
    </row>
    <row r="320" spans="1:7" x14ac:dyDescent="0.25">
      <c r="A320" s="2" t="str">
        <f ca="1">IFERROR(__xludf.DUMMYFUNCTION("""COMPUTED_VALUE"""),"0879")</f>
        <v>0879</v>
      </c>
      <c r="B320" s="2" t="str">
        <f ca="1">IFERROR(__xludf.DUMMYFUNCTION("""COMPUTED_VALUE"""),"OFICINA CENTRO COMERCIAL EL POLO PLAZA")</f>
        <v>OFICINA CENTRO COMERCIAL EL POLO PLAZA</v>
      </c>
      <c r="C320" s="2" t="str">
        <f ca="1">IFERROR(__xludf.DUMMYFUNCTION("""COMPUTED_VALUE"""),"P016189")</f>
        <v>P016189</v>
      </c>
      <c r="D320" s="2" t="str">
        <f ca="1">IFERROR(__xludf.DUMMYFUNCTION("""COMPUTED_VALUE"""),"ALEMAN TAVARA, MIRTHA MIA")</f>
        <v>ALEMAN TAVARA, MIRTHA MIA</v>
      </c>
      <c r="E320" s="2" t="str">
        <f ca="1">IFERROR(__xludf.DUMMYFUNCTION("""COMPUTED_VALUE"""),"MALEMAN@BBVA.COM")</f>
        <v>MALEMAN@BBVA.COM</v>
      </c>
      <c r="F320" s="2" t="str">
        <f ca="1">IFERROR(__xludf.DUMMYFUNCTION("""COMPUTED_VALUE"""),"(B414)SUB GERENTE DE OFICINA D")</f>
        <v>(B414)SUB GERENTE DE OFICINA D</v>
      </c>
      <c r="G320" s="2" t="str">
        <f ca="1">IFERROR(__xludf.DUMMYFUNCTION("""COMPUTED_VALUE"""),"OFICINA CENTRO COMERCIAL EL POLO PLAZA")</f>
        <v>OFICINA CENTRO COMERCIAL EL POLO PLAZA</v>
      </c>
    </row>
    <row r="321" spans="1:7" x14ac:dyDescent="0.25">
      <c r="A321" s="2" t="str">
        <f ca="1">IFERROR(__xludf.DUMMYFUNCTION("""COMPUTED_VALUE"""),"0891")</f>
        <v>0891</v>
      </c>
      <c r="B321" s="2" t="str">
        <f ca="1">IFERROR(__xludf.DUMMYFUNCTION("""COMPUTED_VALUE"""),"OFICINA RIOJA")</f>
        <v>OFICINA RIOJA</v>
      </c>
      <c r="C321" s="2" t="str">
        <f ca="1">IFERROR(__xludf.DUMMYFUNCTION("""COMPUTED_VALUE"""),"P014801")</f>
        <v>P014801</v>
      </c>
      <c r="D321" s="2" t="str">
        <f ca="1">IFERROR(__xludf.DUMMYFUNCTION("""COMPUTED_VALUE"""),"LOPEZ MUÑOZ, SANDRA KAROL")</f>
        <v>LOPEZ MUÑOZ, SANDRA KAROL</v>
      </c>
      <c r="E321" s="2" t="str">
        <f ca="1">IFERROR(__xludf.DUMMYFUNCTION("""COMPUTED_VALUE"""),"SANDRA.LOPEZM@BBVA.COM")</f>
        <v>SANDRA.LOPEZM@BBVA.COM</v>
      </c>
      <c r="F321" s="2" t="str">
        <f ca="1">IFERROR(__xludf.DUMMYFUNCTION("""COMPUTED_VALUE"""),"(B417)SUB GERENTE DE OFICINA F")</f>
        <v>(B417)SUB GERENTE DE OFICINA F</v>
      </c>
      <c r="G321" s="2" t="str">
        <f ca="1">IFERROR(__xludf.DUMMYFUNCTION("""COMPUTED_VALUE"""),"OFICINA RIOJA")</f>
        <v>OFICINA RIOJA</v>
      </c>
    </row>
    <row r="322" spans="1:7" x14ac:dyDescent="0.25">
      <c r="A322" s="2" t="str">
        <f ca="1">IFERROR(__xludf.DUMMYFUNCTION("""COMPUTED_VALUE"""),"0900")</f>
        <v>0900</v>
      </c>
      <c r="B322" s="2" t="str">
        <f ca="1">IFERROR(__xludf.DUMMYFUNCTION("""COMPUTED_VALUE"""),"OFICINA MALL PLAZA TRUJILLO")</f>
        <v>OFICINA MALL PLAZA TRUJILLO</v>
      </c>
      <c r="C322" s="2" t="str">
        <f ca="1">IFERROR(__xludf.DUMMYFUNCTION("""COMPUTED_VALUE"""),"P014818")</f>
        <v>P014818</v>
      </c>
      <c r="D322" s="2" t="str">
        <f ca="1">IFERROR(__xludf.DUMMYFUNCTION("""COMPUTED_VALUE"""),"ORDOÑEZ VILLAVICENCIO, VIVIANA VANESSA")</f>
        <v>ORDOÑEZ VILLAVICENCIO, VIVIANA VANESSA</v>
      </c>
      <c r="E322" s="2" t="str">
        <f ca="1">IFERROR(__xludf.DUMMYFUNCTION("""COMPUTED_VALUE"""),"VORDONEZ@BBVA.COM")</f>
        <v>VORDONEZ@BBVA.COM</v>
      </c>
      <c r="F322" s="2" t="str">
        <f ca="1">IFERROR(__xludf.DUMMYFUNCTION("""COMPUTED_VALUE"""),"(B414)SUB GERENTE DE OFICINA D")</f>
        <v>(B414)SUB GERENTE DE OFICINA D</v>
      </c>
      <c r="G322" s="2" t="str">
        <f ca="1">IFERROR(__xludf.DUMMYFUNCTION("""COMPUTED_VALUE"""),"OFICINA MALL PLAZA TRUJILLO")</f>
        <v>OFICINA MALL PLAZA TRUJILLO</v>
      </c>
    </row>
    <row r="323" spans="1:7" x14ac:dyDescent="0.25">
      <c r="A323" s="2" t="str">
        <f ca="1">IFERROR(__xludf.DUMMYFUNCTION("""COMPUTED_VALUE"""),"0908")</f>
        <v>0908</v>
      </c>
      <c r="B323" s="2" t="str">
        <f ca="1">IFERROR(__xludf.DUMMYFUNCTION("""COMPUTED_VALUE"""),"OFICINA YANAHUARA")</f>
        <v>OFICINA YANAHUARA</v>
      </c>
      <c r="C323" s="2" t="str">
        <f ca="1">IFERROR(__xludf.DUMMYFUNCTION("""COMPUTED_VALUE"""),"P031126")</f>
        <v>P031126</v>
      </c>
      <c r="D323" s="2" t="str">
        <f ca="1">IFERROR(__xludf.DUMMYFUNCTION("""COMPUTED_VALUE"""),"SANCHEZ ALCANTARA, TABIEL JOSEMARIA")</f>
        <v>SANCHEZ ALCANTARA, TABIEL JOSEMARIA</v>
      </c>
      <c r="E323" s="2" t="str">
        <f ca="1">IFERROR(__xludf.DUMMYFUNCTION("""COMPUTED_VALUE"""),"TABIEL.SANCHEZ@BBVA.COM")</f>
        <v>TABIEL.SANCHEZ@BBVA.COM</v>
      </c>
      <c r="F323" s="2" t="str">
        <f ca="1">IFERROR(__xludf.DUMMYFUNCTION("""COMPUTED_VALUE"""),"(B417)SUB GERENTE DE OFICINA F")</f>
        <v>(B417)SUB GERENTE DE OFICINA F</v>
      </c>
      <c r="G323" s="2" t="str">
        <f ca="1">IFERROR(__xludf.DUMMYFUNCTION("""COMPUTED_VALUE"""),"OFICINA YANAHUARA")</f>
        <v>OFICINA YANAHUARA</v>
      </c>
    </row>
    <row r="324" spans="1:7" x14ac:dyDescent="0.25">
      <c r="A324" s="2" t="str">
        <f ca="1">IFERROR(__xludf.DUMMYFUNCTION("""COMPUTED_VALUE"""),"0918")</f>
        <v>0918</v>
      </c>
      <c r="B324" s="2" t="str">
        <f ca="1">IFERROR(__xludf.DUMMYFUNCTION("""COMPUTED_VALUE"""),"OFICINA ESPEC REAL PLAZA TRUJILLO")</f>
        <v>OFICINA ESPEC REAL PLAZA TRUJILLO</v>
      </c>
      <c r="C324" s="2" t="str">
        <f ca="1">IFERROR(__xludf.DUMMYFUNCTION("""COMPUTED_VALUE"""),"P020248")</f>
        <v>P020248</v>
      </c>
      <c r="D324" s="2" t="str">
        <f ca="1">IFERROR(__xludf.DUMMYFUNCTION("""COMPUTED_VALUE"""),"RAMIREZ GONZALES, OSCAR JACOBO")</f>
        <v>RAMIREZ GONZALES, OSCAR JACOBO</v>
      </c>
      <c r="E324" s="2" t="str">
        <f ca="1">IFERROR(__xludf.DUMMYFUNCTION("""COMPUTED_VALUE"""),"OSCAR.RAMIREZ.GONZALES@BBVA.COM")</f>
        <v>OSCAR.RAMIREZ.GONZALES@BBVA.COM</v>
      </c>
      <c r="F324" s="2" t="str">
        <f ca="1">IFERROR(__xludf.DUMMYFUNCTION("""COMPUTED_VALUE"""),"(B415)SUB GERENTE DE OFICINA E")</f>
        <v>(B415)SUB GERENTE DE OFICINA E</v>
      </c>
      <c r="G324" s="2" t="str">
        <f ca="1">IFERROR(__xludf.DUMMYFUNCTION("""COMPUTED_VALUE"""),"OFICINA REAL PLAZA TRUJILLO")</f>
        <v>OFICINA REAL PLAZA TRUJILLO</v>
      </c>
    </row>
    <row r="325" spans="1:7" x14ac:dyDescent="0.25">
      <c r="A325" s="2" t="str">
        <f ca="1">IFERROR(__xludf.DUMMYFUNCTION("""COMPUTED_VALUE"""),"0921")</f>
        <v>0921</v>
      </c>
      <c r="B325" s="2" t="str">
        <f ca="1">IFERROR(__xludf.DUMMYFUNCTION("""COMPUTED_VALUE"""),"OFICINA LIMA CARGO CITY")</f>
        <v>OFICINA LIMA CARGO CITY</v>
      </c>
      <c r="C325" s="2" t="str">
        <f ca="1">IFERROR(__xludf.DUMMYFUNCTION("""COMPUTED_VALUE"""),"P012319")</f>
        <v>P012319</v>
      </c>
      <c r="D325" s="2" t="str">
        <f ca="1">IFERROR(__xludf.DUMMYFUNCTION("""COMPUTED_VALUE"""),"ALFARO BUSTAMANTE, NATALI MOSSI")</f>
        <v>ALFARO BUSTAMANTE, NATALI MOSSI</v>
      </c>
      <c r="E325" s="2" t="str">
        <f ca="1">IFERROR(__xludf.DUMMYFUNCTION("""COMPUTED_VALUE"""),"NATALI@BBVA.COM")</f>
        <v>NATALI@BBVA.COM</v>
      </c>
      <c r="F325" s="2" t="str">
        <f ca="1">IFERROR(__xludf.DUMMYFUNCTION("""COMPUTED_VALUE"""),"(B412)SUB GERENTE DE OFICINA B")</f>
        <v>(B412)SUB GERENTE DE OFICINA B</v>
      </c>
      <c r="G325" s="2" t="str">
        <f ca="1">IFERROR(__xludf.DUMMYFUNCTION("""COMPUTED_VALUE"""),"OFICINA LIMA CARGO CITY")</f>
        <v>OFICINA LIMA CARGO CITY</v>
      </c>
    </row>
    <row r="326" spans="1:7" x14ac:dyDescent="0.25">
      <c r="A326" s="2" t="str">
        <f ca="1">IFERROR(__xludf.DUMMYFUNCTION("""COMPUTED_VALUE"""),"0933")</f>
        <v>0933</v>
      </c>
      <c r="B326" s="2" t="str">
        <f ca="1">IFERROR(__xludf.DUMMYFUNCTION("""COMPUTED_VALUE"""),"OFICINA LURÍN")</f>
        <v>OFICINA LURÍN</v>
      </c>
      <c r="C326" s="2" t="str">
        <f ca="1">IFERROR(__xludf.DUMMYFUNCTION("""COMPUTED_VALUE"""),"P027530")</f>
        <v>P027530</v>
      </c>
      <c r="D326" s="2" t="str">
        <f ca="1">IFERROR(__xludf.DUMMYFUNCTION("""COMPUTED_VALUE"""),"LAU VENTURA, MARGORIE MASSIEL")</f>
        <v>LAU VENTURA, MARGORIE MASSIEL</v>
      </c>
      <c r="E326" s="2" t="str">
        <f ca="1">IFERROR(__xludf.DUMMYFUNCTION("""COMPUTED_VALUE"""),"MARGORIE.LAU@BBVA.COM")</f>
        <v>MARGORIE.LAU@BBVA.COM</v>
      </c>
      <c r="F326" s="2" t="str">
        <f ca="1">IFERROR(__xludf.DUMMYFUNCTION("""COMPUTED_VALUE"""),"(B415)SUB GERENTE DE OFICINA E")</f>
        <v>(B415)SUB GERENTE DE OFICINA E</v>
      </c>
      <c r="G326" s="2" t="str">
        <f ca="1">IFERROR(__xludf.DUMMYFUNCTION("""COMPUTED_VALUE"""),"OFICINA LURIN")</f>
        <v>OFICINA LURIN</v>
      </c>
    </row>
    <row r="327" spans="1:7" x14ac:dyDescent="0.25">
      <c r="A327" s="2" t="str">
        <f ca="1">IFERROR(__xludf.DUMMYFUNCTION("""COMPUTED_VALUE"""),"0939")</f>
        <v>0939</v>
      </c>
      <c r="B327" s="2" t="str">
        <f ca="1">IFERROR(__xludf.DUMMYFUNCTION("""COMPUTED_VALUE"""),"OFICINA OVALO MIRAFLORES")</f>
        <v>OFICINA OVALO MIRAFLORES</v>
      </c>
      <c r="C327" s="2" t="str">
        <f ca="1">IFERROR(__xludf.DUMMYFUNCTION("""COMPUTED_VALUE"""),"P025041")</f>
        <v>P025041</v>
      </c>
      <c r="D327" s="2" t="str">
        <f ca="1">IFERROR(__xludf.DUMMYFUNCTION("""COMPUTED_VALUE"""),"LOZANO GUTIERREZ, KATHERINE LESLY")</f>
        <v>LOZANO GUTIERREZ, KATHERINE LESLY</v>
      </c>
      <c r="E327" s="2" t="str">
        <f ca="1">IFERROR(__xludf.DUMMYFUNCTION("""COMPUTED_VALUE"""),"KATHERINE.LOZANO@BBVA.COM")</f>
        <v>KATHERINE.LOZANO@BBVA.COM</v>
      </c>
      <c r="F327" s="2" t="str">
        <f ca="1">IFERROR(__xludf.DUMMYFUNCTION("""COMPUTED_VALUE"""),"(B417)SUB GERENTE DE OFICINA F")</f>
        <v>(B417)SUB GERENTE DE OFICINA F</v>
      </c>
      <c r="G327" s="2" t="str">
        <f ca="1">IFERROR(__xludf.DUMMYFUNCTION("""COMPUTED_VALUE"""),"OFICINA OVALO MIRAFLORES")</f>
        <v>OFICINA OVALO MIRAFLORES</v>
      </c>
    </row>
    <row r="328" spans="1:7" x14ac:dyDescent="0.25">
      <c r="A328" s="2" t="str">
        <f ca="1">IFERROR(__xludf.DUMMYFUNCTION("""COMPUTED_VALUE"""),"0960")</f>
        <v>0960</v>
      </c>
      <c r="B328" s="2" t="str">
        <f ca="1">IFERROR(__xludf.DUMMYFUNCTION("""COMPUTED_VALUE"""),"OFICINA PLAZA SAN JOSÉ")</f>
        <v>OFICINA PLAZA SAN JOSÉ</v>
      </c>
      <c r="C328" s="2" t="str">
        <f ca="1">IFERROR(__xludf.DUMMYFUNCTION("""COMPUTED_VALUE"""),"P008518")</f>
        <v>P008518</v>
      </c>
      <c r="D328" s="2" t="str">
        <f ca="1">IFERROR(__xludf.DUMMYFUNCTION("""COMPUTED_VALUE"""),"POGGI FALCON, ANGELI")</f>
        <v>POGGI FALCON, ANGELI</v>
      </c>
      <c r="E328" s="2" t="str">
        <f ca="1">IFERROR(__xludf.DUMMYFUNCTION("""COMPUTED_VALUE"""),"APOGGI@BBVA.COM")</f>
        <v>APOGGI@BBVA.COM</v>
      </c>
      <c r="F328" s="2" t="str">
        <f ca="1">IFERROR(__xludf.DUMMYFUNCTION("""COMPUTED_VALUE"""),"(B417)SUB GERENTE DE OFICINA F")</f>
        <v>(B417)SUB GERENTE DE OFICINA F</v>
      </c>
      <c r="G328" s="2" t="str">
        <f ca="1">IFERROR(__xludf.DUMMYFUNCTION("""COMPUTED_VALUE"""),"OFICINA PLAZA SAN JOSE")</f>
        <v>OFICINA PLAZA SAN JOSE</v>
      </c>
    </row>
    <row r="329" spans="1:7" x14ac:dyDescent="0.25">
      <c r="A329" s="2" t="str">
        <f ca="1">IFERROR(__xludf.DUMMYFUNCTION("""COMPUTED_VALUE"""),"0970")</f>
        <v>0970</v>
      </c>
      <c r="B329" s="2" t="str">
        <f ca="1">IFERROR(__xludf.DUMMYFUNCTION("""COMPUTED_VALUE"""),"OFICINA NARANJAL")</f>
        <v>OFICINA NARANJAL</v>
      </c>
      <c r="C329" s="2" t="str">
        <f ca="1">IFERROR(__xludf.DUMMYFUNCTION("""COMPUTED_VALUE"""),"P024382")</f>
        <v>P024382</v>
      </c>
      <c r="D329" s="2" t="str">
        <f ca="1">IFERROR(__xludf.DUMMYFUNCTION("""COMPUTED_VALUE"""),"SILVANO PACAYA, RUTH ADILIA")</f>
        <v>SILVANO PACAYA, RUTH ADILIA</v>
      </c>
      <c r="E329" s="2" t="str">
        <f ca="1">IFERROR(__xludf.DUMMYFUNCTION("""COMPUTED_VALUE"""),"RUTH.SILVANO@BBVA.COM")</f>
        <v>RUTH.SILVANO@BBVA.COM</v>
      </c>
      <c r="F329" s="2" t="str">
        <f ca="1">IFERROR(__xludf.DUMMYFUNCTION("""COMPUTED_VALUE"""),"(B417)SUB GERENTE DE OFICINA F")</f>
        <v>(B417)SUB GERENTE DE OFICINA F</v>
      </c>
      <c r="G329" s="2" t="str">
        <f ca="1">IFERROR(__xludf.DUMMYFUNCTION("""COMPUTED_VALUE"""),"OFICINA OVALO NARANJAL")</f>
        <v>OFICINA OVALO NARANJAL</v>
      </c>
    </row>
    <row r="330" spans="1:7" x14ac:dyDescent="0.25">
      <c r="A330" s="2" t="str">
        <f ca="1">IFERROR(__xludf.DUMMYFUNCTION("""COMPUTED_VALUE"""),"0976")</f>
        <v>0976</v>
      </c>
      <c r="B330" s="2" t="str">
        <f ca="1">IFERROR(__xludf.DUMMYFUNCTION("""COMPUTED_VALUE"""),"OFICINA LAS BAMBAS")</f>
        <v>OFICINA LAS BAMBAS</v>
      </c>
      <c r="C330" s="2" t="str">
        <f ca="1">IFERROR(__xludf.DUMMYFUNCTION("""COMPUTED_VALUE"""),"P030256")</f>
        <v>P030256</v>
      </c>
      <c r="D330" s="2" t="str">
        <f ca="1">IFERROR(__xludf.DUMMYFUNCTION("""COMPUTED_VALUE"""),"CONTRERAS LLICA, IVONNE MARIANA")</f>
        <v>CONTRERAS LLICA, IVONNE MARIANA</v>
      </c>
      <c r="E330" s="2" t="str">
        <f ca="1">IFERROR(__xludf.DUMMYFUNCTION("""COMPUTED_VALUE"""),"IVONNE.CONTRERAS@BBVA.COM")</f>
        <v>IVONNE.CONTRERAS@BBVA.COM</v>
      </c>
      <c r="F330" s="2" t="str">
        <f ca="1">IFERROR(__xludf.DUMMYFUNCTION("""COMPUTED_VALUE"""),"(B417)SUB GERENTE DE OFICINA F")</f>
        <v>(B417)SUB GERENTE DE OFICINA F</v>
      </c>
      <c r="G330" s="2" t="str">
        <f ca="1">IFERROR(__xludf.DUMMYFUNCTION("""COMPUTED_VALUE"""),"OFICINA LAS BAMBAS")</f>
        <v>OFICINA LAS BAMBAS</v>
      </c>
    </row>
    <row r="331" spans="1:7" x14ac:dyDescent="0.25">
      <c r="A331" s="2" t="str">
        <f ca="1">IFERROR(__xludf.DUMMYFUNCTION("""COMPUTED_VALUE"""),"0982")</f>
        <v>0982</v>
      </c>
      <c r="B331" s="2" t="str">
        <f ca="1">IFERROR(__xludf.DUMMYFUNCTION("""COMPUTED_VALUE"""),"OFICINA OPEN PLAZA PUCALLPA")</f>
        <v>OFICINA OPEN PLAZA PUCALLPA</v>
      </c>
      <c r="C331" s="2" t="str">
        <f ca="1">IFERROR(__xludf.DUMMYFUNCTION("""COMPUTED_VALUE"""),"P021028")</f>
        <v>P021028</v>
      </c>
      <c r="D331" s="2" t="str">
        <f ca="1">IFERROR(__xludf.DUMMYFUNCTION("""COMPUTED_VALUE"""),"CALDERON CASTRO, ASTRID CRISTINA")</f>
        <v>CALDERON CASTRO, ASTRID CRISTINA</v>
      </c>
      <c r="E331" s="2" t="str">
        <f ca="1">IFERROR(__xludf.DUMMYFUNCTION("""COMPUTED_VALUE"""),"ASTRID.CALDERON@BBVA.COM")</f>
        <v>ASTRID.CALDERON@BBVA.COM</v>
      </c>
      <c r="F331" s="2" t="str">
        <f ca="1">IFERROR(__xludf.DUMMYFUNCTION("""COMPUTED_VALUE"""),"(B417)SUB GERENTE DE OFICINA F")</f>
        <v>(B417)SUB GERENTE DE OFICINA F</v>
      </c>
      <c r="G331" s="2" t="str">
        <f ca="1">IFERROR(__xludf.DUMMYFUNCTION("""COMPUTED_VALUE"""),"OFICINA OPEN PLAZA PUCALLPA")</f>
        <v>OFICINA OPEN PLAZA PUCALLPA</v>
      </c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CONSOLIDADO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IRIARTE VIDANGOS MIRKO ISMAEL</cp:lastModifiedBy>
  <cp:revision>0</cp:revision>
  <dcterms:modified xsi:type="dcterms:W3CDTF">2024-08-14T15:42:16Z</dcterms:modified>
  <dc:language>es-PE</dc:language>
</cp:coreProperties>
</file>