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iryap/Desktop/"/>
    </mc:Choice>
  </mc:AlternateContent>
  <xr:revisionPtr revIDLastSave="0" documentId="8_{07CA1630-E486-9C42-B3EB-F4C46B9A141E}" xr6:coauthVersionLast="43" xr6:coauthVersionMax="43" xr10:uidLastSave="{00000000-0000-0000-0000-000000000000}"/>
  <bookViews>
    <workbookView xWindow="0" yWindow="0" windowWidth="33600" windowHeight="21000" activeTab="5" xr2:uid="{F9C33181-A1F9-FE4F-B742-EA274CA83B71}"/>
  </bookViews>
  <sheets>
    <sheet name="model check" sheetId="7" r:id="rId1"/>
    <sheet name="variation of parameters" sheetId="1" r:id="rId2"/>
    <sheet name="parameters I want to track " sheetId="2" r:id="rId3"/>
    <sheet name="total capital investment " sheetId="5" r:id="rId4"/>
    <sheet name="varioations for podgon" sheetId="6" r:id="rId5"/>
    <sheet name="Sheet2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8" l="1"/>
  <c r="AH5" i="8"/>
  <c r="AH6" i="8"/>
  <c r="AH3" i="8"/>
  <c r="AF6" i="8"/>
  <c r="X5" i="8"/>
  <c r="AF3" i="8"/>
  <c r="AF4" i="8"/>
  <c r="AF5" i="8"/>
  <c r="AF7" i="8"/>
  <c r="AG7" i="8"/>
  <c r="AG4" i="8"/>
  <c r="AG5" i="8"/>
  <c r="AG6" i="8"/>
  <c r="AG3" i="8"/>
  <c r="AE4" i="8"/>
  <c r="AE5" i="8"/>
  <c r="AE6" i="8"/>
  <c r="AE7" i="8"/>
  <c r="AE3" i="8"/>
  <c r="AD4" i="8"/>
  <c r="AD5" i="8"/>
  <c r="AD6" i="8"/>
  <c r="AD7" i="8"/>
  <c r="AD3" i="8"/>
  <c r="AC4" i="8"/>
  <c r="AC5" i="8"/>
  <c r="AC6" i="8"/>
  <c r="AC3" i="8"/>
  <c r="AB3" i="8"/>
  <c r="J3" i="8"/>
  <c r="I4" i="8"/>
  <c r="I5" i="8"/>
  <c r="J5" i="8" s="1"/>
  <c r="M5" i="8" s="1"/>
  <c r="I6" i="8"/>
  <c r="I3" i="8"/>
  <c r="F4" i="8"/>
  <c r="F5" i="8"/>
  <c r="F6" i="8"/>
  <c r="F3" i="8"/>
  <c r="G3" i="8"/>
  <c r="AA7" i="8"/>
  <c r="Z4" i="8"/>
  <c r="Z5" i="8"/>
  <c r="Z6" i="8"/>
  <c r="Z7" i="8"/>
  <c r="Z3" i="8"/>
  <c r="Y7" i="8"/>
  <c r="X7" i="8"/>
  <c r="W7" i="8"/>
  <c r="V7" i="8"/>
  <c r="U7" i="8"/>
  <c r="T7" i="8"/>
  <c r="S7" i="8"/>
  <c r="R7" i="8"/>
  <c r="Q7" i="8"/>
  <c r="P7" i="8"/>
  <c r="O7" i="8"/>
  <c r="N7" i="8"/>
  <c r="A3" i="8"/>
  <c r="M7" i="8"/>
  <c r="J4" i="8"/>
  <c r="M4" i="8" s="1"/>
  <c r="N4" i="8" s="1"/>
  <c r="J6" i="8"/>
  <c r="M6" i="8" s="1"/>
  <c r="N6" i="8" s="1"/>
  <c r="M3" i="8"/>
  <c r="N3" i="8" s="1"/>
  <c r="G4" i="8"/>
  <c r="G5" i="8"/>
  <c r="G6" i="8"/>
  <c r="E4" i="8"/>
  <c r="E5" i="8"/>
  <c r="E6" i="8"/>
  <c r="E3" i="8"/>
  <c r="C2" i="5"/>
  <c r="N5" i="8" l="1"/>
  <c r="P5" i="8"/>
  <c r="O5" i="8"/>
  <c r="O4" i="8"/>
  <c r="O6" i="8"/>
  <c r="P6" i="8"/>
  <c r="Q6" i="8" s="1"/>
  <c r="U6" i="8" s="1"/>
  <c r="P4" i="8"/>
  <c r="Q4" i="8" s="1"/>
  <c r="R4" i="8" s="1"/>
  <c r="P3" i="8"/>
  <c r="O3" i="8"/>
  <c r="Q3" i="8"/>
  <c r="R6" i="8"/>
  <c r="T6" i="8"/>
  <c r="T4" i="8"/>
  <c r="V4" i="8"/>
  <c r="S4" i="8"/>
  <c r="U4" i="8"/>
  <c r="E18" i="7"/>
  <c r="A7" i="7"/>
  <c r="D27" i="7"/>
  <c r="D25" i="7"/>
  <c r="D22" i="7"/>
  <c r="D23" i="7"/>
  <c r="D24" i="7"/>
  <c r="D3" i="7"/>
  <c r="D4" i="7"/>
  <c r="D5" i="7"/>
  <c r="D2" i="7"/>
  <c r="V6" i="8" l="1"/>
  <c r="W6" i="8" s="1"/>
  <c r="X6" i="8" s="1"/>
  <c r="Q5" i="8"/>
  <c r="S6" i="8"/>
  <c r="T3" i="8"/>
  <c r="S3" i="8"/>
  <c r="R3" i="8"/>
  <c r="V3" i="8"/>
  <c r="U3" i="8"/>
  <c r="W4" i="8"/>
  <c r="X4" i="8" s="1"/>
  <c r="C17" i="5"/>
  <c r="E8" i="5"/>
  <c r="D8" i="5"/>
  <c r="D3" i="5"/>
  <c r="D4" i="5" s="1"/>
  <c r="D2" i="5"/>
  <c r="C8" i="5"/>
  <c r="C3" i="5"/>
  <c r="C4" i="5" s="1"/>
  <c r="B3" i="5"/>
  <c r="B4" i="5" s="1"/>
  <c r="B5" i="5" s="1"/>
  <c r="B6" i="5" s="1"/>
  <c r="B7" i="5" s="1"/>
  <c r="U5" i="8" l="1"/>
  <c r="R5" i="8"/>
  <c r="S5" i="8"/>
  <c r="T5" i="8"/>
  <c r="V5" i="8"/>
  <c r="W3" i="8"/>
  <c r="X3" i="8" s="1"/>
  <c r="Y6" i="8"/>
  <c r="AA6" i="8"/>
  <c r="Y4" i="8"/>
  <c r="AA4" i="8" s="1"/>
  <c r="C5" i="5"/>
  <c r="C6" i="5" s="1"/>
  <c r="D5" i="5"/>
  <c r="D6" i="5" s="1"/>
  <c r="E2" i="5"/>
  <c r="E3" i="5"/>
  <c r="B9" i="5"/>
  <c r="W5" i="8" l="1"/>
  <c r="Y5" i="8" s="1"/>
  <c r="AA5" i="8" s="1"/>
  <c r="Y3" i="8"/>
  <c r="AA3" i="8" s="1"/>
  <c r="D7" i="5"/>
  <c r="D9" i="5"/>
  <c r="C7" i="5"/>
  <c r="C9" i="5" s="1"/>
  <c r="E4" i="5"/>
  <c r="E5" i="5" s="1"/>
  <c r="E6" i="5" l="1"/>
  <c r="E7" i="5" s="1"/>
  <c r="E9" i="5" s="1"/>
</calcChain>
</file>

<file path=xl/sharedStrings.xml><?xml version="1.0" encoding="utf-8"?>
<sst xmlns="http://schemas.openxmlformats.org/spreadsheetml/2006/main" count="317" uniqueCount="169">
  <si>
    <t>Multiplier for Maturity Factors</t>
  </si>
  <si>
    <t>CA</t>
  </si>
  <si>
    <t>CAFO</t>
  </si>
  <si>
    <t>WWTP</t>
  </si>
  <si>
    <t>ROTUS</t>
  </si>
  <si>
    <t>HTL</t>
  </si>
  <si>
    <t>Partial Investment - ON (1)</t>
  </si>
  <si>
    <t>Initia Indicesl PC Maturity</t>
  </si>
  <si>
    <t>Outputs</t>
  </si>
  <si>
    <t>Global Energy production by CAFO</t>
  </si>
  <si>
    <t>Global Energy production by POTW</t>
  </si>
  <si>
    <t>CA Yearly Energy Production for HTL</t>
  </si>
  <si>
    <t>ROTUS Yearly Energy Production for HTL</t>
  </si>
  <si>
    <t>facilites by type and size and configuration: Dairy - CAFO Small, Med, and Large</t>
  </si>
  <si>
    <t>Yearly Energy Production by Configuration</t>
  </si>
  <si>
    <t>Yearly Energy Production by Size and Configuration</t>
  </si>
  <si>
    <t>Total Energy Potential</t>
  </si>
  <si>
    <t>Yearly Energy Potential by Configuration - HTL: Just to compare with Total Energy Potentail and share of HTL/ other technologies</t>
  </si>
  <si>
    <t>Per Facility Methane Potntial - HTL</t>
  </si>
  <si>
    <t>Unusable methane - HTL- CAFO Small, Med, and Large</t>
  </si>
  <si>
    <t>Installations by invest scale config</t>
  </si>
  <si>
    <t>CAFO Outputs (CA, ROTUS)</t>
  </si>
  <si>
    <t>NPV and Invest Logic detail</t>
  </si>
  <si>
    <t xml:space="preserve">Required Rate of Return </t>
  </si>
  <si>
    <t>Global Inputs</t>
  </si>
  <si>
    <t>State of Industry Multipliers</t>
  </si>
  <si>
    <t>Unit Revenue GJ</t>
  </si>
  <si>
    <t>Per Facility Product Production</t>
  </si>
  <si>
    <t>Expected Revenues Net of Operating Cost</t>
  </si>
  <si>
    <t>Normalized NPV input</t>
  </si>
  <si>
    <t>Relative Attractiveness 25-75</t>
  </si>
  <si>
    <t>Scenario Inpout Unit (Oil crude) Price</t>
  </si>
  <si>
    <t>Cumulative PC Maturity</t>
  </si>
  <si>
    <t>PC Maturity</t>
  </si>
  <si>
    <t>PC Multipliers</t>
  </si>
  <si>
    <t>Cumulative Commercial Experience</t>
  </si>
  <si>
    <t>Commercial Maturity</t>
  </si>
  <si>
    <t>WWTP Outputs (CA, ROTUS)</t>
  </si>
  <si>
    <t>facilites by type and size and configuration: 0 to1, 1 to 10, 10 to 100, 100 up</t>
  </si>
  <si>
    <t>Per Facility Methane Potential WWTP Influx</t>
  </si>
  <si>
    <t xml:space="preserve">Per Facility Methane Potential SB 1383 </t>
  </si>
  <si>
    <t>Unusable methane - HTL- 0to1, 1 to 10, 10 to 100, 100 up</t>
  </si>
  <si>
    <t xml:space="preserve">Mature Industry Product Yield sb 1383 </t>
  </si>
  <si>
    <t>SB 1383 Product Production</t>
  </si>
  <si>
    <t>Per facility Revenue Input</t>
  </si>
  <si>
    <t>Total Revenue Requirement</t>
  </si>
  <si>
    <t>Rate Based Revenue Input</t>
  </si>
  <si>
    <t>Annual Solids Outflux</t>
  </si>
  <si>
    <t>Diverted Solids Outflux</t>
  </si>
  <si>
    <t>Solids Outflux to Landfill</t>
  </si>
  <si>
    <t xml:space="preserve">Input </t>
  </si>
  <si>
    <t>Output</t>
  </si>
  <si>
    <t>Run 8</t>
  </si>
  <si>
    <t>Run 9</t>
  </si>
  <si>
    <t>Run 10</t>
  </si>
  <si>
    <t>Partial Investment - OFF (0)</t>
  </si>
  <si>
    <t>Run 11</t>
  </si>
  <si>
    <t>Run 12</t>
  </si>
  <si>
    <t>Run 13</t>
  </si>
  <si>
    <t>Run 14</t>
  </si>
  <si>
    <t xml:space="preserve">Run 15 </t>
  </si>
  <si>
    <t>Run 15</t>
  </si>
  <si>
    <t>Run 16</t>
  </si>
  <si>
    <t xml:space="preserve">Run 17 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</si>
  <si>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</si>
  <si>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</si>
  <si>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</si>
  <si>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</si>
  <si>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</si>
  <si>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</si>
  <si>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</si>
  <si>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</si>
  <si>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</si>
  <si>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Annual Solids Influx</t>
  </si>
  <si>
    <t>mannure tipping op cost fee</t>
  </si>
  <si>
    <t>sludge tipping fee</t>
  </si>
  <si>
    <t>start with large one</t>
  </si>
  <si>
    <t>start with bigger one (10-100, 100 - up)</t>
  </si>
  <si>
    <t>decompos organics from solids</t>
  </si>
  <si>
    <t>Total installed capital cost</t>
  </si>
  <si>
    <t>Total direct cost (18.5% TIC)</t>
  </si>
  <si>
    <t>Total Indirect cost (60%of TDC)</t>
  </si>
  <si>
    <t>Fixed Captial Investment</t>
  </si>
  <si>
    <t>Working cap(5% of FCI)</t>
  </si>
  <si>
    <t>land</t>
  </si>
  <si>
    <t>TCI</t>
  </si>
  <si>
    <t>book - 2014, CE=576.1</t>
  </si>
  <si>
    <t xml:space="preserve">Total Direct cost </t>
  </si>
  <si>
    <t xml:space="preserve">2015- CE - 570,5 - 100 </t>
  </si>
  <si>
    <t xml:space="preserve">2015-scale 10 ton - use of sixth tenth rule </t>
  </si>
  <si>
    <t>1 ton</t>
  </si>
  <si>
    <t>partial investment - OFF (0)</t>
  </si>
  <si>
    <t>partial investment - ON (1)</t>
  </si>
  <si>
    <t>now</t>
  </si>
  <si>
    <t>podgon</t>
  </si>
  <si>
    <t xml:space="preserve">expexted operating cost= 1, unit revenue input GJ  =1 </t>
  </si>
  <si>
    <t>expexted operating cost=1, unit revenue input GJ  =1</t>
  </si>
  <si>
    <t>expexted operating cost= 1, unit revenue input GJ = 50</t>
  </si>
  <si>
    <t>expexted operating cost = 1, unit revenue input GJ = 50</t>
  </si>
  <si>
    <t>expexted operating cost= 1, unit revenue input GJ = 100</t>
  </si>
  <si>
    <t>expexted operating cost = 1, unit revenue input GJ = 100</t>
  </si>
  <si>
    <t xml:space="preserve">expexted operating cost =0.1,unit revenue input GJ =1 </t>
  </si>
  <si>
    <t>expexted operating cost = 0.1, unit revenue input GJ = 1</t>
  </si>
  <si>
    <t>No changes</t>
  </si>
  <si>
    <t>Expected Op Cost Input</t>
  </si>
  <si>
    <t>Exp Op Cost</t>
  </si>
  <si>
    <t>10 TIMES LESS</t>
  </si>
  <si>
    <t>WWTP 0_1</t>
  </si>
  <si>
    <t>WWTP 1_10</t>
  </si>
  <si>
    <t>WWTP 10_100</t>
  </si>
  <si>
    <t>WWTP 100UP</t>
  </si>
  <si>
    <t>18.8k</t>
  </si>
  <si>
    <t>174K</t>
  </si>
  <si>
    <t xml:space="preserve">1.18M </t>
  </si>
  <si>
    <t xml:space="preserve">9.71M </t>
  </si>
  <si>
    <t>0-1</t>
  </si>
  <si>
    <t>1_10</t>
  </si>
  <si>
    <t>10_100</t>
  </si>
  <si>
    <t>100up</t>
  </si>
  <si>
    <t>days per year</t>
  </si>
  <si>
    <t>solid influx - mln gallon per day</t>
  </si>
  <si>
    <t>ash content</t>
  </si>
  <si>
    <t>solids yield ash free/ ton per tonne</t>
  </si>
  <si>
    <t>ton per tonne</t>
  </si>
  <si>
    <t>solids potential energy yield</t>
  </si>
  <si>
    <t>sludge per wastewater (sludge density)</t>
  </si>
  <si>
    <t>facility influx - mln gal per year</t>
  </si>
  <si>
    <t>frac POTW influx to coproduct</t>
  </si>
  <si>
    <t xml:space="preserve">facility influx to coproduct </t>
  </si>
  <si>
    <t>no capture</t>
  </si>
  <si>
    <t>have capture</t>
  </si>
  <si>
    <t>Overal installation factor (total installed cost/ scaled uninstalled cost) (PNNL Ap.B)</t>
  </si>
  <si>
    <t xml:space="preserve">scaled unistalled cost 2014 - 110 </t>
  </si>
  <si>
    <t>Size (mln gal/ day)</t>
  </si>
  <si>
    <t>biosolids ash free, tonne/ year</t>
  </si>
  <si>
    <t xml:space="preserve">biosolids ash free in base case, tonne per year </t>
  </si>
  <si>
    <t>sixth tenth</t>
  </si>
  <si>
    <t>scaled uninstalled cost 2014 (sixth tength)</t>
  </si>
  <si>
    <t>CE 2014</t>
  </si>
  <si>
    <t>CE 2015 - base year  for WESyS</t>
  </si>
  <si>
    <t>scaled uninstalled cost 2015 (sixth tength)</t>
  </si>
  <si>
    <t>Total installed cost - scaled INSTALLED cost - 2015</t>
  </si>
  <si>
    <t>Direct cost</t>
  </si>
  <si>
    <t>buildings (4% TIC)</t>
  </si>
  <si>
    <t>site development (10% TIC)</t>
  </si>
  <si>
    <t>additional piping (4.5% TIC)</t>
  </si>
  <si>
    <t>total direct cost</t>
  </si>
  <si>
    <t>Indirect cost</t>
  </si>
  <si>
    <t>Prorated expenses (10% TDC)</t>
  </si>
  <si>
    <t xml:space="preserve">Home office &amp; construction fees (20% TDC) </t>
  </si>
  <si>
    <t xml:space="preserve">Field expenses (10% TDC) </t>
  </si>
  <si>
    <t xml:space="preserve">Project contingency (10% TDC) </t>
  </si>
  <si>
    <t xml:space="preserve">Startup and permits (10% TDC) </t>
  </si>
  <si>
    <t>total indirect cost</t>
  </si>
  <si>
    <t>Fixed Capital Investment</t>
  </si>
  <si>
    <t>Working capital (5% FCI)</t>
  </si>
  <si>
    <t>Land (0.009)</t>
  </si>
  <si>
    <t>Total Capital Investment</t>
  </si>
  <si>
    <t>scale factor-2</t>
  </si>
  <si>
    <t>scale factor - 1 (based on influx)</t>
  </si>
  <si>
    <t>HTL Variable Operating cost 2014</t>
  </si>
  <si>
    <t>HTL variable op cost scaled</t>
  </si>
  <si>
    <t>HTL - fixed op cost - labor&amp;supervision</t>
  </si>
  <si>
    <t>HTL fixed op cost- maintenance and overhead - 90% pof labor and supervision</t>
  </si>
  <si>
    <t>HTL - fixed op cost - maintenance capital (3% TIC)</t>
  </si>
  <si>
    <t>Insurance and Taxes (0.7% FCI)</t>
  </si>
  <si>
    <t>HJTL operating cost</t>
  </si>
  <si>
    <t>total operating cost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</si>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</sst>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 applyAlignment="1">
      <alignment horizontal="left" indent="2"/>
    </xf>
    <xf numFmtId="0" fontId="0" fillId="0" borderId="7" xfId="0" applyBorder="1" applyAlignment="1">
      <alignment horizontal="left" indent="2"/>
    </xf>
    <xf numFmtId="0" fontId="0" fillId="0" borderId="8" xfId="0" applyBorder="1"/>
    <xf numFmtId="0" fontId="0" fillId="0" borderId="12" xfId="0" applyBorder="1"/>
    <xf numFmtId="0" fontId="0" fillId="0" borderId="0" xfId="0" applyBorder="1"/>
    <xf numFmtId="0" fontId="2" fillId="0" borderId="0" xfId="0" applyFont="1"/>
    <xf numFmtId="0" fontId="0" fillId="0" borderId="9" xfId="0" applyBorder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12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1" xfId="0" applyFill="1" applyBorder="1" applyAlignment="1">
      <alignment vertical="top"/>
    </xf>
    <xf numFmtId="0" fontId="0" fillId="0" borderId="22" xfId="0" applyFill="1" applyBorder="1" applyAlignment="1">
      <alignment vertical="top"/>
    </xf>
    <xf numFmtId="0" fontId="1" fillId="0" borderId="0" xfId="0" applyFont="1" applyAlignment="1"/>
    <xf numFmtId="0" fontId="3" fillId="0" borderId="20" xfId="0" applyFont="1" applyBorder="1" applyAlignment="1">
      <alignment horizontal="left"/>
    </xf>
    <xf numFmtId="0" fontId="0" fillId="0" borderId="21" xfId="0" applyBorder="1" applyAlignment="1"/>
    <xf numFmtId="0" fontId="0" fillId="0" borderId="0" xfId="0" applyAlignment="1"/>
    <xf numFmtId="0" fontId="3" fillId="0" borderId="9" xfId="0" applyFont="1" applyBorder="1" applyAlignment="1">
      <alignment horizontal="left"/>
    </xf>
    <xf numFmtId="0" fontId="0" fillId="0" borderId="5" xfId="0" applyBorder="1" applyAlignment="1"/>
    <xf numFmtId="0" fontId="0" fillId="0" borderId="14" xfId="0" applyBorder="1" applyAlignment="1">
      <alignment wrapText="1"/>
    </xf>
    <xf numFmtId="0" fontId="3" fillId="0" borderId="9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12" xfId="0" applyFill="1" applyBorder="1" applyAlignment="1">
      <alignment vertical="top"/>
    </xf>
    <xf numFmtId="0" fontId="0" fillId="0" borderId="14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2" borderId="10" xfId="0" applyFill="1" applyBorder="1" applyAlignment="1"/>
    <xf numFmtId="0" fontId="0" fillId="2" borderId="0" xfId="0" applyFill="1" applyBorder="1" applyAlignment="1"/>
    <xf numFmtId="0" fontId="0" fillId="2" borderId="15" xfId="0" applyFill="1" applyBorder="1" applyAlignment="1"/>
    <xf numFmtId="0" fontId="0" fillId="2" borderId="20" xfId="0" applyFill="1" applyBorder="1" applyAlignment="1"/>
    <xf numFmtId="0" fontId="0" fillId="2" borderId="21" xfId="0" applyFill="1" applyBorder="1" applyAlignment="1"/>
    <xf numFmtId="0" fontId="0" fillId="2" borderId="22" xfId="0" applyFill="1" applyBorder="1" applyAlignment="1"/>
    <xf numFmtId="0" fontId="0" fillId="0" borderId="2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2" xfId="0" applyFill="1" applyBorder="1" applyAlignment="1"/>
    <xf numFmtId="0" fontId="0" fillId="0" borderId="9" xfId="0" applyFill="1" applyBorder="1" applyAlignment="1">
      <alignment horizontal="left" indent="1"/>
    </xf>
    <xf numFmtId="0" fontId="0" fillId="0" borderId="10" xfId="0" applyBorder="1"/>
    <xf numFmtId="0" fontId="0" fillId="0" borderId="14" xfId="0" applyFill="1" applyBorder="1" applyAlignment="1">
      <alignment horizontal="left" indent="1"/>
    </xf>
    <xf numFmtId="0" fontId="0" fillId="0" borderId="3" xfId="0" applyFill="1" applyBorder="1" applyAlignment="1">
      <alignment wrapText="1"/>
    </xf>
    <xf numFmtId="0" fontId="3" fillId="0" borderId="20" xfId="0" applyFont="1" applyFill="1" applyBorder="1" applyAlignment="1">
      <alignment vertical="top"/>
    </xf>
    <xf numFmtId="0" fontId="0" fillId="0" borderId="5" xfId="0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0" fillId="0" borderId="5" xfId="0" applyFill="1" applyBorder="1" applyAlignment="1"/>
    <xf numFmtId="0" fontId="0" fillId="0" borderId="8" xfId="0" applyFill="1" applyBorder="1" applyAlignment="1">
      <alignment wrapText="1"/>
    </xf>
    <xf numFmtId="0" fontId="5" fillId="0" borderId="0" xfId="0" applyFont="1"/>
    <xf numFmtId="0" fontId="0" fillId="0" borderId="1" xfId="0" applyFill="1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5" fillId="0" borderId="27" xfId="0" applyFont="1" applyBorder="1"/>
    <xf numFmtId="0" fontId="5" fillId="0" borderId="28" xfId="0" applyFont="1" applyBorder="1"/>
    <xf numFmtId="0" fontId="5" fillId="0" borderId="29" xfId="0" applyFont="1" applyBorder="1"/>
    <xf numFmtId="0" fontId="5" fillId="0" borderId="7" xfId="0" applyFont="1" applyBorder="1"/>
    <xf numFmtId="0" fontId="0" fillId="0" borderId="30" xfId="0" applyBorder="1"/>
    <xf numFmtId="0" fontId="5" fillId="0" borderId="31" xfId="0" applyFont="1" applyBorder="1"/>
    <xf numFmtId="0" fontId="0" fillId="0" borderId="24" xfId="0" applyFill="1" applyBorder="1"/>
    <xf numFmtId="0" fontId="0" fillId="3" borderId="13" xfId="0" applyFill="1" applyBorder="1"/>
    <xf numFmtId="0" fontId="0" fillId="3" borderId="11" xfId="0" applyFill="1" applyBorder="1"/>
    <xf numFmtId="0" fontId="0" fillId="3" borderId="16" xfId="0" applyFill="1" applyBorder="1"/>
    <xf numFmtId="0" fontId="0" fillId="3" borderId="32" xfId="0" applyFill="1" applyBorder="1"/>
    <xf numFmtId="0" fontId="0" fillId="3" borderId="33" xfId="0" applyFill="1" applyBorder="1"/>
    <xf numFmtId="0" fontId="0" fillId="3" borderId="34" xfId="0" applyFill="1" applyBorder="1"/>
    <xf numFmtId="0" fontId="0" fillId="3" borderId="35" xfId="0" applyFill="1" applyBorder="1"/>
    <xf numFmtId="0" fontId="0" fillId="3" borderId="19" xfId="0" applyFill="1" applyBorder="1"/>
    <xf numFmtId="0" fontId="0" fillId="3" borderId="36" xfId="0" applyFill="1" applyBorder="1"/>
    <xf numFmtId="0" fontId="0" fillId="3" borderId="35" xfId="0" applyFont="1" applyFill="1" applyBorder="1"/>
    <xf numFmtId="0" fontId="0" fillId="3" borderId="19" xfId="0" applyFont="1" applyFill="1" applyBorder="1"/>
    <xf numFmtId="0" fontId="0" fillId="3" borderId="36" xfId="0" applyFont="1" applyFill="1" applyBorder="1"/>
    <xf numFmtId="0" fontId="0" fillId="4" borderId="0" xfId="0" applyFill="1" applyAlignment="1">
      <alignment vertical="top"/>
    </xf>
    <xf numFmtId="0" fontId="0" fillId="0" borderId="17" xfId="0" applyBorder="1"/>
    <xf numFmtId="0" fontId="0" fillId="0" borderId="18" xfId="0" applyBorder="1"/>
    <xf numFmtId="0" fontId="0" fillId="4" borderId="0" xfId="0" applyFill="1"/>
    <xf numFmtId="0" fontId="5" fillId="4" borderId="0" xfId="0" applyFont="1" applyFill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0" xfId="0" applyNumberForma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37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1" xfId="0" applyBorder="1"/>
    <xf numFmtId="0" fontId="1" fillId="0" borderId="0" xfId="0" applyFont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119D-F908-7940-9B58-5ADFC57AAE9A}">
  <dimension ref="A1:I27"/>
  <sheetViews>
    <sheetView workbookViewId="0">
      <selection activeCell="G2" sqref="G2"/>
    </sheetView>
  </sheetViews>
  <sheetFormatPr baseColWidth="10" defaultRowHeight="16" x14ac:dyDescent="0.2"/>
  <cols>
    <col min="2" max="2" width="28" customWidth="1"/>
    <col min="4" max="4" width="20.5" customWidth="1"/>
    <col min="9" max="9" width="10.83203125" style="83"/>
  </cols>
  <sheetData>
    <row r="1" spans="1:8" s="83" customFormat="1" ht="51" x14ac:dyDescent="0.2">
      <c r="B1" s="83" t="s">
        <v>120</v>
      </c>
      <c r="C1" s="83" t="s">
        <v>119</v>
      </c>
      <c r="D1" s="83" t="s">
        <v>126</v>
      </c>
      <c r="E1" s="83" t="s">
        <v>127</v>
      </c>
      <c r="F1" s="83" t="s">
        <v>128</v>
      </c>
      <c r="G1" s="83" t="s">
        <v>129</v>
      </c>
      <c r="H1" s="83" t="s">
        <v>130</v>
      </c>
    </row>
    <row r="2" spans="1:8" x14ac:dyDescent="0.2">
      <c r="A2" t="s">
        <v>115</v>
      </c>
      <c r="B2">
        <v>0.26</v>
      </c>
      <c r="C2">
        <v>330</v>
      </c>
      <c r="D2">
        <f>C2*B2</f>
        <v>85.8</v>
      </c>
      <c r="E2">
        <v>0</v>
      </c>
    </row>
    <row r="3" spans="1:8" x14ac:dyDescent="0.2">
      <c r="A3" s="82" t="s">
        <v>116</v>
      </c>
      <c r="B3">
        <v>3.67</v>
      </c>
      <c r="C3">
        <v>330</v>
      </c>
      <c r="D3">
        <f t="shared" ref="D3:D5" si="0">C3*B3</f>
        <v>1211.0999999999999</v>
      </c>
    </row>
    <row r="4" spans="1:8" x14ac:dyDescent="0.2">
      <c r="A4" t="s">
        <v>117</v>
      </c>
      <c r="B4">
        <v>25.82</v>
      </c>
      <c r="C4">
        <v>330</v>
      </c>
      <c r="D4">
        <f t="shared" si="0"/>
        <v>8520.6</v>
      </c>
    </row>
    <row r="5" spans="1:8" x14ac:dyDescent="0.2">
      <c r="A5" t="s">
        <v>118</v>
      </c>
      <c r="B5">
        <v>212.61</v>
      </c>
      <c r="C5">
        <v>330</v>
      </c>
      <c r="D5">
        <f t="shared" si="0"/>
        <v>70161.3</v>
      </c>
    </row>
    <row r="7" spans="1:8" x14ac:dyDescent="0.2">
      <c r="A7">
        <f>212*15/110</f>
        <v>28.90909090909091</v>
      </c>
    </row>
    <row r="18" spans="1:5" x14ac:dyDescent="0.2">
      <c r="E18">
        <f>212.61*0.751879</f>
        <v>159.85699418999999</v>
      </c>
    </row>
    <row r="21" spans="1:5" ht="68" x14ac:dyDescent="0.2">
      <c r="A21" s="83" t="s">
        <v>123</v>
      </c>
      <c r="B21" s="83" t="s">
        <v>125</v>
      </c>
      <c r="C21" s="83" t="s">
        <v>121</v>
      </c>
      <c r="D21" s="84" t="s">
        <v>122</v>
      </c>
      <c r="E21" s="83" t="s">
        <v>124</v>
      </c>
    </row>
    <row r="22" spans="1:5" x14ac:dyDescent="0.2">
      <c r="A22">
        <v>1.1000000000000001</v>
      </c>
      <c r="B22">
        <v>0.75187969899999996</v>
      </c>
      <c r="C22">
        <v>7.5999999999999998E-2</v>
      </c>
      <c r="D22">
        <f>B22*(1-C22)/$A$22</f>
        <v>0.63157894715999996</v>
      </c>
    </row>
    <row r="23" spans="1:5" x14ac:dyDescent="0.2">
      <c r="B23">
        <v>0.75187969899999996</v>
      </c>
      <c r="C23">
        <v>7.5999999999999998E-2</v>
      </c>
      <c r="D23">
        <f>B23*(1-C23)/$A$22</f>
        <v>0.63157894715999996</v>
      </c>
    </row>
    <row r="24" spans="1:5" x14ac:dyDescent="0.2">
      <c r="B24">
        <v>0.75187969899999996</v>
      </c>
      <c r="C24">
        <v>7.5999999999999998E-2</v>
      </c>
      <c r="D24">
        <f>B24*(1-C24)/$A$22</f>
        <v>0.63157894715999996</v>
      </c>
    </row>
    <row r="25" spans="1:5" x14ac:dyDescent="0.2">
      <c r="B25">
        <v>0.75187969899999996</v>
      </c>
      <c r="C25">
        <v>7.5999999999999998E-2</v>
      </c>
      <c r="D25">
        <f>B25*(1-C25)/$A$22</f>
        <v>0.63157894715999996</v>
      </c>
    </row>
    <row r="26" spans="1:5" x14ac:dyDescent="0.2">
      <c r="B26" s="83"/>
    </row>
    <row r="27" spans="1:5" x14ac:dyDescent="0.2">
      <c r="B27" s="83">
        <v>1</v>
      </c>
      <c r="C27">
        <v>0.15</v>
      </c>
      <c r="D27">
        <f>B27*(1-C27)/$A$22</f>
        <v>0.7727272727272726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4C73-1F64-8447-8093-8A38371641B6}">
  <dimension ref="A1:T13"/>
  <sheetViews>
    <sheetView workbookViewId="0">
      <selection activeCell="J20" sqref="J20"/>
    </sheetView>
  </sheetViews>
  <sheetFormatPr baseColWidth="10" defaultRowHeight="16" x14ac:dyDescent="0.2"/>
  <cols>
    <col min="1" max="1" width="29.5" customWidth="1"/>
  </cols>
  <sheetData>
    <row r="1" spans="1:20" ht="31" x14ac:dyDescent="0.35">
      <c r="A1" s="8" t="s">
        <v>5</v>
      </c>
    </row>
    <row r="2" spans="1:20" ht="17" thickBot="1" x14ac:dyDescent="0.25"/>
    <row r="3" spans="1:20" ht="17" thickBot="1" x14ac:dyDescent="0.25">
      <c r="B3" s="78" t="s">
        <v>55</v>
      </c>
      <c r="C3" s="79"/>
      <c r="D3" s="79"/>
      <c r="E3" s="79"/>
      <c r="F3" s="79"/>
      <c r="G3" s="79"/>
      <c r="H3" s="79"/>
      <c r="I3" s="79"/>
      <c r="J3" s="80"/>
      <c r="K3" s="79" t="s">
        <v>6</v>
      </c>
      <c r="L3" s="79"/>
      <c r="M3" s="79"/>
      <c r="N3" s="79"/>
      <c r="O3" s="79"/>
      <c r="P3" s="79"/>
      <c r="Q3" s="79"/>
      <c r="R3" s="79"/>
      <c r="S3" s="80"/>
    </row>
    <row r="4" spans="1:20" s="1" customFormat="1" x14ac:dyDescent="0.2">
      <c r="A4" s="2" t="s">
        <v>0</v>
      </c>
      <c r="B4" s="58">
        <v>0.5</v>
      </c>
      <c r="C4" s="50">
        <v>0.5</v>
      </c>
      <c r="D4" s="50">
        <v>0.5</v>
      </c>
      <c r="E4" s="50">
        <v>1</v>
      </c>
      <c r="F4" s="50">
        <v>1</v>
      </c>
      <c r="G4" s="50">
        <v>1</v>
      </c>
      <c r="H4" s="50">
        <v>1.5</v>
      </c>
      <c r="I4" s="50">
        <v>1.5</v>
      </c>
      <c r="J4" s="51">
        <v>1.5</v>
      </c>
      <c r="K4" s="56">
        <v>0.5</v>
      </c>
      <c r="L4" s="50">
        <v>0.5</v>
      </c>
      <c r="M4" s="50">
        <v>0.5</v>
      </c>
      <c r="N4" s="50">
        <v>1</v>
      </c>
      <c r="O4" s="50">
        <v>1</v>
      </c>
      <c r="P4" s="50">
        <v>1</v>
      </c>
      <c r="Q4" s="50">
        <v>1.5</v>
      </c>
      <c r="R4" s="50">
        <v>1.5</v>
      </c>
      <c r="S4" s="51">
        <v>1.5</v>
      </c>
      <c r="T4" s="49"/>
    </row>
    <row r="5" spans="1:20" s="1" customFormat="1" ht="17" thickBot="1" x14ac:dyDescent="0.25">
      <c r="A5" s="55" t="s">
        <v>7</v>
      </c>
      <c r="B5" s="52">
        <v>0</v>
      </c>
      <c r="C5" s="53">
        <v>0.5</v>
      </c>
      <c r="D5" s="53">
        <v>1</v>
      </c>
      <c r="E5" s="53">
        <v>0</v>
      </c>
      <c r="F5" s="53">
        <v>0.5</v>
      </c>
      <c r="G5" s="53">
        <v>1</v>
      </c>
      <c r="H5" s="53">
        <v>0</v>
      </c>
      <c r="I5" s="53">
        <v>0.5</v>
      </c>
      <c r="J5" s="54">
        <v>1</v>
      </c>
      <c r="K5" s="57">
        <v>0</v>
      </c>
      <c r="L5" s="53">
        <v>0.5</v>
      </c>
      <c r="M5" s="53">
        <v>1</v>
      </c>
      <c r="N5" s="53">
        <v>0</v>
      </c>
      <c r="O5" s="53">
        <v>0.5</v>
      </c>
      <c r="P5" s="53">
        <v>1</v>
      </c>
      <c r="Q5" s="53">
        <v>0</v>
      </c>
      <c r="R5" s="53">
        <v>0.5</v>
      </c>
      <c r="S5" s="54">
        <v>1</v>
      </c>
      <c r="T5" s="49"/>
    </row>
    <row r="6" spans="1:20" x14ac:dyDescent="0.2">
      <c r="A6" s="5" t="s">
        <v>1</v>
      </c>
      <c r="B6" s="62" t="s">
        <v>52</v>
      </c>
      <c r="C6" s="65" t="s">
        <v>59</v>
      </c>
      <c r="D6" s="65" t="s">
        <v>67</v>
      </c>
      <c r="E6" s="65" t="s">
        <v>53</v>
      </c>
      <c r="F6" s="68" t="s">
        <v>60</v>
      </c>
      <c r="G6" s="68" t="s">
        <v>68</v>
      </c>
      <c r="H6" s="65" t="s">
        <v>54</v>
      </c>
      <c r="I6" s="65" t="s">
        <v>62</v>
      </c>
      <c r="J6" s="60" t="s">
        <v>69</v>
      </c>
      <c r="K6" s="62" t="s">
        <v>56</v>
      </c>
      <c r="L6" s="65" t="s">
        <v>63</v>
      </c>
      <c r="M6" s="65" t="s">
        <v>70</v>
      </c>
      <c r="N6" s="65" t="s">
        <v>57</v>
      </c>
      <c r="O6" s="65" t="s">
        <v>65</v>
      </c>
      <c r="P6" s="65" t="s">
        <v>71</v>
      </c>
      <c r="Q6" s="65" t="s">
        <v>58</v>
      </c>
      <c r="R6" s="65" t="s">
        <v>66</v>
      </c>
      <c r="S6" s="60" t="s">
        <v>72</v>
      </c>
    </row>
    <row r="7" spans="1:20" x14ac:dyDescent="0.2">
      <c r="A7" s="3" t="s">
        <v>2</v>
      </c>
      <c r="B7" s="63" t="s">
        <v>52</v>
      </c>
      <c r="C7" s="66" t="s">
        <v>59</v>
      </c>
      <c r="D7" s="66" t="s">
        <v>67</v>
      </c>
      <c r="E7" s="66" t="s">
        <v>53</v>
      </c>
      <c r="F7" s="69" t="s">
        <v>60</v>
      </c>
      <c r="G7" s="69" t="s">
        <v>68</v>
      </c>
      <c r="H7" s="66" t="s">
        <v>54</v>
      </c>
      <c r="I7" s="66" t="s">
        <v>62</v>
      </c>
      <c r="J7" s="59" t="s">
        <v>69</v>
      </c>
      <c r="K7" s="63" t="s">
        <v>56</v>
      </c>
      <c r="L7" s="66" t="s">
        <v>63</v>
      </c>
      <c r="M7" s="66" t="s">
        <v>70</v>
      </c>
      <c r="N7" s="66" t="s">
        <v>57</v>
      </c>
      <c r="O7" s="66" t="s">
        <v>65</v>
      </c>
      <c r="P7" s="66" t="s">
        <v>71</v>
      </c>
      <c r="Q7" s="66" t="s">
        <v>58</v>
      </c>
      <c r="R7" s="66" t="s">
        <v>66</v>
      </c>
      <c r="S7" s="59" t="s">
        <v>72</v>
      </c>
    </row>
    <row r="8" spans="1:20" ht="17" thickBot="1" x14ac:dyDescent="0.25">
      <c r="A8" s="4" t="s">
        <v>3</v>
      </c>
      <c r="B8" s="64" t="s">
        <v>52</v>
      </c>
      <c r="C8" s="67" t="s">
        <v>59</v>
      </c>
      <c r="D8" s="67" t="s">
        <v>67</v>
      </c>
      <c r="E8" s="67" t="s">
        <v>53</v>
      </c>
      <c r="F8" s="70" t="s">
        <v>61</v>
      </c>
      <c r="G8" s="70" t="s">
        <v>68</v>
      </c>
      <c r="H8" s="67" t="s">
        <v>54</v>
      </c>
      <c r="I8" s="67" t="s">
        <v>62</v>
      </c>
      <c r="J8" s="61" t="s">
        <v>69</v>
      </c>
      <c r="K8" s="64" t="s">
        <v>56</v>
      </c>
      <c r="L8" s="67" t="s">
        <v>64</v>
      </c>
      <c r="M8" s="67" t="s">
        <v>70</v>
      </c>
      <c r="N8" s="67" t="s">
        <v>57</v>
      </c>
      <c r="O8" s="67" t="s">
        <v>65</v>
      </c>
      <c r="P8" s="67" t="s">
        <v>71</v>
      </c>
      <c r="Q8" s="67" t="s">
        <v>58</v>
      </c>
      <c r="R8" s="67" t="s">
        <v>66</v>
      </c>
      <c r="S8" s="61" t="s">
        <v>72</v>
      </c>
    </row>
    <row r="9" spans="1:20" x14ac:dyDescent="0.2">
      <c r="A9" s="5" t="s">
        <v>4</v>
      </c>
      <c r="B9" s="62" t="s">
        <v>52</v>
      </c>
      <c r="C9" s="65" t="s">
        <v>59</v>
      </c>
      <c r="D9" s="65" t="s">
        <v>67</v>
      </c>
      <c r="E9" s="65" t="s">
        <v>53</v>
      </c>
      <c r="F9" s="68" t="s">
        <v>61</v>
      </c>
      <c r="G9" s="68" t="s">
        <v>68</v>
      </c>
      <c r="H9" s="65" t="s">
        <v>54</v>
      </c>
      <c r="I9" s="65" t="s">
        <v>62</v>
      </c>
      <c r="J9" s="60" t="s">
        <v>69</v>
      </c>
      <c r="K9" s="62" t="s">
        <v>56</v>
      </c>
      <c r="L9" s="65" t="s">
        <v>64</v>
      </c>
      <c r="M9" s="65" t="s">
        <v>70</v>
      </c>
      <c r="N9" s="65" t="s">
        <v>57</v>
      </c>
      <c r="O9" s="65" t="s">
        <v>65</v>
      </c>
      <c r="P9" s="65" t="s">
        <v>71</v>
      </c>
      <c r="Q9" s="65" t="s">
        <v>58</v>
      </c>
      <c r="R9" s="65" t="s">
        <v>66</v>
      </c>
      <c r="S9" s="60" t="s">
        <v>72</v>
      </c>
    </row>
    <row r="10" spans="1:20" x14ac:dyDescent="0.2">
      <c r="A10" s="3" t="s">
        <v>2</v>
      </c>
      <c r="B10" s="63" t="s">
        <v>52</v>
      </c>
      <c r="C10" s="66" t="s">
        <v>59</v>
      </c>
      <c r="D10" s="66" t="s">
        <v>67</v>
      </c>
      <c r="E10" s="66" t="s">
        <v>53</v>
      </c>
      <c r="F10" s="69" t="s">
        <v>61</v>
      </c>
      <c r="G10" s="69" t="s">
        <v>68</v>
      </c>
      <c r="H10" s="66" t="s">
        <v>54</v>
      </c>
      <c r="I10" s="66" t="s">
        <v>62</v>
      </c>
      <c r="J10" s="59" t="s">
        <v>69</v>
      </c>
      <c r="K10" s="63" t="s">
        <v>56</v>
      </c>
      <c r="L10" s="66" t="s">
        <v>64</v>
      </c>
      <c r="M10" s="66" t="s">
        <v>70</v>
      </c>
      <c r="N10" s="66" t="s">
        <v>57</v>
      </c>
      <c r="O10" s="66" t="s">
        <v>65</v>
      </c>
      <c r="P10" s="66" t="s">
        <v>71</v>
      </c>
      <c r="Q10" s="66" t="s">
        <v>58</v>
      </c>
      <c r="R10" s="66" t="s">
        <v>66</v>
      </c>
      <c r="S10" s="59" t="s">
        <v>72</v>
      </c>
    </row>
    <row r="11" spans="1:20" ht="17" thickBot="1" x14ac:dyDescent="0.25">
      <c r="A11" s="4" t="s">
        <v>3</v>
      </c>
      <c r="B11" s="64" t="s">
        <v>52</v>
      </c>
      <c r="C11" s="67" t="s">
        <v>59</v>
      </c>
      <c r="D11" s="67" t="s">
        <v>67</v>
      </c>
      <c r="E11" s="67" t="s">
        <v>53</v>
      </c>
      <c r="F11" s="70" t="s">
        <v>61</v>
      </c>
      <c r="G11" s="70" t="s">
        <v>68</v>
      </c>
      <c r="H11" s="67" t="s">
        <v>54</v>
      </c>
      <c r="I11" s="67" t="s">
        <v>62</v>
      </c>
      <c r="J11" s="61" t="s">
        <v>69</v>
      </c>
      <c r="K11" s="64" t="s">
        <v>56</v>
      </c>
      <c r="L11" s="67" t="s">
        <v>64</v>
      </c>
      <c r="M11" s="67" t="s">
        <v>70</v>
      </c>
      <c r="N11" s="67" t="s">
        <v>57</v>
      </c>
      <c r="O11" s="67" t="s">
        <v>65</v>
      </c>
      <c r="P11" s="67" t="s">
        <v>71</v>
      </c>
      <c r="Q11" s="67" t="s">
        <v>58</v>
      </c>
      <c r="R11" s="67" t="s">
        <v>66</v>
      </c>
      <c r="S11" s="61" t="s">
        <v>72</v>
      </c>
    </row>
    <row r="12" spans="1:20" x14ac:dyDescent="0.2">
      <c r="A12" s="38" t="s">
        <v>50</v>
      </c>
      <c r="B12" s="62" t="s">
        <v>52</v>
      </c>
      <c r="C12" s="65" t="s">
        <v>59</v>
      </c>
      <c r="D12" s="65" t="s">
        <v>67</v>
      </c>
      <c r="E12" s="65" t="s">
        <v>53</v>
      </c>
      <c r="F12" s="68" t="s">
        <v>61</v>
      </c>
      <c r="G12" s="68" t="s">
        <v>68</v>
      </c>
      <c r="H12" s="65" t="s">
        <v>54</v>
      </c>
      <c r="I12" s="65" t="s">
        <v>62</v>
      </c>
      <c r="J12" s="60" t="s">
        <v>69</v>
      </c>
      <c r="K12" s="62" t="s">
        <v>56</v>
      </c>
      <c r="L12" s="65" t="s">
        <v>64</v>
      </c>
      <c r="M12" s="65" t="s">
        <v>70</v>
      </c>
      <c r="N12" s="65" t="s">
        <v>57</v>
      </c>
      <c r="O12" s="65" t="s">
        <v>65</v>
      </c>
      <c r="P12" s="65" t="s">
        <v>71</v>
      </c>
      <c r="Q12" s="65" t="s">
        <v>58</v>
      </c>
      <c r="R12" s="65" t="s">
        <v>66</v>
      </c>
      <c r="S12" s="60" t="s">
        <v>72</v>
      </c>
    </row>
    <row r="13" spans="1:20" ht="17" thickBot="1" x14ac:dyDescent="0.25">
      <c r="A13" s="40" t="s">
        <v>51</v>
      </c>
      <c r="B13" s="64" t="s">
        <v>52</v>
      </c>
      <c r="C13" s="67" t="s">
        <v>59</v>
      </c>
      <c r="D13" s="67" t="s">
        <v>67</v>
      </c>
      <c r="E13" s="67" t="s">
        <v>53</v>
      </c>
      <c r="F13" s="70" t="s">
        <v>61</v>
      </c>
      <c r="G13" s="70" t="s">
        <v>68</v>
      </c>
      <c r="H13" s="67" t="s">
        <v>54</v>
      </c>
      <c r="I13" s="67" t="s">
        <v>62</v>
      </c>
      <c r="J13" s="61" t="s">
        <v>69</v>
      </c>
      <c r="K13" s="64" t="s">
        <v>56</v>
      </c>
      <c r="L13" s="67" t="s">
        <v>64</v>
      </c>
      <c r="M13" s="67" t="s">
        <v>70</v>
      </c>
      <c r="N13" s="67" t="s">
        <v>57</v>
      </c>
      <c r="O13" s="67" t="s">
        <v>65</v>
      </c>
      <c r="P13" s="67" t="s">
        <v>71</v>
      </c>
      <c r="Q13" s="67" t="s">
        <v>58</v>
      </c>
      <c r="R13" s="67" t="s">
        <v>66</v>
      </c>
      <c r="S13" s="61" t="s">
        <v>72</v>
      </c>
    </row>
  </sheetData>
  <mergeCells count="2">
    <mergeCell ref="B3:J3"/>
    <mergeCell ref="K3:S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92E2E-F558-0742-81DD-D91698744A90}">
  <dimension ref="A1:D32"/>
  <sheetViews>
    <sheetView zoomScale="102" workbookViewId="0">
      <selection activeCell="B35" sqref="B35"/>
    </sheetView>
  </sheetViews>
  <sheetFormatPr baseColWidth="10" defaultRowHeight="16" x14ac:dyDescent="0.2"/>
  <cols>
    <col min="1" max="1" width="62.6640625" style="11" customWidth="1"/>
    <col min="2" max="2" width="61.5" style="11" customWidth="1"/>
    <col min="3" max="3" width="37.33203125" style="11" customWidth="1"/>
    <col min="4" max="4" width="38.5" style="11" customWidth="1"/>
    <col min="5" max="16384" width="10.83203125" style="11"/>
  </cols>
  <sheetData>
    <row r="1" spans="1:4" s="10" customFormat="1" ht="17" thickBot="1" x14ac:dyDescent="0.25">
      <c r="A1" s="16" t="s">
        <v>2</v>
      </c>
      <c r="B1" s="16" t="s">
        <v>3</v>
      </c>
      <c r="C1" s="16" t="s">
        <v>8</v>
      </c>
      <c r="D1" s="16" t="s">
        <v>24</v>
      </c>
    </row>
    <row r="2" spans="1:4" x14ac:dyDescent="0.2">
      <c r="A2" s="20" t="s">
        <v>21</v>
      </c>
      <c r="B2" s="17" t="s">
        <v>37</v>
      </c>
      <c r="C2" s="29" t="s">
        <v>9</v>
      </c>
      <c r="D2" s="32" t="s">
        <v>25</v>
      </c>
    </row>
    <row r="3" spans="1:4" ht="34" x14ac:dyDescent="0.2">
      <c r="A3" s="43" t="s">
        <v>13</v>
      </c>
      <c r="B3" s="35" t="s">
        <v>38</v>
      </c>
      <c r="C3" s="30" t="s">
        <v>10</v>
      </c>
      <c r="D3" s="33" t="s">
        <v>31</v>
      </c>
    </row>
    <row r="4" spans="1:4" ht="17" x14ac:dyDescent="0.2">
      <c r="A4" s="44" t="s">
        <v>20</v>
      </c>
      <c r="B4" s="36" t="s">
        <v>20</v>
      </c>
      <c r="C4" s="30"/>
      <c r="D4" s="33" t="s">
        <v>32</v>
      </c>
    </row>
    <row r="5" spans="1:4" x14ac:dyDescent="0.2">
      <c r="A5" s="45" t="s">
        <v>14</v>
      </c>
      <c r="B5" s="37" t="s">
        <v>14</v>
      </c>
      <c r="C5" s="30" t="s">
        <v>11</v>
      </c>
      <c r="D5" s="18"/>
    </row>
    <row r="6" spans="1:4" ht="18" thickBot="1" x14ac:dyDescent="0.25">
      <c r="A6" s="46" t="s">
        <v>15</v>
      </c>
      <c r="B6" s="41" t="s">
        <v>15</v>
      </c>
      <c r="C6" s="31" t="s">
        <v>12</v>
      </c>
      <c r="D6" s="33" t="s">
        <v>33</v>
      </c>
    </row>
    <row r="7" spans="1:4" x14ac:dyDescent="0.2">
      <c r="A7" s="45" t="s">
        <v>16</v>
      </c>
      <c r="B7" s="37" t="s">
        <v>16</v>
      </c>
      <c r="C7" s="19"/>
      <c r="D7" s="33" t="s">
        <v>34</v>
      </c>
    </row>
    <row r="8" spans="1:4" ht="34" x14ac:dyDescent="0.2">
      <c r="A8" s="46" t="s">
        <v>17</v>
      </c>
      <c r="B8" s="41" t="s">
        <v>17</v>
      </c>
      <c r="C8" s="19"/>
      <c r="D8" s="33" t="s">
        <v>35</v>
      </c>
    </row>
    <row r="9" spans="1:4" ht="17" thickBot="1" x14ac:dyDescent="0.25">
      <c r="A9" s="21" t="s">
        <v>18</v>
      </c>
      <c r="B9" s="37" t="s">
        <v>18</v>
      </c>
      <c r="C9" s="19"/>
      <c r="D9" s="34" t="s">
        <v>36</v>
      </c>
    </row>
    <row r="10" spans="1:4" ht="18" thickBot="1" x14ac:dyDescent="0.25">
      <c r="A10" s="22" t="s">
        <v>19</v>
      </c>
      <c r="B10" s="14" t="s">
        <v>39</v>
      </c>
      <c r="C10" s="19"/>
      <c r="D10" s="19"/>
    </row>
    <row r="11" spans="1:4" x14ac:dyDescent="0.2">
      <c r="A11" s="23" t="s">
        <v>22</v>
      </c>
      <c r="B11" s="14" t="s">
        <v>40</v>
      </c>
    </row>
    <row r="12" spans="1:4" ht="18" thickBot="1" x14ac:dyDescent="0.25">
      <c r="A12" s="13" t="s">
        <v>23</v>
      </c>
      <c r="B12" s="36" t="s">
        <v>41</v>
      </c>
    </row>
    <row r="13" spans="1:4" x14ac:dyDescent="0.2">
      <c r="A13" s="24" t="s">
        <v>26</v>
      </c>
      <c r="B13" s="42" t="s">
        <v>22</v>
      </c>
    </row>
    <row r="14" spans="1:4" x14ac:dyDescent="0.2">
      <c r="A14" s="12" t="s">
        <v>27</v>
      </c>
      <c r="B14" s="14" t="s">
        <v>23</v>
      </c>
    </row>
    <row r="15" spans="1:4" x14ac:dyDescent="0.2">
      <c r="A15" s="25" t="s">
        <v>28</v>
      </c>
      <c r="B15" s="14" t="s">
        <v>26</v>
      </c>
    </row>
    <row r="16" spans="1:4" x14ac:dyDescent="0.2">
      <c r="A16" s="26" t="s">
        <v>29</v>
      </c>
      <c r="B16" s="14" t="s">
        <v>28</v>
      </c>
    </row>
    <row r="17" spans="1:2" ht="17" thickBot="1" x14ac:dyDescent="0.25">
      <c r="A17" s="27" t="s">
        <v>30</v>
      </c>
      <c r="B17" s="14" t="s">
        <v>29</v>
      </c>
    </row>
    <row r="18" spans="1:2" x14ac:dyDescent="0.2">
      <c r="B18" s="14"/>
    </row>
    <row r="19" spans="1:2" x14ac:dyDescent="0.2">
      <c r="A19" s="71" t="s">
        <v>78</v>
      </c>
      <c r="B19" s="14" t="s">
        <v>42</v>
      </c>
    </row>
    <row r="20" spans="1:2" x14ac:dyDescent="0.2">
      <c r="A20" s="71" t="s">
        <v>74</v>
      </c>
      <c r="B20" s="14" t="s">
        <v>43</v>
      </c>
    </row>
    <row r="21" spans="1:2" x14ac:dyDescent="0.2">
      <c r="B21" s="14" t="s">
        <v>27</v>
      </c>
    </row>
    <row r="22" spans="1:2" x14ac:dyDescent="0.2">
      <c r="B22" s="14" t="s">
        <v>44</v>
      </c>
    </row>
    <row r="23" spans="1:2" x14ac:dyDescent="0.2">
      <c r="B23" s="14" t="s">
        <v>45</v>
      </c>
    </row>
    <row r="24" spans="1:2" x14ac:dyDescent="0.2">
      <c r="B24" s="14" t="s">
        <v>46</v>
      </c>
    </row>
    <row r="25" spans="1:2" x14ac:dyDescent="0.2">
      <c r="B25" s="14" t="s">
        <v>47</v>
      </c>
    </row>
    <row r="26" spans="1:2" x14ac:dyDescent="0.2">
      <c r="B26" s="14" t="s">
        <v>48</v>
      </c>
    </row>
    <row r="27" spans="1:2" ht="17" thickBot="1" x14ac:dyDescent="0.25">
      <c r="B27" s="15" t="s">
        <v>49</v>
      </c>
    </row>
    <row r="28" spans="1:2" x14ac:dyDescent="0.2">
      <c r="B28" s="28"/>
    </row>
    <row r="29" spans="1:2" x14ac:dyDescent="0.2">
      <c r="B29" s="71" t="s">
        <v>73</v>
      </c>
    </row>
    <row r="30" spans="1:2" x14ac:dyDescent="0.2">
      <c r="B30" s="71" t="s">
        <v>75</v>
      </c>
    </row>
    <row r="32" spans="1:2" x14ac:dyDescent="0.2">
      <c r="A32" s="11" t="s">
        <v>76</v>
      </c>
      <c r="B32" s="1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724B-7284-BA45-AE02-E14A79702C50}">
  <dimension ref="A1:K17"/>
  <sheetViews>
    <sheetView workbookViewId="0">
      <selection activeCell="D2" sqref="D2"/>
    </sheetView>
  </sheetViews>
  <sheetFormatPr baseColWidth="10" defaultRowHeight="16" x14ac:dyDescent="0.2"/>
  <cols>
    <col min="1" max="1" width="41" customWidth="1"/>
    <col min="3" max="3" width="27.6640625" customWidth="1"/>
    <col min="4" max="4" width="60.33203125" customWidth="1"/>
    <col min="5" max="5" width="37.83203125" customWidth="1"/>
    <col min="7" max="7" width="13.5" customWidth="1"/>
    <col min="8" max="8" width="12" customWidth="1"/>
    <col min="9" max="9" width="25" customWidth="1"/>
    <col min="11" max="11" width="24" customWidth="1"/>
  </cols>
  <sheetData>
    <row r="1" spans="1:11" x14ac:dyDescent="0.2">
      <c r="A1" s="9" t="s">
        <v>86</v>
      </c>
      <c r="B1" s="39"/>
      <c r="C1" t="s">
        <v>88</v>
      </c>
      <c r="D1" t="s">
        <v>89</v>
      </c>
      <c r="E1" t="s">
        <v>90</v>
      </c>
    </row>
    <row r="2" spans="1:11" x14ac:dyDescent="0.2">
      <c r="A2" s="6" t="s">
        <v>79</v>
      </c>
      <c r="B2" s="7">
        <v>18.2</v>
      </c>
      <c r="C2">
        <f>B2*(570.5/576.1)</f>
        <v>18.023086269744834</v>
      </c>
      <c r="D2">
        <f>C2*(10/100)^0.6</f>
        <v>4.527194585489867</v>
      </c>
      <c r="E2">
        <f>D2*(1/10)^0.6</f>
        <v>1.1371798652095637</v>
      </c>
      <c r="G2" s="1"/>
      <c r="H2" s="81" t="s">
        <v>103</v>
      </c>
      <c r="I2" s="81"/>
      <c r="J2" s="81" t="s">
        <v>106</v>
      </c>
      <c r="K2" s="81"/>
    </row>
    <row r="3" spans="1:11" x14ac:dyDescent="0.2">
      <c r="A3" s="6" t="s">
        <v>80</v>
      </c>
      <c r="B3" s="7">
        <f>B2*0.185</f>
        <v>3.367</v>
      </c>
      <c r="C3">
        <f>0.185*C2</f>
        <v>3.3342709599027942</v>
      </c>
      <c r="D3">
        <f>0.185*D2</f>
        <v>0.83753099831562539</v>
      </c>
      <c r="E3">
        <f>0.185*E2</f>
        <v>0.21037827506376927</v>
      </c>
      <c r="G3" s="1"/>
      <c r="H3" s="76" t="s">
        <v>105</v>
      </c>
      <c r="I3" s="76" t="s">
        <v>104</v>
      </c>
      <c r="J3" s="76" t="s">
        <v>105</v>
      </c>
      <c r="K3" s="76" t="s">
        <v>104</v>
      </c>
    </row>
    <row r="4" spans="1:11" x14ac:dyDescent="0.2">
      <c r="A4" s="6" t="s">
        <v>87</v>
      </c>
      <c r="B4" s="7">
        <f>SUM(B2:B3)</f>
        <v>21.567</v>
      </c>
      <c r="C4">
        <f>SUM(C2:C3)</f>
        <v>21.357357229647629</v>
      </c>
      <c r="D4">
        <f>SUM(D2:D3)</f>
        <v>5.3647255838054928</v>
      </c>
      <c r="E4">
        <f>SUM(E2:E3)</f>
        <v>1.347558140273333</v>
      </c>
      <c r="G4" s="1" t="s">
        <v>107</v>
      </c>
      <c r="H4" s="76">
        <v>20436.400000000001</v>
      </c>
      <c r="I4" s="76" t="s">
        <v>111</v>
      </c>
      <c r="J4" s="76">
        <v>2043.64</v>
      </c>
      <c r="K4" s="76" t="s">
        <v>111</v>
      </c>
    </row>
    <row r="5" spans="1:11" x14ac:dyDescent="0.2">
      <c r="A5" s="6" t="s">
        <v>81</v>
      </c>
      <c r="B5" s="7">
        <f>0.6*B4</f>
        <v>12.940199999999999</v>
      </c>
      <c r="C5">
        <f>0.6*C4</f>
        <v>12.814414337788577</v>
      </c>
      <c r="D5">
        <f>0.6*D4</f>
        <v>3.2188353502832956</v>
      </c>
      <c r="E5">
        <f>0.6*E4</f>
        <v>0.80853488416399977</v>
      </c>
      <c r="G5" s="1" t="s">
        <v>108</v>
      </c>
      <c r="H5" s="76">
        <v>178413.1</v>
      </c>
      <c r="I5" s="76" t="s">
        <v>112</v>
      </c>
      <c r="J5" s="76">
        <v>17841.310000000001</v>
      </c>
      <c r="K5" s="76" t="s">
        <v>112</v>
      </c>
    </row>
    <row r="6" spans="1:11" x14ac:dyDescent="0.2">
      <c r="A6" s="6" t="s">
        <v>82</v>
      </c>
      <c r="B6" s="7">
        <f>B5+B4</f>
        <v>34.507199999999997</v>
      </c>
      <c r="C6">
        <f>SUM(C4:C5)</f>
        <v>34.17177156743621</v>
      </c>
      <c r="D6">
        <f>SUM(D4:D5)</f>
        <v>8.5835609340887888</v>
      </c>
      <c r="E6">
        <f>SUM(E4:E5)</f>
        <v>2.1560930244373329</v>
      </c>
      <c r="G6" s="1" t="s">
        <v>109</v>
      </c>
      <c r="H6" s="76">
        <v>1184014.2</v>
      </c>
      <c r="I6" s="76" t="s">
        <v>113</v>
      </c>
      <c r="J6" s="76">
        <v>118401.42</v>
      </c>
      <c r="K6" s="76" t="s">
        <v>113</v>
      </c>
    </row>
    <row r="7" spans="1:11" x14ac:dyDescent="0.2">
      <c r="A7" s="6" t="s">
        <v>83</v>
      </c>
      <c r="B7" s="7">
        <f>0.05*B6</f>
        <v>1.72536</v>
      </c>
      <c r="C7">
        <f>0.05*C6</f>
        <v>1.7085885783718107</v>
      </c>
      <c r="D7">
        <f>0.05*D6</f>
        <v>0.42917804670443949</v>
      </c>
      <c r="E7">
        <f>0.05*E6</f>
        <v>0.10780465122186665</v>
      </c>
      <c r="G7" s="48" t="s">
        <v>110</v>
      </c>
      <c r="H7" s="1">
        <v>9731623.5299999993</v>
      </c>
      <c r="I7" s="77" t="s">
        <v>114</v>
      </c>
      <c r="J7" s="1">
        <v>973162.353</v>
      </c>
      <c r="K7" s="77" t="s">
        <v>114</v>
      </c>
    </row>
    <row r="8" spans="1:11" ht="17" thickBot="1" x14ac:dyDescent="0.25">
      <c r="A8" s="6" t="s">
        <v>84</v>
      </c>
      <c r="B8" s="7">
        <v>8.9999999999999993E-3</v>
      </c>
      <c r="C8">
        <f>0.009</f>
        <v>8.9999999999999993E-3</v>
      </c>
      <c r="D8">
        <f>0.09</f>
        <v>0.09</v>
      </c>
      <c r="E8">
        <f>0.09</f>
        <v>0.09</v>
      </c>
    </row>
    <row r="9" spans="1:11" ht="17" thickBot="1" x14ac:dyDescent="0.25">
      <c r="A9" s="72" t="s">
        <v>85</v>
      </c>
      <c r="B9" s="73">
        <f>SUM(B6:B8)</f>
        <v>36.24156</v>
      </c>
      <c r="C9">
        <f>SUM(C6:C8)</f>
        <v>35.88936014580802</v>
      </c>
      <c r="D9">
        <f>SUM(D2:D8)</f>
        <v>23.051025498687508</v>
      </c>
      <c r="E9">
        <f>SUM(E2:E8)</f>
        <v>5.8575488403698648</v>
      </c>
    </row>
    <row r="17" spans="3:3" x14ac:dyDescent="0.2">
      <c r="C17">
        <f>0.73+0.98+0.24</f>
        <v>1.95</v>
      </c>
    </row>
  </sheetData>
  <mergeCells count="2">
    <mergeCell ref="H2:I2"/>
    <mergeCell ref="J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772D7-D34C-3841-879E-B116D7A46AA4}">
  <dimension ref="A2:C6"/>
  <sheetViews>
    <sheetView topLeftCell="B1" workbookViewId="0">
      <selection activeCell="B13" sqref="B13"/>
    </sheetView>
  </sheetViews>
  <sheetFormatPr baseColWidth="10" defaultRowHeight="16" x14ac:dyDescent="0.2"/>
  <cols>
    <col min="2" max="2" width="61" customWidth="1"/>
    <col min="3" max="3" width="64" customWidth="1"/>
  </cols>
  <sheetData>
    <row r="2" spans="1:3" x14ac:dyDescent="0.2">
      <c r="B2" t="s">
        <v>91</v>
      </c>
      <c r="C2" t="s">
        <v>92</v>
      </c>
    </row>
    <row r="3" spans="1:3" x14ac:dyDescent="0.2">
      <c r="A3" t="s">
        <v>93</v>
      </c>
      <c r="B3" s="74" t="s">
        <v>95</v>
      </c>
      <c r="C3" s="74" t="s">
        <v>96</v>
      </c>
    </row>
    <row r="4" spans="1:3" x14ac:dyDescent="0.2">
      <c r="A4" s="47" t="s">
        <v>94</v>
      </c>
      <c r="B4" s="75" t="s">
        <v>97</v>
      </c>
      <c r="C4" s="75" t="s">
        <v>98</v>
      </c>
    </row>
    <row r="5" spans="1:3" x14ac:dyDescent="0.2">
      <c r="A5" t="s">
        <v>94</v>
      </c>
      <c r="B5" s="74" t="s">
        <v>99</v>
      </c>
      <c r="C5" s="74" t="s">
        <v>100</v>
      </c>
    </row>
    <row r="6" spans="1:3" x14ac:dyDescent="0.2">
      <c r="A6" t="s">
        <v>94</v>
      </c>
      <c r="B6" t="s">
        <v>101</v>
      </c>
      <c r="C6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E81D2-83EC-7747-92B4-4A4A6102998A}">
  <dimension ref="A1:AH15"/>
  <sheetViews>
    <sheetView tabSelected="1" topLeftCell="G1" workbookViewId="0">
      <selection activeCell="Q19" sqref="Q19"/>
    </sheetView>
  </sheetViews>
  <sheetFormatPr baseColWidth="10" defaultRowHeight="16" x14ac:dyDescent="0.2"/>
  <cols>
    <col min="1" max="1" width="24.6640625" customWidth="1"/>
    <col min="13" max="13" width="12.33203125" customWidth="1"/>
    <col min="31" max="31" width="21.6640625" customWidth="1"/>
  </cols>
  <sheetData>
    <row r="1" spans="1:34" s="85" customFormat="1" ht="17" thickBot="1" x14ac:dyDescent="0.25">
      <c r="N1" s="88" t="s">
        <v>142</v>
      </c>
      <c r="O1" s="89"/>
      <c r="P1" s="89"/>
      <c r="Q1" s="90"/>
      <c r="R1" s="88" t="s">
        <v>147</v>
      </c>
      <c r="S1" s="89"/>
      <c r="T1" s="89"/>
      <c r="U1" s="89"/>
      <c r="V1" s="89"/>
      <c r="W1" s="90"/>
      <c r="AC1" s="86" t="s">
        <v>166</v>
      </c>
      <c r="AD1" s="86"/>
      <c r="AE1" s="86"/>
      <c r="AF1" s="86"/>
      <c r="AG1" s="86"/>
    </row>
    <row r="2" spans="1:34" s="94" customFormat="1" ht="86" thickBot="1" x14ac:dyDescent="0.25">
      <c r="A2" s="94" t="s">
        <v>131</v>
      </c>
      <c r="B2" s="94" t="s">
        <v>132</v>
      </c>
      <c r="C2" s="94" t="s">
        <v>133</v>
      </c>
      <c r="D2" s="94" t="s">
        <v>134</v>
      </c>
      <c r="E2" s="94" t="s">
        <v>135</v>
      </c>
      <c r="F2" s="94" t="s">
        <v>159</v>
      </c>
      <c r="G2" s="94" t="s">
        <v>158</v>
      </c>
      <c r="H2" s="94" t="s">
        <v>136</v>
      </c>
      <c r="I2" s="94" t="s">
        <v>137</v>
      </c>
      <c r="J2" s="94" t="s">
        <v>140</v>
      </c>
      <c r="K2" s="94" t="s">
        <v>138</v>
      </c>
      <c r="L2" s="94" t="s">
        <v>139</v>
      </c>
      <c r="M2" s="94" t="s">
        <v>141</v>
      </c>
      <c r="N2" s="95" t="s">
        <v>143</v>
      </c>
      <c r="O2" s="96" t="s">
        <v>144</v>
      </c>
      <c r="P2" s="96" t="s">
        <v>145</v>
      </c>
      <c r="Q2" s="97" t="s">
        <v>146</v>
      </c>
      <c r="R2" s="95" t="s">
        <v>148</v>
      </c>
      <c r="S2" s="96" t="s">
        <v>149</v>
      </c>
      <c r="T2" s="96" t="s">
        <v>150</v>
      </c>
      <c r="U2" s="96" t="s">
        <v>151</v>
      </c>
      <c r="V2" s="96" t="s">
        <v>152</v>
      </c>
      <c r="W2" s="96" t="s">
        <v>153</v>
      </c>
      <c r="X2" s="98" t="s">
        <v>154</v>
      </c>
      <c r="Y2" s="99" t="s">
        <v>155</v>
      </c>
      <c r="Z2" s="99" t="s">
        <v>156</v>
      </c>
      <c r="AA2" s="100" t="s">
        <v>157</v>
      </c>
      <c r="AB2" s="94" t="s">
        <v>160</v>
      </c>
      <c r="AC2" s="94" t="s">
        <v>161</v>
      </c>
      <c r="AD2" s="94" t="s">
        <v>162</v>
      </c>
      <c r="AE2" s="94" t="s">
        <v>163</v>
      </c>
      <c r="AF2" s="94" t="s">
        <v>164</v>
      </c>
      <c r="AG2" s="94" t="s">
        <v>165</v>
      </c>
      <c r="AH2" s="94" t="s">
        <v>167</v>
      </c>
    </row>
    <row r="3" spans="1:34" x14ac:dyDescent="0.2">
      <c r="A3">
        <f>18231020/9090780</f>
        <v>2.0054406772576172</v>
      </c>
      <c r="B3">
        <v>9090780</v>
      </c>
      <c r="C3">
        <v>0.26</v>
      </c>
      <c r="D3">
        <v>126</v>
      </c>
      <c r="E3">
        <f>ROUND(93.5/1.10231*330,0)</f>
        <v>27991</v>
      </c>
      <c r="F3">
        <f>C3/110</f>
        <v>2.3636363636363638E-3</v>
      </c>
      <c r="G3">
        <f>D3/E3</f>
        <v>4.501446893644386E-3</v>
      </c>
      <c r="H3">
        <v>0.6</v>
      </c>
      <c r="I3">
        <f>$B$3*(F3^H3)</f>
        <v>241406.82571823747</v>
      </c>
      <c r="J3">
        <f>I3*($L$3/$K$3)</f>
        <v>239060.22230906866</v>
      </c>
      <c r="K3">
        <v>576.1</v>
      </c>
      <c r="L3">
        <v>570.5</v>
      </c>
      <c r="M3">
        <f>J3*$A$3</f>
        <v>479421.09413285519</v>
      </c>
      <c r="N3" s="6">
        <f>0.04*M3</f>
        <v>19176.843765314206</v>
      </c>
      <c r="O3" s="7">
        <f>0.1*M3</f>
        <v>47942.109413285521</v>
      </c>
      <c r="P3" s="7">
        <f>0.045*M3</f>
        <v>21573.949235978482</v>
      </c>
      <c r="Q3" s="91">
        <f>SUM(M3:P3)</f>
        <v>568113.99654743343</v>
      </c>
      <c r="R3" s="6">
        <f>0.1*Q3</f>
        <v>56811.399654743349</v>
      </c>
      <c r="S3" s="7">
        <f>0.2*Q3</f>
        <v>113622.7993094867</v>
      </c>
      <c r="T3" s="7">
        <f>0.1*Q3</f>
        <v>56811.399654743349</v>
      </c>
      <c r="U3" s="7">
        <f>0.1*Q3</f>
        <v>56811.399654743349</v>
      </c>
      <c r="V3" s="7">
        <f>0.1*Q3</f>
        <v>56811.399654743349</v>
      </c>
      <c r="W3" s="7">
        <f>SUM(R3:V3)</f>
        <v>340868.39792846015</v>
      </c>
      <c r="X3" s="9">
        <f>W3+Q3</f>
        <v>908982.39447589358</v>
      </c>
      <c r="Y3" s="39">
        <f>0.05*X3</f>
        <v>45449.119723794684</v>
      </c>
      <c r="Z3" s="39">
        <f>0.009*10^6</f>
        <v>9000</v>
      </c>
      <c r="AA3" s="93">
        <f>SUM(X3:Z3)</f>
        <v>963431.51419968822</v>
      </c>
      <c r="AB3">
        <f>1.78*10^6</f>
        <v>1780000</v>
      </c>
      <c r="AC3">
        <f>$AB$3*F3</f>
        <v>4207.2727272727279</v>
      </c>
      <c r="AD3">
        <f>0.81*10^6</f>
        <v>810000</v>
      </c>
      <c r="AE3">
        <f>0.9*AD3</f>
        <v>729000</v>
      </c>
      <c r="AF3">
        <f>0.03*M3</f>
        <v>14382.632823985656</v>
      </c>
      <c r="AG3">
        <f>0.007*X3</f>
        <v>6362.8767613312548</v>
      </c>
      <c r="AH3">
        <f>SUM(AC3:AG3)</f>
        <v>1563952.7823125897</v>
      </c>
    </row>
    <row r="4" spans="1:34" x14ac:dyDescent="0.2">
      <c r="C4">
        <v>3.67</v>
      </c>
      <c r="D4">
        <v>1100</v>
      </c>
      <c r="E4">
        <f t="shared" ref="E4:E6" si="0">ROUND(93.5/1.10231*330,0)</f>
        <v>27991</v>
      </c>
      <c r="F4">
        <f t="shared" ref="F4:F7" si="1">C4/110</f>
        <v>3.3363636363636366E-2</v>
      </c>
      <c r="G4">
        <f t="shared" ref="G4:G6" si="2">D4/E4</f>
        <v>3.9298345896895431E-2</v>
      </c>
      <c r="H4">
        <v>0.6</v>
      </c>
      <c r="I4">
        <f t="shared" ref="I4:I6" si="3">$B$3*(F4^H4)</f>
        <v>1181857.6625205579</v>
      </c>
      <c r="J4">
        <f t="shared" ref="J4:J6" si="4">I4*($L$3/$K$3)</f>
        <v>1170369.3741849996</v>
      </c>
      <c r="M4">
        <f t="shared" ref="M4:M6" si="5">J4*$A$3</f>
        <v>2347106.3504071394</v>
      </c>
      <c r="N4" s="6">
        <f t="shared" ref="N4:N7" si="6">0.04*M4</f>
        <v>93884.254016285573</v>
      </c>
      <c r="O4" s="7">
        <f t="shared" ref="O4:O7" si="7">0.1*M4</f>
        <v>234710.63504071394</v>
      </c>
      <c r="P4" s="7">
        <f t="shared" ref="P4:P6" si="8">0.045*M4</f>
        <v>105619.78576832126</v>
      </c>
      <c r="Q4" s="91">
        <f t="shared" ref="Q4:Q7" si="9">SUM(M4:P4)</f>
        <v>2781321.0252324603</v>
      </c>
      <c r="R4" s="6">
        <f t="shared" ref="R4:R7" si="10">0.1*Q4</f>
        <v>278132.10252324602</v>
      </c>
      <c r="S4" s="7">
        <f t="shared" ref="S4:S7" si="11">0.2*Q4</f>
        <v>556264.20504649205</v>
      </c>
      <c r="T4" s="7">
        <f t="shared" ref="T4:T7" si="12">0.1*Q4</f>
        <v>278132.10252324602</v>
      </c>
      <c r="U4" s="7">
        <f t="shared" ref="U4:U7" si="13">0.1*Q4</f>
        <v>278132.10252324602</v>
      </c>
      <c r="V4" s="7">
        <f t="shared" ref="V4:V7" si="14">0.1*Q4</f>
        <v>278132.10252324602</v>
      </c>
      <c r="W4" s="7">
        <f t="shared" ref="W4:W7" si="15">SUM(R4:V4)</f>
        <v>1668792.6151394763</v>
      </c>
      <c r="X4" s="6">
        <f t="shared" ref="X4:X7" si="16">W4+Q4</f>
        <v>4450113.6403719364</v>
      </c>
      <c r="Y4" s="7">
        <f t="shared" ref="Y4:Y7" si="17">0.05*X4</f>
        <v>222505.68201859682</v>
      </c>
      <c r="Z4" s="7">
        <f t="shared" ref="Z4:Z7" si="18">0.009*10^6</f>
        <v>9000</v>
      </c>
      <c r="AA4" s="91">
        <f t="shared" ref="AA4:AA7" si="19">SUM(X4:Z4)</f>
        <v>4681619.3223905331</v>
      </c>
      <c r="AC4">
        <f t="shared" ref="AC4:AC7" si="20">$AB$3*F4</f>
        <v>59387.272727272735</v>
      </c>
      <c r="AD4">
        <f t="shared" ref="AD4:AD7" si="21">0.81*10^6</f>
        <v>810000</v>
      </c>
      <c r="AE4">
        <f t="shared" ref="AE4:AE7" si="22">0.9*AD4</f>
        <v>729000</v>
      </c>
      <c r="AF4">
        <f t="shared" ref="AF4:AF7" si="23">0.03*M4</f>
        <v>70413.190512214176</v>
      </c>
      <c r="AG4">
        <f t="shared" ref="AG4:AG7" si="24">0.007*X4</f>
        <v>31150.795482603557</v>
      </c>
      <c r="AH4">
        <f t="shared" ref="AH4:AH6" si="25">SUM(AC4:AG4)</f>
        <v>1699951.2587220904</v>
      </c>
    </row>
    <row r="5" spans="1:34" x14ac:dyDescent="0.2">
      <c r="C5">
        <v>25.82</v>
      </c>
      <c r="D5">
        <v>7300</v>
      </c>
      <c r="E5">
        <f t="shared" si="0"/>
        <v>27991</v>
      </c>
      <c r="F5">
        <f t="shared" si="1"/>
        <v>0.23472727272727273</v>
      </c>
      <c r="G5">
        <f t="shared" si="2"/>
        <v>0.26079811367939693</v>
      </c>
      <c r="H5">
        <v>0.6</v>
      </c>
      <c r="I5">
        <f t="shared" si="3"/>
        <v>3810125.4871823201</v>
      </c>
      <c r="J5">
        <f t="shared" si="4"/>
        <v>3773089.0304417871</v>
      </c>
      <c r="M5">
        <f t="shared" si="5"/>
        <v>7566706.2205624636</v>
      </c>
      <c r="N5" s="6">
        <f t="shared" si="6"/>
        <v>302668.24882249854</v>
      </c>
      <c r="O5" s="7">
        <f t="shared" si="7"/>
        <v>756670.62205624639</v>
      </c>
      <c r="P5" s="7">
        <f t="shared" si="8"/>
        <v>340501.77992531087</v>
      </c>
      <c r="Q5" s="91">
        <f t="shared" si="9"/>
        <v>8966546.8713665195</v>
      </c>
      <c r="R5" s="6">
        <f t="shared" si="10"/>
        <v>896654.68713665195</v>
      </c>
      <c r="S5" s="7">
        <f t="shared" si="11"/>
        <v>1793309.3742733039</v>
      </c>
      <c r="T5" s="7">
        <f t="shared" si="12"/>
        <v>896654.68713665195</v>
      </c>
      <c r="U5" s="7">
        <f t="shared" si="13"/>
        <v>896654.68713665195</v>
      </c>
      <c r="V5" s="7">
        <f t="shared" si="14"/>
        <v>896654.68713665195</v>
      </c>
      <c r="W5" s="7">
        <f t="shared" si="15"/>
        <v>5379928.1228199117</v>
      </c>
      <c r="X5" s="6">
        <f>W5+Q5</f>
        <v>14346474.994186431</v>
      </c>
      <c r="Y5" s="7">
        <f t="shared" si="17"/>
        <v>717323.74970932165</v>
      </c>
      <c r="Z5" s="7">
        <f t="shared" si="18"/>
        <v>9000</v>
      </c>
      <c r="AA5" s="91">
        <f t="shared" si="19"/>
        <v>15072798.743895752</v>
      </c>
      <c r="AC5">
        <f t="shared" si="20"/>
        <v>417814.54545454547</v>
      </c>
      <c r="AD5">
        <f t="shared" si="21"/>
        <v>810000</v>
      </c>
      <c r="AE5">
        <f t="shared" si="22"/>
        <v>729000</v>
      </c>
      <c r="AF5">
        <f t="shared" si="23"/>
        <v>227001.18661687389</v>
      </c>
      <c r="AG5">
        <f t="shared" si="24"/>
        <v>100425.32495930501</v>
      </c>
      <c r="AH5">
        <f t="shared" si="25"/>
        <v>2284241.0570307244</v>
      </c>
    </row>
    <row r="6" spans="1:34" ht="17" thickBot="1" x14ac:dyDescent="0.25">
      <c r="C6">
        <v>212.6</v>
      </c>
      <c r="D6">
        <v>60000</v>
      </c>
      <c r="E6">
        <f t="shared" si="0"/>
        <v>27991</v>
      </c>
      <c r="F6">
        <f t="shared" si="1"/>
        <v>1.9327272727272726</v>
      </c>
      <c r="G6">
        <f t="shared" si="2"/>
        <v>2.1435461398306597</v>
      </c>
      <c r="H6">
        <v>0.6</v>
      </c>
      <c r="I6">
        <f t="shared" si="3"/>
        <v>13499058.916938869</v>
      </c>
      <c r="J6">
        <f t="shared" si="4"/>
        <v>13367840.84727239</v>
      </c>
      <c r="M6">
        <f t="shared" si="5"/>
        <v>26808411.802225981</v>
      </c>
      <c r="N6" s="6">
        <f t="shared" si="6"/>
        <v>1072336.4720890392</v>
      </c>
      <c r="O6" s="7">
        <f t="shared" si="7"/>
        <v>2680841.1802225984</v>
      </c>
      <c r="P6" s="7">
        <f t="shared" si="8"/>
        <v>1206378.5311001691</v>
      </c>
      <c r="Q6" s="91">
        <f t="shared" si="9"/>
        <v>31767967.985637788</v>
      </c>
      <c r="R6" s="6">
        <f t="shared" si="10"/>
        <v>3176796.7985637789</v>
      </c>
      <c r="S6" s="7">
        <f t="shared" si="11"/>
        <v>6353593.5971275577</v>
      </c>
      <c r="T6" s="7">
        <f t="shared" si="12"/>
        <v>3176796.7985637789</v>
      </c>
      <c r="U6" s="7">
        <f t="shared" si="13"/>
        <v>3176796.7985637789</v>
      </c>
      <c r="V6" s="7">
        <f t="shared" si="14"/>
        <v>3176796.7985637789</v>
      </c>
      <c r="W6" s="7">
        <f t="shared" si="15"/>
        <v>19060780.791382674</v>
      </c>
      <c r="X6" s="6">
        <f t="shared" si="16"/>
        <v>50828748.777020462</v>
      </c>
      <c r="Y6" s="7">
        <f t="shared" si="17"/>
        <v>2541437.4388510231</v>
      </c>
      <c r="Z6" s="7">
        <f t="shared" si="18"/>
        <v>9000</v>
      </c>
      <c r="AA6" s="91">
        <f t="shared" si="19"/>
        <v>53379186.215871483</v>
      </c>
      <c r="AC6">
        <f t="shared" si="20"/>
        <v>3440254.5454545454</v>
      </c>
      <c r="AD6">
        <f t="shared" si="21"/>
        <v>810000</v>
      </c>
      <c r="AE6">
        <f t="shared" si="22"/>
        <v>729000</v>
      </c>
      <c r="AF6">
        <f>0.03*M6</f>
        <v>804252.35406677937</v>
      </c>
      <c r="AG6">
        <f t="shared" si="24"/>
        <v>355801.24143914325</v>
      </c>
      <c r="AH6">
        <f t="shared" si="25"/>
        <v>6139308.140960468</v>
      </c>
    </row>
    <row r="7" spans="1:34" ht="17" thickBot="1" x14ac:dyDescent="0.25">
      <c r="M7" s="72">
        <f>A3*B3</f>
        <v>18231020</v>
      </c>
      <c r="N7" s="72">
        <f t="shared" si="6"/>
        <v>729240.8</v>
      </c>
      <c r="O7" s="87">
        <f t="shared" si="7"/>
        <v>1823102</v>
      </c>
      <c r="P7" s="87">
        <f>0.045*M7</f>
        <v>820395.9</v>
      </c>
      <c r="Q7" s="73">
        <f t="shared" si="9"/>
        <v>21603758.699999999</v>
      </c>
      <c r="R7" s="72">
        <f t="shared" si="10"/>
        <v>2160375.87</v>
      </c>
      <c r="S7" s="87">
        <f t="shared" si="11"/>
        <v>4320751.74</v>
      </c>
      <c r="T7" s="87">
        <f t="shared" si="12"/>
        <v>2160375.87</v>
      </c>
      <c r="U7" s="87">
        <f t="shared" si="13"/>
        <v>2160375.87</v>
      </c>
      <c r="V7" s="87">
        <f t="shared" si="14"/>
        <v>2160375.87</v>
      </c>
      <c r="W7" s="92">
        <f t="shared" si="15"/>
        <v>12962255.220000003</v>
      </c>
      <c r="X7" s="72">
        <f t="shared" si="16"/>
        <v>34566013.920000002</v>
      </c>
      <c r="Y7" s="87">
        <f t="shared" si="17"/>
        <v>1728300.6960000002</v>
      </c>
      <c r="Z7" s="87">
        <f t="shared" si="18"/>
        <v>9000</v>
      </c>
      <c r="AA7" s="73">
        <f t="shared" si="19"/>
        <v>36303314.616000004</v>
      </c>
      <c r="AD7">
        <f t="shared" si="21"/>
        <v>810000</v>
      </c>
      <c r="AE7">
        <f t="shared" si="22"/>
        <v>729000</v>
      </c>
      <c r="AF7">
        <f t="shared" si="23"/>
        <v>546930.6</v>
      </c>
      <c r="AG7">
        <f>0.007*X7/10^6</f>
        <v>0.24196209744000002</v>
      </c>
    </row>
    <row r="15" spans="1:34" x14ac:dyDescent="0.2">
      <c r="AG15" t="s">
        <v>168</v>
      </c>
    </row>
  </sheetData>
  <mergeCells count="3">
    <mergeCell ref="N1:Q1"/>
    <mergeCell ref="R1:W1"/>
    <mergeCell ref="AC1:A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 check</vt:lpstr>
      <vt:lpstr>variation of parameters</vt:lpstr>
      <vt:lpstr>parameters I want to track </vt:lpstr>
      <vt:lpstr>total capital investment </vt:lpstr>
      <vt:lpstr>varioations for podgon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Tsiryapkina</dc:creator>
  <cp:lastModifiedBy>Irina Tsiryapkina</cp:lastModifiedBy>
  <dcterms:created xsi:type="dcterms:W3CDTF">2019-08-09T19:51:17Z</dcterms:created>
  <dcterms:modified xsi:type="dcterms:W3CDTF">2019-08-27T20:31:30Z</dcterms:modified>
</cp:coreProperties>
</file>