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filterPrivacy="1"/>
  <xr:revisionPtr revIDLastSave="0" documentId="13_ncr:1_{4FE8BC43-F157-3740-A170-B072A5E19E04}" xr6:coauthVersionLast="34" xr6:coauthVersionMax="34" xr10:uidLastSave="{00000000-0000-0000-0000-000000000000}"/>
  <bookViews>
    <workbookView xWindow="12800" yWindow="460" windowWidth="12800" windowHeight="15460" xr2:uid="{00000000-000D-0000-FFFF-FFFF00000000}"/>
  </bookViews>
  <sheets>
    <sheet name="COSTS" sheetId="1" r:id="rId1"/>
    <sheet name="INDICES" sheetId="2" r:id="rId2"/>
  </sheets>
  <externalReferences>
    <externalReference r:id="rId3"/>
  </externalReferences>
  <definedNames>
    <definedName name="_xlnm._FilterDatabase" localSheetId="0" hidden="1">COSTS!$A$1:$Y$1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O2" i="1"/>
  <c r="AA6" i="1" l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D5" i="1"/>
  <c r="AD4" i="1"/>
  <c r="AD3" i="1"/>
  <c r="AD2" i="1"/>
  <c r="AC3" i="1"/>
  <c r="AC4" i="1"/>
  <c r="AC5" i="1"/>
  <c r="AC2" i="1"/>
  <c r="Z6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I25" i="1" l="1"/>
  <c r="T25" i="1" s="1"/>
  <c r="I24" i="1"/>
  <c r="T24" i="1" s="1"/>
  <c r="I23" i="1"/>
  <c r="T23" i="1" s="1"/>
  <c r="I22" i="1"/>
  <c r="T22" i="1" s="1"/>
  <c r="U25" i="1"/>
  <c r="W25" i="1" s="1"/>
  <c r="U24" i="1"/>
  <c r="W24" i="1" s="1"/>
  <c r="U23" i="1"/>
  <c r="W23" i="1" s="1"/>
  <c r="U22" i="1"/>
  <c r="W22" i="1" s="1"/>
  <c r="I12" i="1"/>
  <c r="I11" i="1"/>
  <c r="T11" i="1" s="1"/>
  <c r="I19" i="1"/>
  <c r="T19" i="1" s="1"/>
  <c r="U21" i="1"/>
  <c r="W21" i="1" s="1"/>
  <c r="U20" i="1"/>
  <c r="W20" i="1" s="1"/>
  <c r="U19" i="1"/>
  <c r="W19" i="1" s="1"/>
  <c r="U18" i="1"/>
  <c r="W18" i="1" s="1"/>
  <c r="U17" i="1"/>
  <c r="W17" i="1" s="1"/>
  <c r="U16" i="1"/>
  <c r="W16" i="1" s="1"/>
  <c r="U15" i="1"/>
  <c r="W15" i="1" s="1"/>
  <c r="U14" i="1"/>
  <c r="W14" i="1" s="1"/>
  <c r="U13" i="1"/>
  <c r="W13" i="1" s="1"/>
  <c r="U12" i="1"/>
  <c r="W12" i="1" s="1"/>
  <c r="U11" i="1"/>
  <c r="W11" i="1" s="1"/>
  <c r="U10" i="1"/>
  <c r="W10" i="1" s="1"/>
  <c r="T21" i="1"/>
  <c r="T12" i="1"/>
  <c r="I13" i="1"/>
  <c r="M13" i="1" s="1"/>
  <c r="M12" i="1"/>
  <c r="M11" i="1"/>
  <c r="I21" i="1"/>
  <c r="M21" i="1" s="1"/>
  <c r="I20" i="1"/>
  <c r="T20" i="1" s="1"/>
  <c r="I18" i="1"/>
  <c r="T18" i="1" s="1"/>
  <c r="I17" i="1"/>
  <c r="T17" i="1" s="1"/>
  <c r="I16" i="1"/>
  <c r="T16" i="1" s="1"/>
  <c r="I15" i="1"/>
  <c r="T15" i="1" s="1"/>
  <c r="I14" i="1"/>
  <c r="T14" i="1" s="1"/>
  <c r="I10" i="1"/>
  <c r="T10" i="1" s="1"/>
  <c r="U9" i="1"/>
  <c r="W9" i="1" s="1"/>
  <c r="U8" i="1"/>
  <c r="W8" i="1" s="1"/>
  <c r="U7" i="1"/>
  <c r="W7" i="1" s="1"/>
  <c r="U6" i="1"/>
  <c r="W6" i="1" s="1"/>
  <c r="U5" i="1"/>
  <c r="U4" i="1"/>
  <c r="W4" i="1" s="1"/>
  <c r="U3" i="1"/>
  <c r="W3" i="1" s="1"/>
  <c r="U2" i="1"/>
  <c r="W2" i="1" s="1"/>
  <c r="V5" i="1"/>
  <c r="W5" i="1"/>
  <c r="V3" i="1"/>
  <c r="V4" i="1"/>
  <c r="H6" i="1"/>
  <c r="I7" i="1" s="1"/>
  <c r="R7" i="1" s="1"/>
  <c r="I6" i="1"/>
  <c r="R6" i="1" s="1"/>
  <c r="G90" i="2"/>
  <c r="G89" i="2"/>
  <c r="G88" i="2"/>
  <c r="G87" i="2"/>
  <c r="V49" i="2" a="1"/>
  <c r="V50" i="2" s="1"/>
  <c r="L49" i="2" a="1"/>
  <c r="M49" i="2" s="1"/>
  <c r="B49" i="2" a="1"/>
  <c r="B50" i="2" s="1"/>
  <c r="Y42" i="2"/>
  <c r="Y45" i="2"/>
  <c r="Y44" i="2"/>
  <c r="Y43" i="2"/>
  <c r="O42" i="2"/>
  <c r="Y41" i="2"/>
  <c r="O41" i="2"/>
  <c r="E37" i="2"/>
  <c r="Y40" i="2"/>
  <c r="O40" i="2"/>
  <c r="E40" i="2"/>
  <c r="Y39" i="2"/>
  <c r="E39" i="2"/>
  <c r="Y38" i="2"/>
  <c r="O38" i="2"/>
  <c r="E38" i="2"/>
  <c r="Y37" i="2"/>
  <c r="O37" i="2"/>
  <c r="Y36" i="2"/>
  <c r="O36" i="2"/>
  <c r="E36" i="2"/>
  <c r="Y35" i="2"/>
  <c r="O35" i="2"/>
  <c r="E35" i="2"/>
  <c r="Y34" i="2"/>
  <c r="O34" i="2"/>
  <c r="E34" i="2"/>
  <c r="Y33" i="2"/>
  <c r="O33" i="2"/>
  <c r="E33" i="2"/>
  <c r="Y32" i="2"/>
  <c r="O32" i="2"/>
  <c r="E32" i="2"/>
  <c r="Y31" i="2"/>
  <c r="O31" i="2"/>
  <c r="E31" i="2"/>
  <c r="Y30" i="2"/>
  <c r="O30" i="2"/>
  <c r="E30" i="2"/>
  <c r="Y29" i="2"/>
  <c r="O29" i="2"/>
  <c r="E29" i="2"/>
  <c r="Y28" i="2"/>
  <c r="O28" i="2"/>
  <c r="E28" i="2"/>
  <c r="Y27" i="2"/>
  <c r="O27" i="2"/>
  <c r="E27" i="2"/>
  <c r="Y26" i="2"/>
  <c r="O26" i="2"/>
  <c r="E26" i="2"/>
  <c r="Y25" i="2"/>
  <c r="O25" i="2"/>
  <c r="E25" i="2"/>
  <c r="Y24" i="2"/>
  <c r="O24" i="2"/>
  <c r="E24" i="2"/>
  <c r="Y23" i="2"/>
  <c r="O23" i="2"/>
  <c r="E23" i="2"/>
  <c r="Y22" i="2"/>
  <c r="O22" i="2"/>
  <c r="E22" i="2"/>
  <c r="Y21" i="2"/>
  <c r="O21" i="2"/>
  <c r="E21" i="2"/>
  <c r="Y20" i="2"/>
  <c r="O20" i="2"/>
  <c r="E20" i="2"/>
  <c r="Y19" i="2"/>
  <c r="O19" i="2"/>
  <c r="E19" i="2"/>
  <c r="Y18" i="2"/>
  <c r="O18" i="2"/>
  <c r="E18" i="2"/>
  <c r="Y17" i="2"/>
  <c r="O17" i="2"/>
  <c r="E17" i="2"/>
  <c r="Y16" i="2"/>
  <c r="O16" i="2"/>
  <c r="E16" i="2"/>
  <c r="Y15" i="2"/>
  <c r="O15" i="2"/>
  <c r="Y14" i="2"/>
  <c r="O14" i="2"/>
  <c r="Y13" i="2"/>
  <c r="O13" i="2"/>
  <c r="Y12" i="2"/>
  <c r="O12" i="2"/>
  <c r="Y11" i="2"/>
  <c r="O11" i="2"/>
  <c r="O10" i="2"/>
  <c r="O9" i="2"/>
  <c r="O8" i="2"/>
  <c r="I3" i="1"/>
  <c r="R3" i="1" s="1"/>
  <c r="I4" i="1"/>
  <c r="R4" i="1" s="1"/>
  <c r="P2" i="1"/>
  <c r="N2" i="1"/>
  <c r="L2" i="1"/>
  <c r="L6" i="1" s="1"/>
  <c r="H2" i="1"/>
  <c r="I2" i="1" s="1"/>
  <c r="R2" i="1" s="1"/>
  <c r="M6" i="1" l="1"/>
  <c r="M7" i="1"/>
  <c r="M3" i="1"/>
  <c r="C53" i="2"/>
  <c r="C51" i="2"/>
  <c r="C49" i="2"/>
  <c r="L53" i="2"/>
  <c r="L51" i="2"/>
  <c r="L49" i="2"/>
  <c r="W52" i="2"/>
  <c r="W50" i="2"/>
  <c r="M2" i="1"/>
  <c r="B53" i="2"/>
  <c r="B51" i="2"/>
  <c r="B49" i="2"/>
  <c r="M52" i="2"/>
  <c r="M50" i="2"/>
  <c r="C52" i="2"/>
  <c r="C50" i="2"/>
  <c r="I8" i="1"/>
  <c r="R8" i="1" s="1"/>
  <c r="V6" i="1"/>
  <c r="L52" i="2"/>
  <c r="L50" i="2"/>
  <c r="W53" i="2"/>
  <c r="W51" i="2"/>
  <c r="W49" i="2"/>
  <c r="M10" i="1"/>
  <c r="T13" i="1"/>
  <c r="M17" i="1"/>
  <c r="V13" i="1"/>
  <c r="V17" i="1"/>
  <c r="V21" i="1"/>
  <c r="V22" i="1"/>
  <c r="M22" i="1"/>
  <c r="M4" i="1"/>
  <c r="I5" i="1"/>
  <c r="R5" i="1" s="1"/>
  <c r="B52" i="2"/>
  <c r="M53" i="2"/>
  <c r="M51" i="2"/>
  <c r="V53" i="2"/>
  <c r="V51" i="2"/>
  <c r="V49" i="2"/>
  <c r="O4" i="1"/>
  <c r="Q4" i="1"/>
  <c r="N6" i="1"/>
  <c r="V7" i="1"/>
  <c r="M14" i="1"/>
  <c r="M18" i="1"/>
  <c r="V10" i="1"/>
  <c r="V14" i="1"/>
  <c r="V18" i="1"/>
  <c r="V23" i="1"/>
  <c r="M23" i="1"/>
  <c r="O3" i="1"/>
  <c r="T3" i="1" s="1"/>
  <c r="Q3" i="1"/>
  <c r="I9" i="1"/>
  <c r="R9" i="1" s="1"/>
  <c r="P6" i="1"/>
  <c r="V2" i="1"/>
  <c r="V8" i="1"/>
  <c r="M15" i="1"/>
  <c r="M19" i="1"/>
  <c r="V11" i="1"/>
  <c r="V15" i="1"/>
  <c r="V19" i="1"/>
  <c r="V24" i="1"/>
  <c r="M24" i="1"/>
  <c r="V52" i="2"/>
  <c r="V9" i="1"/>
  <c r="M16" i="1"/>
  <c r="M20" i="1"/>
  <c r="V12" i="1"/>
  <c r="V16" i="1"/>
  <c r="V20" i="1"/>
  <c r="V25" i="1"/>
  <c r="M25" i="1"/>
  <c r="M8" i="1" l="1"/>
  <c r="D27" i="2"/>
  <c r="D26" i="2"/>
  <c r="D25" i="2"/>
  <c r="D24" i="2"/>
  <c r="D23" i="2"/>
  <c r="D22" i="2"/>
  <c r="D21" i="2"/>
  <c r="E41" i="2"/>
  <c r="T4" i="1"/>
  <c r="M5" i="1"/>
  <c r="Q8" i="1"/>
  <c r="Q6" i="1"/>
  <c r="Q7" i="1"/>
  <c r="Q9" i="1"/>
  <c r="O6" i="1"/>
  <c r="O7" i="1"/>
  <c r="O8" i="1"/>
  <c r="O9" i="1"/>
  <c r="X45" i="2"/>
  <c r="X43" i="2"/>
  <c r="X35" i="2"/>
  <c r="Y46" i="2"/>
  <c r="X40" i="2"/>
  <c r="X46" i="2"/>
  <c r="X44" i="2"/>
  <c r="X39" i="2"/>
  <c r="X38" i="2"/>
  <c r="X42" i="2"/>
  <c r="X41" i="2"/>
  <c r="X37" i="2"/>
  <c r="X36" i="2"/>
  <c r="O5" i="1"/>
  <c r="Q5" i="1"/>
  <c r="N38" i="2"/>
  <c r="O43" i="2"/>
  <c r="N42" i="2"/>
  <c r="N41" i="2"/>
  <c r="N37" i="2"/>
  <c r="N36" i="2"/>
  <c r="N43" i="2"/>
  <c r="N35" i="2"/>
  <c r="N34" i="2"/>
  <c r="N33" i="2"/>
  <c r="N32" i="2"/>
  <c r="N31" i="2"/>
  <c r="N30" i="2"/>
  <c r="N40" i="2"/>
  <c r="N39" i="2"/>
  <c r="T2" i="1"/>
  <c r="M9" i="1"/>
  <c r="T9" i="1" l="1"/>
  <c r="T5" i="1"/>
  <c r="T7" i="1"/>
  <c r="T6" i="1"/>
  <c r="T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4A87CEFA-BFA6-4AAA-94A7-7D36805C83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HTL - based on ash free dry tonnes per year
CNG, PNG, CHP - based on MGD size facility</t>
        </r>
      </text>
    </comment>
    <comment ref="U1" authorId="0" shapeId="0" xr:uid="{89D96FBF-0DBB-4E11-9554-BB14C07F4BA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Basd on MGD values</t>
        </r>
      </text>
    </comment>
    <comment ref="V1" authorId="0" shapeId="0" xr:uid="{18E6977E-E6C8-4369-8D18-FC99479CF7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cost estimates from Ling's spreadsheet</t>
        </r>
      </text>
    </comment>
    <comment ref="R2" authorId="0" shapeId="0" xr:uid="{91786B5E-6263-4C2A-9130-BEB8C5DA4F1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0.47 trillion Btu/yr - PNNL
1 Btu = 1.05506e-06 GJ</t>
        </r>
      </text>
    </comment>
    <comment ref="S2" authorId="0" shapeId="0" xr:uid="{90FBCC4B-899B-4D10-ADBE-4936E51484A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Sludge = 19.2 MMbtu/US ton (15% ash)
Biocrude - 15 MMBtu/US ton ash free
</t>
        </r>
      </text>
    </comment>
    <comment ref="U2" authorId="0" shapeId="0" xr:uid="{9D94E927-BE82-41D1-8374-9EC7F87308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U3" authorId="0" shapeId="0" xr:uid="{C7EE994C-4EA9-4E52-ACC6-0DE2FBF6163B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1-10 MGD base case</t>
        </r>
      </text>
    </comment>
    <comment ref="U4" authorId="0" shapeId="0" xr:uid="{BAD50064-9DDE-459F-A357-3B02446866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U5" authorId="0" shapeId="0" xr:uid="{D05F1448-703D-4C30-B394-8EFEB58978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H6" authorId="0" shapeId="0" xr:uid="{30CB5B6A-247A-475E-8CF9-6DD8C2DF66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HTL to Biocrude - 3.8 million gallons/yr
Biocrude input for Biofuel Prod - 37.9 million gallons/yr</t>
        </r>
      </text>
    </comment>
    <comment ref="L6" authorId="0" shapeId="0" xr:uid="{0CE4DCCE-0738-40BE-B782-7C182764EE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3.8/37.9 = 0.1 (facility size cost)</t>
        </r>
      </text>
    </comment>
    <comment ref="R6" authorId="0" shapeId="0" xr:uid="{795E6B24-008B-47FE-ADB0-06AB8E1179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4.5 trillion Btu/yr - PNNL</t>
        </r>
      </text>
    </comment>
    <comment ref="S6" authorId="0" shapeId="0" xr:uid="{C4340B44-91D8-47C1-AF13-E346913D4E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0.95 gge fuel/gge biocrude</t>
        </r>
      </text>
    </comment>
    <comment ref="U6" authorId="0" shapeId="0" xr:uid="{F13CD073-DC1B-4908-9040-3235E56A224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0-1 MGD base case</t>
        </r>
      </text>
    </comment>
    <comment ref="U7" authorId="0" shapeId="0" xr:uid="{0C50175F-1D78-41FF-80FE-77F1239A82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U8" authorId="0" shapeId="0" xr:uid="{AF75F1D0-D0BF-40CA-94BB-9EB70AA908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U9" authorId="0" shapeId="0" xr:uid="{302105ED-839D-47F1-A557-4367C0CFA54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I10" authorId="0" shapeId="0" xr:uid="{A410D0E7-FA23-4AD1-A44C-28AEAD94DB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U10" authorId="0" shapeId="0" xr:uid="{0CD8923C-6206-4EDA-9D20-885051F844CE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0-1 MGD base case</t>
        </r>
      </text>
    </comment>
    <comment ref="I11" authorId="0" shapeId="0" xr:uid="{E5447CC2-9DED-4528-AEEB-3067C2D872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U11" authorId="0" shapeId="0" xr:uid="{222B4BB8-8560-45E0-8BC7-66950399978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I12" authorId="0" shapeId="0" xr:uid="{64DB5D3F-5062-45F1-9A75-C58D314DBE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U12" authorId="0" shapeId="0" xr:uid="{998E50BE-D7E7-4887-A3D7-9C201BD9060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I13" authorId="0" shapeId="0" xr:uid="{442D78D7-16D9-4BDD-8090-F00575B6AD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U13" authorId="0" shapeId="0" xr:uid="{4D39B1E5-E097-44E5-87B8-3827701994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I14" authorId="0" shapeId="0" xr:uid="{A088894E-63D3-4765-A99A-7CB8CB5458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U14" authorId="0" shapeId="0" xr:uid="{23ADB1D9-C6AB-46B9-B729-6B2DA9D594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I15" authorId="0" shapeId="0" xr:uid="{563310E6-4B39-4B34-ABBA-B9D13EB074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U15" authorId="0" shapeId="0" xr:uid="{53C6A95C-C1D9-4B66-8190-19476394ED02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1-10 MGD base case</t>
        </r>
      </text>
    </comment>
    <comment ref="I16" authorId="0" shapeId="0" xr:uid="{5D9A6CF2-2768-4933-A568-D06F8D9358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U16" authorId="0" shapeId="0" xr:uid="{EDD4C0D3-5A18-4C30-8734-00EB4D53E2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I17" authorId="0" shapeId="0" xr:uid="{850730FF-D9D6-4F95-96C0-2CC6A20834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U17" authorId="0" shapeId="0" xr:uid="{5532732C-F518-47FD-AB97-A9BC4B7BE4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I18" authorId="0" shapeId="0" xr:uid="{3A9CF230-88A9-4408-B93F-DA91CEAA82F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U18" authorId="0" shapeId="0" xr:uid="{0D8CFCA7-0971-4D34-8940-C89C22F84BE1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0-1 MGD base case</t>
        </r>
      </text>
    </comment>
    <comment ref="I19" authorId="0" shapeId="0" xr:uid="{73838C34-F2B0-44D0-8982-6C4041BB83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U19" authorId="0" shapeId="0" xr:uid="{E38DC972-5E56-4130-8407-614F6ED25B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I20" authorId="0" shapeId="0" xr:uid="{401D06FB-987B-4C6E-9430-13D0DA34C3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U20" authorId="0" shapeId="0" xr:uid="{3768ADCC-0BE1-4D0F-8424-50C581CD420E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10-100 MGD base case</t>
        </r>
      </text>
    </comment>
    <comment ref="I21" authorId="0" shapeId="0" xr:uid="{6FF6FB2B-D457-4BEA-817B-C74E4DE64BA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U21" authorId="0" shapeId="0" xr:uid="{FD1BF24D-4023-48B1-890C-1665919405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I22" authorId="0" shapeId="0" xr:uid="{7CE56A8B-2E12-4B41-AD42-79FE2203BD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U22" authorId="0" shapeId="0" xr:uid="{56D32615-E002-4D2B-96C2-9E40B8EE28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I23" authorId="0" shapeId="0" xr:uid="{01378C34-0C8B-4EB2-A9E2-18E249571D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U23" authorId="0" shapeId="0" xr:uid="{EB95509A-BFDA-4488-A0A1-6CBF4EC6C3A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I24" authorId="0" shapeId="0" xr:uid="{141E247C-A4D2-44E4-8B05-80D48773F1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U24" authorId="0" shapeId="0" xr:uid="{B14EA67A-978B-4DC0-975C-1CBBE2F8A54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I25" authorId="0" shapeId="0" xr:uid="{101A9B78-A88E-481C-82BD-B3869A5EAD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U25" authorId="0" shapeId="0" xr:uid="{03041C38-2DEF-4B82-A556-42E4D128EB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</commentList>
</comments>
</file>

<file path=xl/sharedStrings.xml><?xml version="1.0" encoding="utf-8"?>
<sst xmlns="http://schemas.openxmlformats.org/spreadsheetml/2006/main" count="259" uniqueCount="110">
  <si>
    <t>WESyS Module</t>
  </si>
  <si>
    <t>Type</t>
  </si>
  <si>
    <t>Size (MGD)</t>
  </si>
  <si>
    <t>Quantity of biosolids (ash free dry tonnes per year)</t>
  </si>
  <si>
    <t xml:space="preserve">WWTP </t>
  </si>
  <si>
    <t>No flare</t>
  </si>
  <si>
    <t>Anaerobic Digestion System</t>
  </si>
  <si>
    <t>Technology</t>
  </si>
  <si>
    <t>CM</t>
  </si>
  <si>
    <t>HTL to biocrude</t>
  </si>
  <si>
    <t>HTL to biofuel</t>
  </si>
  <si>
    <t>CNG</t>
  </si>
  <si>
    <t>PNG</t>
  </si>
  <si>
    <t>CHP</t>
  </si>
  <si>
    <t>Electricity</t>
  </si>
  <si>
    <t>Size Ratio</t>
  </si>
  <si>
    <t>n</t>
  </si>
  <si>
    <t>Size Range</t>
  </si>
  <si>
    <t>0-1 MGD</t>
  </si>
  <si>
    <t>1-10 MGD</t>
  </si>
  <si>
    <t>10-100 MGD</t>
  </si>
  <si>
    <t>&gt;100 MGD</t>
  </si>
  <si>
    <t>Base year</t>
  </si>
  <si>
    <t>CAPEX in base case HTL</t>
  </si>
  <si>
    <t>Quantity of biosolids in base case HTL (ash free dry tonnes per year)</t>
  </si>
  <si>
    <t>CAPEX (2014$)</t>
  </si>
  <si>
    <t>Variable Operating Cost (2014$)</t>
  </si>
  <si>
    <t>Variable Operating Cost in base case HTL</t>
  </si>
  <si>
    <t>Fixed Operating Cost in base case HTL</t>
  </si>
  <si>
    <t>Fixed Operating Cost (2014$)</t>
  </si>
  <si>
    <t>Plant Cost Indices</t>
  </si>
  <si>
    <t>Inorganic Chemical Index</t>
  </si>
  <si>
    <t>Labor Index</t>
  </si>
  <si>
    <t xml:space="preserve">Source: </t>
  </si>
  <si>
    <t>(0) Chemical Engineering Magazine, Jan 1991</t>
  </si>
  <si>
    <t xml:space="preserve"> SRI International Chemical Economics Handbook, Economic Environment of the Chemical Industry 2004</t>
  </si>
  <si>
    <t>Source:</t>
  </si>
  <si>
    <t>Bureau of Labor Statistics</t>
  </si>
  <si>
    <t>EIA Average Wholesale price, cents/kWh</t>
  </si>
  <si>
    <t>(1) Chemical Engineering Magazine, March, 1997</t>
  </si>
  <si>
    <t>Current indices @</t>
  </si>
  <si>
    <t>https://www.sriconsulting.com/CEH/Private/EECI/EECI.pdf</t>
  </si>
  <si>
    <t>Series ID:</t>
  </si>
  <si>
    <t xml:space="preserve">CEU3232500008 </t>
  </si>
  <si>
    <t>(2) Chemical Engineering Magazine, March, 2000</t>
  </si>
  <si>
    <t>Chemicals</t>
  </si>
  <si>
    <t>(3) Chemical Engineering Magazine, January, 2001</t>
  </si>
  <si>
    <t>Method:</t>
  </si>
  <si>
    <t>Reported</t>
  </si>
  <si>
    <t>Regression</t>
  </si>
  <si>
    <t>Manual</t>
  </si>
  <si>
    <t>Average Hourly Earnings of Production Workers</t>
  </si>
  <si>
    <t>(4) Chemical Engineering Magazine, April, 2002</t>
  </si>
  <si>
    <t>Year</t>
  </si>
  <si>
    <t>US Producer Price</t>
  </si>
  <si>
    <t>LINEST</t>
  </si>
  <si>
    <t>In Use</t>
  </si>
  <si>
    <t>http://data.bls.gov/cgi-bin/srgate</t>
  </si>
  <si>
    <t>(5) Chemical Engineering Magazine, December, 2003</t>
  </si>
  <si>
    <t>IN Use</t>
  </si>
  <si>
    <t>(6) Chemical Engineering Magazine, May 2005</t>
  </si>
  <si>
    <t>(7) Chemical Engineering Magazine, April 2009</t>
  </si>
  <si>
    <t>BLS</t>
  </si>
  <si>
    <t>http://www.che.com/ei</t>
  </si>
  <si>
    <t>Source</t>
  </si>
  <si>
    <t>CE Annual</t>
  </si>
  <si>
    <t>(0)</t>
  </si>
  <si>
    <t>(1)</t>
  </si>
  <si>
    <t>(2)</t>
  </si>
  <si>
    <t>(3)</t>
  </si>
  <si>
    <t>(4)</t>
  </si>
  <si>
    <t>(5)</t>
  </si>
  <si>
    <t>(6)</t>
  </si>
  <si>
    <t>(7)</t>
  </si>
  <si>
    <t>252.1 for 2014</t>
  </si>
  <si>
    <t>Jun 09</t>
  </si>
  <si>
    <t>Linear Regression Results</t>
  </si>
  <si>
    <t>INDIRECT() available datasets/ranges</t>
  </si>
  <si>
    <t>Data Set</t>
  </si>
  <si>
    <t>Sheet</t>
  </si>
  <si>
    <t>Start Col</t>
  </si>
  <si>
    <t>Start Row</t>
  </si>
  <si>
    <t>End Col</t>
  </si>
  <si>
    <t>End row</t>
  </si>
  <si>
    <t>Lookup String</t>
  </si>
  <si>
    <t>NAME</t>
  </si>
  <si>
    <t>Index-Capital</t>
  </si>
  <si>
    <t>INDICES</t>
  </si>
  <si>
    <t>B</t>
  </si>
  <si>
    <t>E</t>
  </si>
  <si>
    <t>IX_CAP</t>
  </si>
  <si>
    <t>Index-Chemical</t>
  </si>
  <si>
    <t>L</t>
  </si>
  <si>
    <t>O</t>
  </si>
  <si>
    <t>IX_CHEM</t>
  </si>
  <si>
    <t>Index-Electricity</t>
  </si>
  <si>
    <t>AF</t>
  </si>
  <si>
    <t>AG</t>
  </si>
  <si>
    <t>IX_ELEC</t>
  </si>
  <si>
    <t>Index-Labor</t>
  </si>
  <si>
    <t>V</t>
  </si>
  <si>
    <t>Y</t>
  </si>
  <si>
    <t>IX_LABOR</t>
  </si>
  <si>
    <t>Energy Produced by Technology (GJ/yr)</t>
  </si>
  <si>
    <t>Total Operating Cost ($/yr)</t>
  </si>
  <si>
    <r>
      <t>Energy yield (n</t>
    </r>
    <r>
      <rPr>
        <b/>
        <vertAlign val="superscript"/>
        <sz val="11"/>
        <color theme="1"/>
        <rFont val="Calibri"/>
        <family val="2"/>
      </rPr>
      <t>th</t>
    </r>
    <r>
      <rPr>
        <b/>
        <sz val="11"/>
        <color theme="1"/>
        <rFont val="Calibri"/>
        <family val="2"/>
      </rPr>
      <t xml:space="preserve"> plant)</t>
    </r>
  </si>
  <si>
    <t>CAPEX for AD only</t>
  </si>
  <si>
    <t>OPEX for AD only</t>
  </si>
  <si>
    <t>Size ratio for AD costing</t>
  </si>
  <si>
    <t>Annika's spreadsheet CAPEX for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</si>
</sst>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.0"/>
    <numFmt numFmtId="165" formatCode="&quot;$&quot;#,##0"/>
    <numFmt numFmtId="166" formatCode="0.0"/>
    <numFmt numFmtId="167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perscript"/>
      <sz val="11"/>
      <color theme="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0" xfId="0" applyFont="1"/>
    <xf numFmtId="0" fontId="4" fillId="0" borderId="0" xfId="0" quotePrefix="1" applyFont="1" applyFill="1" applyBorder="1"/>
    <xf numFmtId="0" fontId="4" fillId="0" borderId="0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4" fillId="0" borderId="0" xfId="1"/>
    <xf numFmtId="0" fontId="4" fillId="2" borderId="2" xfId="1" applyFill="1" applyBorder="1"/>
    <xf numFmtId="0" fontId="3" fillId="2" borderId="3" xfId="1" applyFont="1" applyFill="1" applyBorder="1"/>
    <xf numFmtId="0" fontId="4" fillId="2" borderId="3" xfId="1" applyFill="1" applyBorder="1"/>
    <xf numFmtId="0" fontId="4" fillId="2" borderId="4" xfId="1" applyFill="1" applyBorder="1"/>
    <xf numFmtId="0" fontId="4" fillId="0" borderId="0" xfId="1" applyBorder="1"/>
    <xf numFmtId="0" fontId="4" fillId="3" borderId="5" xfId="1" applyFill="1" applyBorder="1"/>
    <xf numFmtId="0" fontId="3" fillId="3" borderId="0" xfId="1" applyFont="1" applyFill="1" applyBorder="1"/>
    <xf numFmtId="0" fontId="4" fillId="3" borderId="0" xfId="1" applyFill="1" applyBorder="1"/>
    <xf numFmtId="0" fontId="4" fillId="3" borderId="6" xfId="1" applyFill="1" applyBorder="1"/>
    <xf numFmtId="0" fontId="3" fillId="3" borderId="0" xfId="1" applyFont="1" applyFill="1" applyBorder="1" applyAlignment="1">
      <alignment vertical="top"/>
    </xf>
    <xf numFmtId="0" fontId="3" fillId="3" borderId="0" xfId="1" applyFont="1" applyFill="1" applyBorder="1" applyAlignment="1"/>
    <xf numFmtId="0" fontId="4" fillId="3" borderId="0" xfId="1" applyFill="1" applyBorder="1" applyAlignment="1"/>
    <xf numFmtId="0" fontId="4" fillId="3" borderId="0" xfId="1" applyFill="1"/>
    <xf numFmtId="0" fontId="4" fillId="3" borderId="0" xfId="1" applyFont="1" applyFill="1" applyBorder="1"/>
    <xf numFmtId="0" fontId="3" fillId="3" borderId="0" xfId="1" applyFont="1" applyFill="1" applyBorder="1" applyAlignment="1">
      <alignment horizontal="left" vertical="top"/>
    </xf>
    <xf numFmtId="0" fontId="3" fillId="3" borderId="0" xfId="1" applyFont="1" applyFill="1" applyBorder="1" applyAlignment="1">
      <alignment horizontal="left" vertical="top" wrapText="1"/>
    </xf>
    <xf numFmtId="0" fontId="3" fillId="3" borderId="5" xfId="1" applyFont="1" applyFill="1" applyBorder="1"/>
    <xf numFmtId="0" fontId="4" fillId="3" borderId="5" xfId="1" quotePrefix="1" applyFill="1" applyBorder="1"/>
    <xf numFmtId="0" fontId="5" fillId="3" borderId="0" xfId="1" applyFont="1" applyFill="1" applyBorder="1"/>
    <xf numFmtId="0" fontId="4" fillId="4" borderId="5" xfId="1" applyFill="1" applyBorder="1"/>
    <xf numFmtId="0" fontId="4" fillId="4" borderId="0" xfId="1" applyFont="1" applyFill="1" applyBorder="1"/>
    <xf numFmtId="0" fontId="5" fillId="3" borderId="1" xfId="1" applyFont="1" applyFill="1" applyBorder="1"/>
    <xf numFmtId="0" fontId="6" fillId="3" borderId="1" xfId="1" applyFont="1" applyFill="1" applyBorder="1"/>
    <xf numFmtId="0" fontId="4" fillId="3" borderId="7" xfId="1" applyFill="1" applyBorder="1"/>
    <xf numFmtId="0" fontId="4" fillId="3" borderId="1" xfId="1" applyFill="1" applyBorder="1"/>
    <xf numFmtId="0" fontId="4" fillId="3" borderId="8" xfId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2" fillId="2" borderId="4" xfId="0" applyNumberFormat="1" applyFont="1" applyFill="1" applyBorder="1"/>
    <xf numFmtId="0" fontId="2" fillId="0" borderId="1" xfId="0" applyNumberFormat="1" applyFont="1" applyBorder="1"/>
    <xf numFmtId="0" fontId="1" fillId="0" borderId="0" xfId="0" applyNumberFormat="1" applyFont="1"/>
    <xf numFmtId="0" fontId="1" fillId="0" borderId="0" xfId="0" applyNumberFormat="1" applyFont="1" applyFill="1"/>
    <xf numFmtId="0" fontId="4" fillId="0" borderId="0" xfId="1" applyFont="1"/>
    <xf numFmtId="1" fontId="4" fillId="0" borderId="0" xfId="0" applyNumberFormat="1" applyFont="1"/>
    <xf numFmtId="11" fontId="4" fillId="0" borderId="0" xfId="0" applyNumberFormat="1" applyFont="1"/>
    <xf numFmtId="11" fontId="4" fillId="0" borderId="0" xfId="0" quotePrefix="1" applyNumberFormat="1" applyFont="1" applyFill="1" applyBorder="1"/>
    <xf numFmtId="166" fontId="4" fillId="0" borderId="0" xfId="0" applyNumberFormat="1" applyFont="1" applyFill="1"/>
    <xf numFmtId="165" fontId="4" fillId="5" borderId="9" xfId="0" applyNumberFormat="1" applyFont="1" applyFill="1" applyBorder="1"/>
    <xf numFmtId="165" fontId="4" fillId="5" borderId="0" xfId="0" applyNumberFormat="1" applyFont="1" applyFill="1"/>
    <xf numFmtId="165" fontId="4" fillId="6" borderId="5" xfId="2" applyNumberFormat="1" applyFont="1" applyFill="1" applyBorder="1"/>
    <xf numFmtId="165" fontId="4" fillId="4" borderId="5" xfId="2" applyNumberFormat="1" applyFont="1" applyFill="1" applyBorder="1"/>
    <xf numFmtId="167" fontId="0" fillId="0" borderId="0" xfId="0" applyNumberFormat="1"/>
    <xf numFmtId="165" fontId="0" fillId="0" borderId="0" xfId="0" applyNumberFormat="1" applyFill="1"/>
    <xf numFmtId="11" fontId="4" fillId="0" borderId="0" xfId="0" applyNumberFormat="1" applyFont="1" applyFill="1"/>
    <xf numFmtId="167" fontId="0" fillId="0" borderId="0" xfId="0" applyNumberFormat="1" applyFill="1"/>
    <xf numFmtId="0" fontId="4" fillId="3" borderId="0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165" fontId="4" fillId="5" borderId="0" xfId="0" applyNumberFormat="1" applyFont="1" applyFill="1" applyBorder="1"/>
  </cellXfs>
  <cellStyles count="3">
    <cellStyle name="Comma" xfId="2" builtinId="3"/>
    <cellStyle name="Normal" xfId="0" builtinId="0"/>
    <cellStyle name="Normal 2" xfId="1" xr:uid="{C9FE3591-0FFB-474D-ADAA-C31513730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Labor Index</a:t>
            </a:r>
            <a:endParaRPr lang="en-US" baseline="0"/>
          </a:p>
        </c:rich>
      </c:tx>
      <c:layout>
        <c:manualLayout>
          <c:xMode val="edge"/>
          <c:yMode val="edge"/>
          <c:x val="0.45915652941179669"/>
          <c:y val="1.95515635530569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94490835252784E-2"/>
          <c:y val="8.1421141799447233E-2"/>
          <c:w val="0.87708649468892264"/>
          <c:h val="0.8431387225983496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[1]INDICES!$W$9</c:f>
              <c:strCache>
                <c:ptCount val="1"/>
                <c:pt idx="0">
                  <c:v>Reported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[1]INDICES!$V$11:$V$46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xVal>
          <c:yVal>
            <c:numRef>
              <c:f>[1]INDICES!$W$11:$W$46</c:f>
              <c:numCache>
                <c:formatCode>General</c:formatCode>
                <c:ptCount val="36"/>
                <c:pt idx="10">
                  <c:v>12.85</c:v>
                </c:pt>
                <c:pt idx="11">
                  <c:v>13.3</c:v>
                </c:pt>
                <c:pt idx="12">
                  <c:v>13.7</c:v>
                </c:pt>
                <c:pt idx="13">
                  <c:v>13.97</c:v>
                </c:pt>
                <c:pt idx="14">
                  <c:v>14.33</c:v>
                </c:pt>
                <c:pt idx="15">
                  <c:v>14.86</c:v>
                </c:pt>
                <c:pt idx="16">
                  <c:v>15.37</c:v>
                </c:pt>
                <c:pt idx="17">
                  <c:v>15.78</c:v>
                </c:pt>
                <c:pt idx="18">
                  <c:v>16.23</c:v>
                </c:pt>
                <c:pt idx="19">
                  <c:v>16.399999999999999</c:v>
                </c:pt>
                <c:pt idx="20">
                  <c:v>17.09</c:v>
                </c:pt>
                <c:pt idx="21">
                  <c:v>17.57</c:v>
                </c:pt>
                <c:pt idx="22">
                  <c:v>17.97</c:v>
                </c:pt>
                <c:pt idx="23">
                  <c:v>18.5</c:v>
                </c:pt>
                <c:pt idx="24">
                  <c:v>19.170000000000002</c:v>
                </c:pt>
                <c:pt idx="25">
                  <c:v>19.670000000000002</c:v>
                </c:pt>
                <c:pt idx="26">
                  <c:v>19.600000000000001</c:v>
                </c:pt>
                <c:pt idx="27">
                  <c:v>19.55</c:v>
                </c:pt>
                <c:pt idx="28">
                  <c:v>19.5</c:v>
                </c:pt>
                <c:pt idx="29">
                  <c:v>20.3</c:v>
                </c:pt>
                <c:pt idx="30">
                  <c:v>21.07</c:v>
                </c:pt>
                <c:pt idx="31">
                  <c:v>21.46</c:v>
                </c:pt>
                <c:pt idx="32">
                  <c:v>21.45</c:v>
                </c:pt>
                <c:pt idx="33">
                  <c:v>21.4</c:v>
                </c:pt>
                <c:pt idx="34">
                  <c:v>21.49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A-4D8A-91D8-2A9720EE3B4C}"/>
            </c:ext>
          </c:extLst>
        </c:ser>
        <c:ser>
          <c:idx val="1"/>
          <c:order val="1"/>
          <c:tx>
            <c:v>LINEST Data</c:v>
          </c:tx>
          <c:spPr>
            <a:ln w="25400" cmpd="sng">
              <a:noFill/>
            </a:ln>
          </c:spPr>
          <c:marker>
            <c:symbol val="diamond"/>
            <c:size val="4"/>
            <c:spPr>
              <a:solidFill>
                <a:srgbClr val="FF000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[1]INDICES!$V$35:$V$42</c:f>
              <c:numCache>
                <c:formatCode>General</c:formatCode>
                <c:ptCount val="8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</c:numCache>
            </c:numRef>
          </c:xVal>
          <c:yVal>
            <c:numRef>
              <c:f>[1]INDICES!$W$35:$W$42</c:f>
              <c:numCache>
                <c:formatCode>General</c:formatCode>
                <c:ptCount val="8"/>
                <c:pt idx="0">
                  <c:v>19.170000000000002</c:v>
                </c:pt>
                <c:pt idx="1">
                  <c:v>19.670000000000002</c:v>
                </c:pt>
                <c:pt idx="2">
                  <c:v>19.600000000000001</c:v>
                </c:pt>
                <c:pt idx="3">
                  <c:v>19.55</c:v>
                </c:pt>
                <c:pt idx="4">
                  <c:v>19.5</c:v>
                </c:pt>
                <c:pt idx="5">
                  <c:v>20.3</c:v>
                </c:pt>
                <c:pt idx="6">
                  <c:v>21.07</c:v>
                </c:pt>
                <c:pt idx="7">
                  <c:v>21.46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A-4D8A-91D8-2A9720EE3B4C}"/>
            </c:ext>
          </c:extLst>
        </c:ser>
        <c:ser>
          <c:idx val="2"/>
          <c:order val="2"/>
          <c:tx>
            <c:v>LINEST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[1]INDICES!$V$11:$V$46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xVal>
          <c:yVal>
            <c:numRef>
              <c:f>[1]INDICES!$X$11:$X$46</c:f>
              <c:numCache>
                <c:formatCode>General</c:formatCode>
                <c:ptCount val="36"/>
                <c:pt idx="24">
                  <c:v>18.995000000000005</c:v>
                </c:pt>
                <c:pt idx="25">
                  <c:v>19.293571428571454</c:v>
                </c:pt>
                <c:pt idx="26">
                  <c:v>19.592142857142903</c:v>
                </c:pt>
                <c:pt idx="27">
                  <c:v>19.890714285714353</c:v>
                </c:pt>
                <c:pt idx="28">
                  <c:v>20.189285714285688</c:v>
                </c:pt>
                <c:pt idx="29">
                  <c:v>20.487857142857138</c:v>
                </c:pt>
                <c:pt idx="30">
                  <c:v>20.786428571428587</c:v>
                </c:pt>
                <c:pt idx="31">
                  <c:v>21.085000000000036</c:v>
                </c:pt>
                <c:pt idx="32">
                  <c:v>21.383571428571486</c:v>
                </c:pt>
                <c:pt idx="33">
                  <c:v>21.682142857142821</c:v>
                </c:pt>
                <c:pt idx="34">
                  <c:v>21.980714285714271</c:v>
                </c:pt>
                <c:pt idx="35">
                  <c:v>22.27928571428572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3A-4D8A-91D8-2A9720EE3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054784"/>
        <c:axId val="234056320"/>
      </c:scatterChart>
      <c:valAx>
        <c:axId val="234054784"/>
        <c:scaling>
          <c:orientation val="minMax"/>
          <c:min val="1985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289833080424851"/>
              <c:y val="0.95543840442404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056320"/>
        <c:crosses val="autoZero"/>
        <c:crossBetween val="midCat"/>
      </c:valAx>
      <c:valAx>
        <c:axId val="234056320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2.1244309559939892E-2"/>
              <c:y val="0.46880645266936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054784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99109144980097"/>
          <c:y val="0.1621193635007506"/>
          <c:w val="0.17814525106340107"/>
          <c:h val="0.13314747546461916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Inorganic Chemical Index</a:t>
            </a:r>
            <a:endParaRPr lang="en-US" baseline="0"/>
          </a:p>
        </c:rich>
      </c:tx>
      <c:layout>
        <c:manualLayout>
          <c:xMode val="edge"/>
          <c:yMode val="edge"/>
          <c:x val="0.38048632690659562"/>
          <c:y val="1.95515635530569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94490835252784E-2"/>
          <c:y val="8.1421141799447233E-2"/>
          <c:w val="0.87708649468892264"/>
          <c:h val="0.8431387225983496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[1]INDICES!$M$6</c:f>
              <c:strCache>
                <c:ptCount val="1"/>
                <c:pt idx="0">
                  <c:v>Reported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[1]INDICES!$L$8:$L$43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xVal>
          <c:yVal>
            <c:numRef>
              <c:f>[1]INDICES!$M$8:$M$43</c:f>
              <c:numCache>
                <c:formatCode>General</c:formatCode>
                <c:ptCount val="36"/>
                <c:pt idx="0">
                  <c:v>89</c:v>
                </c:pt>
                <c:pt idx="1">
                  <c:v>98.4</c:v>
                </c:pt>
                <c:pt idx="2">
                  <c:v>100</c:v>
                </c:pt>
                <c:pt idx="3">
                  <c:v>100.3</c:v>
                </c:pt>
                <c:pt idx="4">
                  <c:v>102.9</c:v>
                </c:pt>
                <c:pt idx="5">
                  <c:v>103.7</c:v>
                </c:pt>
                <c:pt idx="6">
                  <c:v>102.6</c:v>
                </c:pt>
                <c:pt idx="7">
                  <c:v>106.4</c:v>
                </c:pt>
                <c:pt idx="8">
                  <c:v>116.3</c:v>
                </c:pt>
                <c:pt idx="9">
                  <c:v>123</c:v>
                </c:pt>
                <c:pt idx="10">
                  <c:v>123.6</c:v>
                </c:pt>
                <c:pt idx="11">
                  <c:v>125.6</c:v>
                </c:pt>
                <c:pt idx="12">
                  <c:v>125.9</c:v>
                </c:pt>
                <c:pt idx="13">
                  <c:v>128.19999999999999</c:v>
                </c:pt>
                <c:pt idx="14">
                  <c:v>132.1</c:v>
                </c:pt>
                <c:pt idx="15">
                  <c:v>139.5</c:v>
                </c:pt>
                <c:pt idx="16">
                  <c:v>142.1</c:v>
                </c:pt>
                <c:pt idx="17">
                  <c:v>147.1</c:v>
                </c:pt>
                <c:pt idx="18">
                  <c:v>148.69999999999999</c:v>
                </c:pt>
                <c:pt idx="19">
                  <c:v>149.69999999999999</c:v>
                </c:pt>
                <c:pt idx="20">
                  <c:v>156.69999999999999</c:v>
                </c:pt>
                <c:pt idx="21">
                  <c:v>158.4</c:v>
                </c:pt>
                <c:pt idx="22">
                  <c:v>157.30000000000001</c:v>
                </c:pt>
                <c:pt idx="23">
                  <c:v>164.6</c:v>
                </c:pt>
                <c:pt idx="24">
                  <c:v>172.8</c:v>
                </c:pt>
                <c:pt idx="25">
                  <c:v>187.3</c:v>
                </c:pt>
                <c:pt idx="26">
                  <c:v>196.8</c:v>
                </c:pt>
                <c:pt idx="27">
                  <c:v>203.3</c:v>
                </c:pt>
                <c:pt idx="28">
                  <c:v>228.2</c:v>
                </c:pt>
                <c:pt idx="29">
                  <c:v>224.7</c:v>
                </c:pt>
                <c:pt idx="30">
                  <c:v>233.7</c:v>
                </c:pt>
                <c:pt idx="31">
                  <c:v>249.3</c:v>
                </c:pt>
                <c:pt idx="32">
                  <c:v>260.3</c:v>
                </c:pt>
                <c:pt idx="33">
                  <c:v>263.89999999999998</c:v>
                </c:pt>
                <c:pt idx="34">
                  <c:v>269.2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0-47CA-9B3B-0C75E059C455}"/>
            </c:ext>
          </c:extLst>
        </c:ser>
        <c:ser>
          <c:idx val="1"/>
          <c:order val="1"/>
          <c:tx>
            <c:v>LINEST Data</c:v>
          </c:tx>
          <c:spPr>
            <a:ln w="25400" cmpd="sng">
              <a:noFill/>
            </a:ln>
          </c:spPr>
          <c:marker>
            <c:symbol val="diamond"/>
            <c:size val="4"/>
            <c:spPr>
              <a:solidFill>
                <a:srgbClr val="FF000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[1]INDICES!$L$30:$L$39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</c:numCache>
            </c:numRef>
          </c:xVal>
          <c:yVal>
            <c:numRef>
              <c:f>[1]INDICES!$M$30:$M$39</c:f>
              <c:numCache>
                <c:formatCode>General</c:formatCode>
                <c:ptCount val="10"/>
                <c:pt idx="0">
                  <c:v>157.30000000000001</c:v>
                </c:pt>
                <c:pt idx="1">
                  <c:v>164.6</c:v>
                </c:pt>
                <c:pt idx="2">
                  <c:v>172.8</c:v>
                </c:pt>
                <c:pt idx="3">
                  <c:v>187.3</c:v>
                </c:pt>
                <c:pt idx="4">
                  <c:v>196.8</c:v>
                </c:pt>
                <c:pt idx="5">
                  <c:v>203.3</c:v>
                </c:pt>
                <c:pt idx="6">
                  <c:v>228.2</c:v>
                </c:pt>
                <c:pt idx="7">
                  <c:v>224.7</c:v>
                </c:pt>
                <c:pt idx="8">
                  <c:v>233.7</c:v>
                </c:pt>
                <c:pt idx="9">
                  <c:v>249.3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E0-47CA-9B3B-0C75E059C455}"/>
            </c:ext>
          </c:extLst>
        </c:ser>
        <c:ser>
          <c:idx val="2"/>
          <c:order val="2"/>
          <c:tx>
            <c:v>LINEST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[1]INDICES!$L$8:$L$43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xVal>
          <c:yVal>
            <c:numRef>
              <c:f>[1]INDICES!$N$8:$N$43</c:f>
              <c:numCache>
                <c:formatCode>General</c:formatCode>
                <c:ptCount val="36"/>
                <c:pt idx="22">
                  <c:v>155.42545454545325</c:v>
                </c:pt>
                <c:pt idx="23">
                  <c:v>165.73090909091115</c:v>
                </c:pt>
                <c:pt idx="24">
                  <c:v>176.03636363636542</c:v>
                </c:pt>
                <c:pt idx="25">
                  <c:v>186.34181818181969</c:v>
                </c:pt>
                <c:pt idx="26">
                  <c:v>196.64727272727396</c:v>
                </c:pt>
                <c:pt idx="27">
                  <c:v>206.95272727272823</c:v>
                </c:pt>
                <c:pt idx="28">
                  <c:v>217.25818181818249</c:v>
                </c:pt>
                <c:pt idx="29">
                  <c:v>227.56363636363676</c:v>
                </c:pt>
                <c:pt idx="30">
                  <c:v>237.86909090909103</c:v>
                </c:pt>
                <c:pt idx="31">
                  <c:v>248.1745454545453</c:v>
                </c:pt>
                <c:pt idx="32">
                  <c:v>258.47999999999956</c:v>
                </c:pt>
                <c:pt idx="33">
                  <c:v>268.78545454545383</c:v>
                </c:pt>
                <c:pt idx="34">
                  <c:v>279.0909090909081</c:v>
                </c:pt>
                <c:pt idx="35">
                  <c:v>289.39636363636237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E0-47CA-9B3B-0C75E059C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572992"/>
        <c:axId val="315574912"/>
      </c:scatterChart>
      <c:valAx>
        <c:axId val="31557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289833080424851"/>
              <c:y val="0.95543840442404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5574912"/>
        <c:crosses val="autoZero"/>
        <c:crossBetween val="midCat"/>
      </c:valAx>
      <c:valAx>
        <c:axId val="315574912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2.1244309559939892E-2"/>
              <c:y val="0.46880645266936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557299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99109144980097"/>
          <c:y val="0.1621193635007506"/>
          <c:w val="0.17841011003069318"/>
          <c:h val="0.13314747546461916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Chemical Engineering Plant Cost Index</a:t>
            </a:r>
            <a:endParaRPr lang="en-US" baseline="0"/>
          </a:p>
        </c:rich>
      </c:tx>
      <c:layout>
        <c:manualLayout>
          <c:xMode val="edge"/>
          <c:yMode val="edge"/>
          <c:x val="0.32064774290494846"/>
          <c:y val="2.25411712529681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94490835252784E-2"/>
          <c:y val="8.1421141799447233E-2"/>
          <c:w val="0.87708649468892264"/>
          <c:h val="0.8431387225983496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[1]INDICES!$C$13</c:f>
              <c:strCache>
                <c:ptCount val="1"/>
                <c:pt idx="0">
                  <c:v>Reported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[1]INDICES!$B$16:$B$40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xVal>
          <c:yVal>
            <c:numRef>
              <c:f>[1]INDICES!$C$16:$C$40</c:f>
              <c:numCache>
                <c:formatCode>General</c:formatCode>
                <c:ptCount val="25"/>
                <c:pt idx="0">
                  <c:v>357.6</c:v>
                </c:pt>
                <c:pt idx="1">
                  <c:v>361.3</c:v>
                </c:pt>
                <c:pt idx="2">
                  <c:v>358.2</c:v>
                </c:pt>
                <c:pt idx="3">
                  <c:v>359.2</c:v>
                </c:pt>
                <c:pt idx="4">
                  <c:v>368.1</c:v>
                </c:pt>
                <c:pt idx="5">
                  <c:v>381.1</c:v>
                </c:pt>
                <c:pt idx="6">
                  <c:v>381.7</c:v>
                </c:pt>
                <c:pt idx="7">
                  <c:v>386.5</c:v>
                </c:pt>
                <c:pt idx="8">
                  <c:v>389.5</c:v>
                </c:pt>
                <c:pt idx="9">
                  <c:v>390.6</c:v>
                </c:pt>
                <c:pt idx="10">
                  <c:v>394.1</c:v>
                </c:pt>
                <c:pt idx="11">
                  <c:v>394.3</c:v>
                </c:pt>
                <c:pt idx="12">
                  <c:v>395.6</c:v>
                </c:pt>
                <c:pt idx="13">
                  <c:v>402</c:v>
                </c:pt>
                <c:pt idx="14">
                  <c:v>444.2</c:v>
                </c:pt>
                <c:pt idx="15">
                  <c:v>468.2</c:v>
                </c:pt>
                <c:pt idx="16">
                  <c:v>499.6</c:v>
                </c:pt>
                <c:pt idx="17">
                  <c:v>525.4</c:v>
                </c:pt>
                <c:pt idx="18">
                  <c:v>575.4</c:v>
                </c:pt>
                <c:pt idx="19">
                  <c:v>521.9</c:v>
                </c:pt>
                <c:pt idx="20">
                  <c:v>550.79999999999995</c:v>
                </c:pt>
                <c:pt idx="21">
                  <c:v>585.70000000000005</c:v>
                </c:pt>
                <c:pt idx="22">
                  <c:v>584.6</c:v>
                </c:pt>
                <c:pt idx="23">
                  <c:v>567.29999999999995</c:v>
                </c:pt>
                <c:pt idx="24">
                  <c:v>576.1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B-43CD-B0B3-137EF647B4D4}"/>
            </c:ext>
          </c:extLst>
        </c:ser>
        <c:ser>
          <c:idx val="1"/>
          <c:order val="1"/>
          <c:tx>
            <c:v>LINEST Data</c:v>
          </c:tx>
          <c:spPr>
            <a:ln w="25400" cmpd="sng">
              <a:noFill/>
            </a:ln>
          </c:spPr>
          <c:marker>
            <c:symbol val="diamond"/>
            <c:size val="4"/>
            <c:spPr>
              <a:solidFill>
                <a:srgbClr val="FF0000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[1]INDICES!$B$21:$B$28</c:f>
              <c:numCache>
                <c:formatCode>General</c:formatCode>
                <c:ptCount val="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</c:numCache>
            </c:numRef>
          </c:xVal>
          <c:yVal>
            <c:numRef>
              <c:f>[1]INDICES!$C$21:$C$28</c:f>
              <c:numCache>
                <c:formatCode>General</c:formatCode>
                <c:ptCount val="8"/>
                <c:pt idx="0">
                  <c:v>381.1</c:v>
                </c:pt>
                <c:pt idx="1">
                  <c:v>381.7</c:v>
                </c:pt>
                <c:pt idx="2">
                  <c:v>386.5</c:v>
                </c:pt>
                <c:pt idx="3">
                  <c:v>389.5</c:v>
                </c:pt>
                <c:pt idx="4">
                  <c:v>390.6</c:v>
                </c:pt>
                <c:pt idx="5">
                  <c:v>394.1</c:v>
                </c:pt>
                <c:pt idx="6">
                  <c:v>394.3</c:v>
                </c:pt>
                <c:pt idx="7">
                  <c:v>395.6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3B-43CD-B0B3-137EF647B4D4}"/>
            </c:ext>
          </c:extLst>
        </c:ser>
        <c:ser>
          <c:idx val="2"/>
          <c:order val="2"/>
          <c:tx>
            <c:v>LINEST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[1]INDICES!$B$15:$B$41</c:f>
              <c:numCache>
                <c:formatCode>General</c:formatCode>
                <c:ptCount val="27"/>
                <c:pt idx="0">
                  <c:v>1981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</c:numCache>
            </c:numRef>
          </c:xVal>
          <c:yVal>
            <c:numRef>
              <c:f>[1]INDICES!$D$15:$D$41</c:f>
              <c:numCache>
                <c:formatCode>General</c:formatCode>
                <c:ptCount val="27"/>
                <c:pt idx="6">
                  <c:v>381.32500000000073</c:v>
                </c:pt>
                <c:pt idx="7">
                  <c:v>383.56785714285797</c:v>
                </c:pt>
                <c:pt idx="8">
                  <c:v>385.81071428571522</c:v>
                </c:pt>
                <c:pt idx="9">
                  <c:v>388.05357142857247</c:v>
                </c:pt>
                <c:pt idx="10">
                  <c:v>390.29642857142881</c:v>
                </c:pt>
                <c:pt idx="11">
                  <c:v>392.53928571428605</c:v>
                </c:pt>
                <c:pt idx="12">
                  <c:v>394.7821428571433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3B-43CD-B0B3-137EF647B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133760"/>
        <c:axId val="234148224"/>
      </c:scatterChart>
      <c:valAx>
        <c:axId val="234133760"/>
        <c:scaling>
          <c:orientation val="minMax"/>
          <c:min val="1985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289833080424851"/>
              <c:y val="0.95543840442404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148224"/>
        <c:crosses val="autoZero"/>
        <c:crossBetween val="midCat"/>
      </c:valAx>
      <c:valAx>
        <c:axId val="234148224"/>
        <c:scaling>
          <c:orientation val="minMax"/>
          <c:max val="600"/>
          <c:min val="35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2.1244309559939892E-2"/>
              <c:y val="0.46880645266936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13376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99109144980097"/>
          <c:y val="0.1621193635007506"/>
          <c:w val="0.17751424066317553"/>
          <c:h val="0.13314747546461916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EIA Electricity Cost</a:t>
            </a:r>
          </a:p>
        </c:rich>
      </c:tx>
      <c:layout>
        <c:manualLayout>
          <c:xMode val="edge"/>
          <c:yMode val="edge"/>
          <c:x val="0.45125273559493889"/>
          <c:y val="2.25411712529681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477094974082874E-2"/>
          <c:y val="8.1421141799447233E-2"/>
          <c:w val="0.87708649468892264"/>
          <c:h val="0.8431387225983496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[1]INDICES!$C$13</c:f>
              <c:strCache>
                <c:ptCount val="1"/>
                <c:pt idx="0">
                  <c:v>Reported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[1]INDICES!$AF$9:$AF$15</c:f>
              <c:numCache>
                <c:formatCode>General</c:formatCode>
                <c:ptCount val="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</c:numCache>
            </c:numRef>
          </c:xVal>
          <c:yVal>
            <c:numRef>
              <c:f>[1]INDICES!$AG$9:$AG$15</c:f>
              <c:numCache>
                <c:formatCode>General</c:formatCode>
                <c:ptCount val="7"/>
                <c:pt idx="0">
                  <c:v>5.2427939752839405</c:v>
                </c:pt>
                <c:pt idx="1">
                  <c:v>3.5592621871556651</c:v>
                </c:pt>
                <c:pt idx="2">
                  <c:v>3.9885169434713683</c:v>
                </c:pt>
                <c:pt idx="3">
                  <c:v>3.8938501755663566</c:v>
                </c:pt>
                <c:pt idx="4">
                  <c:v>5.0101225725184086</c:v>
                </c:pt>
                <c:pt idx="5">
                  <c:v>5.29863621054115</c:v>
                </c:pt>
                <c:pt idx="6">
                  <c:v>5.7167549120763459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1-4D27-BF39-EE4C23B37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63552"/>
        <c:axId val="329865856"/>
      </c:scatterChart>
      <c:valAx>
        <c:axId val="32986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289833080424851"/>
              <c:y val="0.95543840442404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9865856"/>
        <c:crosses val="autoZero"/>
        <c:crossBetween val="midCat"/>
      </c:valAx>
      <c:valAx>
        <c:axId val="329865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2.1244309559939892E-2"/>
              <c:y val="0.46880645266936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986355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325635195236395"/>
          <c:y val="0.46790488502370042"/>
          <c:w val="0.17751424066317553"/>
          <c:h val="0.13314747546461916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225135</xdr:colOff>
      <xdr:row>54</xdr:row>
      <xdr:rowOff>144855</xdr:rowOff>
    </xdr:from>
    <xdr:to>
      <xdr:col>28</xdr:col>
      <xdr:colOff>502226</xdr:colOff>
      <xdr:row>80</xdr:row>
      <xdr:rowOff>51955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9434323B-2BC5-4A37-A42B-5E33CAF7D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54</xdr:row>
      <xdr:rowOff>163287</xdr:rowOff>
    </xdr:from>
    <xdr:to>
      <xdr:col>18</xdr:col>
      <xdr:colOff>519546</xdr:colOff>
      <xdr:row>79</xdr:row>
      <xdr:rowOff>173182</xdr:rowOff>
    </xdr:to>
    <xdr:graphicFrame macro="">
      <xdr:nvGraphicFramePr>
        <xdr:cNvPr id="3" name="Chart 14">
          <a:extLst>
            <a:ext uri="{FF2B5EF4-FFF2-40B4-BE49-F238E27FC236}">
              <a16:creationId xmlns:a16="http://schemas.microsoft.com/office/drawing/2014/main" id="{A861DAEF-6CB1-4E7C-92D2-632DFF599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129887</xdr:colOff>
      <xdr:row>54</xdr:row>
      <xdr:rowOff>185552</xdr:rowOff>
    </xdr:from>
    <xdr:to>
      <xdr:col>8</xdr:col>
      <xdr:colOff>536863</xdr:colOff>
      <xdr:row>80</xdr:row>
      <xdr:rowOff>17318</xdr:rowOff>
    </xdr:to>
    <xdr:graphicFrame macro="">
      <xdr:nvGraphicFramePr>
        <xdr:cNvPr id="4" name="Chart 14">
          <a:extLst>
            <a:ext uri="{FF2B5EF4-FFF2-40B4-BE49-F238E27FC236}">
              <a16:creationId xmlns:a16="http://schemas.microsoft.com/office/drawing/2014/main" id="{2AE054C0-FFF0-42C7-A6BD-CAC64FB24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242453</xdr:colOff>
      <xdr:row>54</xdr:row>
      <xdr:rowOff>142875</xdr:rowOff>
    </xdr:from>
    <xdr:to>
      <xdr:col>38</xdr:col>
      <xdr:colOff>536863</xdr:colOff>
      <xdr:row>80</xdr:row>
      <xdr:rowOff>0</xdr:rowOff>
    </xdr:to>
    <xdr:graphicFrame macro="">
      <xdr:nvGraphicFramePr>
        <xdr:cNvPr id="5" name="Chart 14">
          <a:extLst>
            <a:ext uri="{FF2B5EF4-FFF2-40B4-BE49-F238E27FC236}">
              <a16:creationId xmlns:a16="http://schemas.microsoft.com/office/drawing/2014/main" id="{79DF5863-8B96-4876-B712-299D31250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att/Desktop/NBC/Anaerobic%20Digestion/Q2%20FY18/WWT-%20Matrix%20Example%20W-O%20code%20(version%201)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"/>
      <sheetName val="Results"/>
      <sheetName val="FinancialAssumptions"/>
      <sheetName val="INDICES"/>
    </sheetNames>
    <sheetDataSet>
      <sheetData sheetId="0"/>
      <sheetData sheetId="1"/>
      <sheetData sheetId="2"/>
      <sheetData sheetId="3">
        <row r="6">
          <cell r="M6" t="str">
            <v>Reported</v>
          </cell>
        </row>
        <row r="8">
          <cell r="L8">
            <v>1980</v>
          </cell>
          <cell r="M8">
            <v>89</v>
          </cell>
          <cell r="N8"/>
        </row>
        <row r="9">
          <cell r="L9">
            <v>1981</v>
          </cell>
          <cell r="M9">
            <v>98.4</v>
          </cell>
          <cell r="N9"/>
          <cell r="W9" t="str">
            <v>Reported</v>
          </cell>
          <cell r="AF9">
            <v>2001</v>
          </cell>
          <cell r="AG9">
            <v>5.2427939752839405</v>
          </cell>
        </row>
        <row r="10">
          <cell r="L10">
            <v>1982</v>
          </cell>
          <cell r="M10">
            <v>100</v>
          </cell>
          <cell r="N10"/>
          <cell r="AF10">
            <v>2002</v>
          </cell>
          <cell r="AG10">
            <v>3.5592621871556651</v>
          </cell>
        </row>
        <row r="11">
          <cell r="L11">
            <v>1983</v>
          </cell>
          <cell r="M11">
            <v>100.3</v>
          </cell>
          <cell r="N11"/>
          <cell r="V11">
            <v>1980</v>
          </cell>
          <cell r="W11"/>
          <cell r="X11"/>
          <cell r="AF11">
            <v>2003</v>
          </cell>
          <cell r="AG11">
            <v>3.9885169434713683</v>
          </cell>
        </row>
        <row r="12">
          <cell r="L12">
            <v>1984</v>
          </cell>
          <cell r="M12">
            <v>102.9</v>
          </cell>
          <cell r="N12"/>
          <cell r="V12">
            <v>1981</v>
          </cell>
          <cell r="W12"/>
          <cell r="X12"/>
          <cell r="AF12">
            <v>2004</v>
          </cell>
          <cell r="AG12">
            <v>3.8938501755663566</v>
          </cell>
        </row>
        <row r="13">
          <cell r="C13" t="str">
            <v>Reported</v>
          </cell>
          <cell r="L13">
            <v>1985</v>
          </cell>
          <cell r="M13">
            <v>103.7</v>
          </cell>
          <cell r="N13"/>
          <cell r="V13">
            <v>1982</v>
          </cell>
          <cell r="W13"/>
          <cell r="X13"/>
          <cell r="AF13">
            <v>2005</v>
          </cell>
          <cell r="AG13">
            <v>5.0101225725184086</v>
          </cell>
        </row>
        <row r="14">
          <cell r="L14">
            <v>1986</v>
          </cell>
          <cell r="M14">
            <v>102.6</v>
          </cell>
          <cell r="N14"/>
          <cell r="V14">
            <v>1983</v>
          </cell>
          <cell r="W14"/>
          <cell r="X14"/>
          <cell r="AF14">
            <v>2006</v>
          </cell>
          <cell r="AG14">
            <v>5.29863621054115</v>
          </cell>
        </row>
        <row r="15">
          <cell r="B15">
            <v>1981</v>
          </cell>
          <cell r="D15"/>
          <cell r="L15">
            <v>1987</v>
          </cell>
          <cell r="M15">
            <v>106.4</v>
          </cell>
          <cell r="N15"/>
          <cell r="V15">
            <v>1984</v>
          </cell>
          <cell r="W15"/>
          <cell r="X15"/>
          <cell r="AF15">
            <v>2007</v>
          </cell>
          <cell r="AG15">
            <v>5.7167549120763459</v>
          </cell>
        </row>
        <row r="16">
          <cell r="B16">
            <v>1990</v>
          </cell>
          <cell r="C16">
            <v>357.6</v>
          </cell>
          <cell r="D16"/>
          <cell r="L16">
            <v>1988</v>
          </cell>
          <cell r="M16">
            <v>116.3</v>
          </cell>
          <cell r="N16"/>
          <cell r="V16">
            <v>1985</v>
          </cell>
          <cell r="W16"/>
          <cell r="X16"/>
        </row>
        <row r="17">
          <cell r="B17">
            <v>1991</v>
          </cell>
          <cell r="C17">
            <v>361.3</v>
          </cell>
          <cell r="D17"/>
          <cell r="L17">
            <v>1989</v>
          </cell>
          <cell r="M17">
            <v>123</v>
          </cell>
          <cell r="N17"/>
          <cell r="V17">
            <v>1986</v>
          </cell>
          <cell r="W17"/>
          <cell r="X17"/>
        </row>
        <row r="18">
          <cell r="B18">
            <v>1992</v>
          </cell>
          <cell r="C18">
            <v>358.2</v>
          </cell>
          <cell r="D18"/>
          <cell r="L18">
            <v>1990</v>
          </cell>
          <cell r="M18">
            <v>123.6</v>
          </cell>
          <cell r="N18"/>
          <cell r="V18">
            <v>1987</v>
          </cell>
          <cell r="W18"/>
          <cell r="X18"/>
        </row>
        <row r="19">
          <cell r="B19">
            <v>1993</v>
          </cell>
          <cell r="C19">
            <v>359.2</v>
          </cell>
          <cell r="D19"/>
          <cell r="L19">
            <v>1991</v>
          </cell>
          <cell r="M19">
            <v>125.6</v>
          </cell>
          <cell r="N19"/>
          <cell r="V19">
            <v>1988</v>
          </cell>
          <cell r="W19"/>
          <cell r="X19"/>
        </row>
        <row r="20">
          <cell r="B20">
            <v>1994</v>
          </cell>
          <cell r="C20">
            <v>368.1</v>
          </cell>
          <cell r="D20"/>
          <cell r="L20">
            <v>1992</v>
          </cell>
          <cell r="M20">
            <v>125.9</v>
          </cell>
          <cell r="N20"/>
          <cell r="V20">
            <v>1989</v>
          </cell>
          <cell r="W20"/>
          <cell r="X20"/>
        </row>
        <row r="21">
          <cell r="B21">
            <v>1995</v>
          </cell>
          <cell r="C21">
            <v>381.1</v>
          </cell>
          <cell r="D21">
            <v>381.32500000000073</v>
          </cell>
          <cell r="L21">
            <v>1993</v>
          </cell>
          <cell r="M21">
            <v>128.19999999999999</v>
          </cell>
          <cell r="N21"/>
          <cell r="V21">
            <v>1990</v>
          </cell>
          <cell r="W21">
            <v>12.85</v>
          </cell>
          <cell r="X21"/>
        </row>
        <row r="22">
          <cell r="B22">
            <v>1996</v>
          </cell>
          <cell r="C22">
            <v>381.7</v>
          </cell>
          <cell r="D22">
            <v>383.56785714285797</v>
          </cell>
          <cell r="L22">
            <v>1994</v>
          </cell>
          <cell r="M22">
            <v>132.1</v>
          </cell>
          <cell r="N22"/>
          <cell r="V22">
            <v>1991</v>
          </cell>
          <cell r="W22">
            <v>13.3</v>
          </cell>
          <cell r="X22"/>
        </row>
        <row r="23">
          <cell r="B23">
            <v>1997</v>
          </cell>
          <cell r="C23">
            <v>386.5</v>
          </cell>
          <cell r="D23">
            <v>385.81071428571522</v>
          </cell>
          <cell r="L23">
            <v>1995</v>
          </cell>
          <cell r="M23">
            <v>139.5</v>
          </cell>
          <cell r="N23"/>
          <cell r="V23">
            <v>1992</v>
          </cell>
          <cell r="W23">
            <v>13.7</v>
          </cell>
          <cell r="X23"/>
        </row>
        <row r="24">
          <cell r="B24">
            <v>1998</v>
          </cell>
          <cell r="C24">
            <v>389.5</v>
          </cell>
          <cell r="D24">
            <v>388.05357142857247</v>
          </cell>
          <cell r="L24">
            <v>1996</v>
          </cell>
          <cell r="M24">
            <v>142.1</v>
          </cell>
          <cell r="N24"/>
          <cell r="V24">
            <v>1993</v>
          </cell>
          <cell r="W24">
            <v>13.97</v>
          </cell>
          <cell r="X24"/>
        </row>
        <row r="25">
          <cell r="B25">
            <v>1999</v>
          </cell>
          <cell r="C25">
            <v>390.6</v>
          </cell>
          <cell r="D25">
            <v>390.29642857142881</v>
          </cell>
          <cell r="L25">
            <v>1997</v>
          </cell>
          <cell r="M25">
            <v>147.1</v>
          </cell>
          <cell r="N25"/>
          <cell r="V25">
            <v>1994</v>
          </cell>
          <cell r="W25">
            <v>14.33</v>
          </cell>
          <cell r="X25"/>
        </row>
        <row r="26">
          <cell r="B26">
            <v>2000</v>
          </cell>
          <cell r="C26">
            <v>394.1</v>
          </cell>
          <cell r="D26">
            <v>392.53928571428605</v>
          </cell>
          <cell r="L26">
            <v>1998</v>
          </cell>
          <cell r="M26">
            <v>148.69999999999999</v>
          </cell>
          <cell r="N26"/>
          <cell r="V26">
            <v>1995</v>
          </cell>
          <cell r="W26">
            <v>14.86</v>
          </cell>
          <cell r="X26"/>
        </row>
        <row r="27">
          <cell r="B27">
            <v>2001</v>
          </cell>
          <cell r="C27">
            <v>394.3</v>
          </cell>
          <cell r="D27">
            <v>394.7821428571433</v>
          </cell>
          <cell r="L27">
            <v>1999</v>
          </cell>
          <cell r="M27">
            <v>149.69999999999999</v>
          </cell>
          <cell r="N27"/>
          <cell r="V27">
            <v>1996</v>
          </cell>
          <cell r="W27">
            <v>15.37</v>
          </cell>
          <cell r="X27"/>
        </row>
        <row r="28">
          <cell r="B28">
            <v>2002</v>
          </cell>
          <cell r="C28">
            <v>395.6</v>
          </cell>
          <cell r="D28"/>
          <cell r="L28">
            <v>2000</v>
          </cell>
          <cell r="M28">
            <v>156.69999999999999</v>
          </cell>
          <cell r="N28"/>
          <cell r="V28">
            <v>1997</v>
          </cell>
          <cell r="W28">
            <v>15.78</v>
          </cell>
          <cell r="X28"/>
        </row>
        <row r="29">
          <cell r="B29">
            <v>2003</v>
          </cell>
          <cell r="C29">
            <v>402</v>
          </cell>
          <cell r="D29"/>
          <cell r="L29">
            <v>2001</v>
          </cell>
          <cell r="M29">
            <v>158.4</v>
          </cell>
          <cell r="N29"/>
          <cell r="V29">
            <v>1998</v>
          </cell>
          <cell r="W29">
            <v>16.23</v>
          </cell>
          <cell r="X29"/>
        </row>
        <row r="30">
          <cell r="B30">
            <v>2004</v>
          </cell>
          <cell r="C30">
            <v>444.2</v>
          </cell>
          <cell r="D30"/>
          <cell r="L30">
            <v>2002</v>
          </cell>
          <cell r="M30">
            <v>157.30000000000001</v>
          </cell>
          <cell r="N30">
            <v>155.42545454545325</v>
          </cell>
          <cell r="V30">
            <v>1999</v>
          </cell>
          <cell r="W30">
            <v>16.399999999999999</v>
          </cell>
          <cell r="X30"/>
        </row>
        <row r="31">
          <cell r="B31">
            <v>2005</v>
          </cell>
          <cell r="C31">
            <v>468.2</v>
          </cell>
          <cell r="D31"/>
          <cell r="L31">
            <v>2003</v>
          </cell>
          <cell r="M31">
            <v>164.6</v>
          </cell>
          <cell r="N31">
            <v>165.73090909091115</v>
          </cell>
          <cell r="V31">
            <v>2000</v>
          </cell>
          <cell r="W31">
            <v>17.09</v>
          </cell>
          <cell r="X31"/>
        </row>
        <row r="32">
          <cell r="B32">
            <v>2006</v>
          </cell>
          <cell r="C32">
            <v>499.6</v>
          </cell>
          <cell r="D32"/>
          <cell r="L32">
            <v>2004</v>
          </cell>
          <cell r="M32">
            <v>172.8</v>
          </cell>
          <cell r="N32">
            <v>176.03636363636542</v>
          </cell>
          <cell r="V32">
            <v>2001</v>
          </cell>
          <cell r="W32">
            <v>17.57</v>
          </cell>
          <cell r="X32"/>
        </row>
        <row r="33">
          <cell r="B33">
            <v>2007</v>
          </cell>
          <cell r="C33">
            <v>525.4</v>
          </cell>
          <cell r="D33"/>
          <cell r="L33">
            <v>2005</v>
          </cell>
          <cell r="M33">
            <v>187.3</v>
          </cell>
          <cell r="N33">
            <v>186.34181818181969</v>
          </cell>
          <cell r="V33">
            <v>2002</v>
          </cell>
          <cell r="W33">
            <v>17.97</v>
          </cell>
          <cell r="X33"/>
        </row>
        <row r="34">
          <cell r="B34">
            <v>2008</v>
          </cell>
          <cell r="C34">
            <v>575.4</v>
          </cell>
          <cell r="D34"/>
          <cell r="L34">
            <v>2006</v>
          </cell>
          <cell r="M34">
            <v>196.8</v>
          </cell>
          <cell r="N34">
            <v>196.64727272727396</v>
          </cell>
          <cell r="V34">
            <v>2003</v>
          </cell>
          <cell r="W34">
            <v>18.5</v>
          </cell>
          <cell r="X34"/>
        </row>
        <row r="35">
          <cell r="B35">
            <v>2009</v>
          </cell>
          <cell r="C35">
            <v>521.9</v>
          </cell>
          <cell r="D35"/>
          <cell r="L35">
            <v>2007</v>
          </cell>
          <cell r="M35">
            <v>203.3</v>
          </cell>
          <cell r="N35">
            <v>206.95272727272823</v>
          </cell>
          <cell r="V35">
            <v>2004</v>
          </cell>
          <cell r="W35">
            <v>19.170000000000002</v>
          </cell>
          <cell r="X35">
            <v>18.995000000000005</v>
          </cell>
        </row>
        <row r="36">
          <cell r="B36">
            <v>2010</v>
          </cell>
          <cell r="C36">
            <v>550.79999999999995</v>
          </cell>
          <cell r="D36"/>
          <cell r="L36">
            <v>2008</v>
          </cell>
          <cell r="M36">
            <v>228.2</v>
          </cell>
          <cell r="N36">
            <v>217.25818181818249</v>
          </cell>
          <cell r="V36">
            <v>2005</v>
          </cell>
          <cell r="W36">
            <v>19.670000000000002</v>
          </cell>
          <cell r="X36">
            <v>19.293571428571454</v>
          </cell>
        </row>
        <row r="37">
          <cell r="B37">
            <v>2011</v>
          </cell>
          <cell r="C37">
            <v>585.70000000000005</v>
          </cell>
          <cell r="D37"/>
          <cell r="L37">
            <v>2009</v>
          </cell>
          <cell r="M37">
            <v>224.7</v>
          </cell>
          <cell r="N37">
            <v>227.56363636363676</v>
          </cell>
          <cell r="V37">
            <v>2006</v>
          </cell>
          <cell r="W37">
            <v>19.600000000000001</v>
          </cell>
          <cell r="X37">
            <v>19.592142857142903</v>
          </cell>
        </row>
        <row r="38">
          <cell r="B38">
            <v>2012</v>
          </cell>
          <cell r="C38">
            <v>584.6</v>
          </cell>
          <cell r="D38"/>
          <cell r="L38">
            <v>2010</v>
          </cell>
          <cell r="M38">
            <v>233.7</v>
          </cell>
          <cell r="N38">
            <v>237.86909090909103</v>
          </cell>
          <cell r="V38">
            <v>2007</v>
          </cell>
          <cell r="W38">
            <v>19.55</v>
          </cell>
          <cell r="X38">
            <v>19.890714285714353</v>
          </cell>
        </row>
        <row r="39">
          <cell r="B39">
            <v>2013</v>
          </cell>
          <cell r="C39">
            <v>567.29999999999995</v>
          </cell>
          <cell r="D39"/>
          <cell r="L39">
            <v>2011</v>
          </cell>
          <cell r="M39">
            <v>249.3</v>
          </cell>
          <cell r="N39">
            <v>248.1745454545453</v>
          </cell>
          <cell r="V39">
            <v>2008</v>
          </cell>
          <cell r="W39">
            <v>19.5</v>
          </cell>
          <cell r="X39">
            <v>20.189285714285688</v>
          </cell>
        </row>
        <row r="40">
          <cell r="B40">
            <v>2014</v>
          </cell>
          <cell r="C40">
            <v>576.1</v>
          </cell>
          <cell r="D40"/>
          <cell r="L40">
            <v>2012</v>
          </cell>
          <cell r="M40">
            <v>260.3</v>
          </cell>
          <cell r="N40">
            <v>258.47999999999956</v>
          </cell>
          <cell r="V40">
            <v>2009</v>
          </cell>
          <cell r="W40">
            <v>20.3</v>
          </cell>
          <cell r="X40">
            <v>20.487857142857138</v>
          </cell>
        </row>
        <row r="41">
          <cell r="B41">
            <v>2015</v>
          </cell>
          <cell r="D41"/>
          <cell r="L41">
            <v>2013</v>
          </cell>
          <cell r="M41">
            <v>263.89999999999998</v>
          </cell>
          <cell r="N41">
            <v>268.78545454545383</v>
          </cell>
          <cell r="V41">
            <v>2010</v>
          </cell>
          <cell r="W41">
            <v>21.07</v>
          </cell>
          <cell r="X41">
            <v>20.786428571428587</v>
          </cell>
        </row>
        <row r="42">
          <cell r="L42">
            <v>2014</v>
          </cell>
          <cell r="M42">
            <v>269.2</v>
          </cell>
          <cell r="N42">
            <v>279.0909090909081</v>
          </cell>
          <cell r="V42">
            <v>2011</v>
          </cell>
          <cell r="W42">
            <v>21.46</v>
          </cell>
          <cell r="X42">
            <v>21.085000000000036</v>
          </cell>
        </row>
        <row r="43">
          <cell r="L43">
            <v>2015</v>
          </cell>
          <cell r="M43"/>
          <cell r="N43">
            <v>289.39636363636237</v>
          </cell>
          <cell r="V43">
            <v>2012</v>
          </cell>
          <cell r="W43">
            <v>21.45</v>
          </cell>
          <cell r="X43">
            <v>21.383571428571486</v>
          </cell>
        </row>
        <row r="44">
          <cell r="V44">
            <v>2013</v>
          </cell>
          <cell r="W44">
            <v>21.4</v>
          </cell>
          <cell r="X44">
            <v>21.682142857142821</v>
          </cell>
        </row>
        <row r="45">
          <cell r="V45">
            <v>2014</v>
          </cell>
          <cell r="W45">
            <v>21.49</v>
          </cell>
          <cell r="X45">
            <v>21.980714285714271</v>
          </cell>
        </row>
        <row r="46">
          <cell r="V46">
            <v>2015</v>
          </cell>
          <cell r="W46"/>
          <cell r="X46">
            <v>22.27928571428572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topLeftCell="C1" zoomScale="90" zoomScaleNormal="90" workbookViewId="0">
      <selection activeCell="P5" sqref="P5"/>
    </sheetView>
  </sheetViews>
  <sheetFormatPr baseColWidth="10" defaultColWidth="8.83203125" defaultRowHeight="15" x14ac:dyDescent="0.2"/>
  <cols>
    <col min="1" max="1" width="15" customWidth="1"/>
    <col min="2" max="3" width="12.5" customWidth="1"/>
    <col min="4" max="4" width="12.5"/>
    <col min="5" max="5" width="18.1640625" customWidth="1"/>
    <col min="6" max="6" width="8.83203125" customWidth="1"/>
    <col min="7" max="8" width="19.5" customWidth="1"/>
    <col min="9" max="9" width="13.5" customWidth="1"/>
    <col min="10" max="11" width="11" customWidth="1"/>
    <col min="12" max="12" width="12.33203125" customWidth="1"/>
    <col min="13" max="13" width="15.1640625" customWidth="1"/>
    <col min="14" max="14" width="12.5" customWidth="1"/>
    <col min="15" max="15" width="13.83203125" customWidth="1"/>
    <col min="16" max="16" width="11" customWidth="1"/>
    <col min="17" max="17" width="12.5" customWidth="1"/>
    <col min="18" max="19" width="14.6640625" customWidth="1"/>
    <col min="20" max="21" width="14" customWidth="1"/>
    <col min="22" max="22" width="13.83203125" customWidth="1"/>
    <col min="23" max="23" width="12.5" customWidth="1"/>
    <col min="24" max="24" width="13.5" hidden="1" customWidth="1"/>
    <col min="25" max="25" width="15.5" hidden="1" customWidth="1"/>
    <col min="26" max="26" width="10.1640625" bestFit="1" customWidth="1"/>
    <col min="27" max="27" width="10.1640625" customWidth="1"/>
    <col min="29" max="29" width="10.6640625" bestFit="1" customWidth="1"/>
    <col min="30" max="30" width="11.1640625" bestFit="1" customWidth="1"/>
  </cols>
  <sheetData>
    <row r="1" spans="1:30" s="6" customFormat="1" ht="60" x14ac:dyDescent="0.2">
      <c r="A1" s="1" t="s">
        <v>0</v>
      </c>
      <c r="B1" s="2" t="s">
        <v>1</v>
      </c>
      <c r="C1" s="1" t="s">
        <v>2</v>
      </c>
      <c r="D1" s="1" t="s">
        <v>17</v>
      </c>
      <c r="E1" s="1" t="s">
        <v>3</v>
      </c>
      <c r="F1" s="1" t="s">
        <v>6</v>
      </c>
      <c r="G1" s="1" t="s">
        <v>7</v>
      </c>
      <c r="H1" s="1" t="s">
        <v>24</v>
      </c>
      <c r="I1" s="7" t="s">
        <v>15</v>
      </c>
      <c r="J1" s="7" t="s">
        <v>16</v>
      </c>
      <c r="K1" s="7" t="s">
        <v>22</v>
      </c>
      <c r="L1" s="8" t="s">
        <v>23</v>
      </c>
      <c r="M1" s="8" t="s">
        <v>25</v>
      </c>
      <c r="N1" s="8" t="s">
        <v>27</v>
      </c>
      <c r="O1" s="8" t="s">
        <v>26</v>
      </c>
      <c r="P1" s="8" t="s">
        <v>28</v>
      </c>
      <c r="Q1" s="8" t="s">
        <v>29</v>
      </c>
      <c r="R1" s="1" t="s">
        <v>103</v>
      </c>
      <c r="S1" s="1" t="s">
        <v>105</v>
      </c>
      <c r="T1" s="8" t="s">
        <v>104</v>
      </c>
      <c r="U1" s="8" t="s">
        <v>108</v>
      </c>
      <c r="V1" s="8" t="s">
        <v>106</v>
      </c>
      <c r="W1" s="8" t="s">
        <v>107</v>
      </c>
      <c r="X1" s="8" t="s">
        <v>109</v>
      </c>
      <c r="Y1" s="8" t="s">
        <v>109</v>
      </c>
    </row>
    <row r="2" spans="1:30" x14ac:dyDescent="0.2">
      <c r="A2" s="3" t="s">
        <v>4</v>
      </c>
      <c r="B2" s="3" t="s">
        <v>5</v>
      </c>
      <c r="C2" s="3">
        <v>0.26</v>
      </c>
      <c r="D2" s="3" t="s">
        <v>18</v>
      </c>
      <c r="E2" s="3">
        <v>126</v>
      </c>
      <c r="F2" s="3" t="s">
        <v>8</v>
      </c>
      <c r="G2" s="3" t="s">
        <v>9</v>
      </c>
      <c r="H2" s="45">
        <f>93.5/1.10231*330</f>
        <v>27991.21844127333</v>
      </c>
      <c r="I2" s="53">
        <f>E2/$H$2</f>
        <v>4.5014117647058814E-3</v>
      </c>
      <c r="J2">
        <v>0.6</v>
      </c>
      <c r="K2">
        <v>2014</v>
      </c>
      <c r="L2" s="54">
        <f>36200000</f>
        <v>36200000</v>
      </c>
      <c r="M2" s="54">
        <f>$L$2*I2^J2</f>
        <v>1414874.161419325</v>
      </c>
      <c r="N2" s="54">
        <f>1.78*1000000</f>
        <v>1780000</v>
      </c>
      <c r="O2" s="54">
        <f>$N$2*I2</f>
        <v>8012.5129411764692</v>
      </c>
      <c r="P2" s="54">
        <f>2.76*1000000</f>
        <v>2760000</v>
      </c>
      <c r="Q2" s="54">
        <f>$P$2*I2</f>
        <v>12423.896470588232</v>
      </c>
      <c r="R2" s="48">
        <f>0.47*1000000000000/1055060*I2</f>
        <v>2005.2542314292687</v>
      </c>
      <c r="S2" s="55">
        <v>0.66400000000000003</v>
      </c>
      <c r="T2" s="54">
        <f>O2+Q2</f>
        <v>20436.4094117647</v>
      </c>
      <c r="U2" s="56">
        <f>C2/0.5</f>
        <v>0.52</v>
      </c>
      <c r="V2" s="10">
        <f>560000*U2^J2</f>
        <v>378259.66464424686</v>
      </c>
      <c r="W2" s="10">
        <f>25000*U2</f>
        <v>13000</v>
      </c>
      <c r="X2" s="51">
        <v>34715</v>
      </c>
      <c r="Y2" s="51">
        <v>1637.4085000000014</v>
      </c>
      <c r="Z2" s="10"/>
      <c r="AA2" s="10"/>
      <c r="AB2">
        <v>594715</v>
      </c>
      <c r="AC2" s="10">
        <f>AB2-V2</f>
        <v>216455.33535575314</v>
      </c>
      <c r="AD2" s="10">
        <f>V2+200000</f>
        <v>578259.66464424692</v>
      </c>
    </row>
    <row r="3" spans="1:30" x14ac:dyDescent="0.2">
      <c r="A3" s="3" t="s">
        <v>4</v>
      </c>
      <c r="B3" s="3" t="s">
        <v>5</v>
      </c>
      <c r="C3" s="4">
        <v>3.67</v>
      </c>
      <c r="D3" s="3" t="s">
        <v>19</v>
      </c>
      <c r="E3" s="4">
        <v>1100</v>
      </c>
      <c r="F3" s="3" t="s">
        <v>8</v>
      </c>
      <c r="G3" s="3" t="s">
        <v>9</v>
      </c>
      <c r="H3" s="45"/>
      <c r="I3" s="53">
        <f>E3/$H$2</f>
        <v>3.9298039215686267E-2</v>
      </c>
      <c r="J3">
        <v>0.6</v>
      </c>
      <c r="L3" s="54"/>
      <c r="M3" s="54">
        <f>$L$2*I3^J3</f>
        <v>5191957.1505000731</v>
      </c>
      <c r="N3" s="54"/>
      <c r="O3" s="54">
        <f>$N$2*I3</f>
        <v>69950.509803921552</v>
      </c>
      <c r="P3" s="54"/>
      <c r="Q3" s="54">
        <f>$P$2*I3</f>
        <v>108462.5882352941</v>
      </c>
      <c r="R3" s="48">
        <f>0.47*1000000000000/1055060*I3</f>
        <v>17506.187734699964</v>
      </c>
      <c r="S3" s="55">
        <v>0.66400000000000003</v>
      </c>
      <c r="T3" s="54">
        <f>O3+Q3</f>
        <v>178413.09803921566</v>
      </c>
      <c r="U3" s="56">
        <f>C3/5</f>
        <v>0.73399999999999999</v>
      </c>
      <c r="V3" s="10">
        <f>1200000*(U3)^J3</f>
        <v>996779.00514336128</v>
      </c>
      <c r="W3" s="10">
        <f>50000*U3</f>
        <v>36700</v>
      </c>
      <c r="X3" s="51">
        <v>93326</v>
      </c>
      <c r="Y3" s="51">
        <v>4401.9150000000081</v>
      </c>
      <c r="Z3" s="10"/>
      <c r="AA3" s="10"/>
      <c r="AB3">
        <v>1293326.7</v>
      </c>
      <c r="AC3" s="10">
        <f t="shared" ref="AC3:AC5" si="0">AB3-V3</f>
        <v>296547.69485663867</v>
      </c>
      <c r="AD3" s="10">
        <f>V3+300000</f>
        <v>1296779.0051433612</v>
      </c>
    </row>
    <row r="4" spans="1:30" x14ac:dyDescent="0.2">
      <c r="A4" s="3" t="s">
        <v>4</v>
      </c>
      <c r="B4" s="3" t="s">
        <v>5</v>
      </c>
      <c r="C4" s="4">
        <v>25.82</v>
      </c>
      <c r="D4" s="3" t="s">
        <v>20</v>
      </c>
      <c r="E4" s="4">
        <v>7300</v>
      </c>
      <c r="F4" s="3" t="s">
        <v>8</v>
      </c>
      <c r="G4" s="3" t="s">
        <v>9</v>
      </c>
      <c r="H4" s="45"/>
      <c r="I4" s="53">
        <f>E4/$H$2</f>
        <v>0.26079607843137254</v>
      </c>
      <c r="J4">
        <v>0.6</v>
      </c>
      <c r="L4" s="54"/>
      <c r="M4" s="54">
        <f>$L$2*I4^J4</f>
        <v>16161780.514760757</v>
      </c>
      <c r="N4" s="54"/>
      <c r="O4" s="54">
        <f>$N$2*I4</f>
        <v>464217.01960784313</v>
      </c>
      <c r="P4" s="54"/>
      <c r="Q4" s="54">
        <f>$P$2*I4</f>
        <v>719797.17647058819</v>
      </c>
      <c r="R4" s="48">
        <f>0.47*1000000000000/1055060*I4</f>
        <v>116177.42769391797</v>
      </c>
      <c r="S4" s="55">
        <v>0.66400000000000003</v>
      </c>
      <c r="T4" s="54">
        <f>O4+Q4</f>
        <v>1184014.1960784313</v>
      </c>
      <c r="U4" s="56">
        <f>C4/55</f>
        <v>0.46945454545454546</v>
      </c>
      <c r="V4" s="10">
        <f>9300000*(U4)^J4</f>
        <v>5907980.8321258919</v>
      </c>
      <c r="W4" s="10">
        <f>140000*U4</f>
        <v>65723.636363636368</v>
      </c>
      <c r="X4" s="51">
        <v>179000</v>
      </c>
      <c r="Y4" s="51">
        <v>8442.8470000000671</v>
      </c>
      <c r="Z4" s="10"/>
      <c r="AA4" s="10"/>
      <c r="AB4">
        <v>6080070.8700000001</v>
      </c>
      <c r="AC4" s="10">
        <f t="shared" si="0"/>
        <v>172090.03787410818</v>
      </c>
      <c r="AD4" s="10">
        <f>V4+700000</f>
        <v>6607980.8321258919</v>
      </c>
    </row>
    <row r="5" spans="1:30" x14ac:dyDescent="0.2">
      <c r="A5" s="3" t="s">
        <v>4</v>
      </c>
      <c r="B5" s="3" t="s">
        <v>5</v>
      </c>
      <c r="C5" s="3">
        <v>212.6</v>
      </c>
      <c r="D5" s="3" t="s">
        <v>21</v>
      </c>
      <c r="E5" s="3">
        <v>60000</v>
      </c>
      <c r="F5" s="3" t="s">
        <v>8</v>
      </c>
      <c r="G5" s="3" t="s">
        <v>9</v>
      </c>
      <c r="H5" s="45"/>
      <c r="I5" s="53">
        <f>E5/$H$2</f>
        <v>2.1435294117647055</v>
      </c>
      <c r="J5">
        <v>0.6</v>
      </c>
      <c r="L5" s="54"/>
      <c r="M5" s="54">
        <f>$L$2*I5^J5</f>
        <v>57198710.580518894</v>
      </c>
      <c r="N5" s="54"/>
      <c r="O5" s="54">
        <f>$N$2*I5</f>
        <v>3815482.3529411759</v>
      </c>
      <c r="P5" s="54"/>
      <c r="Q5" s="54">
        <f>$P$2*I5</f>
        <v>5916141.176470587</v>
      </c>
      <c r="R5" s="48">
        <f>0.47*1000000000000/1055060*I5</f>
        <v>954882.96734727081</v>
      </c>
      <c r="S5" s="55">
        <v>0.66400000000000003</v>
      </c>
      <c r="T5" s="54">
        <f>O5+Q5</f>
        <v>9731623.529411763</v>
      </c>
      <c r="U5" s="56">
        <f>C5/300</f>
        <v>0.70866666666666667</v>
      </c>
      <c r="V5" s="10">
        <f>43000000*(U5)^J5</f>
        <v>34973062.085198395</v>
      </c>
      <c r="W5" s="10">
        <f>480000*U5</f>
        <v>340160</v>
      </c>
      <c r="X5" s="51">
        <v>305685</v>
      </c>
      <c r="Y5" s="51">
        <v>17981.628000000492</v>
      </c>
      <c r="Z5" s="10"/>
      <c r="AA5" s="10"/>
      <c r="AB5">
        <v>33258582.93</v>
      </c>
      <c r="AC5" s="10">
        <f t="shared" si="0"/>
        <v>-1714479.1551983953</v>
      </c>
      <c r="AD5" s="10">
        <f>V5+1500000</f>
        <v>36473062.085198395</v>
      </c>
    </row>
    <row r="6" spans="1:30" hidden="1" x14ac:dyDescent="0.2">
      <c r="A6" s="3" t="s">
        <v>4</v>
      </c>
      <c r="B6" s="3" t="s">
        <v>5</v>
      </c>
      <c r="C6" s="3">
        <v>0.26</v>
      </c>
      <c r="D6" s="3" t="s">
        <v>18</v>
      </c>
      <c r="E6" s="3">
        <v>126</v>
      </c>
      <c r="F6" s="3" t="s">
        <v>8</v>
      </c>
      <c r="G6" s="3" t="s">
        <v>10</v>
      </c>
      <c r="H6" s="45">
        <f>93.5/1.10231*330</f>
        <v>27991.21844127333</v>
      </c>
      <c r="I6" s="53">
        <f>E6/$H$6</f>
        <v>4.5014117647058814E-3</v>
      </c>
      <c r="J6">
        <v>0.6</v>
      </c>
      <c r="K6">
        <v>2014</v>
      </c>
      <c r="L6" s="54">
        <f>(150400000*0.1^J6)+L2</f>
        <v>73978771.929904103</v>
      </c>
      <c r="M6" s="54">
        <f>$L$6*I6^J6</f>
        <v>2891454.4999213968</v>
      </c>
      <c r="N6" s="54">
        <f>(104.2*1000000)*(0.1)+N2</f>
        <v>12200000</v>
      </c>
      <c r="O6" s="54">
        <f>$N$6*I6</f>
        <v>54917.223529411756</v>
      </c>
      <c r="P6" s="54">
        <f>(9.18*1000000)*(0.1)+P2</f>
        <v>3678000</v>
      </c>
      <c r="Q6" s="54">
        <f>$P$6*I6</f>
        <v>16556.19247058823</v>
      </c>
      <c r="R6" s="48">
        <f>4.5*1000000000000/1055060*I6</f>
        <v>19199.242641344063</v>
      </c>
      <c r="S6" s="55">
        <v>0.63</v>
      </c>
      <c r="T6" s="54">
        <f>O6+Q6</f>
        <v>71473.415999999983</v>
      </c>
      <c r="U6" s="56">
        <f>C6/0.5</f>
        <v>0.52</v>
      </c>
      <c r="V6" s="10">
        <f>560000*U6^J6</f>
        <v>378259.66464424686</v>
      </c>
      <c r="W6" s="10">
        <f>25000*U6</f>
        <v>13000</v>
      </c>
      <c r="X6" s="52">
        <v>34715</v>
      </c>
      <c r="Y6" s="52">
        <v>1637.4085000000014</v>
      </c>
      <c r="Z6" s="10">
        <f t="shared" ref="Z6:Z25" si="1">M6-V6</f>
        <v>2513194.8352771499</v>
      </c>
      <c r="AA6" s="10">
        <f t="shared" ref="AA3:AA25" si="2">T6-W6</f>
        <v>58473.415999999983</v>
      </c>
    </row>
    <row r="7" spans="1:30" hidden="1" x14ac:dyDescent="0.2">
      <c r="A7" s="3" t="s">
        <v>4</v>
      </c>
      <c r="B7" s="3" t="s">
        <v>5</v>
      </c>
      <c r="C7" s="4">
        <v>3.67</v>
      </c>
      <c r="D7" s="3" t="s">
        <v>19</v>
      </c>
      <c r="E7" s="4">
        <v>1100</v>
      </c>
      <c r="F7" s="3" t="s">
        <v>8</v>
      </c>
      <c r="G7" s="3" t="s">
        <v>10</v>
      </c>
      <c r="H7" s="45"/>
      <c r="I7" s="53">
        <f>E7/$H$6</f>
        <v>3.9298039215686267E-2</v>
      </c>
      <c r="J7">
        <v>0.6</v>
      </c>
      <c r="L7" s="54"/>
      <c r="M7" s="54">
        <f>$L$6*I7^J7</f>
        <v>10610348.450460766</v>
      </c>
      <c r="N7" s="54"/>
      <c r="O7" s="54">
        <f>$N$6*I7</f>
        <v>479436.07843137247</v>
      </c>
      <c r="P7" s="54"/>
      <c r="Q7" s="54">
        <f>$P$6*I7</f>
        <v>144538.1882352941</v>
      </c>
      <c r="R7" s="48">
        <f>4.5*1000000000000/1055060*I7</f>
        <v>167612.43575776563</v>
      </c>
      <c r="S7" s="55">
        <v>0.63</v>
      </c>
      <c r="T7" s="54">
        <f>O7+Q7</f>
        <v>623974.2666666666</v>
      </c>
      <c r="U7" s="56">
        <f>C7/5</f>
        <v>0.73399999999999999</v>
      </c>
      <c r="V7" s="10">
        <f>1200000*(U7)^J7</f>
        <v>996779.00514336128</v>
      </c>
      <c r="W7" s="10">
        <f>50000*U7</f>
        <v>36700</v>
      </c>
      <c r="X7" s="52">
        <v>93326</v>
      </c>
      <c r="Y7" s="52">
        <v>4401.9150000000081</v>
      </c>
      <c r="Z7" s="10">
        <f t="shared" si="1"/>
        <v>9613569.4453174043</v>
      </c>
      <c r="AA7" s="10">
        <f t="shared" si="2"/>
        <v>587274.2666666666</v>
      </c>
    </row>
    <row r="8" spans="1:30" hidden="1" x14ac:dyDescent="0.2">
      <c r="A8" s="3" t="s">
        <v>4</v>
      </c>
      <c r="B8" s="3" t="s">
        <v>5</v>
      </c>
      <c r="C8" s="4">
        <v>25.82</v>
      </c>
      <c r="D8" s="3" t="s">
        <v>20</v>
      </c>
      <c r="E8" s="4">
        <v>7300</v>
      </c>
      <c r="F8" s="3" t="s">
        <v>8</v>
      </c>
      <c r="G8" s="3" t="s">
        <v>10</v>
      </c>
      <c r="H8" s="45"/>
      <c r="I8" s="53">
        <f>E8/$H$6</f>
        <v>0.26079607843137254</v>
      </c>
      <c r="J8">
        <v>0.6</v>
      </c>
      <c r="L8" s="54"/>
      <c r="M8" s="54">
        <f>$L$6*I8^J8</f>
        <v>33028416.427697629</v>
      </c>
      <c r="N8" s="54"/>
      <c r="O8" s="54">
        <f>$N$6*I8</f>
        <v>3181712.1568627451</v>
      </c>
      <c r="P8" s="54"/>
      <c r="Q8" s="54">
        <f>$P$6*I8</f>
        <v>959207.97647058824</v>
      </c>
      <c r="R8" s="48">
        <f>4.5*1000000000000/1055060*I8</f>
        <v>1112337.0736651721</v>
      </c>
      <c r="S8" s="55">
        <v>0.63</v>
      </c>
      <c r="T8" s="54">
        <f>O8+Q8</f>
        <v>4140920.1333333333</v>
      </c>
      <c r="U8" s="56">
        <f>C8/55</f>
        <v>0.46945454545454546</v>
      </c>
      <c r="V8" s="10">
        <f>9300000*(U8)^J8</f>
        <v>5907980.8321258919</v>
      </c>
      <c r="W8" s="10">
        <f>140000*U8</f>
        <v>65723.636363636368</v>
      </c>
      <c r="X8" s="52">
        <v>179000</v>
      </c>
      <c r="Y8" s="52">
        <v>8442.8470000000671</v>
      </c>
      <c r="Z8" s="10">
        <f t="shared" si="1"/>
        <v>27120435.595571738</v>
      </c>
      <c r="AA8" s="10">
        <f t="shared" si="2"/>
        <v>4075196.4969696971</v>
      </c>
    </row>
    <row r="9" spans="1:30" hidden="1" x14ac:dyDescent="0.2">
      <c r="A9" s="3" t="s">
        <v>4</v>
      </c>
      <c r="B9" s="3" t="s">
        <v>5</v>
      </c>
      <c r="C9" s="3">
        <v>212.6</v>
      </c>
      <c r="D9" s="3" t="s">
        <v>21</v>
      </c>
      <c r="E9" s="3">
        <v>60000</v>
      </c>
      <c r="F9" s="3" t="s">
        <v>8</v>
      </c>
      <c r="G9" s="3" t="s">
        <v>10</v>
      </c>
      <c r="H9" s="45"/>
      <c r="I9" s="53">
        <f>E9/$H$6</f>
        <v>2.1435294117647055</v>
      </c>
      <c r="J9">
        <v>0.6</v>
      </c>
      <c r="L9" s="54"/>
      <c r="M9" s="54">
        <f>$L$6*I9^J9</f>
        <v>116891999.02543646</v>
      </c>
      <c r="N9" s="54"/>
      <c r="O9" s="54">
        <f>$N$6*I9</f>
        <v>26151058.823529407</v>
      </c>
      <c r="P9" s="54"/>
      <c r="Q9" s="54">
        <f>$P$6*I9</f>
        <v>7883901.176470587</v>
      </c>
      <c r="R9" s="48">
        <f>4.5*1000000000000/1055060*I9</f>
        <v>9142496.4958781246</v>
      </c>
      <c r="S9" s="55">
        <v>0.63</v>
      </c>
      <c r="T9" s="54">
        <f>O9+Q9</f>
        <v>34034959.999999993</v>
      </c>
      <c r="U9" s="56">
        <f>C9/300</f>
        <v>0.70866666666666667</v>
      </c>
      <c r="V9" s="10">
        <f>43000000*(U9)^J9</f>
        <v>34973062.085198395</v>
      </c>
      <c r="W9" s="10">
        <f>480000*U9</f>
        <v>340160</v>
      </c>
      <c r="X9" s="52">
        <v>305685</v>
      </c>
      <c r="Y9" s="52">
        <v>17981.628000000492</v>
      </c>
      <c r="Z9" s="10">
        <f t="shared" si="1"/>
        <v>81918936.940238059</v>
      </c>
      <c r="AA9" s="10">
        <f t="shared" si="2"/>
        <v>33694799.999999993</v>
      </c>
    </row>
    <row r="10" spans="1:30" x14ac:dyDescent="0.2">
      <c r="A10" s="3" t="s">
        <v>4</v>
      </c>
      <c r="B10" s="3" t="s">
        <v>5</v>
      </c>
      <c r="C10" s="3">
        <v>0.26</v>
      </c>
      <c r="D10" s="3" t="s">
        <v>18</v>
      </c>
      <c r="E10" s="3">
        <v>126</v>
      </c>
      <c r="F10" s="3" t="s">
        <v>8</v>
      </c>
      <c r="G10" s="3" t="s">
        <v>11</v>
      </c>
      <c r="H10" s="10"/>
      <c r="I10" s="53">
        <f>C10/0.5</f>
        <v>0.52</v>
      </c>
      <c r="J10">
        <v>0.6</v>
      </c>
      <c r="K10">
        <v>2014</v>
      </c>
      <c r="L10" s="10">
        <v>1572215</v>
      </c>
      <c r="M10" s="10">
        <f>L10*I10^J10</f>
        <v>1061974.1404440261</v>
      </c>
      <c r="N10" s="10"/>
      <c r="O10" s="10"/>
      <c r="P10" s="10"/>
      <c r="Q10" s="10"/>
      <c r="R10" s="10"/>
      <c r="S10" s="10"/>
      <c r="T10" s="10">
        <f>72637*I10</f>
        <v>37771.24</v>
      </c>
      <c r="U10" s="53">
        <f>C10/0.5</f>
        <v>0.52</v>
      </c>
      <c r="V10" s="10">
        <f>560000*U10^J10</f>
        <v>378259.66464424686</v>
      </c>
      <c r="W10" s="10">
        <f>25000*U10</f>
        <v>13000</v>
      </c>
      <c r="X10" s="49">
        <v>594715.33000000007</v>
      </c>
      <c r="Y10" s="50">
        <v>26637.408499999903</v>
      </c>
      <c r="Z10" s="10">
        <f t="shared" si="1"/>
        <v>683714.47579977917</v>
      </c>
      <c r="AA10" s="10">
        <f t="shared" si="2"/>
        <v>24771.239999999998</v>
      </c>
    </row>
    <row r="11" spans="1:30" x14ac:dyDescent="0.2">
      <c r="A11" s="3" t="s">
        <v>4</v>
      </c>
      <c r="B11" s="3" t="s">
        <v>5</v>
      </c>
      <c r="C11" s="4">
        <v>3.67</v>
      </c>
      <c r="D11" s="3" t="s">
        <v>19</v>
      </c>
      <c r="E11" s="4">
        <v>1100</v>
      </c>
      <c r="F11" s="3" t="s">
        <v>8</v>
      </c>
      <c r="G11" s="3" t="s">
        <v>11</v>
      </c>
      <c r="H11" s="10"/>
      <c r="I11" s="53">
        <f>C11/5</f>
        <v>0.73399999999999999</v>
      </c>
      <c r="J11">
        <v>0.6</v>
      </c>
      <c r="L11" s="10">
        <v>2270827</v>
      </c>
      <c r="M11" s="10">
        <f>L11*I11^J11</f>
        <v>1886260.5649272364</v>
      </c>
      <c r="N11" s="10"/>
      <c r="O11" s="10"/>
      <c r="P11" s="10"/>
      <c r="Q11" s="10"/>
      <c r="R11" s="10"/>
      <c r="S11" s="10"/>
      <c r="T11" s="10">
        <f>100402*I11</f>
        <v>73695.067999999999</v>
      </c>
      <c r="U11" s="53">
        <f>C11/5</f>
        <v>0.73399999999999999</v>
      </c>
      <c r="V11" s="10">
        <f>1200000*(U11)^J11</f>
        <v>996779.00514336128</v>
      </c>
      <c r="W11" s="10">
        <f>50000*U11</f>
        <v>36700</v>
      </c>
      <c r="X11" s="49">
        <v>1293326.7000000002</v>
      </c>
      <c r="Y11" s="50">
        <v>54401.914999999994</v>
      </c>
      <c r="Z11" s="10">
        <f t="shared" si="1"/>
        <v>889481.55978387513</v>
      </c>
      <c r="AA11" s="10">
        <f t="shared" si="2"/>
        <v>36995.067999999999</v>
      </c>
    </row>
    <row r="12" spans="1:30" x14ac:dyDescent="0.2">
      <c r="A12" s="3" t="s">
        <v>4</v>
      </c>
      <c r="B12" s="3" t="s">
        <v>5</v>
      </c>
      <c r="C12" s="4">
        <v>25.82</v>
      </c>
      <c r="D12" s="3" t="s">
        <v>20</v>
      </c>
      <c r="E12" s="4">
        <v>7300</v>
      </c>
      <c r="F12" s="3" t="s">
        <v>8</v>
      </c>
      <c r="G12" s="3" t="s">
        <v>11</v>
      </c>
      <c r="H12" s="10"/>
      <c r="I12" s="53">
        <f>C12/55</f>
        <v>0.46945454545454546</v>
      </c>
      <c r="J12">
        <v>0.6</v>
      </c>
      <c r="L12" s="10">
        <v>13522299</v>
      </c>
      <c r="M12" s="10">
        <f>L12*I12^J12</f>
        <v>8590267.0213199053</v>
      </c>
      <c r="N12" s="10"/>
      <c r="O12" s="10"/>
      <c r="P12" s="10"/>
      <c r="Q12" s="10"/>
      <c r="R12" s="10"/>
      <c r="S12" s="10"/>
      <c r="T12" s="10">
        <f>336618*I12</f>
        <v>158026.85018181818</v>
      </c>
      <c r="U12" s="53">
        <f>C12/55</f>
        <v>0.46945454545454546</v>
      </c>
      <c r="V12" s="10">
        <f>9300000*(U12)^J12</f>
        <v>5907980.8321258919</v>
      </c>
      <c r="W12" s="10">
        <f>140000*U12</f>
        <v>65723.636363636368</v>
      </c>
      <c r="X12" s="49">
        <v>6080070.8650000002</v>
      </c>
      <c r="Y12" s="50">
        <v>136110.04425000001</v>
      </c>
      <c r="Z12" s="10">
        <f t="shared" si="1"/>
        <v>2682286.1891940134</v>
      </c>
      <c r="AA12" s="10">
        <f t="shared" si="2"/>
        <v>92303.213818181815</v>
      </c>
    </row>
    <row r="13" spans="1:30" x14ac:dyDescent="0.2">
      <c r="A13" s="3" t="s">
        <v>4</v>
      </c>
      <c r="B13" s="3" t="s">
        <v>5</v>
      </c>
      <c r="C13" s="3">
        <v>212.6</v>
      </c>
      <c r="D13" s="3" t="s">
        <v>21</v>
      </c>
      <c r="E13" s="3">
        <v>60000</v>
      </c>
      <c r="F13" s="3" t="s">
        <v>8</v>
      </c>
      <c r="G13" s="3" t="s">
        <v>11</v>
      </c>
      <c r="H13" s="10"/>
      <c r="I13" s="53">
        <f>C13/300</f>
        <v>0.70866666666666667</v>
      </c>
      <c r="J13">
        <v>0.6</v>
      </c>
      <c r="L13" s="10">
        <v>56819407</v>
      </c>
      <c r="M13" s="10">
        <f>L13*I13^J13</f>
        <v>46212759.27105014</v>
      </c>
      <c r="N13" s="10"/>
      <c r="O13" s="10"/>
      <c r="P13" s="10"/>
      <c r="Q13" s="10"/>
      <c r="R13" s="10"/>
      <c r="S13" s="10"/>
      <c r="T13" s="10">
        <f>2174757*I13</f>
        <v>1541177.794</v>
      </c>
      <c r="U13" s="53">
        <f>C13/300</f>
        <v>0.70866666666666667</v>
      </c>
      <c r="V13" s="10">
        <f>43000000*(U13)^J13</f>
        <v>34973062.085198395</v>
      </c>
      <c r="W13" s="10">
        <f>480000*U13</f>
        <v>340160</v>
      </c>
      <c r="X13" s="49">
        <v>33258582.93</v>
      </c>
      <c r="Y13" s="59">
        <v>501055.02850000001</v>
      </c>
      <c r="Z13" s="10">
        <f t="shared" si="1"/>
        <v>11239697.185851745</v>
      </c>
      <c r="AA13" s="10">
        <f t="shared" si="2"/>
        <v>1201017.794</v>
      </c>
    </row>
    <row r="14" spans="1:30" x14ac:dyDescent="0.2">
      <c r="A14" s="3" t="s">
        <v>4</v>
      </c>
      <c r="B14" s="3" t="s">
        <v>5</v>
      </c>
      <c r="C14" s="3">
        <v>0.26</v>
      </c>
      <c r="D14" s="3" t="s">
        <v>18</v>
      </c>
      <c r="E14" s="3">
        <v>126</v>
      </c>
      <c r="F14" s="3" t="s">
        <v>8</v>
      </c>
      <c r="G14" s="5" t="s">
        <v>12</v>
      </c>
      <c r="H14" s="10"/>
      <c r="I14" s="53">
        <f>C14/0.5</f>
        <v>0.52</v>
      </c>
      <c r="J14">
        <v>0.6</v>
      </c>
      <c r="K14">
        <v>2014</v>
      </c>
      <c r="L14" s="10">
        <v>1752215</v>
      </c>
      <c r="M14" s="10">
        <f>L14*I14^J14</f>
        <v>1183557.6040796768</v>
      </c>
      <c r="N14" s="10"/>
      <c r="O14" s="10"/>
      <c r="P14" s="10"/>
      <c r="Q14" s="10"/>
      <c r="R14" s="10"/>
      <c r="S14" s="10"/>
      <c r="T14" s="10">
        <f>84734*I14</f>
        <v>44061.68</v>
      </c>
      <c r="U14" s="53">
        <f>C14/0.5</f>
        <v>0.52</v>
      </c>
      <c r="V14" s="10">
        <f>560000*U14^J14</f>
        <v>378259.66464424686</v>
      </c>
      <c r="W14" s="10">
        <f>25000*U14</f>
        <v>13000</v>
      </c>
      <c r="X14" s="49">
        <v>594715.33000000007</v>
      </c>
      <c r="Y14" s="50">
        <v>26637.408499999903</v>
      </c>
      <c r="Z14" s="10">
        <f t="shared" si="1"/>
        <v>805297.93943542987</v>
      </c>
      <c r="AA14" s="10">
        <f t="shared" si="2"/>
        <v>31061.68</v>
      </c>
    </row>
    <row r="15" spans="1:30" x14ac:dyDescent="0.2">
      <c r="A15" s="3" t="s">
        <v>4</v>
      </c>
      <c r="B15" s="3" t="s">
        <v>5</v>
      </c>
      <c r="C15" s="4">
        <v>3.67</v>
      </c>
      <c r="D15" s="3" t="s">
        <v>19</v>
      </c>
      <c r="E15" s="4">
        <v>1100</v>
      </c>
      <c r="F15" s="3" t="s">
        <v>8</v>
      </c>
      <c r="G15" s="5" t="s">
        <v>12</v>
      </c>
      <c r="H15" s="10"/>
      <c r="I15" s="53">
        <f>C15/5</f>
        <v>0.73399999999999999</v>
      </c>
      <c r="J15">
        <v>0.6</v>
      </c>
      <c r="L15" s="10">
        <v>2450827</v>
      </c>
      <c r="M15" s="10">
        <f>L15*I15^J15</f>
        <v>2035777.4156987406</v>
      </c>
      <c r="N15" s="10"/>
      <c r="O15" s="10"/>
      <c r="P15" s="10"/>
      <c r="Q15" s="10"/>
      <c r="R15" s="10"/>
      <c r="S15" s="10"/>
      <c r="T15" s="10">
        <f>132921*I15</f>
        <v>97564.013999999996</v>
      </c>
      <c r="U15" s="53">
        <f>C15/5</f>
        <v>0.73399999999999999</v>
      </c>
      <c r="V15" s="10">
        <f>1200000*(U15)^J15</f>
        <v>996779.00514336128</v>
      </c>
      <c r="W15" s="10">
        <f>50000*U15</f>
        <v>36700</v>
      </c>
      <c r="X15" s="49">
        <v>1293326.7000000002</v>
      </c>
      <c r="Y15" s="50">
        <v>54401.914999999994</v>
      </c>
      <c r="Z15" s="10">
        <f t="shared" si="1"/>
        <v>1038998.4105553793</v>
      </c>
      <c r="AA15" s="10">
        <f t="shared" si="2"/>
        <v>60864.013999999996</v>
      </c>
    </row>
    <row r="16" spans="1:30" x14ac:dyDescent="0.2">
      <c r="A16" s="3" t="s">
        <v>4</v>
      </c>
      <c r="B16" s="3" t="s">
        <v>5</v>
      </c>
      <c r="C16" s="4">
        <v>25.82</v>
      </c>
      <c r="D16" s="3" t="s">
        <v>20</v>
      </c>
      <c r="E16" s="4">
        <v>7300</v>
      </c>
      <c r="F16" s="3" t="s">
        <v>8</v>
      </c>
      <c r="G16" s="5" t="s">
        <v>12</v>
      </c>
      <c r="H16" s="10"/>
      <c r="I16" s="53">
        <f>C16/55</f>
        <v>0.46945454545454546</v>
      </c>
      <c r="J16">
        <v>0.6</v>
      </c>
      <c r="L16" s="10">
        <v>13702299</v>
      </c>
      <c r="M16" s="10">
        <f>L16*I16^J16</f>
        <v>8704615.0374255665</v>
      </c>
      <c r="N16" s="10"/>
      <c r="O16" s="10"/>
      <c r="P16" s="10"/>
      <c r="Q16" s="10"/>
      <c r="R16" s="10"/>
      <c r="S16" s="10"/>
      <c r="T16" s="10">
        <f>692827*I16</f>
        <v>325250.78436363634</v>
      </c>
      <c r="U16" s="53">
        <f>C16/55</f>
        <v>0.46945454545454546</v>
      </c>
      <c r="V16" s="10">
        <f>9300000*(U16)^J16</f>
        <v>5907980.8321258919</v>
      </c>
      <c r="W16" s="10">
        <f>140000*U16</f>
        <v>65723.636363636368</v>
      </c>
      <c r="X16" s="49">
        <v>6080070.8650000002</v>
      </c>
      <c r="Y16" s="50">
        <v>136110.04425000001</v>
      </c>
      <c r="Z16" s="10">
        <f t="shared" si="1"/>
        <v>2796634.2052996745</v>
      </c>
      <c r="AA16" s="10">
        <f t="shared" si="2"/>
        <v>259527.14799999999</v>
      </c>
    </row>
    <row r="17" spans="1:27" x14ac:dyDescent="0.2">
      <c r="A17" s="3" t="s">
        <v>4</v>
      </c>
      <c r="B17" s="3" t="s">
        <v>5</v>
      </c>
      <c r="C17" s="3">
        <v>212.6</v>
      </c>
      <c r="D17" s="3" t="s">
        <v>21</v>
      </c>
      <c r="E17" s="3">
        <v>60000</v>
      </c>
      <c r="F17" s="3" t="s">
        <v>8</v>
      </c>
      <c r="G17" s="5" t="s">
        <v>12</v>
      </c>
      <c r="H17" s="10"/>
      <c r="I17" s="53">
        <f>C17/300</f>
        <v>0.70866666666666667</v>
      </c>
      <c r="J17">
        <v>0.6</v>
      </c>
      <c r="L17" s="10">
        <v>56999407</v>
      </c>
      <c r="M17" s="10">
        <f>L17*I17^J17</f>
        <v>46359158.135592833</v>
      </c>
      <c r="N17" s="10"/>
      <c r="O17" s="10"/>
      <c r="P17" s="10"/>
      <c r="Q17" s="10"/>
      <c r="R17" s="10"/>
      <c r="S17" s="10"/>
      <c r="T17" s="10">
        <f>3836605*I17</f>
        <v>2718874.0766666667</v>
      </c>
      <c r="U17" s="53">
        <f>C17/300</f>
        <v>0.70866666666666667</v>
      </c>
      <c r="V17" s="10">
        <f>43000000*(U17)^J17</f>
        <v>34973062.085198395</v>
      </c>
      <c r="W17" s="10">
        <f>480000*U17</f>
        <v>340160</v>
      </c>
      <c r="X17" s="49">
        <v>33258582.93</v>
      </c>
      <c r="Y17" s="59">
        <v>501055.02850000001</v>
      </c>
      <c r="Z17" s="10">
        <f t="shared" si="1"/>
        <v>11386096.050394438</v>
      </c>
      <c r="AA17" s="10">
        <f t="shared" si="2"/>
        <v>2378714.0766666667</v>
      </c>
    </row>
    <row r="18" spans="1:27" x14ac:dyDescent="0.2">
      <c r="A18" s="3" t="s">
        <v>4</v>
      </c>
      <c r="B18" s="3" t="s">
        <v>5</v>
      </c>
      <c r="C18" s="3">
        <v>0.26</v>
      </c>
      <c r="D18" s="3" t="s">
        <v>18</v>
      </c>
      <c r="E18" s="3">
        <v>126</v>
      </c>
      <c r="F18" s="3" t="s">
        <v>8</v>
      </c>
      <c r="G18" s="5" t="s">
        <v>13</v>
      </c>
      <c r="H18" s="10"/>
      <c r="I18" s="53">
        <f>C18/0.5</f>
        <v>0.52</v>
      </c>
      <c r="J18">
        <v>0.6</v>
      </c>
      <c r="K18">
        <v>2014</v>
      </c>
      <c r="L18" s="10">
        <v>1439715</v>
      </c>
      <c r="M18" s="10">
        <f>L18*I18^J18</f>
        <v>972475.20193444984</v>
      </c>
      <c r="N18" s="10"/>
      <c r="O18" s="10"/>
      <c r="P18" s="10"/>
      <c r="Q18" s="10"/>
      <c r="R18" s="10"/>
      <c r="S18" s="10"/>
      <c r="T18" s="10">
        <f>63172*I18</f>
        <v>32849.440000000002</v>
      </c>
      <c r="U18" s="53">
        <f>C18/0.5</f>
        <v>0.52</v>
      </c>
      <c r="V18" s="10">
        <f>560000*U18^J18</f>
        <v>378259.66464424686</v>
      </c>
      <c r="W18" s="10">
        <f>25000*U18</f>
        <v>13000</v>
      </c>
      <c r="X18" s="49">
        <v>594715.33000000007</v>
      </c>
      <c r="Y18" s="50">
        <v>26637.408499999903</v>
      </c>
      <c r="Z18" s="10">
        <f t="shared" si="1"/>
        <v>594215.53729020292</v>
      </c>
      <c r="AA18" s="10">
        <f t="shared" si="2"/>
        <v>19849.440000000002</v>
      </c>
    </row>
    <row r="19" spans="1:27" x14ac:dyDescent="0.2">
      <c r="A19" s="3" t="s">
        <v>4</v>
      </c>
      <c r="B19" s="3" t="s">
        <v>5</v>
      </c>
      <c r="C19" s="4">
        <v>3.67</v>
      </c>
      <c r="D19" s="3" t="s">
        <v>19</v>
      </c>
      <c r="E19" s="4">
        <v>1100</v>
      </c>
      <c r="F19" s="3" t="s">
        <v>8</v>
      </c>
      <c r="G19" s="5" t="s">
        <v>13</v>
      </c>
      <c r="H19" s="10"/>
      <c r="I19" s="53">
        <f>C19/5</f>
        <v>0.73399999999999999</v>
      </c>
      <c r="J19">
        <v>0.6</v>
      </c>
      <c r="L19" s="10">
        <v>2138327</v>
      </c>
      <c r="M19" s="10">
        <f>L19*I19^J19</f>
        <v>1776199.5497759904</v>
      </c>
      <c r="N19" s="10"/>
      <c r="O19" s="10"/>
      <c r="P19" s="10"/>
      <c r="Q19" s="10"/>
      <c r="R19" s="10"/>
      <c r="S19" s="10"/>
      <c r="T19" s="10">
        <f>90937*I19</f>
        <v>66747.758000000002</v>
      </c>
      <c r="U19" s="53">
        <f>C19/5</f>
        <v>0.73399999999999999</v>
      </c>
      <c r="V19" s="10">
        <f>1200000*(U19)^J19</f>
        <v>996779.00514336128</v>
      </c>
      <c r="W19" s="10">
        <f>50000*U19</f>
        <v>36700</v>
      </c>
      <c r="X19" s="49">
        <v>1293326.7000000002</v>
      </c>
      <c r="Y19" s="50">
        <v>54401.914999999994</v>
      </c>
      <c r="Z19" s="10">
        <f t="shared" si="1"/>
        <v>779420.54463262914</v>
      </c>
      <c r="AA19" s="10">
        <f t="shared" si="2"/>
        <v>30047.758000000002</v>
      </c>
    </row>
    <row r="20" spans="1:27" x14ac:dyDescent="0.2">
      <c r="A20" s="3" t="s">
        <v>4</v>
      </c>
      <c r="B20" s="3" t="s">
        <v>5</v>
      </c>
      <c r="C20" s="4">
        <v>25.82</v>
      </c>
      <c r="D20" s="3" t="s">
        <v>20</v>
      </c>
      <c r="E20" s="4">
        <v>7300</v>
      </c>
      <c r="F20" s="3" t="s">
        <v>8</v>
      </c>
      <c r="G20" s="5" t="s">
        <v>13</v>
      </c>
      <c r="H20" s="10"/>
      <c r="I20" s="53">
        <f>C20/55</f>
        <v>0.46945454545454546</v>
      </c>
      <c r="J20">
        <v>0.6</v>
      </c>
      <c r="L20" s="10">
        <v>13322299</v>
      </c>
      <c r="M20" s="10">
        <f>L20*I20^J20</f>
        <v>8463213.6700913906</v>
      </c>
      <c r="N20" s="10"/>
      <c r="O20" s="10"/>
      <c r="P20" s="10"/>
      <c r="Q20" s="10"/>
      <c r="R20" s="10"/>
      <c r="S20" s="10"/>
      <c r="T20" s="10">
        <f>320218*I20</f>
        <v>150327.79563636365</v>
      </c>
      <c r="U20" s="53">
        <f>C20/55</f>
        <v>0.46945454545454546</v>
      </c>
      <c r="V20" s="10">
        <f>9300000*(U20)^J20</f>
        <v>5907980.8321258919</v>
      </c>
      <c r="W20" s="10">
        <f>140000*U20</f>
        <v>65723.636363636368</v>
      </c>
      <c r="X20" s="49">
        <v>6080070.8650000002</v>
      </c>
      <c r="Y20" s="50">
        <v>136110.04425000001</v>
      </c>
      <c r="Z20" s="10">
        <f t="shared" si="1"/>
        <v>2555232.8379654987</v>
      </c>
      <c r="AA20" s="10">
        <f t="shared" si="2"/>
        <v>84604.15927272728</v>
      </c>
    </row>
    <row r="21" spans="1:27" x14ac:dyDescent="0.2">
      <c r="A21" s="3" t="s">
        <v>4</v>
      </c>
      <c r="B21" s="3" t="s">
        <v>5</v>
      </c>
      <c r="C21" s="3">
        <v>212.6</v>
      </c>
      <c r="D21" s="3" t="s">
        <v>21</v>
      </c>
      <c r="E21" s="3">
        <v>60000</v>
      </c>
      <c r="F21" s="3" t="s">
        <v>8</v>
      </c>
      <c r="G21" s="5" t="s">
        <v>13</v>
      </c>
      <c r="H21" s="10"/>
      <c r="I21" s="53">
        <f>C21/300</f>
        <v>0.70866666666666667</v>
      </c>
      <c r="J21">
        <v>0.6</v>
      </c>
      <c r="L21" s="10">
        <v>56369407</v>
      </c>
      <c r="M21" s="10">
        <f>L21*I21^J21</f>
        <v>45846762.109693415</v>
      </c>
      <c r="N21" s="10"/>
      <c r="O21" s="10"/>
      <c r="P21" s="10"/>
      <c r="Q21" s="10"/>
      <c r="R21" s="10"/>
      <c r="S21" s="10"/>
      <c r="T21" s="10">
        <f>1980957*I21</f>
        <v>1403838.1939999999</v>
      </c>
      <c r="U21" s="53">
        <f>C21/300</f>
        <v>0.70866666666666667</v>
      </c>
      <c r="V21" s="10">
        <f>43000000*(U21)^J21</f>
        <v>34973062.085198395</v>
      </c>
      <c r="W21" s="10">
        <f>480000*U21</f>
        <v>340160</v>
      </c>
      <c r="X21" s="49">
        <v>33258582.93</v>
      </c>
      <c r="Y21" s="59">
        <v>501055.02850000001</v>
      </c>
      <c r="Z21" s="10">
        <f t="shared" si="1"/>
        <v>10873700.024495021</v>
      </c>
      <c r="AA21" s="10">
        <f t="shared" si="2"/>
        <v>1063678.1939999999</v>
      </c>
    </row>
    <row r="22" spans="1:27" x14ac:dyDescent="0.2">
      <c r="A22" s="3" t="s">
        <v>4</v>
      </c>
      <c r="B22" s="3" t="s">
        <v>5</v>
      </c>
      <c r="C22" s="3">
        <v>0.26</v>
      </c>
      <c r="D22" s="3" t="s">
        <v>18</v>
      </c>
      <c r="E22" s="3">
        <v>126</v>
      </c>
      <c r="F22" s="3" t="s">
        <v>8</v>
      </c>
      <c r="G22" s="5" t="s">
        <v>14</v>
      </c>
      <c r="H22" s="5"/>
      <c r="I22" s="53">
        <f>C22/0.5</f>
        <v>0.52</v>
      </c>
      <c r="J22">
        <v>0.6</v>
      </c>
      <c r="K22">
        <v>2014</v>
      </c>
      <c r="L22" s="10">
        <v>1439715</v>
      </c>
      <c r="M22" s="10">
        <f>L22*I22^J22</f>
        <v>972475.20193444984</v>
      </c>
      <c r="N22" s="10"/>
      <c r="O22" s="10"/>
      <c r="P22" s="10"/>
      <c r="Q22" s="10"/>
      <c r="R22" s="3"/>
      <c r="S22" s="46"/>
      <c r="T22" s="10">
        <f>63172*I22</f>
        <v>32849.440000000002</v>
      </c>
      <c r="U22" s="53">
        <f>C22/0.5</f>
        <v>0.52</v>
      </c>
      <c r="V22" s="10">
        <f>560000*U22^J22</f>
        <v>378259.66464424686</v>
      </c>
      <c r="W22" s="10">
        <f>25000*U22</f>
        <v>13000</v>
      </c>
      <c r="X22" s="49">
        <v>594715.33000000007</v>
      </c>
      <c r="Y22" s="50">
        <v>26637.408499999903</v>
      </c>
      <c r="Z22" s="10">
        <f t="shared" si="1"/>
        <v>594215.53729020292</v>
      </c>
      <c r="AA22" s="10">
        <f t="shared" si="2"/>
        <v>19849.440000000002</v>
      </c>
    </row>
    <row r="23" spans="1:27" x14ac:dyDescent="0.2">
      <c r="A23" s="3" t="s">
        <v>4</v>
      </c>
      <c r="B23" s="3" t="s">
        <v>5</v>
      </c>
      <c r="C23" s="4">
        <v>3.67</v>
      </c>
      <c r="D23" s="3" t="s">
        <v>19</v>
      </c>
      <c r="E23" s="4">
        <v>1100</v>
      </c>
      <c r="F23" s="3" t="s">
        <v>8</v>
      </c>
      <c r="G23" s="5" t="s">
        <v>14</v>
      </c>
      <c r="H23" s="5"/>
      <c r="I23" s="53">
        <f>C23/5</f>
        <v>0.73399999999999999</v>
      </c>
      <c r="J23">
        <v>0.6</v>
      </c>
      <c r="L23" s="10">
        <v>2138327</v>
      </c>
      <c r="M23" s="10">
        <f>L23*I23^J23</f>
        <v>1776199.5497759904</v>
      </c>
      <c r="N23" s="10"/>
      <c r="O23" s="10"/>
      <c r="P23" s="10"/>
      <c r="Q23" s="10"/>
      <c r="R23" s="47"/>
      <c r="S23" s="46"/>
      <c r="T23" s="10">
        <f>90937*I23</f>
        <v>66747.758000000002</v>
      </c>
      <c r="U23" s="53">
        <f>C23/5</f>
        <v>0.73399999999999999</v>
      </c>
      <c r="V23" s="10">
        <f>1200000*(U23)^J23</f>
        <v>996779.00514336128</v>
      </c>
      <c r="W23" s="10">
        <f>50000*U23</f>
        <v>36700</v>
      </c>
      <c r="X23" s="49">
        <v>1293326.7000000002</v>
      </c>
      <c r="Y23" s="50">
        <v>54401.914999999994</v>
      </c>
      <c r="Z23" s="10">
        <f t="shared" si="1"/>
        <v>779420.54463262914</v>
      </c>
      <c r="AA23" s="10">
        <f t="shared" si="2"/>
        <v>30047.758000000002</v>
      </c>
    </row>
    <row r="24" spans="1:27" x14ac:dyDescent="0.2">
      <c r="A24" s="3" t="s">
        <v>4</v>
      </c>
      <c r="B24" s="3" t="s">
        <v>5</v>
      </c>
      <c r="C24" s="4">
        <v>25.82</v>
      </c>
      <c r="D24" s="3" t="s">
        <v>20</v>
      </c>
      <c r="E24" s="4">
        <v>7300</v>
      </c>
      <c r="F24" s="3" t="s">
        <v>8</v>
      </c>
      <c r="G24" s="5" t="s">
        <v>14</v>
      </c>
      <c r="H24" s="5"/>
      <c r="I24" s="53">
        <f>C24/55</f>
        <v>0.46945454545454546</v>
      </c>
      <c r="J24">
        <v>0.6</v>
      </c>
      <c r="L24" s="10">
        <v>13322299</v>
      </c>
      <c r="M24" s="10">
        <f>L24*I24^J24</f>
        <v>8463213.6700913906</v>
      </c>
      <c r="N24" s="10"/>
      <c r="O24" s="10"/>
      <c r="P24" s="10"/>
      <c r="Q24" s="10"/>
      <c r="R24" s="47"/>
      <c r="S24" s="46"/>
      <c r="T24" s="10">
        <f>320218*I24</f>
        <v>150327.79563636365</v>
      </c>
      <c r="U24" s="53">
        <f>C24/55</f>
        <v>0.46945454545454546</v>
      </c>
      <c r="V24" s="10">
        <f>9300000*(U24)^J24</f>
        <v>5907980.8321258919</v>
      </c>
      <c r="W24" s="10">
        <f>140000*U24</f>
        <v>65723.636363636368</v>
      </c>
      <c r="X24" s="49">
        <v>6080070.8650000002</v>
      </c>
      <c r="Y24" s="50">
        <v>136110.04425000001</v>
      </c>
      <c r="Z24" s="10">
        <f t="shared" si="1"/>
        <v>2555232.8379654987</v>
      </c>
      <c r="AA24" s="10">
        <f t="shared" si="2"/>
        <v>84604.15927272728</v>
      </c>
    </row>
    <row r="25" spans="1:27" x14ac:dyDescent="0.2">
      <c r="A25" s="3" t="s">
        <v>4</v>
      </c>
      <c r="B25" s="3" t="s">
        <v>5</v>
      </c>
      <c r="C25" s="3">
        <v>212.6</v>
      </c>
      <c r="D25" s="3" t="s">
        <v>21</v>
      </c>
      <c r="E25" s="3">
        <v>60000</v>
      </c>
      <c r="F25" s="3" t="s">
        <v>8</v>
      </c>
      <c r="G25" s="5" t="s">
        <v>14</v>
      </c>
      <c r="H25" s="5"/>
      <c r="I25" s="53">
        <f>C25/300</f>
        <v>0.70866666666666667</v>
      </c>
      <c r="J25">
        <v>0.6</v>
      </c>
      <c r="L25" s="10">
        <v>56369407</v>
      </c>
      <c r="M25" s="10">
        <f>L25*I25^J25</f>
        <v>45846762.109693415</v>
      </c>
      <c r="N25" s="10"/>
      <c r="O25" s="10"/>
      <c r="P25" s="10"/>
      <c r="Q25" s="10"/>
      <c r="R25" s="46"/>
      <c r="S25" s="46"/>
      <c r="T25" s="10">
        <f>1980957*I25</f>
        <v>1403838.1939999999</v>
      </c>
      <c r="U25" s="53">
        <f>C25/300</f>
        <v>0.70866666666666667</v>
      </c>
      <c r="V25" s="10">
        <f>43000000*(U25)^J25</f>
        <v>34973062.085198395</v>
      </c>
      <c r="W25" s="10">
        <f>480000*U25</f>
        <v>340160</v>
      </c>
      <c r="X25" s="49">
        <v>33258582.93</v>
      </c>
      <c r="Y25" s="50">
        <v>501055.02850000001</v>
      </c>
      <c r="Z25" s="10">
        <f t="shared" si="1"/>
        <v>10873700.024495021</v>
      </c>
      <c r="AA25" s="10">
        <f t="shared" si="2"/>
        <v>1063678.1939999999</v>
      </c>
    </row>
    <row r="26" spans="1:27" x14ac:dyDescent="0.2">
      <c r="L26" s="9"/>
      <c r="M26" s="9"/>
    </row>
  </sheetData>
  <autoFilter ref="A1:Y1" xr:uid="{65E891FA-0423-D744-AE2A-D4D072780A25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56A-3F39-4D7C-AB22-367223C52D13}">
  <dimension ref="A1:AM157"/>
  <sheetViews>
    <sheetView zoomScale="70" zoomScaleNormal="70" workbookViewId="0">
      <selection activeCell="F46" sqref="F46"/>
    </sheetView>
  </sheetViews>
  <sheetFormatPr baseColWidth="10" defaultColWidth="9.1640625" defaultRowHeight="15" x14ac:dyDescent="0.2"/>
  <cols>
    <col min="1" max="2" width="10.6640625" style="11" customWidth="1"/>
    <col min="3" max="3" width="14.1640625" style="11" customWidth="1"/>
    <col min="4" max="6" width="10.6640625" style="11" customWidth="1"/>
    <col min="7" max="7" width="20.6640625" style="11" customWidth="1"/>
    <col min="8" max="12" width="10.6640625" style="11" customWidth="1"/>
    <col min="13" max="13" width="15.83203125" style="11" customWidth="1"/>
    <col min="14" max="39" width="10.6640625" style="11" customWidth="1"/>
    <col min="40" max="16384" width="9.1640625" style="11"/>
  </cols>
  <sheetData>
    <row r="1" spans="1:39" ht="16" thickBot="1" x14ac:dyDescent="0.25"/>
    <row r="2" spans="1:39" ht="16" thickBot="1" x14ac:dyDescent="0.25">
      <c r="A2" s="12"/>
      <c r="B2" s="13" t="s">
        <v>30</v>
      </c>
      <c r="C2" s="13"/>
      <c r="D2" s="14"/>
      <c r="E2" s="14"/>
      <c r="F2" s="14"/>
      <c r="G2" s="14"/>
      <c r="H2" s="14"/>
      <c r="I2" s="15"/>
      <c r="J2" s="16"/>
      <c r="K2" s="12"/>
      <c r="L2" s="13" t="s">
        <v>31</v>
      </c>
      <c r="M2" s="13"/>
      <c r="N2" s="13"/>
      <c r="O2" s="14"/>
      <c r="P2" s="14"/>
      <c r="Q2" s="14"/>
      <c r="R2" s="14"/>
      <c r="S2" s="15"/>
      <c r="T2" s="16"/>
      <c r="U2" s="12"/>
      <c r="V2" s="13" t="s">
        <v>32</v>
      </c>
      <c r="W2" s="14"/>
      <c r="X2" s="14"/>
      <c r="Y2" s="14"/>
      <c r="Z2" s="14"/>
      <c r="AA2" s="14"/>
      <c r="AB2" s="14"/>
      <c r="AC2" s="15"/>
      <c r="AE2" s="12"/>
      <c r="AF2" s="13" t="s">
        <v>14</v>
      </c>
      <c r="AG2" s="14"/>
      <c r="AH2" s="14"/>
      <c r="AI2" s="14"/>
      <c r="AJ2" s="14"/>
      <c r="AK2" s="14"/>
      <c r="AL2" s="14"/>
      <c r="AM2" s="15"/>
    </row>
    <row r="3" spans="1:39" ht="32.25" customHeight="1" x14ac:dyDescent="0.2">
      <c r="A3" s="17"/>
      <c r="B3" s="18" t="s">
        <v>33</v>
      </c>
      <c r="C3" s="19" t="s">
        <v>34</v>
      </c>
      <c r="D3" s="19"/>
      <c r="E3" s="19"/>
      <c r="F3" s="19"/>
      <c r="G3" s="19"/>
      <c r="H3" s="19"/>
      <c r="I3" s="20"/>
      <c r="K3" s="17"/>
      <c r="L3" s="21" t="s">
        <v>33</v>
      </c>
      <c r="M3" s="57" t="s">
        <v>35</v>
      </c>
      <c r="N3" s="57"/>
      <c r="O3" s="57"/>
      <c r="P3" s="57"/>
      <c r="Q3" s="57"/>
      <c r="R3" s="57"/>
      <c r="S3" s="58"/>
      <c r="U3" s="17"/>
      <c r="V3" s="22" t="s">
        <v>36</v>
      </c>
      <c r="W3" s="23" t="s">
        <v>37</v>
      </c>
      <c r="X3" s="19"/>
      <c r="Y3" s="19"/>
      <c r="Z3" s="19"/>
      <c r="AA3" s="19"/>
      <c r="AB3" s="19"/>
      <c r="AC3" s="20"/>
      <c r="AE3" s="17"/>
      <c r="AF3" s="22" t="s">
        <v>36</v>
      </c>
      <c r="AG3" s="23" t="s">
        <v>38</v>
      </c>
      <c r="AH3" s="19"/>
      <c r="AI3" s="19"/>
      <c r="AJ3" s="19"/>
      <c r="AK3" s="19"/>
      <c r="AL3" s="19"/>
      <c r="AM3" s="20"/>
    </row>
    <row r="4" spans="1:39" x14ac:dyDescent="0.2">
      <c r="A4" s="17"/>
      <c r="B4" s="19"/>
      <c r="C4" s="19" t="s">
        <v>39</v>
      </c>
      <c r="D4" s="19"/>
      <c r="E4" s="19"/>
      <c r="F4" s="19"/>
      <c r="G4" s="19"/>
      <c r="H4" s="19"/>
      <c r="I4" s="20"/>
      <c r="K4" s="17"/>
      <c r="L4" s="19" t="s">
        <v>40</v>
      </c>
      <c r="M4" s="16"/>
      <c r="N4" s="19" t="s">
        <v>41</v>
      </c>
      <c r="O4" s="19"/>
      <c r="P4" s="19"/>
      <c r="Q4" s="19"/>
      <c r="R4" s="19"/>
      <c r="S4" s="20"/>
      <c r="U4" s="17"/>
      <c r="V4" s="19" t="s">
        <v>42</v>
      </c>
      <c r="W4" s="19" t="s">
        <v>43</v>
      </c>
      <c r="X4" s="19"/>
      <c r="Y4" s="19"/>
      <c r="Z4" s="19"/>
      <c r="AA4" s="19"/>
      <c r="AB4" s="19"/>
      <c r="AC4" s="20"/>
      <c r="AE4" s="17"/>
      <c r="AF4" s="24"/>
      <c r="AG4" s="24"/>
      <c r="AH4" s="19"/>
      <c r="AI4" s="19"/>
      <c r="AJ4" s="19"/>
      <c r="AK4" s="19"/>
      <c r="AL4" s="19"/>
      <c r="AM4" s="20"/>
    </row>
    <row r="5" spans="1:39" x14ac:dyDescent="0.2">
      <c r="A5" s="17"/>
      <c r="B5" s="19"/>
      <c r="C5" s="19" t="s">
        <v>44</v>
      </c>
      <c r="D5" s="19"/>
      <c r="E5" s="19"/>
      <c r="F5" s="19"/>
      <c r="G5" s="19"/>
      <c r="H5" s="19"/>
      <c r="I5" s="20"/>
      <c r="K5" s="17"/>
      <c r="L5" s="19"/>
      <c r="M5" s="19"/>
      <c r="N5" s="19"/>
      <c r="O5" s="19"/>
      <c r="P5" s="19"/>
      <c r="Q5" s="19"/>
      <c r="R5" s="19"/>
      <c r="S5" s="20"/>
      <c r="U5" s="17"/>
      <c r="V5" s="19" t="s">
        <v>45</v>
      </c>
      <c r="W5" s="19"/>
      <c r="X5" s="19"/>
      <c r="Y5" s="19"/>
      <c r="Z5" s="19"/>
      <c r="AA5" s="19"/>
      <c r="AB5" s="19"/>
      <c r="AC5" s="20"/>
      <c r="AE5" s="17"/>
      <c r="AF5" s="24"/>
      <c r="AG5" s="24"/>
      <c r="AH5" s="19"/>
      <c r="AI5" s="19"/>
      <c r="AJ5" s="19"/>
      <c r="AK5" s="19"/>
      <c r="AL5" s="19"/>
      <c r="AM5" s="20"/>
    </row>
    <row r="6" spans="1:39" x14ac:dyDescent="0.2">
      <c r="A6" s="17"/>
      <c r="B6" s="19"/>
      <c r="C6" s="19" t="s">
        <v>46</v>
      </c>
      <c r="D6" s="19"/>
      <c r="E6" s="19"/>
      <c r="F6" s="19"/>
      <c r="G6" s="19"/>
      <c r="H6" s="19"/>
      <c r="I6" s="20"/>
      <c r="K6" s="17"/>
      <c r="L6" s="19" t="s">
        <v>47</v>
      </c>
      <c r="M6" s="25" t="s">
        <v>48</v>
      </c>
      <c r="N6" s="25" t="s">
        <v>49</v>
      </c>
      <c r="O6" s="25" t="s">
        <v>50</v>
      </c>
      <c r="P6" s="19"/>
      <c r="Q6" s="19"/>
      <c r="R6" s="19"/>
      <c r="S6" s="20"/>
      <c r="U6" s="17"/>
      <c r="V6" s="19" t="s">
        <v>51</v>
      </c>
      <c r="W6" s="19"/>
      <c r="X6" s="19"/>
      <c r="Y6" s="19"/>
      <c r="Z6" s="19"/>
      <c r="AA6" s="19"/>
      <c r="AB6" s="19"/>
      <c r="AC6" s="20"/>
      <c r="AE6" s="17"/>
      <c r="AF6" s="24"/>
      <c r="AG6" s="24"/>
      <c r="AH6" s="19"/>
      <c r="AI6" s="19"/>
      <c r="AJ6" s="19"/>
      <c r="AK6" s="19"/>
      <c r="AL6" s="19"/>
      <c r="AM6" s="20"/>
    </row>
    <row r="7" spans="1:39" x14ac:dyDescent="0.2">
      <c r="A7" s="17"/>
      <c r="B7" s="19"/>
      <c r="C7" s="19" t="s">
        <v>52</v>
      </c>
      <c r="D7" s="19"/>
      <c r="E7" s="19"/>
      <c r="F7" s="19"/>
      <c r="G7" s="19"/>
      <c r="H7" s="19"/>
      <c r="I7" s="20"/>
      <c r="K7" s="17"/>
      <c r="L7" s="26" t="s">
        <v>53</v>
      </c>
      <c r="M7" s="27" t="s">
        <v>54</v>
      </c>
      <c r="N7" s="26" t="s">
        <v>55</v>
      </c>
      <c r="O7" s="26" t="s">
        <v>56</v>
      </c>
      <c r="P7" s="19"/>
      <c r="Q7" s="19"/>
      <c r="R7" s="19"/>
      <c r="S7" s="20"/>
      <c r="U7" s="17"/>
      <c r="V7" s="19" t="s">
        <v>40</v>
      </c>
      <c r="W7" s="16"/>
      <c r="X7" s="19" t="s">
        <v>57</v>
      </c>
      <c r="Y7" s="19"/>
      <c r="Z7" s="19"/>
      <c r="AA7" s="19"/>
      <c r="AB7" s="19"/>
      <c r="AC7" s="20"/>
      <c r="AE7" s="17"/>
      <c r="AF7" s="19" t="s">
        <v>47</v>
      </c>
      <c r="AG7" s="19" t="s">
        <v>50</v>
      </c>
      <c r="AH7" s="25"/>
      <c r="AI7" s="19"/>
      <c r="AJ7" s="19"/>
      <c r="AK7" s="19"/>
      <c r="AL7" s="19"/>
      <c r="AM7" s="20"/>
    </row>
    <row r="8" spans="1:39" x14ac:dyDescent="0.2">
      <c r="A8" s="17"/>
      <c r="B8" s="19"/>
      <c r="C8" s="19" t="s">
        <v>58</v>
      </c>
      <c r="D8" s="19"/>
      <c r="E8" s="19"/>
      <c r="F8" s="19"/>
      <c r="G8" s="19"/>
      <c r="H8" s="19"/>
      <c r="I8" s="20"/>
      <c r="K8" s="17"/>
      <c r="L8" s="19">
        <v>1980</v>
      </c>
      <c r="M8" s="19">
        <v>89</v>
      </c>
      <c r="N8" s="19"/>
      <c r="O8" s="19">
        <f t="shared" ref="O8:O38" si="0">M8</f>
        <v>89</v>
      </c>
      <c r="P8" s="19"/>
      <c r="Q8" s="19"/>
      <c r="R8" s="19"/>
      <c r="S8" s="20"/>
      <c r="U8" s="17"/>
      <c r="V8" s="19"/>
      <c r="W8" s="19"/>
      <c r="X8" s="19"/>
      <c r="Y8" s="19"/>
      <c r="Z8" s="19"/>
      <c r="AA8" s="19"/>
      <c r="AB8" s="19"/>
      <c r="AC8" s="20"/>
      <c r="AE8" s="17"/>
      <c r="AF8" s="18" t="s">
        <v>53</v>
      </c>
      <c r="AG8" s="18" t="s">
        <v>59</v>
      </c>
      <c r="AH8" s="18"/>
      <c r="AI8" s="18"/>
      <c r="AJ8" s="19"/>
      <c r="AK8" s="19"/>
      <c r="AL8" s="19"/>
      <c r="AM8" s="20"/>
    </row>
    <row r="9" spans="1:39" x14ac:dyDescent="0.2">
      <c r="A9" s="17"/>
      <c r="B9" s="19"/>
      <c r="C9" s="19" t="s">
        <v>60</v>
      </c>
      <c r="D9" s="19"/>
      <c r="E9" s="19"/>
      <c r="F9" s="19"/>
      <c r="G9" s="19"/>
      <c r="H9" s="19"/>
      <c r="I9" s="20"/>
      <c r="K9" s="17"/>
      <c r="L9" s="19">
        <v>1981</v>
      </c>
      <c r="M9" s="19">
        <v>98.4</v>
      </c>
      <c r="N9" s="19"/>
      <c r="O9" s="19">
        <f t="shared" si="0"/>
        <v>98.4</v>
      </c>
      <c r="P9" s="19"/>
      <c r="Q9" s="19"/>
      <c r="R9" s="19"/>
      <c r="S9" s="20"/>
      <c r="U9" s="17"/>
      <c r="V9" s="19" t="s">
        <v>47</v>
      </c>
      <c r="W9" s="19" t="s">
        <v>48</v>
      </c>
      <c r="X9" s="25" t="s">
        <v>49</v>
      </c>
      <c r="Y9" s="19" t="s">
        <v>50</v>
      </c>
      <c r="Z9" s="19"/>
      <c r="AA9" s="19"/>
      <c r="AB9" s="19"/>
      <c r="AC9" s="20"/>
      <c r="AE9" s="17"/>
      <c r="AF9" s="25">
        <v>2001</v>
      </c>
      <c r="AG9" s="25">
        <v>5.2427939752839405</v>
      </c>
      <c r="AH9" s="19"/>
      <c r="AI9" s="19"/>
      <c r="AJ9" s="19"/>
      <c r="AK9" s="19"/>
      <c r="AL9" s="19"/>
      <c r="AM9" s="20"/>
    </row>
    <row r="10" spans="1:39" x14ac:dyDescent="0.2">
      <c r="A10" s="17"/>
      <c r="B10" s="19"/>
      <c r="C10" s="19" t="s">
        <v>61</v>
      </c>
      <c r="D10" s="19"/>
      <c r="E10" s="19"/>
      <c r="F10" s="19"/>
      <c r="G10" s="19"/>
      <c r="H10" s="19"/>
      <c r="I10" s="20"/>
      <c r="K10" s="17"/>
      <c r="L10" s="19">
        <v>1982</v>
      </c>
      <c r="M10" s="19">
        <v>100</v>
      </c>
      <c r="N10" s="19"/>
      <c r="O10" s="19">
        <f t="shared" si="0"/>
        <v>100</v>
      </c>
      <c r="P10" s="19"/>
      <c r="Q10" s="19"/>
      <c r="R10" s="19"/>
      <c r="S10" s="20"/>
      <c r="U10" s="17"/>
      <c r="V10" s="18" t="s">
        <v>53</v>
      </c>
      <c r="W10" s="18" t="s">
        <v>62</v>
      </c>
      <c r="X10" s="18" t="s">
        <v>55</v>
      </c>
      <c r="Y10" s="18" t="s">
        <v>56</v>
      </c>
      <c r="Z10" s="19"/>
      <c r="AA10" s="19"/>
      <c r="AB10" s="19"/>
      <c r="AC10" s="20"/>
      <c r="AE10" s="17"/>
      <c r="AF10" s="25">
        <v>2002</v>
      </c>
      <c r="AG10" s="25">
        <v>3.5592621871556651</v>
      </c>
      <c r="AH10" s="19"/>
      <c r="AI10" s="19"/>
      <c r="AJ10" s="19"/>
      <c r="AK10" s="19"/>
      <c r="AL10" s="19"/>
      <c r="AM10" s="20"/>
    </row>
    <row r="11" spans="1:39" x14ac:dyDescent="0.2">
      <c r="A11" s="17"/>
      <c r="B11" s="19"/>
      <c r="C11" s="19" t="s">
        <v>40</v>
      </c>
      <c r="D11" s="19" t="s">
        <v>63</v>
      </c>
      <c r="E11" s="19"/>
      <c r="F11" s="19"/>
      <c r="G11" s="19"/>
      <c r="H11" s="19"/>
      <c r="I11" s="20"/>
      <c r="K11" s="17"/>
      <c r="L11" s="19">
        <v>1983</v>
      </c>
      <c r="M11" s="19">
        <v>100.3</v>
      </c>
      <c r="N11" s="19"/>
      <c r="O11" s="19">
        <f t="shared" si="0"/>
        <v>100.3</v>
      </c>
      <c r="P11" s="19"/>
      <c r="Q11" s="19"/>
      <c r="R11" s="19"/>
      <c r="S11" s="20"/>
      <c r="U11" s="17"/>
      <c r="V11" s="19">
        <v>1980</v>
      </c>
      <c r="W11" s="19"/>
      <c r="X11" s="19"/>
      <c r="Y11" s="19">
        <f t="shared" ref="Y11:Y19" si="1">X11</f>
        <v>0</v>
      </c>
      <c r="Z11" s="19"/>
      <c r="AA11" s="19"/>
      <c r="AB11" s="19"/>
      <c r="AC11" s="20"/>
      <c r="AE11" s="17"/>
      <c r="AF11" s="25">
        <v>2003</v>
      </c>
      <c r="AG11" s="25">
        <v>3.9885169434713683</v>
      </c>
      <c r="AH11" s="19"/>
      <c r="AI11" s="19"/>
      <c r="AJ11" s="19"/>
      <c r="AK11" s="19"/>
      <c r="AL11" s="19"/>
      <c r="AM11" s="20"/>
    </row>
    <row r="12" spans="1:39" x14ac:dyDescent="0.2">
      <c r="A12" s="17"/>
      <c r="B12" s="19"/>
      <c r="C12" s="19"/>
      <c r="D12" s="19"/>
      <c r="E12" s="19"/>
      <c r="F12" s="19"/>
      <c r="G12" s="19"/>
      <c r="H12" s="19"/>
      <c r="I12" s="20"/>
      <c r="K12" s="17"/>
      <c r="L12" s="19">
        <v>1984</v>
      </c>
      <c r="M12" s="19">
        <v>102.9</v>
      </c>
      <c r="N12" s="19"/>
      <c r="O12" s="19">
        <f t="shared" si="0"/>
        <v>102.9</v>
      </c>
      <c r="P12" s="19"/>
      <c r="Q12" s="19"/>
      <c r="R12" s="19"/>
      <c r="S12" s="20"/>
      <c r="U12" s="17"/>
      <c r="V12" s="19">
        <v>1981</v>
      </c>
      <c r="W12" s="19"/>
      <c r="X12" s="19"/>
      <c r="Y12" s="19">
        <f t="shared" si="1"/>
        <v>0</v>
      </c>
      <c r="Z12" s="19"/>
      <c r="AA12" s="19"/>
      <c r="AB12" s="19"/>
      <c r="AC12" s="20"/>
      <c r="AE12" s="17"/>
      <c r="AF12" s="25">
        <v>2004</v>
      </c>
      <c r="AG12" s="25">
        <v>3.8938501755663566</v>
      </c>
      <c r="AH12" s="19"/>
      <c r="AI12" s="19"/>
      <c r="AJ12" s="19"/>
      <c r="AK12" s="19"/>
      <c r="AL12" s="19"/>
      <c r="AM12" s="20"/>
    </row>
    <row r="13" spans="1:39" x14ac:dyDescent="0.2">
      <c r="A13" s="17"/>
      <c r="B13" s="19" t="s">
        <v>47</v>
      </c>
      <c r="C13" s="19" t="s">
        <v>48</v>
      </c>
      <c r="D13" s="25" t="s">
        <v>49</v>
      </c>
      <c r="E13" s="19" t="s">
        <v>50</v>
      </c>
      <c r="F13" s="19"/>
      <c r="G13" s="19"/>
      <c r="H13" s="19"/>
      <c r="I13" s="20"/>
      <c r="K13" s="17"/>
      <c r="L13" s="19">
        <v>1985</v>
      </c>
      <c r="M13" s="19">
        <v>103.7</v>
      </c>
      <c r="N13" s="19"/>
      <c r="O13" s="19">
        <f t="shared" si="0"/>
        <v>103.7</v>
      </c>
      <c r="P13" s="19"/>
      <c r="Q13" s="19"/>
      <c r="R13" s="19"/>
      <c r="S13" s="20"/>
      <c r="U13" s="17"/>
      <c r="V13" s="19">
        <v>1982</v>
      </c>
      <c r="W13" s="19"/>
      <c r="X13" s="19"/>
      <c r="Y13" s="19">
        <f t="shared" si="1"/>
        <v>0</v>
      </c>
      <c r="Z13" s="19"/>
      <c r="AA13" s="19"/>
      <c r="AB13" s="19"/>
      <c r="AC13" s="20"/>
      <c r="AE13" s="17"/>
      <c r="AF13" s="25">
        <v>2005</v>
      </c>
      <c r="AG13" s="25">
        <v>5.0101225725184086</v>
      </c>
      <c r="AH13" s="19"/>
      <c r="AI13" s="19"/>
      <c r="AJ13" s="19"/>
      <c r="AK13" s="19"/>
      <c r="AL13" s="19"/>
      <c r="AM13" s="20"/>
    </row>
    <row r="14" spans="1:39" x14ac:dyDescent="0.2">
      <c r="A14" s="28" t="s">
        <v>64</v>
      </c>
      <c r="B14" s="26" t="s">
        <v>53</v>
      </c>
      <c r="C14" s="26" t="s">
        <v>65</v>
      </c>
      <c r="D14" s="26" t="s">
        <v>55</v>
      </c>
      <c r="E14" s="26" t="s">
        <v>56</v>
      </c>
      <c r="F14" s="19"/>
      <c r="G14" s="19"/>
      <c r="H14" s="19"/>
      <c r="I14" s="20"/>
      <c r="K14" s="17"/>
      <c r="L14" s="19">
        <v>1986</v>
      </c>
      <c r="M14" s="19">
        <v>102.6</v>
      </c>
      <c r="N14" s="19"/>
      <c r="O14" s="19">
        <f t="shared" si="0"/>
        <v>102.6</v>
      </c>
      <c r="P14" s="19"/>
      <c r="Q14" s="19"/>
      <c r="R14" s="19"/>
      <c r="S14" s="20"/>
      <c r="U14" s="17"/>
      <c r="V14" s="19">
        <v>1983</v>
      </c>
      <c r="W14" s="19"/>
      <c r="X14" s="19"/>
      <c r="Y14" s="19">
        <f t="shared" si="1"/>
        <v>0</v>
      </c>
      <c r="Z14" s="19"/>
      <c r="AA14" s="19"/>
      <c r="AB14" s="19"/>
      <c r="AC14" s="20"/>
      <c r="AE14" s="17"/>
      <c r="AF14" s="25">
        <v>2006</v>
      </c>
      <c r="AG14" s="25">
        <v>5.29863621054115</v>
      </c>
      <c r="AH14" s="19"/>
      <c r="AI14" s="19"/>
      <c r="AJ14" s="19"/>
      <c r="AK14" s="19"/>
      <c r="AL14" s="19"/>
      <c r="AM14" s="20"/>
    </row>
    <row r="15" spans="1:39" x14ac:dyDescent="0.2">
      <c r="A15" s="29" t="s">
        <v>66</v>
      </c>
      <c r="B15" s="25">
        <v>1981</v>
      </c>
      <c r="C15" s="25">
        <v>297</v>
      </c>
      <c r="D15" s="19"/>
      <c r="E15" s="19">
        <v>297</v>
      </c>
      <c r="F15" s="19"/>
      <c r="G15" s="19"/>
      <c r="H15" s="19"/>
      <c r="I15" s="20"/>
      <c r="K15" s="17"/>
      <c r="L15" s="19">
        <v>1987</v>
      </c>
      <c r="M15" s="19">
        <v>106.4</v>
      </c>
      <c r="N15" s="19"/>
      <c r="O15" s="19">
        <f t="shared" si="0"/>
        <v>106.4</v>
      </c>
      <c r="P15" s="19"/>
      <c r="Q15" s="19"/>
      <c r="R15" s="19"/>
      <c r="S15" s="20"/>
      <c r="U15" s="17"/>
      <c r="V15" s="19">
        <v>1984</v>
      </c>
      <c r="W15" s="19"/>
      <c r="X15" s="19"/>
      <c r="Y15" s="19">
        <f t="shared" si="1"/>
        <v>0</v>
      </c>
      <c r="Z15" s="19"/>
      <c r="AA15" s="19"/>
      <c r="AB15" s="19"/>
      <c r="AC15" s="20"/>
      <c r="AE15" s="17"/>
      <c r="AF15" s="25">
        <v>2007</v>
      </c>
      <c r="AG15" s="25">
        <v>5.7167549120763459</v>
      </c>
      <c r="AH15" s="19"/>
      <c r="AI15" s="19"/>
      <c r="AJ15" s="19"/>
      <c r="AK15" s="19"/>
      <c r="AL15" s="19"/>
      <c r="AM15" s="20"/>
    </row>
    <row r="16" spans="1:39" x14ac:dyDescent="0.2">
      <c r="A16" s="17" t="s">
        <v>67</v>
      </c>
      <c r="B16" s="25">
        <v>1990</v>
      </c>
      <c r="C16" s="25">
        <v>357.6</v>
      </c>
      <c r="D16" s="19"/>
      <c r="E16" s="19">
        <f>C16</f>
        <v>357.6</v>
      </c>
      <c r="F16" s="19"/>
      <c r="G16" s="19"/>
      <c r="H16" s="19"/>
      <c r="I16" s="20"/>
      <c r="K16" s="17"/>
      <c r="L16" s="19">
        <v>1988</v>
      </c>
      <c r="M16" s="19">
        <v>116.3</v>
      </c>
      <c r="N16" s="19"/>
      <c r="O16" s="19">
        <f t="shared" si="0"/>
        <v>116.3</v>
      </c>
      <c r="P16" s="19"/>
      <c r="Q16" s="19"/>
      <c r="R16" s="19"/>
      <c r="S16" s="20"/>
      <c r="U16" s="17"/>
      <c r="V16" s="19">
        <v>1985</v>
      </c>
      <c r="W16" s="19"/>
      <c r="X16" s="19"/>
      <c r="Y16" s="19">
        <f t="shared" si="1"/>
        <v>0</v>
      </c>
      <c r="Z16" s="19"/>
      <c r="AA16" s="19"/>
      <c r="AB16" s="19"/>
      <c r="AC16" s="20"/>
      <c r="AE16" s="17"/>
      <c r="AF16" s="19">
        <v>2008</v>
      </c>
      <c r="AG16" s="19">
        <v>5.7167549120763459</v>
      </c>
      <c r="AH16" s="19"/>
      <c r="AI16" s="19"/>
      <c r="AJ16" s="19"/>
      <c r="AK16" s="19"/>
      <c r="AL16" s="19"/>
      <c r="AM16" s="20"/>
    </row>
    <row r="17" spans="1:39" x14ac:dyDescent="0.2">
      <c r="A17" s="17" t="s">
        <v>67</v>
      </c>
      <c r="B17" s="25">
        <v>1991</v>
      </c>
      <c r="C17" s="25">
        <v>361.3</v>
      </c>
      <c r="D17" s="19"/>
      <c r="E17" s="19">
        <f t="shared" ref="E17:E39" si="2">C17</f>
        <v>361.3</v>
      </c>
      <c r="F17" s="19"/>
      <c r="G17" s="19"/>
      <c r="H17" s="19"/>
      <c r="I17" s="20"/>
      <c r="K17" s="17"/>
      <c r="L17" s="19">
        <v>1989</v>
      </c>
      <c r="M17" s="19">
        <v>123</v>
      </c>
      <c r="N17" s="19"/>
      <c r="O17" s="19">
        <f t="shared" si="0"/>
        <v>123</v>
      </c>
      <c r="P17" s="19"/>
      <c r="Q17" s="19"/>
      <c r="R17" s="19"/>
      <c r="S17" s="20"/>
      <c r="U17" s="17"/>
      <c r="V17" s="19">
        <v>1986</v>
      </c>
      <c r="W17" s="19"/>
      <c r="X17" s="19"/>
      <c r="Y17" s="19">
        <f t="shared" si="1"/>
        <v>0</v>
      </c>
      <c r="Z17" s="19"/>
      <c r="AA17" s="19"/>
      <c r="AB17" s="19"/>
      <c r="AC17" s="20"/>
      <c r="AE17" s="17"/>
      <c r="AF17" s="19">
        <v>2009</v>
      </c>
      <c r="AG17" s="19">
        <v>5.7167549120763459</v>
      </c>
      <c r="AH17" s="19"/>
      <c r="AI17" s="19"/>
      <c r="AJ17" s="19"/>
      <c r="AK17" s="19"/>
      <c r="AL17" s="19"/>
      <c r="AM17" s="20"/>
    </row>
    <row r="18" spans="1:39" x14ac:dyDescent="0.2">
      <c r="A18" s="17" t="s">
        <v>67</v>
      </c>
      <c r="B18" s="25">
        <v>1992</v>
      </c>
      <c r="C18" s="25">
        <v>358.2</v>
      </c>
      <c r="D18" s="19"/>
      <c r="E18" s="19">
        <f t="shared" si="2"/>
        <v>358.2</v>
      </c>
      <c r="F18" s="19"/>
      <c r="G18" s="19"/>
      <c r="H18" s="19"/>
      <c r="I18" s="20"/>
      <c r="K18" s="17"/>
      <c r="L18" s="19">
        <v>1990</v>
      </c>
      <c r="M18" s="19">
        <v>123.6</v>
      </c>
      <c r="N18" s="19"/>
      <c r="O18" s="19">
        <f t="shared" si="0"/>
        <v>123.6</v>
      </c>
      <c r="P18" s="19"/>
      <c r="Q18" s="19"/>
      <c r="R18" s="19"/>
      <c r="S18" s="20"/>
      <c r="U18" s="17"/>
      <c r="V18" s="19">
        <v>1987</v>
      </c>
      <c r="W18" s="19"/>
      <c r="X18" s="19"/>
      <c r="Y18" s="19">
        <f t="shared" si="1"/>
        <v>0</v>
      </c>
      <c r="Z18" s="19"/>
      <c r="AA18" s="19"/>
      <c r="AB18" s="19"/>
      <c r="AC18" s="20"/>
      <c r="AE18" s="17"/>
      <c r="AF18" s="19">
        <v>2010</v>
      </c>
      <c r="AG18" s="19">
        <v>5.7167549120763459</v>
      </c>
      <c r="AH18" s="19"/>
      <c r="AI18" s="19"/>
      <c r="AJ18" s="19"/>
      <c r="AK18" s="19"/>
      <c r="AL18" s="19"/>
      <c r="AM18" s="20"/>
    </row>
    <row r="19" spans="1:39" x14ac:dyDescent="0.2">
      <c r="A19" s="17" t="s">
        <v>67</v>
      </c>
      <c r="B19" s="25">
        <v>1993</v>
      </c>
      <c r="C19" s="25">
        <v>359.2</v>
      </c>
      <c r="D19" s="19"/>
      <c r="E19" s="19">
        <f t="shared" si="2"/>
        <v>359.2</v>
      </c>
      <c r="F19" s="19"/>
      <c r="G19" s="19"/>
      <c r="H19" s="19"/>
      <c r="I19" s="20"/>
      <c r="K19" s="17"/>
      <c r="L19" s="19">
        <v>1991</v>
      </c>
      <c r="M19" s="19">
        <v>125.6</v>
      </c>
      <c r="N19" s="19"/>
      <c r="O19" s="19">
        <f t="shared" si="0"/>
        <v>125.6</v>
      </c>
      <c r="P19" s="19"/>
      <c r="Q19" s="19"/>
      <c r="R19" s="19"/>
      <c r="S19" s="20"/>
      <c r="U19" s="17"/>
      <c r="V19" s="19">
        <v>1988</v>
      </c>
      <c r="W19" s="19"/>
      <c r="X19" s="19"/>
      <c r="Y19" s="19">
        <f t="shared" si="1"/>
        <v>0</v>
      </c>
      <c r="Z19" s="19"/>
      <c r="AA19" s="19"/>
      <c r="AB19" s="19"/>
      <c r="AC19" s="20"/>
      <c r="AE19" s="17"/>
      <c r="AF19" s="19">
        <v>2011</v>
      </c>
      <c r="AG19" s="19">
        <v>5.7167549120763459</v>
      </c>
      <c r="AH19" s="19"/>
      <c r="AI19" s="19"/>
      <c r="AJ19" s="19"/>
      <c r="AK19" s="19"/>
      <c r="AL19" s="19"/>
      <c r="AM19" s="20"/>
    </row>
    <row r="20" spans="1:39" x14ac:dyDescent="0.2">
      <c r="A20" s="17" t="s">
        <v>67</v>
      </c>
      <c r="B20" s="25">
        <v>1994</v>
      </c>
      <c r="C20" s="25">
        <v>368.1</v>
      </c>
      <c r="D20" s="19"/>
      <c r="E20" s="19">
        <f t="shared" si="2"/>
        <v>368.1</v>
      </c>
      <c r="F20" s="19"/>
      <c r="G20" s="19"/>
      <c r="H20" s="19"/>
      <c r="I20" s="20"/>
      <c r="K20" s="17"/>
      <c r="L20" s="19">
        <v>1992</v>
      </c>
      <c r="M20" s="19">
        <v>125.9</v>
      </c>
      <c r="N20" s="19"/>
      <c r="O20" s="19">
        <f t="shared" si="0"/>
        <v>125.9</v>
      </c>
      <c r="P20" s="19"/>
      <c r="Q20" s="19"/>
      <c r="R20" s="19"/>
      <c r="S20" s="20"/>
      <c r="U20" s="17"/>
      <c r="V20" s="19">
        <v>1989</v>
      </c>
      <c r="W20" s="19"/>
      <c r="X20" s="19"/>
      <c r="Y20" s="19">
        <f>X20</f>
        <v>0</v>
      </c>
      <c r="Z20" s="19"/>
      <c r="AA20" s="19"/>
      <c r="AB20" s="19"/>
      <c r="AC20" s="20"/>
      <c r="AE20" s="17"/>
      <c r="AF20" s="19">
        <v>2012</v>
      </c>
      <c r="AG20" s="19">
        <v>5.7167549120763459</v>
      </c>
      <c r="AH20" s="19"/>
      <c r="AI20" s="19"/>
      <c r="AJ20" s="19"/>
      <c r="AK20" s="19"/>
      <c r="AL20" s="19"/>
      <c r="AM20" s="20"/>
    </row>
    <row r="21" spans="1:39" x14ac:dyDescent="0.2">
      <c r="A21" s="17" t="s">
        <v>67</v>
      </c>
      <c r="B21" s="30">
        <v>1995</v>
      </c>
      <c r="C21" s="30">
        <v>381.1</v>
      </c>
      <c r="D21" s="19">
        <f t="shared" ref="D21:D27" si="3">(B21*$B$49)+$C$49</f>
        <v>381.32500000000073</v>
      </c>
      <c r="E21" s="19">
        <f t="shared" si="2"/>
        <v>381.1</v>
      </c>
      <c r="F21" s="19"/>
      <c r="G21" s="19"/>
      <c r="H21" s="19"/>
      <c r="I21" s="20"/>
      <c r="K21" s="17"/>
      <c r="L21" s="19">
        <v>1993</v>
      </c>
      <c r="M21" s="19">
        <v>128.19999999999999</v>
      </c>
      <c r="N21" s="19"/>
      <c r="O21" s="19">
        <f t="shared" si="0"/>
        <v>128.19999999999999</v>
      </c>
      <c r="P21" s="19"/>
      <c r="Q21" s="19"/>
      <c r="R21" s="19"/>
      <c r="S21" s="20"/>
      <c r="U21" s="17"/>
      <c r="V21" s="19">
        <v>1990</v>
      </c>
      <c r="W21" s="19">
        <v>12.85</v>
      </c>
      <c r="X21" s="19"/>
      <c r="Y21" s="19">
        <f t="shared" ref="Y21:Y42" si="4">W21</f>
        <v>12.85</v>
      </c>
      <c r="Z21" s="19"/>
      <c r="AA21" s="19"/>
      <c r="AB21" s="19"/>
      <c r="AC21" s="20"/>
      <c r="AE21" s="17"/>
      <c r="AF21" s="19">
        <v>2013</v>
      </c>
      <c r="AG21" s="19">
        <v>5.7167549120763459</v>
      </c>
      <c r="AH21" s="19"/>
      <c r="AI21" s="19"/>
      <c r="AJ21" s="19"/>
      <c r="AK21" s="19"/>
      <c r="AL21" s="19"/>
      <c r="AM21" s="20"/>
    </row>
    <row r="22" spans="1:39" x14ac:dyDescent="0.2">
      <c r="A22" s="17" t="s">
        <v>67</v>
      </c>
      <c r="B22" s="30">
        <v>1996</v>
      </c>
      <c r="C22" s="30">
        <v>381.7</v>
      </c>
      <c r="D22" s="19">
        <f t="shared" si="3"/>
        <v>383.56785714285797</v>
      </c>
      <c r="E22" s="19">
        <f t="shared" si="2"/>
        <v>381.7</v>
      </c>
      <c r="F22" s="19"/>
      <c r="G22" s="19"/>
      <c r="H22" s="19"/>
      <c r="I22" s="20"/>
      <c r="K22" s="17"/>
      <c r="L22" s="19">
        <v>1994</v>
      </c>
      <c r="M22" s="19">
        <v>132.1</v>
      </c>
      <c r="N22" s="19"/>
      <c r="O22" s="19">
        <f t="shared" si="0"/>
        <v>132.1</v>
      </c>
      <c r="P22" s="19"/>
      <c r="Q22" s="19"/>
      <c r="R22" s="19"/>
      <c r="S22" s="20"/>
      <c r="U22" s="17"/>
      <c r="V22" s="19">
        <v>1991</v>
      </c>
      <c r="W22" s="19">
        <v>13.3</v>
      </c>
      <c r="X22" s="19"/>
      <c r="Y22" s="19">
        <f t="shared" si="4"/>
        <v>13.3</v>
      </c>
      <c r="Z22" s="19"/>
      <c r="AA22" s="19"/>
      <c r="AB22" s="19"/>
      <c r="AC22" s="20"/>
      <c r="AE22" s="17"/>
      <c r="AF22" s="19">
        <v>2014</v>
      </c>
      <c r="AG22" s="19">
        <v>5.7167549120763459</v>
      </c>
      <c r="AH22" s="19"/>
      <c r="AI22" s="19"/>
      <c r="AJ22" s="19"/>
      <c r="AK22" s="19"/>
      <c r="AL22" s="19"/>
      <c r="AM22" s="20"/>
    </row>
    <row r="23" spans="1:39" x14ac:dyDescent="0.2">
      <c r="A23" s="17" t="s">
        <v>68</v>
      </c>
      <c r="B23" s="30">
        <v>1997</v>
      </c>
      <c r="C23" s="30">
        <v>386.5</v>
      </c>
      <c r="D23" s="19">
        <f t="shared" si="3"/>
        <v>385.81071428571522</v>
      </c>
      <c r="E23" s="19">
        <f t="shared" si="2"/>
        <v>386.5</v>
      </c>
      <c r="F23" s="19"/>
      <c r="G23" s="19"/>
      <c r="H23" s="19"/>
      <c r="I23" s="20"/>
      <c r="K23" s="17"/>
      <c r="L23" s="19">
        <v>1995</v>
      </c>
      <c r="M23" s="19">
        <v>139.5</v>
      </c>
      <c r="N23" s="19"/>
      <c r="O23" s="19">
        <f t="shared" si="0"/>
        <v>139.5</v>
      </c>
      <c r="P23" s="19"/>
      <c r="Q23" s="19"/>
      <c r="R23" s="19"/>
      <c r="S23" s="20"/>
      <c r="U23" s="17"/>
      <c r="V23" s="19">
        <v>1992</v>
      </c>
      <c r="W23" s="19">
        <v>13.7</v>
      </c>
      <c r="X23" s="19"/>
      <c r="Y23" s="19">
        <f t="shared" si="4"/>
        <v>13.7</v>
      </c>
      <c r="Z23" s="19"/>
      <c r="AA23" s="19"/>
      <c r="AB23" s="19"/>
      <c r="AC23" s="20"/>
      <c r="AE23" s="17"/>
      <c r="AF23" s="19">
        <v>2015</v>
      </c>
      <c r="AG23" s="19">
        <v>5.7167549120763459</v>
      </c>
      <c r="AH23" s="19"/>
      <c r="AI23" s="19"/>
      <c r="AJ23" s="19"/>
      <c r="AK23" s="19"/>
      <c r="AL23" s="19"/>
      <c r="AM23" s="20"/>
    </row>
    <row r="24" spans="1:39" x14ac:dyDescent="0.2">
      <c r="A24" s="17" t="s">
        <v>68</v>
      </c>
      <c r="B24" s="30">
        <v>1998</v>
      </c>
      <c r="C24" s="30">
        <v>389.5</v>
      </c>
      <c r="D24" s="19">
        <f t="shared" si="3"/>
        <v>388.05357142857247</v>
      </c>
      <c r="E24" s="19">
        <f t="shared" si="2"/>
        <v>389.5</v>
      </c>
      <c r="F24" s="19"/>
      <c r="G24" s="19"/>
      <c r="H24" s="19"/>
      <c r="I24" s="20"/>
      <c r="K24" s="17"/>
      <c r="L24" s="19">
        <v>1996</v>
      </c>
      <c r="M24" s="19">
        <v>142.1</v>
      </c>
      <c r="N24" s="19"/>
      <c r="O24" s="19">
        <f t="shared" si="0"/>
        <v>142.1</v>
      </c>
      <c r="P24" s="19"/>
      <c r="Q24" s="19"/>
      <c r="R24" s="19"/>
      <c r="S24" s="20"/>
      <c r="U24" s="17"/>
      <c r="V24" s="19">
        <v>1993</v>
      </c>
      <c r="W24" s="19">
        <v>13.97</v>
      </c>
      <c r="X24" s="19"/>
      <c r="Y24" s="19">
        <f t="shared" si="4"/>
        <v>13.97</v>
      </c>
      <c r="Z24" s="19"/>
      <c r="AA24" s="19"/>
      <c r="AB24" s="19"/>
      <c r="AC24" s="20"/>
      <c r="AE24" s="17"/>
      <c r="AF24" s="19"/>
      <c r="AG24" s="19"/>
      <c r="AH24" s="19"/>
      <c r="AI24" s="19"/>
      <c r="AJ24" s="19"/>
      <c r="AK24" s="19"/>
      <c r="AL24" s="19"/>
      <c r="AM24" s="20"/>
    </row>
    <row r="25" spans="1:39" x14ac:dyDescent="0.2">
      <c r="A25" s="17" t="s">
        <v>69</v>
      </c>
      <c r="B25" s="30">
        <v>1999</v>
      </c>
      <c r="C25" s="30">
        <v>390.6</v>
      </c>
      <c r="D25" s="19">
        <f t="shared" si="3"/>
        <v>390.29642857142881</v>
      </c>
      <c r="E25" s="19">
        <f t="shared" si="2"/>
        <v>390.6</v>
      </c>
      <c r="F25" s="19"/>
      <c r="G25" s="19"/>
      <c r="H25" s="19"/>
      <c r="I25" s="20"/>
      <c r="K25" s="17"/>
      <c r="L25" s="19">
        <v>1997</v>
      </c>
      <c r="M25" s="19">
        <v>147.1</v>
      </c>
      <c r="N25" s="19"/>
      <c r="O25" s="19">
        <f t="shared" si="0"/>
        <v>147.1</v>
      </c>
      <c r="P25" s="19"/>
      <c r="Q25" s="19"/>
      <c r="R25" s="19"/>
      <c r="S25" s="20"/>
      <c r="U25" s="17"/>
      <c r="V25" s="19">
        <v>1994</v>
      </c>
      <c r="W25" s="19">
        <v>14.33</v>
      </c>
      <c r="X25" s="19"/>
      <c r="Y25" s="19">
        <f t="shared" si="4"/>
        <v>14.33</v>
      </c>
      <c r="Z25" s="19"/>
      <c r="AA25" s="19"/>
      <c r="AB25" s="19"/>
      <c r="AC25" s="20"/>
      <c r="AE25" s="17"/>
      <c r="AF25" s="19"/>
      <c r="AG25" s="19"/>
      <c r="AH25" s="19"/>
      <c r="AI25" s="19"/>
      <c r="AJ25" s="19"/>
      <c r="AK25" s="19"/>
      <c r="AL25" s="19"/>
      <c r="AM25" s="20"/>
    </row>
    <row r="26" spans="1:39" x14ac:dyDescent="0.2">
      <c r="A26" s="17" t="s">
        <v>70</v>
      </c>
      <c r="B26" s="30">
        <v>2000</v>
      </c>
      <c r="C26" s="30">
        <v>394.1</v>
      </c>
      <c r="D26" s="19">
        <f t="shared" si="3"/>
        <v>392.53928571428605</v>
      </c>
      <c r="E26" s="19">
        <f t="shared" si="2"/>
        <v>394.1</v>
      </c>
      <c r="F26" s="19"/>
      <c r="G26" s="19"/>
      <c r="H26" s="19"/>
      <c r="I26" s="20"/>
      <c r="K26" s="17"/>
      <c r="L26" s="19">
        <v>1998</v>
      </c>
      <c r="M26" s="19">
        <v>148.69999999999999</v>
      </c>
      <c r="N26" s="19"/>
      <c r="O26" s="19">
        <f t="shared" si="0"/>
        <v>148.69999999999999</v>
      </c>
      <c r="P26" s="19"/>
      <c r="Q26" s="19"/>
      <c r="R26" s="19"/>
      <c r="S26" s="20"/>
      <c r="U26" s="17"/>
      <c r="V26" s="19">
        <v>1995</v>
      </c>
      <c r="W26" s="19">
        <v>14.86</v>
      </c>
      <c r="X26" s="19"/>
      <c r="Y26" s="19">
        <f t="shared" si="4"/>
        <v>14.86</v>
      </c>
      <c r="Z26" s="19"/>
      <c r="AA26" s="19"/>
      <c r="AB26" s="19"/>
      <c r="AC26" s="20"/>
      <c r="AE26" s="17"/>
      <c r="AF26" s="19"/>
      <c r="AG26" s="19"/>
      <c r="AH26" s="19"/>
      <c r="AI26" s="19"/>
      <c r="AJ26" s="19"/>
      <c r="AK26" s="19"/>
      <c r="AL26" s="19"/>
      <c r="AM26" s="20"/>
    </row>
    <row r="27" spans="1:39" x14ac:dyDescent="0.2">
      <c r="A27" s="17" t="s">
        <v>71</v>
      </c>
      <c r="B27" s="30">
        <v>2001</v>
      </c>
      <c r="C27" s="30">
        <v>394.3</v>
      </c>
      <c r="D27" s="19">
        <f t="shared" si="3"/>
        <v>394.7821428571433</v>
      </c>
      <c r="E27" s="19">
        <f t="shared" si="2"/>
        <v>394.3</v>
      </c>
      <c r="F27" s="19"/>
      <c r="G27" s="19"/>
      <c r="H27" s="19"/>
      <c r="I27" s="20"/>
      <c r="K27" s="17"/>
      <c r="L27" s="19">
        <v>1999</v>
      </c>
      <c r="M27" s="19">
        <v>149.69999999999999</v>
      </c>
      <c r="N27" s="19"/>
      <c r="O27" s="19">
        <f t="shared" si="0"/>
        <v>149.69999999999999</v>
      </c>
      <c r="P27" s="19"/>
      <c r="Q27" s="19"/>
      <c r="R27" s="19"/>
      <c r="S27" s="20"/>
      <c r="U27" s="17"/>
      <c r="V27" s="19">
        <v>1996</v>
      </c>
      <c r="W27" s="19">
        <v>15.37</v>
      </c>
      <c r="X27" s="19"/>
      <c r="Y27" s="19">
        <f t="shared" si="4"/>
        <v>15.37</v>
      </c>
      <c r="Z27" s="19"/>
      <c r="AA27" s="19"/>
      <c r="AB27" s="19"/>
      <c r="AC27" s="20"/>
      <c r="AE27" s="17"/>
      <c r="AF27" s="19"/>
      <c r="AG27" s="19"/>
      <c r="AH27" s="19"/>
      <c r="AI27" s="19"/>
      <c r="AJ27" s="19"/>
      <c r="AK27" s="19"/>
      <c r="AL27" s="19"/>
      <c r="AM27" s="20"/>
    </row>
    <row r="28" spans="1:39" x14ac:dyDescent="0.2">
      <c r="A28" s="17" t="s">
        <v>71</v>
      </c>
      <c r="B28" s="30">
        <v>2002</v>
      </c>
      <c r="C28" s="30">
        <v>395.6</v>
      </c>
      <c r="D28" s="19"/>
      <c r="E28" s="19">
        <f t="shared" si="2"/>
        <v>395.6</v>
      </c>
      <c r="F28" s="19"/>
      <c r="G28" s="19"/>
      <c r="H28" s="19"/>
      <c r="I28" s="20"/>
      <c r="K28" s="17"/>
      <c r="L28" s="19">
        <v>2000</v>
      </c>
      <c r="M28" s="19">
        <v>156.69999999999999</v>
      </c>
      <c r="N28" s="19"/>
      <c r="O28" s="19">
        <f t="shared" si="0"/>
        <v>156.69999999999999</v>
      </c>
      <c r="P28" s="19"/>
      <c r="Q28" s="19"/>
      <c r="R28" s="19"/>
      <c r="S28" s="20"/>
      <c r="U28" s="17"/>
      <c r="V28" s="19">
        <v>1997</v>
      </c>
      <c r="W28" s="19">
        <v>15.78</v>
      </c>
      <c r="X28" s="19"/>
      <c r="Y28" s="19">
        <f t="shared" si="4"/>
        <v>15.78</v>
      </c>
      <c r="Z28" s="19"/>
      <c r="AA28" s="19"/>
      <c r="AB28" s="19"/>
      <c r="AC28" s="20"/>
      <c r="AE28" s="17"/>
      <c r="AF28" s="19"/>
      <c r="AG28" s="19"/>
      <c r="AH28" s="19"/>
      <c r="AI28" s="19"/>
      <c r="AJ28" s="19"/>
      <c r="AK28" s="19"/>
      <c r="AL28" s="19"/>
      <c r="AM28" s="20"/>
    </row>
    <row r="29" spans="1:39" x14ac:dyDescent="0.2">
      <c r="A29" s="17" t="s">
        <v>72</v>
      </c>
      <c r="B29" s="25">
        <v>2003</v>
      </c>
      <c r="C29" s="25">
        <v>402</v>
      </c>
      <c r="D29" s="19"/>
      <c r="E29" s="19">
        <f t="shared" si="2"/>
        <v>402</v>
      </c>
      <c r="F29" s="19"/>
      <c r="G29" s="19"/>
      <c r="H29" s="19"/>
      <c r="I29" s="20"/>
      <c r="K29" s="17"/>
      <c r="L29" s="19">
        <v>2001</v>
      </c>
      <c r="M29" s="19">
        <v>158.4</v>
      </c>
      <c r="N29" s="19"/>
      <c r="O29" s="19">
        <f t="shared" si="0"/>
        <v>158.4</v>
      </c>
      <c r="P29" s="19"/>
      <c r="Q29" s="19"/>
      <c r="R29" s="19"/>
      <c r="S29" s="20"/>
      <c r="U29" s="17"/>
      <c r="V29" s="19">
        <v>1998</v>
      </c>
      <c r="W29" s="19">
        <v>16.23</v>
      </c>
      <c r="X29" s="19"/>
      <c r="Y29" s="19">
        <f t="shared" si="4"/>
        <v>16.23</v>
      </c>
      <c r="Z29" s="19"/>
      <c r="AA29" s="19"/>
      <c r="AB29" s="19"/>
      <c r="AC29" s="20"/>
      <c r="AE29" s="17"/>
      <c r="AF29" s="19"/>
      <c r="AG29" s="19"/>
      <c r="AH29" s="19"/>
      <c r="AI29" s="19"/>
      <c r="AJ29" s="19"/>
      <c r="AK29" s="19"/>
      <c r="AL29" s="19"/>
      <c r="AM29" s="20"/>
    </row>
    <row r="30" spans="1:39" x14ac:dyDescent="0.2">
      <c r="A30" s="17" t="s">
        <v>72</v>
      </c>
      <c r="B30" s="25">
        <v>2004</v>
      </c>
      <c r="C30" s="25">
        <v>444.2</v>
      </c>
      <c r="D30" s="19"/>
      <c r="E30" s="19">
        <f t="shared" si="2"/>
        <v>444.2</v>
      </c>
      <c r="F30" s="19"/>
      <c r="G30" s="19"/>
      <c r="H30" s="19"/>
      <c r="I30" s="20"/>
      <c r="K30" s="17"/>
      <c r="L30" s="30">
        <v>2002</v>
      </c>
      <c r="M30" s="30">
        <v>157.30000000000001</v>
      </c>
      <c r="N30" s="19">
        <f t="shared" ref="N30:N43" si="5">(L30*$L$49)+$M$49</f>
        <v>155.42545454545325</v>
      </c>
      <c r="O30" s="19">
        <f t="shared" si="0"/>
        <v>157.30000000000001</v>
      </c>
      <c r="P30" s="19"/>
      <c r="Q30" s="19"/>
      <c r="R30" s="19"/>
      <c r="S30" s="20"/>
      <c r="U30" s="17"/>
      <c r="V30" s="19">
        <v>1999</v>
      </c>
      <c r="W30" s="19">
        <v>16.399999999999999</v>
      </c>
      <c r="X30" s="19"/>
      <c r="Y30" s="19">
        <f t="shared" si="4"/>
        <v>16.399999999999999</v>
      </c>
      <c r="Z30" s="19"/>
      <c r="AA30" s="19"/>
      <c r="AB30" s="19"/>
      <c r="AC30" s="20"/>
      <c r="AE30" s="17"/>
      <c r="AF30" s="19"/>
      <c r="AG30" s="19"/>
      <c r="AH30" s="19"/>
      <c r="AI30" s="19"/>
      <c r="AJ30" s="19"/>
      <c r="AK30" s="19"/>
      <c r="AL30" s="19"/>
      <c r="AM30" s="20"/>
    </row>
    <row r="31" spans="1:39" x14ac:dyDescent="0.2">
      <c r="A31" s="17" t="s">
        <v>72</v>
      </c>
      <c r="B31" s="25">
        <v>2005</v>
      </c>
      <c r="C31" s="25">
        <v>468.2</v>
      </c>
      <c r="D31" s="19"/>
      <c r="E31" s="19">
        <f t="shared" si="2"/>
        <v>468.2</v>
      </c>
      <c r="F31" s="19"/>
      <c r="G31" s="19"/>
      <c r="H31" s="19"/>
      <c r="I31" s="20"/>
      <c r="K31" s="17"/>
      <c r="L31" s="30">
        <v>2003</v>
      </c>
      <c r="M31" s="30">
        <v>164.6</v>
      </c>
      <c r="N31" s="19">
        <f t="shared" si="5"/>
        <v>165.73090909091115</v>
      </c>
      <c r="O31" s="19">
        <f t="shared" si="0"/>
        <v>164.6</v>
      </c>
      <c r="P31" s="19"/>
      <c r="Q31" s="19"/>
      <c r="R31" s="19"/>
      <c r="S31" s="20"/>
      <c r="U31" s="17"/>
      <c r="V31" s="19">
        <v>2000</v>
      </c>
      <c r="W31" s="19">
        <v>17.09</v>
      </c>
      <c r="X31" s="19"/>
      <c r="Y31" s="19">
        <f t="shared" si="4"/>
        <v>17.09</v>
      </c>
      <c r="Z31" s="19"/>
      <c r="AA31" s="19"/>
      <c r="AB31" s="19"/>
      <c r="AC31" s="20"/>
      <c r="AE31" s="17"/>
      <c r="AF31" s="19"/>
      <c r="AG31" s="19"/>
      <c r="AH31" s="19"/>
      <c r="AI31" s="19"/>
      <c r="AJ31" s="19"/>
      <c r="AK31" s="19"/>
      <c r="AL31" s="19"/>
      <c r="AM31" s="20"/>
    </row>
    <row r="32" spans="1:39" x14ac:dyDescent="0.2">
      <c r="A32" s="29" t="s">
        <v>73</v>
      </c>
      <c r="B32" s="25">
        <v>2006</v>
      </c>
      <c r="C32" s="25">
        <v>499.6</v>
      </c>
      <c r="D32" s="19"/>
      <c r="E32" s="19">
        <f t="shared" si="2"/>
        <v>499.6</v>
      </c>
      <c r="F32" s="19"/>
      <c r="G32" s="19"/>
      <c r="H32" s="19"/>
      <c r="I32" s="20"/>
      <c r="K32" s="17"/>
      <c r="L32" s="30">
        <v>2004</v>
      </c>
      <c r="M32" s="30">
        <v>172.8</v>
      </c>
      <c r="N32" s="19">
        <f t="shared" si="5"/>
        <v>176.03636363636542</v>
      </c>
      <c r="O32" s="19">
        <f t="shared" si="0"/>
        <v>172.8</v>
      </c>
      <c r="P32" s="19"/>
      <c r="Q32" s="19"/>
      <c r="R32" s="19"/>
      <c r="S32" s="20"/>
      <c r="U32" s="17"/>
      <c r="V32" s="19">
        <v>2001</v>
      </c>
      <c r="W32" s="19">
        <v>17.57</v>
      </c>
      <c r="X32" s="19"/>
      <c r="Y32" s="19">
        <f t="shared" si="4"/>
        <v>17.57</v>
      </c>
      <c r="Z32" s="19"/>
      <c r="AA32" s="19"/>
      <c r="AB32" s="19"/>
      <c r="AC32" s="20"/>
      <c r="AE32" s="17"/>
      <c r="AF32" s="19"/>
      <c r="AG32" s="19"/>
      <c r="AH32" s="19"/>
      <c r="AI32" s="19"/>
      <c r="AJ32" s="19"/>
      <c r="AK32" s="19"/>
      <c r="AL32" s="19"/>
      <c r="AM32" s="20"/>
    </row>
    <row r="33" spans="1:39" x14ac:dyDescent="0.2">
      <c r="A33" s="29" t="s">
        <v>73</v>
      </c>
      <c r="B33" s="25">
        <v>2007</v>
      </c>
      <c r="C33" s="25">
        <v>525.4</v>
      </c>
      <c r="D33" s="19"/>
      <c r="E33" s="19">
        <f t="shared" si="2"/>
        <v>525.4</v>
      </c>
      <c r="F33" s="19"/>
      <c r="G33" s="19"/>
      <c r="H33" s="19"/>
      <c r="I33" s="20"/>
      <c r="K33" s="17"/>
      <c r="L33" s="30">
        <v>2005</v>
      </c>
      <c r="M33" s="30">
        <v>187.3</v>
      </c>
      <c r="N33" s="19">
        <f t="shared" si="5"/>
        <v>186.34181818181969</v>
      </c>
      <c r="O33" s="19">
        <f t="shared" si="0"/>
        <v>187.3</v>
      </c>
      <c r="P33" s="19"/>
      <c r="Q33" s="19"/>
      <c r="R33" s="19"/>
      <c r="S33" s="20"/>
      <c r="U33" s="17"/>
      <c r="V33" s="19">
        <v>2002</v>
      </c>
      <c r="W33" s="19">
        <v>17.97</v>
      </c>
      <c r="X33" s="19"/>
      <c r="Y33" s="19">
        <f t="shared" si="4"/>
        <v>17.97</v>
      </c>
      <c r="Z33" s="19"/>
      <c r="AA33" s="19"/>
      <c r="AB33" s="19"/>
      <c r="AC33" s="20"/>
      <c r="AE33" s="17"/>
      <c r="AF33" s="19"/>
      <c r="AG33" s="19"/>
      <c r="AH33" s="19"/>
      <c r="AI33" s="19"/>
      <c r="AJ33" s="19"/>
      <c r="AK33" s="19"/>
      <c r="AL33" s="19"/>
      <c r="AM33" s="20"/>
    </row>
    <row r="34" spans="1:39" x14ac:dyDescent="0.2">
      <c r="A34" s="29" t="s">
        <v>73</v>
      </c>
      <c r="B34" s="25">
        <v>2008</v>
      </c>
      <c r="C34" s="25">
        <v>575.4</v>
      </c>
      <c r="D34" s="19"/>
      <c r="E34" s="19">
        <f t="shared" si="2"/>
        <v>575.4</v>
      </c>
      <c r="F34" s="19"/>
      <c r="G34" s="19"/>
      <c r="H34" s="19"/>
      <c r="I34" s="20"/>
      <c r="K34" s="17"/>
      <c r="L34" s="30">
        <v>2006</v>
      </c>
      <c r="M34" s="30">
        <v>196.8</v>
      </c>
      <c r="N34" s="19">
        <f t="shared" si="5"/>
        <v>196.64727272727396</v>
      </c>
      <c r="O34" s="19">
        <f t="shared" si="0"/>
        <v>196.8</v>
      </c>
      <c r="P34" s="19"/>
      <c r="Q34" s="19"/>
      <c r="R34" s="19"/>
      <c r="S34" s="20"/>
      <c r="U34" s="17"/>
      <c r="V34" s="19">
        <v>2003</v>
      </c>
      <c r="W34" s="19">
        <v>18.5</v>
      </c>
      <c r="X34" s="19"/>
      <c r="Y34" s="19">
        <f t="shared" si="4"/>
        <v>18.5</v>
      </c>
      <c r="Z34" s="19"/>
      <c r="AA34" s="19"/>
      <c r="AB34" s="19"/>
      <c r="AC34" s="20"/>
      <c r="AE34" s="17"/>
      <c r="AF34" s="19"/>
      <c r="AG34" s="19"/>
      <c r="AH34" s="19"/>
      <c r="AI34" s="19"/>
      <c r="AJ34" s="19"/>
      <c r="AK34" s="19"/>
      <c r="AL34" s="19"/>
      <c r="AM34" s="20"/>
    </row>
    <row r="35" spans="1:39" x14ac:dyDescent="0.2">
      <c r="A35" s="29" t="s">
        <v>73</v>
      </c>
      <c r="B35" s="25">
        <v>2009</v>
      </c>
      <c r="C35" s="25">
        <v>521.9</v>
      </c>
      <c r="D35" s="19"/>
      <c r="E35" s="19">
        <f t="shared" si="2"/>
        <v>521.9</v>
      </c>
      <c r="F35" s="19"/>
      <c r="G35" s="19"/>
      <c r="H35" s="19"/>
      <c r="I35" s="20"/>
      <c r="K35" s="17"/>
      <c r="L35" s="30">
        <v>2007</v>
      </c>
      <c r="M35" s="30">
        <v>203.3</v>
      </c>
      <c r="N35" s="19">
        <f t="shared" si="5"/>
        <v>206.95272727272823</v>
      </c>
      <c r="O35" s="25">
        <f t="shared" si="0"/>
        <v>203.3</v>
      </c>
      <c r="P35" s="25"/>
      <c r="Q35" s="25"/>
      <c r="R35" s="19"/>
      <c r="S35" s="20"/>
      <c r="U35" s="17"/>
      <c r="V35" s="30">
        <v>2004</v>
      </c>
      <c r="W35" s="30">
        <v>19.170000000000002</v>
      </c>
      <c r="X35" s="19">
        <f t="shared" ref="X35:X46" si="6">(V35*$V$49)+$W$49</f>
        <v>18.995000000000005</v>
      </c>
      <c r="Y35" s="19">
        <f t="shared" si="4"/>
        <v>19.170000000000002</v>
      </c>
      <c r="Z35" s="19"/>
      <c r="AA35" s="19"/>
      <c r="AB35" s="19"/>
      <c r="AC35" s="20"/>
      <c r="AE35" s="17"/>
      <c r="AF35" s="19"/>
      <c r="AG35" s="19"/>
      <c r="AH35" s="19"/>
      <c r="AI35" s="19"/>
      <c r="AJ35" s="19"/>
      <c r="AK35" s="19"/>
      <c r="AL35" s="19"/>
      <c r="AM35" s="20"/>
    </row>
    <row r="36" spans="1:39" x14ac:dyDescent="0.2">
      <c r="A36" s="31">
        <v>40391</v>
      </c>
      <c r="B36" s="25">
        <v>2010</v>
      </c>
      <c r="C36" s="25">
        <v>550.79999999999995</v>
      </c>
      <c r="D36" s="19"/>
      <c r="E36" s="19">
        <f t="shared" si="2"/>
        <v>550.79999999999995</v>
      </c>
      <c r="F36" s="19"/>
      <c r="G36" s="19"/>
      <c r="H36" s="19"/>
      <c r="I36" s="20"/>
      <c r="K36" s="17"/>
      <c r="L36" s="30">
        <v>2008</v>
      </c>
      <c r="M36" s="30">
        <v>228.2</v>
      </c>
      <c r="N36" s="19">
        <f t="shared" si="5"/>
        <v>217.25818181818249</v>
      </c>
      <c r="O36" s="25">
        <f t="shared" si="0"/>
        <v>228.2</v>
      </c>
      <c r="P36" s="25"/>
      <c r="Q36" s="25"/>
      <c r="R36" s="19"/>
      <c r="S36" s="20"/>
      <c r="U36" s="17"/>
      <c r="V36" s="30">
        <v>2005</v>
      </c>
      <c r="W36" s="30">
        <v>19.670000000000002</v>
      </c>
      <c r="X36" s="19">
        <f t="shared" si="6"/>
        <v>19.293571428571454</v>
      </c>
      <c r="Y36" s="19">
        <f t="shared" si="4"/>
        <v>19.670000000000002</v>
      </c>
      <c r="Z36" s="19"/>
      <c r="AA36" s="19"/>
      <c r="AB36" s="19"/>
      <c r="AC36" s="20"/>
      <c r="AE36" s="17"/>
      <c r="AF36" s="19"/>
      <c r="AG36" s="19"/>
      <c r="AH36" s="19"/>
      <c r="AI36" s="19"/>
      <c r="AJ36" s="19"/>
      <c r="AK36" s="19"/>
      <c r="AL36" s="19"/>
      <c r="AM36" s="20"/>
    </row>
    <row r="37" spans="1:39" x14ac:dyDescent="0.2">
      <c r="A37" s="17"/>
      <c r="B37" s="25">
        <v>2011</v>
      </c>
      <c r="C37" s="25">
        <v>585.70000000000005</v>
      </c>
      <c r="D37" s="19"/>
      <c r="E37" s="19">
        <f t="shared" si="2"/>
        <v>585.70000000000005</v>
      </c>
      <c r="F37" s="19"/>
      <c r="G37" s="19"/>
      <c r="H37" s="19"/>
      <c r="I37" s="20"/>
      <c r="K37" s="17"/>
      <c r="L37" s="30">
        <v>2009</v>
      </c>
      <c r="M37" s="30">
        <v>224.7</v>
      </c>
      <c r="N37" s="19">
        <f t="shared" si="5"/>
        <v>227.56363636363676</v>
      </c>
      <c r="O37" s="25">
        <f t="shared" si="0"/>
        <v>224.7</v>
      </c>
      <c r="P37" s="25"/>
      <c r="Q37" s="25"/>
      <c r="R37" s="19"/>
      <c r="S37" s="20"/>
      <c r="U37" s="17"/>
      <c r="V37" s="30">
        <v>2006</v>
      </c>
      <c r="W37" s="30">
        <v>19.600000000000001</v>
      </c>
      <c r="X37" s="19">
        <f t="shared" si="6"/>
        <v>19.592142857142903</v>
      </c>
      <c r="Y37" s="19">
        <f t="shared" si="4"/>
        <v>19.600000000000001</v>
      </c>
      <c r="Z37" s="19"/>
      <c r="AA37" s="19"/>
      <c r="AB37" s="19"/>
      <c r="AC37" s="20"/>
      <c r="AE37" s="17"/>
      <c r="AF37" s="19"/>
      <c r="AG37" s="19"/>
      <c r="AH37" s="19"/>
      <c r="AI37" s="19"/>
      <c r="AJ37" s="19"/>
      <c r="AK37" s="19"/>
      <c r="AL37" s="19"/>
      <c r="AM37" s="20"/>
    </row>
    <row r="38" spans="1:39" x14ac:dyDescent="0.2">
      <c r="A38" s="17"/>
      <c r="B38" s="25">
        <v>2012</v>
      </c>
      <c r="C38" s="25">
        <v>584.6</v>
      </c>
      <c r="D38" s="19"/>
      <c r="E38" s="19">
        <f t="shared" si="2"/>
        <v>584.6</v>
      </c>
      <c r="F38" s="19"/>
      <c r="G38" s="19"/>
      <c r="H38" s="19"/>
      <c r="I38" s="20"/>
      <c r="K38" s="17"/>
      <c r="L38" s="30">
        <v>2010</v>
      </c>
      <c r="M38" s="30">
        <v>233.7</v>
      </c>
      <c r="N38" s="19">
        <f t="shared" si="5"/>
        <v>237.86909090909103</v>
      </c>
      <c r="O38" s="25">
        <f t="shared" si="0"/>
        <v>233.7</v>
      </c>
      <c r="P38" s="25"/>
      <c r="Q38" s="25"/>
      <c r="R38" s="19"/>
      <c r="S38" s="20"/>
      <c r="U38" s="17"/>
      <c r="V38" s="30">
        <v>2007</v>
      </c>
      <c r="W38" s="30">
        <v>19.55</v>
      </c>
      <c r="X38" s="19">
        <f t="shared" si="6"/>
        <v>19.890714285714353</v>
      </c>
      <c r="Y38" s="19">
        <f t="shared" si="4"/>
        <v>19.55</v>
      </c>
      <c r="Z38" s="19"/>
      <c r="AA38" s="19"/>
      <c r="AB38" s="19"/>
      <c r="AC38" s="20"/>
      <c r="AE38" s="17"/>
      <c r="AF38" s="19"/>
      <c r="AG38" s="19"/>
      <c r="AH38" s="19"/>
      <c r="AI38" s="19"/>
      <c r="AJ38" s="19"/>
      <c r="AK38" s="19"/>
      <c r="AL38" s="19"/>
      <c r="AM38" s="20"/>
    </row>
    <row r="39" spans="1:39" x14ac:dyDescent="0.2">
      <c r="A39" s="17"/>
      <c r="B39" s="25">
        <v>2013</v>
      </c>
      <c r="C39" s="25">
        <v>567.29999999999995</v>
      </c>
      <c r="D39" s="19"/>
      <c r="E39" s="19">
        <f t="shared" si="2"/>
        <v>567.29999999999995</v>
      </c>
      <c r="F39" s="19"/>
      <c r="G39" s="19"/>
      <c r="H39" s="19"/>
      <c r="I39" s="20"/>
      <c r="K39" s="17"/>
      <c r="L39" s="30">
        <v>2011</v>
      </c>
      <c r="M39" s="30">
        <v>249.3</v>
      </c>
      <c r="N39" s="19">
        <f t="shared" si="5"/>
        <v>248.1745454545453</v>
      </c>
      <c r="O39" s="25">
        <v>252.1</v>
      </c>
      <c r="P39" s="32" t="s">
        <v>74</v>
      </c>
      <c r="Q39" s="25"/>
      <c r="R39" s="19"/>
      <c r="S39" s="20"/>
      <c r="U39" s="17"/>
      <c r="V39" s="30">
        <v>2008</v>
      </c>
      <c r="W39" s="30">
        <v>19.5</v>
      </c>
      <c r="X39" s="19">
        <f t="shared" si="6"/>
        <v>20.189285714285688</v>
      </c>
      <c r="Y39" s="19">
        <f t="shared" si="4"/>
        <v>19.5</v>
      </c>
      <c r="Z39" s="19"/>
      <c r="AA39" s="19"/>
      <c r="AB39" s="19"/>
      <c r="AC39" s="20"/>
      <c r="AE39" s="17"/>
      <c r="AF39" s="19"/>
      <c r="AG39" s="19"/>
      <c r="AH39" s="19"/>
      <c r="AI39" s="19"/>
      <c r="AJ39" s="19"/>
      <c r="AK39" s="19"/>
      <c r="AL39" s="19"/>
      <c r="AM39" s="20"/>
    </row>
    <row r="40" spans="1:39" x14ac:dyDescent="0.2">
      <c r="A40" s="17"/>
      <c r="B40" s="25">
        <v>2014</v>
      </c>
      <c r="C40" s="25">
        <v>576.1</v>
      </c>
      <c r="D40" s="19"/>
      <c r="E40" s="19">
        <f>C40</f>
        <v>576.1</v>
      </c>
      <c r="F40" s="19"/>
      <c r="G40" s="19"/>
      <c r="H40" s="19"/>
      <c r="I40" s="20"/>
      <c r="K40" s="17"/>
      <c r="L40" s="19">
        <v>2012</v>
      </c>
      <c r="M40" s="19">
        <v>260.3</v>
      </c>
      <c r="N40" s="19">
        <f t="shared" si="5"/>
        <v>258.47999999999956</v>
      </c>
      <c r="O40" s="25">
        <f>M40</f>
        <v>260.3</v>
      </c>
      <c r="P40" s="25"/>
      <c r="Q40" s="25"/>
      <c r="R40" s="19"/>
      <c r="S40" s="20"/>
      <c r="U40" s="31" t="s">
        <v>75</v>
      </c>
      <c r="V40" s="30">
        <v>2009</v>
      </c>
      <c r="W40" s="30">
        <v>20.3</v>
      </c>
      <c r="X40" s="19">
        <f t="shared" si="6"/>
        <v>20.487857142857138</v>
      </c>
      <c r="Y40" s="19">
        <f t="shared" si="4"/>
        <v>20.3</v>
      </c>
      <c r="Z40" s="19"/>
      <c r="AA40" s="19"/>
      <c r="AB40" s="19"/>
      <c r="AC40" s="20"/>
      <c r="AE40" s="17"/>
      <c r="AF40" s="19"/>
      <c r="AG40" s="19"/>
      <c r="AH40" s="19"/>
      <c r="AI40" s="19"/>
      <c r="AJ40" s="19"/>
      <c r="AK40" s="19"/>
      <c r="AL40" s="19"/>
      <c r="AM40" s="20"/>
    </row>
    <row r="41" spans="1:39" x14ac:dyDescent="0.2">
      <c r="A41" s="17"/>
      <c r="B41" s="25">
        <v>2015</v>
      </c>
      <c r="C41" s="25"/>
      <c r="D41" s="19"/>
      <c r="E41" s="19">
        <f>E$37 + $B$49*(B41-B$37)</f>
        <v>594.67142857142858</v>
      </c>
      <c r="F41" s="19"/>
      <c r="G41" s="19"/>
      <c r="H41" s="19"/>
      <c r="I41" s="20"/>
      <c r="K41" s="17"/>
      <c r="L41" s="19">
        <v>2013</v>
      </c>
      <c r="M41" s="19">
        <v>263.89999999999998</v>
      </c>
      <c r="N41" s="19">
        <f t="shared" si="5"/>
        <v>268.78545454545383</v>
      </c>
      <c r="O41" s="25">
        <f>M41</f>
        <v>263.89999999999998</v>
      </c>
      <c r="P41" s="25"/>
      <c r="Q41" s="25"/>
      <c r="R41" s="19"/>
      <c r="S41" s="20"/>
      <c r="U41" s="17"/>
      <c r="V41" s="30">
        <v>2010</v>
      </c>
      <c r="W41" s="30">
        <v>21.07</v>
      </c>
      <c r="X41" s="19">
        <f t="shared" si="6"/>
        <v>20.786428571428587</v>
      </c>
      <c r="Y41" s="19">
        <f t="shared" si="4"/>
        <v>21.07</v>
      </c>
      <c r="Z41" s="19"/>
      <c r="AA41" s="19"/>
      <c r="AB41" s="19"/>
      <c r="AC41" s="20"/>
      <c r="AE41" s="17"/>
      <c r="AF41" s="19"/>
      <c r="AG41" s="19"/>
      <c r="AH41" s="19"/>
      <c r="AI41" s="19"/>
      <c r="AJ41" s="19"/>
      <c r="AK41" s="19"/>
      <c r="AL41" s="19"/>
      <c r="AM41" s="20"/>
    </row>
    <row r="42" spans="1:39" x14ac:dyDescent="0.2">
      <c r="A42" s="17"/>
      <c r="B42" s="19"/>
      <c r="C42" s="19"/>
      <c r="D42" s="19"/>
      <c r="E42" s="19"/>
      <c r="F42" s="19"/>
      <c r="G42" s="19"/>
      <c r="H42" s="19"/>
      <c r="I42" s="20"/>
      <c r="K42" s="17"/>
      <c r="L42" s="19">
        <v>2014</v>
      </c>
      <c r="M42" s="19">
        <v>269.2</v>
      </c>
      <c r="N42" s="19">
        <f t="shared" si="5"/>
        <v>279.0909090909081</v>
      </c>
      <c r="O42" s="25">
        <f>M42</f>
        <v>269.2</v>
      </c>
      <c r="P42" s="25"/>
      <c r="Q42" s="25"/>
      <c r="R42" s="19"/>
      <c r="S42" s="20"/>
      <c r="U42" s="17"/>
      <c r="V42" s="30">
        <v>2011</v>
      </c>
      <c r="W42" s="30">
        <v>21.46</v>
      </c>
      <c r="X42" s="19">
        <f t="shared" si="6"/>
        <v>21.085000000000036</v>
      </c>
      <c r="Y42" s="19">
        <f t="shared" si="4"/>
        <v>21.46</v>
      </c>
      <c r="Z42" s="19"/>
      <c r="AA42" s="19"/>
      <c r="AB42" s="19"/>
      <c r="AC42" s="20"/>
      <c r="AE42" s="17"/>
      <c r="AF42" s="19"/>
      <c r="AG42" s="19"/>
      <c r="AH42" s="19"/>
      <c r="AI42" s="19"/>
      <c r="AJ42" s="19"/>
      <c r="AK42" s="19"/>
      <c r="AL42" s="19"/>
      <c r="AM42" s="20"/>
    </row>
    <row r="43" spans="1:39" x14ac:dyDescent="0.2">
      <c r="A43" s="17"/>
      <c r="B43" s="24"/>
      <c r="C43" s="24"/>
      <c r="D43" s="24"/>
      <c r="E43" s="24"/>
      <c r="F43" s="19"/>
      <c r="G43" s="19"/>
      <c r="H43" s="19"/>
      <c r="I43" s="20"/>
      <c r="K43" s="17"/>
      <c r="L43" s="19">
        <v>2015</v>
      </c>
      <c r="M43" s="19"/>
      <c r="N43" s="19">
        <f t="shared" si="5"/>
        <v>289.39636363636237</v>
      </c>
      <c r="O43" s="25">
        <f>O$39 + $L$49*(L43-L$39)</f>
        <v>293.32181818181817</v>
      </c>
      <c r="P43" s="25"/>
      <c r="Q43" s="25"/>
      <c r="R43" s="19"/>
      <c r="S43" s="20"/>
      <c r="U43" s="17"/>
      <c r="V43" s="19">
        <v>2012</v>
      </c>
      <c r="W43" s="19">
        <v>21.45</v>
      </c>
      <c r="X43" s="19">
        <f t="shared" si="6"/>
        <v>21.383571428571486</v>
      </c>
      <c r="Y43" s="19">
        <f>W43</f>
        <v>21.45</v>
      </c>
      <c r="Z43" s="19"/>
      <c r="AA43" s="19"/>
      <c r="AB43" s="19"/>
      <c r="AC43" s="20"/>
      <c r="AE43" s="17"/>
      <c r="AF43" s="19"/>
      <c r="AG43" s="19"/>
      <c r="AH43" s="19"/>
      <c r="AI43" s="19"/>
      <c r="AJ43" s="19"/>
      <c r="AK43" s="19"/>
      <c r="AL43" s="19"/>
      <c r="AM43" s="20"/>
    </row>
    <row r="44" spans="1:39" x14ac:dyDescent="0.2">
      <c r="A44" s="17"/>
      <c r="B44" s="24"/>
      <c r="C44" s="24"/>
      <c r="D44" s="24"/>
      <c r="E44" s="24"/>
      <c r="F44" s="19"/>
      <c r="G44" s="19"/>
      <c r="H44" s="19"/>
      <c r="I44" s="20"/>
      <c r="K44" s="17"/>
      <c r="L44" s="19"/>
      <c r="M44" s="19"/>
      <c r="N44" s="25"/>
      <c r="O44" s="25"/>
      <c r="P44" s="25"/>
      <c r="Q44" s="25"/>
      <c r="R44" s="19"/>
      <c r="S44" s="20"/>
      <c r="U44" s="17"/>
      <c r="V44" s="19">
        <v>2013</v>
      </c>
      <c r="W44" s="19">
        <v>21.4</v>
      </c>
      <c r="X44" s="19">
        <f t="shared" si="6"/>
        <v>21.682142857142821</v>
      </c>
      <c r="Y44" s="19">
        <f>W44</f>
        <v>21.4</v>
      </c>
      <c r="Z44" s="19"/>
      <c r="AA44" s="19"/>
      <c r="AB44" s="19"/>
      <c r="AC44" s="20"/>
      <c r="AE44" s="17"/>
      <c r="AF44" s="19"/>
      <c r="AG44" s="19"/>
      <c r="AH44" s="19"/>
      <c r="AI44" s="19"/>
      <c r="AJ44" s="19"/>
      <c r="AK44" s="19"/>
      <c r="AL44" s="19"/>
      <c r="AM44" s="20"/>
    </row>
    <row r="45" spans="1:39" x14ac:dyDescent="0.2">
      <c r="A45" s="17"/>
      <c r="B45" s="24"/>
      <c r="C45" s="24"/>
      <c r="D45" s="24"/>
      <c r="E45" s="24"/>
      <c r="F45" s="19"/>
      <c r="G45" s="19"/>
      <c r="H45" s="19"/>
      <c r="I45" s="20"/>
      <c r="K45" s="17"/>
      <c r="L45" s="24"/>
      <c r="M45" s="24"/>
      <c r="N45" s="24"/>
      <c r="O45" s="24"/>
      <c r="P45" s="18"/>
      <c r="Q45" s="19"/>
      <c r="R45" s="19"/>
      <c r="S45" s="20"/>
      <c r="U45" s="17"/>
      <c r="V45" s="19">
        <v>2014</v>
      </c>
      <c r="W45" s="19">
        <v>21.49</v>
      </c>
      <c r="X45" s="19">
        <f t="shared" si="6"/>
        <v>21.980714285714271</v>
      </c>
      <c r="Y45" s="19">
        <f>W45</f>
        <v>21.49</v>
      </c>
      <c r="Z45" s="19"/>
      <c r="AA45" s="19"/>
      <c r="AB45" s="19"/>
      <c r="AC45" s="20"/>
      <c r="AE45" s="17"/>
      <c r="AF45" s="19"/>
      <c r="AG45" s="19"/>
      <c r="AH45" s="19"/>
      <c r="AI45" s="19"/>
      <c r="AJ45" s="19"/>
      <c r="AK45" s="19"/>
      <c r="AL45" s="19"/>
      <c r="AM45" s="20"/>
    </row>
    <row r="46" spans="1:39" x14ac:dyDescent="0.2">
      <c r="A46" s="17"/>
      <c r="B46" s="24"/>
      <c r="C46" s="24"/>
      <c r="D46" s="24"/>
      <c r="E46" s="24"/>
      <c r="F46" s="19"/>
      <c r="G46" s="19"/>
      <c r="H46" s="19"/>
      <c r="I46" s="20"/>
      <c r="K46" s="17"/>
      <c r="L46" s="24"/>
      <c r="M46" s="24"/>
      <c r="N46" s="24"/>
      <c r="O46" s="24"/>
      <c r="P46" s="19"/>
      <c r="Q46" s="19"/>
      <c r="R46" s="19"/>
      <c r="S46" s="20"/>
      <c r="U46" s="17"/>
      <c r="V46" s="19">
        <v>2015</v>
      </c>
      <c r="W46" s="19"/>
      <c r="X46" s="19">
        <f t="shared" si="6"/>
        <v>22.27928571428572</v>
      </c>
      <c r="Y46" s="19">
        <f>Y$42 + $V$49*(V46-V$42)</f>
        <v>22.654285714285713</v>
      </c>
      <c r="Z46" s="19"/>
      <c r="AA46" s="19"/>
      <c r="AB46" s="19"/>
      <c r="AC46" s="20"/>
      <c r="AE46" s="17"/>
      <c r="AF46" s="19"/>
      <c r="AG46" s="19"/>
      <c r="AH46" s="19"/>
      <c r="AI46" s="19"/>
      <c r="AJ46" s="19"/>
      <c r="AK46" s="19"/>
      <c r="AL46" s="19"/>
      <c r="AM46" s="20"/>
    </row>
    <row r="47" spans="1:39" x14ac:dyDescent="0.2">
      <c r="A47" s="17"/>
      <c r="B47" s="24"/>
      <c r="C47" s="24"/>
      <c r="D47" s="24"/>
      <c r="E47" s="24"/>
      <c r="F47" s="19"/>
      <c r="G47" s="19"/>
      <c r="H47" s="19"/>
      <c r="I47" s="20"/>
      <c r="K47" s="17"/>
      <c r="L47" s="24"/>
      <c r="M47" s="24"/>
      <c r="N47" s="24"/>
      <c r="O47" s="24"/>
      <c r="P47" s="19"/>
      <c r="Q47" s="19"/>
      <c r="R47" s="19"/>
      <c r="S47" s="20"/>
      <c r="U47" s="17"/>
      <c r="V47" s="19"/>
      <c r="W47" s="19"/>
      <c r="X47" s="19"/>
      <c r="Y47" s="19"/>
      <c r="Z47" s="19"/>
      <c r="AA47" s="19"/>
      <c r="AB47" s="19"/>
      <c r="AC47" s="20"/>
      <c r="AE47" s="17"/>
      <c r="AF47" s="19"/>
      <c r="AG47" s="19"/>
      <c r="AH47" s="19"/>
      <c r="AI47" s="19"/>
      <c r="AJ47" s="19"/>
      <c r="AK47" s="19"/>
      <c r="AL47" s="19"/>
      <c r="AM47" s="20"/>
    </row>
    <row r="48" spans="1:39" x14ac:dyDescent="0.2">
      <c r="A48" s="17"/>
      <c r="B48" s="33" t="s">
        <v>76</v>
      </c>
      <c r="C48" s="33"/>
      <c r="D48" s="34"/>
      <c r="E48" s="34"/>
      <c r="F48" s="19"/>
      <c r="G48" s="19"/>
      <c r="H48" s="19"/>
      <c r="I48" s="20"/>
      <c r="K48" s="17"/>
      <c r="L48" s="33" t="s">
        <v>76</v>
      </c>
      <c r="M48" s="33"/>
      <c r="N48" s="34"/>
      <c r="O48" s="33"/>
      <c r="P48" s="19"/>
      <c r="Q48" s="19"/>
      <c r="R48" s="19"/>
      <c r="S48" s="20"/>
      <c r="U48" s="17"/>
      <c r="V48" s="33" t="s">
        <v>76</v>
      </c>
      <c r="W48" s="33"/>
      <c r="X48" s="34"/>
      <c r="Y48" s="34"/>
      <c r="Z48" s="19"/>
      <c r="AA48" s="19"/>
      <c r="AB48" s="19"/>
      <c r="AC48" s="20"/>
      <c r="AE48" s="17"/>
      <c r="AF48" s="33" t="s">
        <v>76</v>
      </c>
      <c r="AG48" s="33"/>
      <c r="AH48" s="34"/>
      <c r="AI48" s="34"/>
      <c r="AJ48" s="19"/>
      <c r="AK48" s="19"/>
      <c r="AL48" s="19"/>
      <c r="AM48" s="20"/>
    </row>
    <row r="49" spans="1:39" x14ac:dyDescent="0.2">
      <c r="A49" s="17"/>
      <c r="B49" s="19">
        <f t="array" ref="B49:C53">LINEST(C21:C28,B21:B28,TRUE,TRUE)</f>
        <v>2.242857142857146</v>
      </c>
      <c r="C49" s="19">
        <v>-4093.1750000000056</v>
      </c>
      <c r="D49" s="19"/>
      <c r="E49" s="19"/>
      <c r="F49" s="19"/>
      <c r="G49" s="19"/>
      <c r="H49" s="19"/>
      <c r="I49" s="20"/>
      <c r="K49" s="17"/>
      <c r="L49" s="19">
        <f t="array" ref="L49:M53">LINEST(M30:M39,L30:L39,TRUE,TRUE)</f>
        <v>10.305454545454545</v>
      </c>
      <c r="M49" s="19">
        <v>-20476.094545454544</v>
      </c>
      <c r="N49" s="19"/>
      <c r="O49" s="19"/>
      <c r="P49" s="19"/>
      <c r="Q49" s="19"/>
      <c r="R49" s="19"/>
      <c r="S49" s="20"/>
      <c r="U49" s="17"/>
      <c r="V49" s="19">
        <f t="array" ref="V49:W53">LINEST(W35:W42,V35:V42,TRUE,TRUE)</f>
        <v>0.29857142857142843</v>
      </c>
      <c r="W49" s="19">
        <v>-579.34214285714256</v>
      </c>
      <c r="X49" s="19"/>
      <c r="Y49" s="19"/>
      <c r="Z49" s="19"/>
      <c r="AA49" s="19"/>
      <c r="AB49" s="19"/>
      <c r="AC49" s="20"/>
      <c r="AE49" s="17"/>
      <c r="AF49" s="19"/>
      <c r="AG49" s="19"/>
      <c r="AH49" s="19"/>
      <c r="AI49" s="19"/>
      <c r="AJ49" s="19"/>
      <c r="AK49" s="19"/>
      <c r="AL49" s="19"/>
      <c r="AM49" s="20"/>
    </row>
    <row r="50" spans="1:39" x14ac:dyDescent="0.2">
      <c r="A50" s="17"/>
      <c r="B50" s="19">
        <v>0.20795543958408003</v>
      </c>
      <c r="C50" s="19">
        <v>415.5992191550684</v>
      </c>
      <c r="D50" s="19"/>
      <c r="E50" s="19"/>
      <c r="F50" s="19"/>
      <c r="G50" s="19"/>
      <c r="H50" s="19"/>
      <c r="I50" s="20"/>
      <c r="K50" s="17"/>
      <c r="L50" s="19">
        <v>0.51657752719005867</v>
      </c>
      <c r="M50" s="19">
        <v>1036.5138702959921</v>
      </c>
      <c r="N50" s="19"/>
      <c r="O50" s="19"/>
      <c r="P50" s="19"/>
      <c r="Q50" s="19"/>
      <c r="R50" s="19"/>
      <c r="S50" s="20"/>
      <c r="U50" s="17"/>
      <c r="V50" s="19">
        <v>6.3618227824772305E-2</v>
      </c>
      <c r="W50" s="19">
        <v>127.71367554517617</v>
      </c>
      <c r="X50" s="19"/>
      <c r="Y50" s="19"/>
      <c r="Z50" s="19"/>
      <c r="AA50" s="19"/>
      <c r="AB50" s="19"/>
      <c r="AC50" s="20"/>
      <c r="AE50" s="17"/>
      <c r="AF50" s="19"/>
      <c r="AG50" s="19"/>
      <c r="AH50" s="19"/>
      <c r="AI50" s="19"/>
      <c r="AJ50" s="19"/>
      <c r="AK50" s="19"/>
      <c r="AL50" s="19"/>
      <c r="AM50" s="20"/>
    </row>
    <row r="51" spans="1:39" x14ac:dyDescent="0.2">
      <c r="A51" s="17"/>
      <c r="B51" s="19">
        <v>0.95094921956630052</v>
      </c>
      <c r="C51" s="19">
        <v>1.3477052807678442</v>
      </c>
      <c r="D51" s="19"/>
      <c r="E51" s="19"/>
      <c r="F51" s="19"/>
      <c r="G51" s="19"/>
      <c r="H51" s="19"/>
      <c r="I51" s="20"/>
      <c r="K51" s="17"/>
      <c r="L51" s="19">
        <v>0.9802946864610671</v>
      </c>
      <c r="M51" s="19">
        <v>4.692048399347363</v>
      </c>
      <c r="N51" s="19"/>
      <c r="O51" s="19"/>
      <c r="P51" s="19"/>
      <c r="Q51" s="19"/>
      <c r="R51" s="19"/>
      <c r="S51" s="20"/>
      <c r="U51" s="17"/>
      <c r="V51" s="19">
        <v>0.7859121986326012</v>
      </c>
      <c r="W51" s="19">
        <v>0.41229323822458519</v>
      </c>
      <c r="X51" s="19"/>
      <c r="Y51" s="19"/>
      <c r="Z51" s="19"/>
      <c r="AA51" s="19"/>
      <c r="AB51" s="19"/>
      <c r="AC51" s="20"/>
      <c r="AE51" s="17"/>
      <c r="AF51" s="19"/>
      <c r="AG51" s="19"/>
      <c r="AH51" s="19"/>
      <c r="AI51" s="19"/>
      <c r="AJ51" s="19"/>
      <c r="AK51" s="19"/>
      <c r="AL51" s="19"/>
      <c r="AM51" s="20"/>
    </row>
    <row r="52" spans="1:39" x14ac:dyDescent="0.2">
      <c r="A52" s="17"/>
      <c r="B52" s="19">
        <v>116.32221275480066</v>
      </c>
      <c r="C52" s="19">
        <v>6</v>
      </c>
      <c r="D52" s="19"/>
      <c r="E52" s="19"/>
      <c r="F52" s="19"/>
      <c r="G52" s="19"/>
      <c r="H52" s="19"/>
      <c r="I52" s="20"/>
      <c r="K52" s="17"/>
      <c r="L52" s="19">
        <v>397.98186799687039</v>
      </c>
      <c r="M52" s="19">
        <v>8</v>
      </c>
      <c r="N52" s="19"/>
      <c r="O52" s="19"/>
      <c r="P52" s="19"/>
      <c r="Q52" s="19"/>
      <c r="R52" s="19"/>
      <c r="S52" s="20"/>
      <c r="U52" s="17"/>
      <c r="V52" s="19">
        <v>22.025884528111547</v>
      </c>
      <c r="W52" s="19">
        <v>6</v>
      </c>
      <c r="X52" s="19"/>
      <c r="Y52" s="19"/>
      <c r="Z52" s="19"/>
      <c r="AA52" s="19"/>
      <c r="AB52" s="19"/>
      <c r="AC52" s="20"/>
      <c r="AE52" s="17"/>
      <c r="AF52" s="19"/>
      <c r="AG52" s="19"/>
      <c r="AH52" s="19"/>
      <c r="AI52" s="19"/>
      <c r="AJ52" s="19"/>
      <c r="AK52" s="19"/>
      <c r="AL52" s="19"/>
      <c r="AM52" s="20"/>
    </row>
    <row r="53" spans="1:39" x14ac:dyDescent="0.2">
      <c r="A53" s="17"/>
      <c r="B53" s="19">
        <v>211.2771428571433</v>
      </c>
      <c r="C53" s="19">
        <v>10.897857142857205</v>
      </c>
      <c r="D53" s="19"/>
      <c r="E53" s="19"/>
      <c r="F53" s="19"/>
      <c r="G53" s="19"/>
      <c r="H53" s="19"/>
      <c r="I53" s="20"/>
      <c r="K53" s="17"/>
      <c r="L53" s="19">
        <v>8761.6974545454523</v>
      </c>
      <c r="M53" s="19">
        <v>176.12254545454522</v>
      </c>
      <c r="N53" s="19"/>
      <c r="O53" s="19"/>
      <c r="P53" s="19"/>
      <c r="Q53" s="19"/>
      <c r="R53" s="19"/>
      <c r="S53" s="20"/>
      <c r="U53" s="17"/>
      <c r="V53" s="19">
        <v>3.7440857142857102</v>
      </c>
      <c r="W53" s="19">
        <v>1.0199142857142873</v>
      </c>
      <c r="X53" s="19"/>
      <c r="Y53" s="19"/>
      <c r="Z53" s="19"/>
      <c r="AA53" s="19"/>
      <c r="AB53" s="19"/>
      <c r="AC53" s="20"/>
      <c r="AE53" s="17"/>
      <c r="AF53" s="19"/>
      <c r="AG53" s="19"/>
      <c r="AH53" s="19"/>
      <c r="AI53" s="19"/>
      <c r="AJ53" s="19"/>
      <c r="AK53" s="19"/>
      <c r="AL53" s="19"/>
      <c r="AM53" s="20"/>
    </row>
    <row r="54" spans="1:39" ht="3.75" customHeight="1" x14ac:dyDescent="0.2">
      <c r="A54" s="17"/>
      <c r="B54" s="19"/>
      <c r="C54" s="19"/>
      <c r="D54" s="19"/>
      <c r="E54" s="19"/>
      <c r="F54" s="19"/>
      <c r="G54" s="19"/>
      <c r="H54" s="19"/>
      <c r="I54" s="20"/>
      <c r="K54" s="17"/>
      <c r="L54" s="19"/>
      <c r="M54" s="19"/>
      <c r="N54" s="19"/>
      <c r="O54" s="19"/>
      <c r="P54" s="19"/>
      <c r="Q54" s="19"/>
      <c r="R54" s="19"/>
      <c r="S54" s="20"/>
      <c r="U54" s="17"/>
      <c r="V54" s="19"/>
      <c r="W54" s="19"/>
      <c r="X54" s="19"/>
      <c r="Y54" s="19"/>
      <c r="Z54" s="19"/>
      <c r="AA54" s="19"/>
      <c r="AB54" s="19"/>
      <c r="AC54" s="20"/>
      <c r="AE54" s="17"/>
      <c r="AF54" s="19"/>
      <c r="AG54" s="19"/>
      <c r="AH54" s="19"/>
      <c r="AI54" s="19"/>
      <c r="AJ54" s="19"/>
      <c r="AK54" s="19"/>
      <c r="AL54" s="19"/>
      <c r="AM54" s="20"/>
    </row>
    <row r="55" spans="1:39" x14ac:dyDescent="0.2">
      <c r="A55" s="17"/>
      <c r="B55" s="19"/>
      <c r="C55" s="19"/>
      <c r="D55" s="19"/>
      <c r="E55" s="19"/>
      <c r="F55" s="19"/>
      <c r="G55" s="19"/>
      <c r="H55" s="19"/>
      <c r="I55" s="20"/>
      <c r="K55" s="17"/>
      <c r="L55" s="19"/>
      <c r="M55" s="19"/>
      <c r="N55" s="19"/>
      <c r="O55" s="19"/>
      <c r="P55" s="19"/>
      <c r="Q55" s="19"/>
      <c r="R55" s="19"/>
      <c r="S55" s="20"/>
      <c r="U55" s="17"/>
      <c r="V55" s="19"/>
      <c r="W55" s="19"/>
      <c r="X55" s="19"/>
      <c r="Y55" s="19"/>
      <c r="Z55" s="19"/>
      <c r="AA55" s="19"/>
      <c r="AB55" s="19"/>
      <c r="AC55" s="20"/>
      <c r="AE55" s="17"/>
      <c r="AF55" s="19"/>
      <c r="AG55" s="19"/>
      <c r="AH55" s="19"/>
      <c r="AI55" s="19"/>
      <c r="AJ55" s="19"/>
      <c r="AK55" s="19"/>
      <c r="AL55" s="19"/>
      <c r="AM55" s="20"/>
    </row>
    <row r="56" spans="1:39" x14ac:dyDescent="0.2">
      <c r="A56" s="17"/>
      <c r="B56" s="19"/>
      <c r="C56" s="19"/>
      <c r="D56" s="19"/>
      <c r="E56" s="19"/>
      <c r="F56" s="19"/>
      <c r="G56" s="19"/>
      <c r="H56" s="19"/>
      <c r="I56" s="20"/>
      <c r="K56" s="17"/>
      <c r="L56" s="19"/>
      <c r="M56" s="19"/>
      <c r="N56" s="19"/>
      <c r="O56" s="19"/>
      <c r="P56" s="19"/>
      <c r="Q56" s="19"/>
      <c r="R56" s="19"/>
      <c r="S56" s="20"/>
      <c r="U56" s="17"/>
      <c r="V56" s="19"/>
      <c r="W56" s="19"/>
      <c r="X56" s="19"/>
      <c r="Y56" s="19"/>
      <c r="Z56" s="19"/>
      <c r="AA56" s="19"/>
      <c r="AB56" s="19"/>
      <c r="AC56" s="20"/>
      <c r="AE56" s="17"/>
      <c r="AF56" s="19"/>
      <c r="AG56" s="19"/>
      <c r="AH56" s="19"/>
      <c r="AI56" s="19"/>
      <c r="AJ56" s="19"/>
      <c r="AK56" s="19"/>
      <c r="AL56" s="19"/>
      <c r="AM56" s="20"/>
    </row>
    <row r="57" spans="1:39" x14ac:dyDescent="0.2">
      <c r="A57" s="17"/>
      <c r="B57" s="19"/>
      <c r="C57" s="19"/>
      <c r="D57" s="19"/>
      <c r="E57" s="19"/>
      <c r="F57" s="19"/>
      <c r="G57" s="19"/>
      <c r="H57" s="19"/>
      <c r="I57" s="20"/>
      <c r="K57" s="17"/>
      <c r="L57" s="19"/>
      <c r="M57" s="19"/>
      <c r="N57" s="19"/>
      <c r="O57" s="19"/>
      <c r="P57" s="19"/>
      <c r="Q57" s="19"/>
      <c r="R57" s="19"/>
      <c r="S57" s="20"/>
      <c r="U57" s="17"/>
      <c r="V57" s="19"/>
      <c r="W57" s="19"/>
      <c r="X57" s="19"/>
      <c r="Y57" s="19"/>
      <c r="Z57" s="19"/>
      <c r="AA57" s="19"/>
      <c r="AB57" s="19"/>
      <c r="AC57" s="20"/>
      <c r="AE57" s="17"/>
      <c r="AF57" s="19"/>
      <c r="AG57" s="19"/>
      <c r="AH57" s="19"/>
      <c r="AI57" s="19"/>
      <c r="AJ57" s="19"/>
      <c r="AK57" s="19"/>
      <c r="AL57" s="19"/>
      <c r="AM57" s="20"/>
    </row>
    <row r="58" spans="1:39" x14ac:dyDescent="0.2">
      <c r="A58" s="17"/>
      <c r="B58" s="19"/>
      <c r="C58" s="19"/>
      <c r="D58" s="19"/>
      <c r="E58" s="19"/>
      <c r="F58" s="19"/>
      <c r="G58" s="19"/>
      <c r="H58" s="19"/>
      <c r="I58" s="20"/>
      <c r="K58" s="17"/>
      <c r="L58" s="19"/>
      <c r="M58" s="19"/>
      <c r="N58" s="19"/>
      <c r="O58" s="19"/>
      <c r="P58" s="19"/>
      <c r="Q58" s="19"/>
      <c r="R58" s="19"/>
      <c r="S58" s="20"/>
      <c r="U58" s="17"/>
      <c r="V58" s="19"/>
      <c r="W58" s="19"/>
      <c r="X58" s="19"/>
      <c r="Y58" s="19"/>
      <c r="Z58" s="19"/>
      <c r="AA58" s="19"/>
      <c r="AB58" s="19"/>
      <c r="AC58" s="20"/>
      <c r="AE58" s="17"/>
      <c r="AF58" s="19"/>
      <c r="AG58" s="19"/>
      <c r="AH58" s="19"/>
      <c r="AI58" s="19"/>
      <c r="AJ58" s="19"/>
      <c r="AK58" s="19"/>
      <c r="AL58" s="19"/>
      <c r="AM58" s="20"/>
    </row>
    <row r="59" spans="1:39" x14ac:dyDescent="0.2">
      <c r="A59" s="17"/>
      <c r="B59" s="19"/>
      <c r="C59" s="19"/>
      <c r="D59" s="19"/>
      <c r="E59" s="19"/>
      <c r="F59" s="19"/>
      <c r="G59" s="19"/>
      <c r="H59" s="19"/>
      <c r="I59" s="20"/>
      <c r="K59" s="17"/>
      <c r="L59" s="19"/>
      <c r="M59" s="19"/>
      <c r="N59" s="19"/>
      <c r="O59" s="19"/>
      <c r="P59" s="19"/>
      <c r="Q59" s="19"/>
      <c r="R59" s="19"/>
      <c r="S59" s="20"/>
      <c r="U59" s="17"/>
      <c r="V59" s="19"/>
      <c r="W59" s="19"/>
      <c r="X59" s="19"/>
      <c r="Y59" s="19"/>
      <c r="Z59" s="19"/>
      <c r="AA59" s="19"/>
      <c r="AB59" s="19"/>
      <c r="AC59" s="20"/>
      <c r="AE59" s="17"/>
      <c r="AF59" s="19"/>
      <c r="AG59" s="19"/>
      <c r="AH59" s="19"/>
      <c r="AI59" s="19"/>
      <c r="AJ59" s="19"/>
      <c r="AK59" s="19"/>
      <c r="AL59" s="19"/>
      <c r="AM59" s="20"/>
    </row>
    <row r="60" spans="1:39" x14ac:dyDescent="0.2">
      <c r="A60" s="17"/>
      <c r="B60" s="19"/>
      <c r="C60" s="19"/>
      <c r="D60" s="19"/>
      <c r="E60" s="19"/>
      <c r="F60" s="19"/>
      <c r="G60" s="19"/>
      <c r="H60" s="19"/>
      <c r="I60" s="20"/>
      <c r="K60" s="17"/>
      <c r="L60" s="19"/>
      <c r="M60" s="19"/>
      <c r="N60" s="19"/>
      <c r="O60" s="19"/>
      <c r="P60" s="19"/>
      <c r="Q60" s="19"/>
      <c r="R60" s="19"/>
      <c r="S60" s="20"/>
      <c r="U60" s="17"/>
      <c r="V60" s="19"/>
      <c r="W60" s="19"/>
      <c r="X60" s="19"/>
      <c r="Y60" s="19"/>
      <c r="Z60" s="19"/>
      <c r="AA60" s="19"/>
      <c r="AB60" s="19"/>
      <c r="AC60" s="20"/>
      <c r="AE60" s="17"/>
      <c r="AF60" s="19"/>
      <c r="AG60" s="19"/>
      <c r="AH60" s="19"/>
      <c r="AI60" s="19"/>
      <c r="AJ60" s="19"/>
      <c r="AK60" s="19"/>
      <c r="AL60" s="19"/>
      <c r="AM60" s="20"/>
    </row>
    <row r="61" spans="1:39" x14ac:dyDescent="0.2">
      <c r="A61" s="17"/>
      <c r="B61" s="19"/>
      <c r="C61" s="19"/>
      <c r="D61" s="19"/>
      <c r="E61" s="19"/>
      <c r="F61" s="19"/>
      <c r="G61" s="19"/>
      <c r="H61" s="19"/>
      <c r="I61" s="20"/>
      <c r="K61" s="17"/>
      <c r="L61" s="19"/>
      <c r="M61" s="19"/>
      <c r="N61" s="19"/>
      <c r="O61" s="19"/>
      <c r="P61" s="19"/>
      <c r="Q61" s="19"/>
      <c r="R61" s="19"/>
      <c r="S61" s="20"/>
      <c r="U61" s="17"/>
      <c r="V61" s="19"/>
      <c r="W61" s="19"/>
      <c r="X61" s="19"/>
      <c r="Y61" s="19"/>
      <c r="Z61" s="19"/>
      <c r="AA61" s="19"/>
      <c r="AB61" s="19"/>
      <c r="AC61" s="20"/>
      <c r="AE61" s="17"/>
      <c r="AF61" s="19"/>
      <c r="AG61" s="19"/>
      <c r="AH61" s="19"/>
      <c r="AI61" s="19"/>
      <c r="AJ61" s="19"/>
      <c r="AK61" s="19"/>
      <c r="AL61" s="19"/>
      <c r="AM61" s="20"/>
    </row>
    <row r="62" spans="1:39" x14ac:dyDescent="0.2">
      <c r="A62" s="17"/>
      <c r="B62" s="19"/>
      <c r="C62" s="19"/>
      <c r="D62" s="19"/>
      <c r="E62" s="19"/>
      <c r="F62" s="19"/>
      <c r="G62" s="19"/>
      <c r="H62" s="19"/>
      <c r="I62" s="20"/>
      <c r="K62" s="17"/>
      <c r="L62" s="19"/>
      <c r="M62" s="19"/>
      <c r="N62" s="19"/>
      <c r="O62" s="19"/>
      <c r="P62" s="19"/>
      <c r="Q62" s="19"/>
      <c r="R62" s="19"/>
      <c r="S62" s="20"/>
      <c r="U62" s="17"/>
      <c r="V62" s="19"/>
      <c r="W62" s="19"/>
      <c r="X62" s="19"/>
      <c r="Y62" s="19"/>
      <c r="Z62" s="19"/>
      <c r="AA62" s="19"/>
      <c r="AB62" s="19"/>
      <c r="AC62" s="20"/>
      <c r="AE62" s="17"/>
      <c r="AF62" s="19"/>
      <c r="AG62" s="19"/>
      <c r="AH62" s="19"/>
      <c r="AI62" s="19"/>
      <c r="AJ62" s="19"/>
      <c r="AK62" s="19"/>
      <c r="AL62" s="19"/>
      <c r="AM62" s="20"/>
    </row>
    <row r="63" spans="1:39" x14ac:dyDescent="0.2">
      <c r="A63" s="17"/>
      <c r="B63" s="19"/>
      <c r="C63" s="19"/>
      <c r="D63" s="19"/>
      <c r="E63" s="19"/>
      <c r="F63" s="19"/>
      <c r="G63" s="19"/>
      <c r="H63" s="19"/>
      <c r="I63" s="20"/>
      <c r="K63" s="17"/>
      <c r="L63" s="19"/>
      <c r="M63" s="19"/>
      <c r="N63" s="19"/>
      <c r="O63" s="19"/>
      <c r="P63" s="19"/>
      <c r="Q63" s="19"/>
      <c r="R63" s="19"/>
      <c r="S63" s="20"/>
      <c r="U63" s="17"/>
      <c r="V63" s="19"/>
      <c r="W63" s="19"/>
      <c r="X63" s="19"/>
      <c r="Y63" s="19"/>
      <c r="Z63" s="19"/>
      <c r="AA63" s="19"/>
      <c r="AB63" s="19"/>
      <c r="AC63" s="20"/>
      <c r="AE63" s="17"/>
      <c r="AF63" s="19"/>
      <c r="AG63" s="19"/>
      <c r="AH63" s="19"/>
      <c r="AI63" s="19"/>
      <c r="AJ63" s="19"/>
      <c r="AK63" s="19"/>
      <c r="AL63" s="19"/>
      <c r="AM63" s="20"/>
    </row>
    <row r="64" spans="1:39" x14ac:dyDescent="0.2">
      <c r="A64" s="17"/>
      <c r="B64" s="19"/>
      <c r="C64" s="19"/>
      <c r="D64" s="19"/>
      <c r="E64" s="19"/>
      <c r="F64" s="19"/>
      <c r="G64" s="19"/>
      <c r="H64" s="19"/>
      <c r="I64" s="20"/>
      <c r="K64" s="17"/>
      <c r="L64" s="19"/>
      <c r="M64" s="19"/>
      <c r="N64" s="19"/>
      <c r="O64" s="19"/>
      <c r="P64" s="19"/>
      <c r="Q64" s="19"/>
      <c r="R64" s="19"/>
      <c r="S64" s="20"/>
      <c r="U64" s="17"/>
      <c r="V64" s="19"/>
      <c r="W64" s="19"/>
      <c r="X64" s="19"/>
      <c r="Y64" s="19"/>
      <c r="Z64" s="19"/>
      <c r="AA64" s="19"/>
      <c r="AB64" s="19"/>
      <c r="AC64" s="20"/>
      <c r="AE64" s="17"/>
      <c r="AF64" s="19"/>
      <c r="AG64" s="19"/>
      <c r="AH64" s="19"/>
      <c r="AI64" s="19"/>
      <c r="AJ64" s="19"/>
      <c r="AK64" s="19"/>
      <c r="AL64" s="19"/>
      <c r="AM64" s="20"/>
    </row>
    <row r="65" spans="1:39" x14ac:dyDescent="0.2">
      <c r="A65" s="17"/>
      <c r="B65" s="19"/>
      <c r="C65" s="19"/>
      <c r="D65" s="19"/>
      <c r="E65" s="19"/>
      <c r="F65" s="19"/>
      <c r="G65" s="19"/>
      <c r="H65" s="19"/>
      <c r="I65" s="20"/>
      <c r="K65" s="17"/>
      <c r="L65" s="19"/>
      <c r="M65" s="19"/>
      <c r="N65" s="19"/>
      <c r="O65" s="19"/>
      <c r="P65" s="19"/>
      <c r="Q65" s="19"/>
      <c r="R65" s="19"/>
      <c r="S65" s="20"/>
      <c r="U65" s="17"/>
      <c r="V65" s="19"/>
      <c r="W65" s="19"/>
      <c r="X65" s="19"/>
      <c r="Y65" s="19"/>
      <c r="Z65" s="19"/>
      <c r="AA65" s="19"/>
      <c r="AB65" s="19"/>
      <c r="AC65" s="20"/>
      <c r="AE65" s="17"/>
      <c r="AF65" s="19"/>
      <c r="AG65" s="19"/>
      <c r="AH65" s="19"/>
      <c r="AI65" s="19"/>
      <c r="AJ65" s="19"/>
      <c r="AK65" s="19"/>
      <c r="AL65" s="19"/>
      <c r="AM65" s="20"/>
    </row>
    <row r="66" spans="1:39" x14ac:dyDescent="0.2">
      <c r="A66" s="17"/>
      <c r="B66" s="19"/>
      <c r="C66" s="19"/>
      <c r="D66" s="19"/>
      <c r="E66" s="19"/>
      <c r="F66" s="19"/>
      <c r="G66" s="19"/>
      <c r="H66" s="19"/>
      <c r="I66" s="20"/>
      <c r="K66" s="17"/>
      <c r="L66" s="19"/>
      <c r="M66" s="19"/>
      <c r="N66" s="19"/>
      <c r="O66" s="19"/>
      <c r="P66" s="19"/>
      <c r="Q66" s="19"/>
      <c r="R66" s="19"/>
      <c r="S66" s="20"/>
      <c r="U66" s="17"/>
      <c r="V66" s="19"/>
      <c r="W66" s="19"/>
      <c r="X66" s="19"/>
      <c r="Y66" s="19"/>
      <c r="Z66" s="19"/>
      <c r="AA66" s="19"/>
      <c r="AB66" s="19"/>
      <c r="AC66" s="20"/>
      <c r="AE66" s="17"/>
      <c r="AF66" s="19"/>
      <c r="AG66" s="19"/>
      <c r="AH66" s="19"/>
      <c r="AI66" s="19"/>
      <c r="AJ66" s="19"/>
      <c r="AK66" s="19"/>
      <c r="AL66" s="19"/>
      <c r="AM66" s="20"/>
    </row>
    <row r="67" spans="1:39" x14ac:dyDescent="0.2">
      <c r="A67" s="17"/>
      <c r="B67" s="19"/>
      <c r="C67" s="19"/>
      <c r="D67" s="19"/>
      <c r="E67" s="19"/>
      <c r="F67" s="19"/>
      <c r="G67" s="19"/>
      <c r="H67" s="19"/>
      <c r="I67" s="20"/>
      <c r="K67" s="17"/>
      <c r="L67" s="19"/>
      <c r="M67" s="19"/>
      <c r="N67" s="19"/>
      <c r="O67" s="19"/>
      <c r="P67" s="19"/>
      <c r="Q67" s="19"/>
      <c r="R67" s="19"/>
      <c r="S67" s="20"/>
      <c r="U67" s="17"/>
      <c r="V67" s="19"/>
      <c r="W67" s="19"/>
      <c r="X67" s="19"/>
      <c r="Y67" s="19"/>
      <c r="Z67" s="19"/>
      <c r="AA67" s="19"/>
      <c r="AB67" s="19"/>
      <c r="AC67" s="20"/>
      <c r="AE67" s="17"/>
      <c r="AF67" s="19"/>
      <c r="AG67" s="19"/>
      <c r="AH67" s="19"/>
      <c r="AI67" s="19"/>
      <c r="AJ67" s="19"/>
      <c r="AK67" s="19"/>
      <c r="AL67" s="19"/>
      <c r="AM67" s="20"/>
    </row>
    <row r="68" spans="1:39" x14ac:dyDescent="0.2">
      <c r="A68" s="17"/>
      <c r="B68" s="19"/>
      <c r="C68" s="19"/>
      <c r="D68" s="19"/>
      <c r="E68" s="19"/>
      <c r="F68" s="19"/>
      <c r="G68" s="19"/>
      <c r="H68" s="19"/>
      <c r="I68" s="20"/>
      <c r="K68" s="17"/>
      <c r="L68" s="19"/>
      <c r="M68" s="19"/>
      <c r="N68" s="19"/>
      <c r="O68" s="19"/>
      <c r="P68" s="19"/>
      <c r="Q68" s="19"/>
      <c r="R68" s="19"/>
      <c r="S68" s="20"/>
      <c r="U68" s="17"/>
      <c r="V68" s="19"/>
      <c r="W68" s="19"/>
      <c r="X68" s="19"/>
      <c r="Y68" s="19"/>
      <c r="Z68" s="19"/>
      <c r="AA68" s="19"/>
      <c r="AB68" s="19"/>
      <c r="AC68" s="20"/>
      <c r="AE68" s="17"/>
      <c r="AF68" s="19"/>
      <c r="AG68" s="19"/>
      <c r="AH68" s="19"/>
      <c r="AI68" s="19"/>
      <c r="AJ68" s="19"/>
      <c r="AK68" s="19"/>
      <c r="AL68" s="19"/>
      <c r="AM68" s="20"/>
    </row>
    <row r="69" spans="1:39" x14ac:dyDescent="0.2">
      <c r="A69" s="17"/>
      <c r="B69" s="19"/>
      <c r="C69" s="19"/>
      <c r="D69" s="19"/>
      <c r="E69" s="19"/>
      <c r="F69" s="19"/>
      <c r="G69" s="19"/>
      <c r="H69" s="19"/>
      <c r="I69" s="20"/>
      <c r="K69" s="17"/>
      <c r="L69" s="19"/>
      <c r="M69" s="19"/>
      <c r="N69" s="19"/>
      <c r="O69" s="19"/>
      <c r="P69" s="19"/>
      <c r="Q69" s="19"/>
      <c r="R69" s="19"/>
      <c r="S69" s="20"/>
      <c r="U69" s="17"/>
      <c r="V69" s="19"/>
      <c r="W69" s="19"/>
      <c r="X69" s="19"/>
      <c r="Y69" s="19"/>
      <c r="Z69" s="19"/>
      <c r="AA69" s="19"/>
      <c r="AB69" s="19"/>
      <c r="AC69" s="20"/>
      <c r="AE69" s="17"/>
      <c r="AF69" s="19"/>
      <c r="AG69" s="19"/>
      <c r="AH69" s="19"/>
      <c r="AI69" s="19"/>
      <c r="AJ69" s="19"/>
      <c r="AK69" s="19"/>
      <c r="AL69" s="19"/>
      <c r="AM69" s="20"/>
    </row>
    <row r="70" spans="1:39" x14ac:dyDescent="0.2">
      <c r="A70" s="17"/>
      <c r="B70" s="19"/>
      <c r="C70" s="19"/>
      <c r="D70" s="19"/>
      <c r="E70" s="19"/>
      <c r="F70" s="19"/>
      <c r="G70" s="19"/>
      <c r="H70" s="19"/>
      <c r="I70" s="20"/>
      <c r="K70" s="17"/>
      <c r="L70" s="19"/>
      <c r="M70" s="19"/>
      <c r="N70" s="19"/>
      <c r="O70" s="19"/>
      <c r="P70" s="19"/>
      <c r="Q70" s="19"/>
      <c r="R70" s="19"/>
      <c r="S70" s="20"/>
      <c r="U70" s="17"/>
      <c r="V70" s="19"/>
      <c r="W70" s="19"/>
      <c r="X70" s="19"/>
      <c r="Y70" s="19"/>
      <c r="Z70" s="19"/>
      <c r="AA70" s="19"/>
      <c r="AB70" s="19"/>
      <c r="AC70" s="20"/>
      <c r="AE70" s="17"/>
      <c r="AF70" s="19"/>
      <c r="AG70" s="19"/>
      <c r="AH70" s="19"/>
      <c r="AI70" s="19"/>
      <c r="AJ70" s="19"/>
      <c r="AK70" s="19"/>
      <c r="AL70" s="19"/>
      <c r="AM70" s="20"/>
    </row>
    <row r="71" spans="1:39" x14ac:dyDescent="0.2">
      <c r="A71" s="17"/>
      <c r="B71" s="19"/>
      <c r="C71" s="19"/>
      <c r="D71" s="19"/>
      <c r="E71" s="19"/>
      <c r="F71" s="19"/>
      <c r="G71" s="19"/>
      <c r="H71" s="19"/>
      <c r="I71" s="20"/>
      <c r="K71" s="17"/>
      <c r="L71" s="19"/>
      <c r="M71" s="19"/>
      <c r="N71" s="19"/>
      <c r="O71" s="19"/>
      <c r="P71" s="19"/>
      <c r="Q71" s="19"/>
      <c r="R71" s="19"/>
      <c r="S71" s="20"/>
      <c r="U71" s="17"/>
      <c r="V71" s="19"/>
      <c r="W71" s="19"/>
      <c r="X71" s="19"/>
      <c r="Y71" s="19"/>
      <c r="Z71" s="19"/>
      <c r="AA71" s="19"/>
      <c r="AB71" s="19"/>
      <c r="AC71" s="20"/>
      <c r="AE71" s="17"/>
      <c r="AF71" s="19"/>
      <c r="AG71" s="19"/>
      <c r="AH71" s="19"/>
      <c r="AI71" s="19"/>
      <c r="AJ71" s="19"/>
      <c r="AK71" s="19"/>
      <c r="AL71" s="19"/>
      <c r="AM71" s="20"/>
    </row>
    <row r="72" spans="1:39" x14ac:dyDescent="0.2">
      <c r="A72" s="17"/>
      <c r="B72" s="19"/>
      <c r="C72" s="19"/>
      <c r="D72" s="19"/>
      <c r="E72" s="19"/>
      <c r="F72" s="19"/>
      <c r="G72" s="19"/>
      <c r="H72" s="19"/>
      <c r="I72" s="20"/>
      <c r="K72" s="17"/>
      <c r="L72" s="19"/>
      <c r="M72" s="19"/>
      <c r="N72" s="19"/>
      <c r="O72" s="19"/>
      <c r="P72" s="19"/>
      <c r="Q72" s="19"/>
      <c r="R72" s="19"/>
      <c r="S72" s="20"/>
      <c r="U72" s="17"/>
      <c r="V72" s="19"/>
      <c r="W72" s="19"/>
      <c r="X72" s="19"/>
      <c r="Y72" s="19"/>
      <c r="Z72" s="19"/>
      <c r="AA72" s="19"/>
      <c r="AB72" s="19"/>
      <c r="AC72" s="20"/>
      <c r="AE72" s="17"/>
      <c r="AF72" s="19"/>
      <c r="AG72" s="19"/>
      <c r="AH72" s="19"/>
      <c r="AI72" s="19"/>
      <c r="AJ72" s="19"/>
      <c r="AK72" s="19"/>
      <c r="AL72" s="19"/>
      <c r="AM72" s="20"/>
    </row>
    <row r="73" spans="1:39" x14ac:dyDescent="0.2">
      <c r="A73" s="17"/>
      <c r="B73" s="19"/>
      <c r="C73" s="19"/>
      <c r="D73" s="19"/>
      <c r="E73" s="19"/>
      <c r="F73" s="19"/>
      <c r="G73" s="19"/>
      <c r="H73" s="19"/>
      <c r="I73" s="20"/>
      <c r="K73" s="17"/>
      <c r="L73" s="19"/>
      <c r="M73" s="19"/>
      <c r="N73" s="19"/>
      <c r="O73" s="19"/>
      <c r="P73" s="19"/>
      <c r="Q73" s="19"/>
      <c r="R73" s="19"/>
      <c r="S73" s="20"/>
      <c r="U73" s="17"/>
      <c r="V73" s="19"/>
      <c r="W73" s="19"/>
      <c r="X73" s="19"/>
      <c r="Y73" s="19"/>
      <c r="Z73" s="19"/>
      <c r="AA73" s="19"/>
      <c r="AB73" s="19"/>
      <c r="AC73" s="20"/>
      <c r="AE73" s="17"/>
      <c r="AF73" s="19"/>
      <c r="AG73" s="19"/>
      <c r="AH73" s="19"/>
      <c r="AI73" s="19"/>
      <c r="AJ73" s="19"/>
      <c r="AK73" s="19"/>
      <c r="AL73" s="19"/>
      <c r="AM73" s="20"/>
    </row>
    <row r="74" spans="1:39" x14ac:dyDescent="0.2">
      <c r="A74" s="17"/>
      <c r="B74" s="19"/>
      <c r="C74" s="19"/>
      <c r="D74" s="19"/>
      <c r="E74" s="19"/>
      <c r="F74" s="19"/>
      <c r="G74" s="19"/>
      <c r="H74" s="19"/>
      <c r="I74" s="20"/>
      <c r="K74" s="17"/>
      <c r="L74" s="19"/>
      <c r="M74" s="19"/>
      <c r="N74" s="19"/>
      <c r="O74" s="19"/>
      <c r="P74" s="19"/>
      <c r="Q74" s="19"/>
      <c r="R74" s="19"/>
      <c r="S74" s="20"/>
      <c r="U74" s="17"/>
      <c r="V74" s="19"/>
      <c r="W74" s="19"/>
      <c r="X74" s="19"/>
      <c r="Y74" s="19"/>
      <c r="Z74" s="19"/>
      <c r="AA74" s="19"/>
      <c r="AB74" s="19"/>
      <c r="AC74" s="20"/>
      <c r="AE74" s="17"/>
      <c r="AF74" s="19"/>
      <c r="AG74" s="19"/>
      <c r="AH74" s="19"/>
      <c r="AI74" s="19"/>
      <c r="AJ74" s="19"/>
      <c r="AK74" s="19"/>
      <c r="AL74" s="19"/>
      <c r="AM74" s="20"/>
    </row>
    <row r="75" spans="1:39" x14ac:dyDescent="0.2">
      <c r="A75" s="17"/>
      <c r="B75" s="19"/>
      <c r="C75" s="19"/>
      <c r="D75" s="19"/>
      <c r="E75" s="19"/>
      <c r="F75" s="19"/>
      <c r="G75" s="19"/>
      <c r="H75" s="19"/>
      <c r="I75" s="20"/>
      <c r="K75" s="17"/>
      <c r="L75" s="19"/>
      <c r="M75" s="19"/>
      <c r="N75" s="19"/>
      <c r="O75" s="19"/>
      <c r="P75" s="19"/>
      <c r="Q75" s="19"/>
      <c r="R75" s="19"/>
      <c r="S75" s="20"/>
      <c r="U75" s="17"/>
      <c r="V75" s="19"/>
      <c r="W75" s="19"/>
      <c r="X75" s="19"/>
      <c r="Y75" s="19"/>
      <c r="Z75" s="19"/>
      <c r="AA75" s="19"/>
      <c r="AB75" s="19"/>
      <c r="AC75" s="20"/>
      <c r="AE75" s="17"/>
      <c r="AF75" s="19"/>
      <c r="AG75" s="19"/>
      <c r="AH75" s="19"/>
      <c r="AI75" s="19"/>
      <c r="AJ75" s="19"/>
      <c r="AK75" s="19"/>
      <c r="AL75" s="19"/>
      <c r="AM75" s="20"/>
    </row>
    <row r="76" spans="1:39" x14ac:dyDescent="0.2">
      <c r="A76" s="17"/>
      <c r="B76" s="19"/>
      <c r="C76" s="19"/>
      <c r="D76" s="19"/>
      <c r="E76" s="19"/>
      <c r="F76" s="19"/>
      <c r="G76" s="19"/>
      <c r="H76" s="19"/>
      <c r="I76" s="20"/>
      <c r="K76" s="17"/>
      <c r="L76" s="19"/>
      <c r="M76" s="19"/>
      <c r="N76" s="19"/>
      <c r="O76" s="19"/>
      <c r="P76" s="19"/>
      <c r="Q76" s="19"/>
      <c r="R76" s="19"/>
      <c r="S76" s="20"/>
      <c r="U76" s="17"/>
      <c r="V76" s="19"/>
      <c r="W76" s="19"/>
      <c r="X76" s="19"/>
      <c r="Y76" s="19"/>
      <c r="Z76" s="19"/>
      <c r="AA76" s="19"/>
      <c r="AB76" s="19"/>
      <c r="AC76" s="20"/>
      <c r="AE76" s="17"/>
      <c r="AF76" s="19"/>
      <c r="AG76" s="19"/>
      <c r="AH76" s="19"/>
      <c r="AI76" s="19"/>
      <c r="AJ76" s="19"/>
      <c r="AK76" s="19"/>
      <c r="AL76" s="19"/>
      <c r="AM76" s="20"/>
    </row>
    <row r="77" spans="1:39" x14ac:dyDescent="0.2">
      <c r="A77" s="17"/>
      <c r="B77" s="19"/>
      <c r="C77" s="19"/>
      <c r="D77" s="19"/>
      <c r="E77" s="19"/>
      <c r="F77" s="19"/>
      <c r="G77" s="19"/>
      <c r="H77" s="19"/>
      <c r="I77" s="20"/>
      <c r="K77" s="17"/>
      <c r="L77" s="19"/>
      <c r="M77" s="19"/>
      <c r="N77" s="19"/>
      <c r="O77" s="19"/>
      <c r="P77" s="19"/>
      <c r="Q77" s="19"/>
      <c r="R77" s="19"/>
      <c r="S77" s="20"/>
      <c r="U77" s="17"/>
      <c r="V77" s="19"/>
      <c r="W77" s="19"/>
      <c r="X77" s="19"/>
      <c r="Y77" s="19"/>
      <c r="Z77" s="19"/>
      <c r="AA77" s="19"/>
      <c r="AB77" s="19"/>
      <c r="AC77" s="20"/>
      <c r="AE77" s="17"/>
      <c r="AF77" s="19"/>
      <c r="AG77" s="19"/>
      <c r="AH77" s="19"/>
      <c r="AI77" s="19"/>
      <c r="AJ77" s="19"/>
      <c r="AK77" s="19"/>
      <c r="AL77" s="19"/>
      <c r="AM77" s="20"/>
    </row>
    <row r="78" spans="1:39" x14ac:dyDescent="0.2">
      <c r="A78" s="17"/>
      <c r="B78" s="19"/>
      <c r="C78" s="19"/>
      <c r="D78" s="19"/>
      <c r="E78" s="19"/>
      <c r="F78" s="19"/>
      <c r="G78" s="19"/>
      <c r="H78" s="19"/>
      <c r="I78" s="20"/>
      <c r="K78" s="17"/>
      <c r="L78" s="19"/>
      <c r="M78" s="19"/>
      <c r="N78" s="19"/>
      <c r="O78" s="19"/>
      <c r="P78" s="19"/>
      <c r="Q78" s="19"/>
      <c r="R78" s="19"/>
      <c r="S78" s="20"/>
      <c r="U78" s="17"/>
      <c r="V78" s="19"/>
      <c r="W78" s="19"/>
      <c r="X78" s="19"/>
      <c r="Y78" s="19"/>
      <c r="Z78" s="19"/>
      <c r="AA78" s="19"/>
      <c r="AB78" s="19"/>
      <c r="AC78" s="20"/>
      <c r="AE78" s="17"/>
      <c r="AF78" s="19"/>
      <c r="AG78" s="19"/>
      <c r="AH78" s="19"/>
      <c r="AI78" s="19"/>
      <c r="AJ78" s="19"/>
      <c r="AK78" s="19"/>
      <c r="AL78" s="19"/>
      <c r="AM78" s="20"/>
    </row>
    <row r="79" spans="1:39" x14ac:dyDescent="0.2">
      <c r="A79" s="17"/>
      <c r="B79" s="19"/>
      <c r="C79" s="19"/>
      <c r="D79" s="19"/>
      <c r="E79" s="19"/>
      <c r="F79" s="19"/>
      <c r="G79" s="19"/>
      <c r="H79" s="19"/>
      <c r="I79" s="20"/>
      <c r="K79" s="17"/>
      <c r="L79" s="19"/>
      <c r="M79" s="19"/>
      <c r="N79" s="19"/>
      <c r="O79" s="19"/>
      <c r="P79" s="19"/>
      <c r="Q79" s="19"/>
      <c r="R79" s="19"/>
      <c r="S79" s="20"/>
      <c r="U79" s="17"/>
      <c r="V79" s="19"/>
      <c r="W79" s="19"/>
      <c r="X79" s="19"/>
      <c r="Y79" s="19"/>
      <c r="Z79" s="19"/>
      <c r="AA79" s="19"/>
      <c r="AB79" s="19"/>
      <c r="AC79" s="20"/>
      <c r="AE79" s="17"/>
      <c r="AF79" s="19"/>
      <c r="AG79" s="19"/>
      <c r="AH79" s="19"/>
      <c r="AI79" s="19"/>
      <c r="AJ79" s="19"/>
      <c r="AK79" s="19"/>
      <c r="AL79" s="19"/>
      <c r="AM79" s="20"/>
    </row>
    <row r="80" spans="1:39" x14ac:dyDescent="0.2">
      <c r="A80" s="17"/>
      <c r="B80" s="19"/>
      <c r="C80" s="19"/>
      <c r="D80" s="19"/>
      <c r="E80" s="19"/>
      <c r="F80" s="19"/>
      <c r="G80" s="19"/>
      <c r="H80" s="19"/>
      <c r="I80" s="20"/>
      <c r="K80" s="17"/>
      <c r="L80" s="19"/>
      <c r="M80" s="19"/>
      <c r="N80" s="19"/>
      <c r="O80" s="19"/>
      <c r="P80" s="19"/>
      <c r="Q80" s="19"/>
      <c r="R80" s="19"/>
      <c r="S80" s="20"/>
      <c r="U80" s="17"/>
      <c r="V80" s="19"/>
      <c r="W80" s="19"/>
      <c r="X80" s="19"/>
      <c r="Y80" s="19"/>
      <c r="Z80" s="19"/>
      <c r="AA80" s="19"/>
      <c r="AB80" s="19"/>
      <c r="AC80" s="20"/>
      <c r="AE80" s="17"/>
      <c r="AF80" s="19"/>
      <c r="AG80" s="19"/>
      <c r="AH80" s="19"/>
      <c r="AI80" s="19"/>
      <c r="AJ80" s="19"/>
      <c r="AK80" s="19"/>
      <c r="AL80" s="19"/>
      <c r="AM80" s="20"/>
    </row>
    <row r="81" spans="1:39" x14ac:dyDescent="0.2">
      <c r="A81" s="35"/>
      <c r="B81" s="36"/>
      <c r="C81" s="36"/>
      <c r="D81" s="36"/>
      <c r="E81" s="36"/>
      <c r="F81" s="36"/>
      <c r="G81" s="36"/>
      <c r="H81" s="36"/>
      <c r="I81" s="37"/>
      <c r="K81" s="35"/>
      <c r="L81" s="36"/>
      <c r="M81" s="36"/>
      <c r="N81" s="36"/>
      <c r="O81" s="36"/>
      <c r="P81" s="36"/>
      <c r="Q81" s="36"/>
      <c r="R81" s="36"/>
      <c r="S81" s="37"/>
      <c r="U81" s="35"/>
      <c r="V81" s="36"/>
      <c r="W81" s="36"/>
      <c r="X81" s="36"/>
      <c r="Y81" s="36"/>
      <c r="Z81" s="36"/>
      <c r="AA81" s="36"/>
      <c r="AB81" s="36"/>
      <c r="AC81" s="37"/>
      <c r="AE81" s="35"/>
      <c r="AF81" s="36"/>
      <c r="AG81" s="36"/>
      <c r="AH81" s="36"/>
      <c r="AI81" s="36"/>
      <c r="AJ81" s="36"/>
      <c r="AK81" s="36"/>
      <c r="AL81" s="36"/>
      <c r="AM81" s="37"/>
    </row>
    <row r="82" spans="1:39" x14ac:dyDescent="0.2">
      <c r="A82" s="24"/>
      <c r="B82" s="24"/>
      <c r="C82" s="24"/>
      <c r="D82" s="24"/>
      <c r="E82" s="24"/>
      <c r="F82" s="24"/>
      <c r="G82" s="24"/>
      <c r="H82" s="24"/>
      <c r="I82" s="24"/>
      <c r="U82" s="24"/>
      <c r="V82" s="24"/>
      <c r="W82" s="24"/>
      <c r="X82" s="24"/>
      <c r="Y82" s="24"/>
      <c r="Z82" s="24"/>
      <c r="AA82" s="24"/>
      <c r="AB82" s="24"/>
      <c r="AC82" s="24"/>
      <c r="AE82" s="24"/>
      <c r="AF82" s="24"/>
      <c r="AG82" s="24"/>
      <c r="AH82" s="24"/>
      <c r="AI82" s="24"/>
      <c r="AJ82" s="24"/>
      <c r="AK82" s="24"/>
      <c r="AL82" s="24"/>
      <c r="AM82" s="24"/>
    </row>
    <row r="83" spans="1:39" x14ac:dyDescent="0.2">
      <c r="AE83" s="24"/>
      <c r="AF83" s="24"/>
      <c r="AG83" s="24"/>
      <c r="AH83" s="24"/>
      <c r="AI83" s="24"/>
      <c r="AJ83" s="24"/>
      <c r="AK83" s="24"/>
      <c r="AL83" s="24"/>
      <c r="AM83" s="24"/>
    </row>
    <row r="84" spans="1:39" ht="16" thickBot="1" x14ac:dyDescent="0.25"/>
    <row r="85" spans="1:39" ht="16" thickBot="1" x14ac:dyDescent="0.25">
      <c r="A85" s="38" t="s">
        <v>77</v>
      </c>
      <c r="B85" s="39"/>
      <c r="C85" s="39"/>
      <c r="D85" s="39"/>
      <c r="E85" s="39"/>
      <c r="F85" s="39"/>
      <c r="G85" s="39"/>
      <c r="H85" s="40"/>
    </row>
    <row r="86" spans="1:39" x14ac:dyDescent="0.2">
      <c r="A86" s="41" t="s">
        <v>78</v>
      </c>
      <c r="B86" s="41" t="s">
        <v>79</v>
      </c>
      <c r="C86" s="41" t="s">
        <v>80</v>
      </c>
      <c r="D86" s="41" t="s">
        <v>81</v>
      </c>
      <c r="E86" s="41" t="s">
        <v>82</v>
      </c>
      <c r="F86" s="41" t="s">
        <v>83</v>
      </c>
      <c r="G86" s="41" t="s">
        <v>84</v>
      </c>
      <c r="H86" s="41" t="s">
        <v>85</v>
      </c>
    </row>
    <row r="87" spans="1:39" x14ac:dyDescent="0.2">
      <c r="A87" s="42" t="s">
        <v>86</v>
      </c>
      <c r="B87" s="42" t="s">
        <v>87</v>
      </c>
      <c r="C87" s="42" t="s">
        <v>88</v>
      </c>
      <c r="D87" s="42">
        <v>15</v>
      </c>
      <c r="E87" s="42" t="s">
        <v>89</v>
      </c>
      <c r="F87" s="42">
        <v>41</v>
      </c>
      <c r="G87" s="43" t="str">
        <f>B87&amp;"!"&amp;C87&amp;D87&amp;":"&amp;E87&amp;F87</f>
        <v>INDICES!B15:E41</v>
      </c>
      <c r="H87" s="42" t="s">
        <v>90</v>
      </c>
    </row>
    <row r="88" spans="1:39" x14ac:dyDescent="0.2">
      <c r="A88" s="42" t="s">
        <v>91</v>
      </c>
      <c r="B88" s="42" t="s">
        <v>87</v>
      </c>
      <c r="C88" s="42" t="s">
        <v>92</v>
      </c>
      <c r="D88" s="42">
        <v>8</v>
      </c>
      <c r="E88" s="42" t="s">
        <v>93</v>
      </c>
      <c r="F88" s="42">
        <v>43</v>
      </c>
      <c r="G88" s="43" t="str">
        <f>B88&amp;"!"&amp;C88&amp;D88&amp;":"&amp;E88&amp;F88</f>
        <v>INDICES!L8:O43</v>
      </c>
      <c r="H88" s="42" t="s">
        <v>94</v>
      </c>
    </row>
    <row r="89" spans="1:39" x14ac:dyDescent="0.2">
      <c r="A89" s="42" t="s">
        <v>95</v>
      </c>
      <c r="B89" s="42" t="s">
        <v>87</v>
      </c>
      <c r="C89" s="42" t="s">
        <v>96</v>
      </c>
      <c r="D89" s="42">
        <v>9</v>
      </c>
      <c r="E89" s="42" t="s">
        <v>97</v>
      </c>
      <c r="F89" s="42">
        <v>23</v>
      </c>
      <c r="G89" s="43" t="str">
        <f>B89&amp;"!"&amp;C89&amp;D89&amp;":"&amp;E89&amp;F89</f>
        <v>INDICES!AF9:AG23</v>
      </c>
      <c r="H89" s="42" t="s">
        <v>98</v>
      </c>
    </row>
    <row r="90" spans="1:39" x14ac:dyDescent="0.2">
      <c r="A90" s="42" t="s">
        <v>99</v>
      </c>
      <c r="B90" s="42" t="s">
        <v>87</v>
      </c>
      <c r="C90" s="42" t="s">
        <v>100</v>
      </c>
      <c r="D90" s="42">
        <v>11</v>
      </c>
      <c r="E90" s="42" t="s">
        <v>101</v>
      </c>
      <c r="F90" s="42">
        <v>46</v>
      </c>
      <c r="G90" s="43" t="str">
        <f>B90&amp;"!"&amp;C90&amp;D90&amp;":"&amp;E90&amp;F90</f>
        <v>INDICES!V11:Y46</v>
      </c>
      <c r="H90" s="42" t="s">
        <v>102</v>
      </c>
    </row>
    <row r="91" spans="1:39" x14ac:dyDescent="0.2">
      <c r="A91" s="42"/>
      <c r="B91" s="42"/>
      <c r="C91" s="42"/>
      <c r="D91" s="42"/>
      <c r="E91" s="42"/>
      <c r="F91" s="42"/>
      <c r="G91" s="43"/>
      <c r="H91" s="42"/>
    </row>
    <row r="92" spans="1:39" x14ac:dyDescent="0.2">
      <c r="H92" s="44"/>
    </row>
    <row r="93" spans="1:39" x14ac:dyDescent="0.2">
      <c r="H93" s="44"/>
    </row>
    <row r="94" spans="1:39" x14ac:dyDescent="0.2">
      <c r="H94" s="44"/>
    </row>
    <row r="157" spans="7:7" x14ac:dyDescent="0.2">
      <c r="G157" s="24"/>
    </row>
  </sheetData>
  <mergeCells count="1">
    <mergeCell ref="M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2018-08-07T17:29:26Z</dcterms:modified>
</cp:coreProperties>
</file>