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0" yWindow="0" windowWidth="25600" windowHeight="15460" tabRatio="500"/>
  </bookViews>
  <sheets>
    <sheet name="MRF SORTING" sheetId="1" r:id="rId1"/>
    <sheet name="Sheet1" sheetId="3" r:id="rId2"/>
  </sheets>
  <definedNames>
    <definedName name="ANN_COST">'MRF SORTING'!$B$13</definedName>
    <definedName name="AREA_RT">'MRF SORTING'!$B$16</definedName>
    <definedName name="BW">'MRF SORTING'!$B$34</definedName>
    <definedName name="CAPEX">'MRF SORTING'!$B$15</definedName>
    <definedName name="CAPEX2">'MRF SORTING'!$B$54</definedName>
    <definedName name="CON_COST">'MRF SORTING'!$B$38</definedName>
    <definedName name="CONV_CAP">'MRF SORTING'!$B$23</definedName>
    <definedName name="CONV_COST">'MRF SORTING'!$B$42</definedName>
    <definedName name="CONV_LENGTH">'MRF SORTING'!$B$27</definedName>
    <definedName name="cost_diesel">'MRF SORTING'!$F$5</definedName>
    <definedName name="COST_ELEC">'MRF SORTING'!$G$5</definedName>
    <definedName name="COST_FUEL">'MRF SORTING'!$B$56</definedName>
    <definedName name="CRF">'MRF SORTING'!$B$10</definedName>
    <definedName name="DISC_RATE">'MRF SORTING'!$B$12</definedName>
    <definedName name="DRIVER_WAGE">'MRF SORTING'!$B$47</definedName>
    <definedName name="EN_COST">'MRF SORTING'!#REF!</definedName>
    <definedName name="ENG_COST">'MRF SORTING'!$B$37</definedName>
    <definedName name="EQUIP_CAPEX">'MRF SORTING'!$B$41</definedName>
    <definedName name="EQUIP_COST">'MRF SORTING'!$B$39</definedName>
    <definedName name="EQUIP_INST">'MRF SORTING'!$B$40</definedName>
    <definedName name="FLOOR_AREA">'MRF SORTING'!$B$17</definedName>
    <definedName name="HR_DAY">'MRF SORTING'!$B$29</definedName>
    <definedName name="LABOR">'MRF SORTING'!$E$5</definedName>
    <definedName name="LABOR_COST">'MRF SORTING'!$B$45</definedName>
    <definedName name="LAND_COST">'MRF SORTING'!$B$35</definedName>
    <definedName name="LAND_CST">'MRF SORTING'!$B$36</definedName>
    <definedName name="LIFE">'MRF SORTING'!$B$11</definedName>
    <definedName name="MAINT_COST">'MRF SORTING'!$B$51</definedName>
    <definedName name="MAN_WAGES">'MRF SORTING'!$B$48</definedName>
    <definedName name="MFI">'MRF SORTING'!$B$19</definedName>
    <definedName name="N_PICK">'MRF SORTING'!$B$28</definedName>
    <definedName name="NL">'MRF SORTING'!$B$21</definedName>
    <definedName name="NUM_CONV">'MRF SORTING'!$B$24</definedName>
    <definedName name="OFFICE_AREA">'MRF SORTING'!$B$32</definedName>
    <definedName name="OP_COST">'MRF SORTING'!$B$50</definedName>
    <definedName name="OVERHEAD_COSTS">'MRF SORTING'!$B$53</definedName>
    <definedName name="PICK_WAGE">'MRF SORTING'!$B$46</definedName>
    <definedName name="PR">'MRF SORTING'!$B$30</definedName>
    <definedName name="PROCESS_AREA">'MRF SORTING'!$B$26</definedName>
    <definedName name="REF_HEIGHT">'MRF SORTING'!$B$22</definedName>
    <definedName name="ROLLINGSTOCK_COST">'MRF SORTING'!$B$44</definedName>
    <definedName name="SE">'MRF SORTING'!$B$31</definedName>
    <definedName name="SORT_WIDTH">'MRF SORTING'!$B$25</definedName>
    <definedName name="STORAGE_AREA">'MRF SORTING'!$B$33</definedName>
    <definedName name="STORAGE_COST">'MRF SORTING'!$B$43</definedName>
    <definedName name="TIP_AREA">'MRF SORTING'!$B$18</definedName>
    <definedName name="TIP_STOR">'MRF SORTING'!$B$20</definedName>
    <definedName name="TIPPING_FEE">'MRF SORTING'!$H$5</definedName>
    <definedName name="TPD">'MRF SORTING'!$B$9</definedName>
    <definedName name="UTIL_COST">'MRF SORTING'!$B$52</definedName>
  </definedName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16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O16" i="1"/>
  <c r="N9" i="1"/>
  <c r="N8" i="1"/>
  <c r="O8" i="1"/>
  <c r="O9" i="1"/>
  <c r="N10" i="1"/>
  <c r="O10" i="1"/>
  <c r="N11" i="1"/>
  <c r="O11" i="1"/>
  <c r="N12" i="1"/>
  <c r="O12" i="1"/>
  <c r="N13" i="1"/>
  <c r="O1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K8" i="1"/>
  <c r="K9" i="1"/>
  <c r="K10" i="1"/>
  <c r="K11" i="1"/>
  <c r="K12" i="1"/>
  <c r="K1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B23" i="1"/>
  <c r="B24" i="1"/>
  <c r="B25" i="1"/>
  <c r="B30" i="1"/>
  <c r="B28" i="1"/>
  <c r="B27" i="1"/>
  <c r="B26" i="1"/>
  <c r="B20" i="1"/>
  <c r="B22" i="1"/>
  <c r="B18" i="1"/>
  <c r="B32" i="1"/>
  <c r="B17" i="1"/>
  <c r="B38" i="1"/>
  <c r="B35" i="1"/>
  <c r="B37" i="1"/>
  <c r="B42" i="1"/>
  <c r="B43" i="1"/>
  <c r="B41" i="1"/>
  <c r="B40" i="1"/>
  <c r="B39" i="1"/>
  <c r="B15" i="1"/>
  <c r="M17" i="1"/>
  <c r="M18" i="1"/>
  <c r="M19" i="1"/>
  <c r="M10" i="1"/>
  <c r="M20" i="1"/>
  <c r="M11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8" i="1"/>
  <c r="M50" i="1"/>
  <c r="M9" i="1"/>
  <c r="M51" i="1"/>
  <c r="M52" i="1"/>
  <c r="M53" i="1"/>
  <c r="M54" i="1"/>
  <c r="M55" i="1"/>
  <c r="M12" i="1"/>
  <c r="M56" i="1"/>
  <c r="M57" i="1"/>
  <c r="M58" i="1"/>
  <c r="M59" i="1"/>
  <c r="M60" i="1"/>
  <c r="M16" i="1"/>
  <c r="L10" i="1"/>
  <c r="L11" i="1"/>
  <c r="L13" i="1"/>
  <c r="L8" i="1"/>
  <c r="L9" i="1"/>
  <c r="L12" i="1"/>
  <c r="B46" i="1"/>
  <c r="B47" i="1"/>
  <c r="B48" i="1"/>
  <c r="B45" i="1"/>
  <c r="B53" i="1"/>
  <c r="B56" i="1"/>
  <c r="B52" i="1"/>
  <c r="B50" i="1"/>
  <c r="B10" i="1"/>
  <c r="B54" i="1"/>
  <c r="B13" i="1"/>
  <c r="J5" i="1"/>
</calcChain>
</file>

<file path=xl/sharedStrings.xml><?xml version="1.0" encoding="utf-8"?>
<sst xmlns="http://schemas.openxmlformats.org/spreadsheetml/2006/main" count="231" uniqueCount="144">
  <si>
    <t>CRF</t>
  </si>
  <si>
    <t>LIFE</t>
  </si>
  <si>
    <t>DISC_RATE</t>
  </si>
  <si>
    <t>ANN_COST</t>
  </si>
  <si>
    <t>YEARS</t>
  </si>
  <si>
    <t>%</t>
  </si>
  <si>
    <t>1/YEAR</t>
  </si>
  <si>
    <t>CAPEX</t>
  </si>
  <si>
    <t>AREA_RT</t>
  </si>
  <si>
    <t>$/SQFT</t>
  </si>
  <si>
    <t>FLOOR AREA</t>
  </si>
  <si>
    <t>TIP_AREA</t>
  </si>
  <si>
    <t>MFI</t>
  </si>
  <si>
    <t>FACTOR</t>
  </si>
  <si>
    <t>TIP_STOR</t>
  </si>
  <si>
    <t>DAYS</t>
  </si>
  <si>
    <t>NL</t>
  </si>
  <si>
    <t>LB/FT^3</t>
  </si>
  <si>
    <t>REF_HEIGHT</t>
  </si>
  <si>
    <t>FT</t>
  </si>
  <si>
    <t>CONV_CAP</t>
  </si>
  <si>
    <t>NUM_CONV</t>
  </si>
  <si>
    <t>TPD</t>
  </si>
  <si>
    <t>SORT_WIDTH</t>
  </si>
  <si>
    <t># CONVEYOR</t>
  </si>
  <si>
    <t>TONS/HR</t>
  </si>
  <si>
    <t>PROCESS_AREA</t>
  </si>
  <si>
    <t>CONV_LENGTH</t>
  </si>
  <si>
    <t>N_PICK</t>
  </si>
  <si>
    <t>HR_DAY</t>
  </si>
  <si>
    <t>HRS/DAY</t>
  </si>
  <si>
    <t>PR</t>
  </si>
  <si>
    <t>SE</t>
  </si>
  <si>
    <t>% EFFIC</t>
  </si>
  <si>
    <t>PICKERS/TPD</t>
  </si>
  <si>
    <t>OFFICE_AREA</t>
  </si>
  <si>
    <t>FT^2/TPD</t>
  </si>
  <si>
    <t>BW</t>
  </si>
  <si>
    <t>TONS</t>
  </si>
  <si>
    <t>LAND_COST</t>
  </si>
  <si>
    <t>$/TPD</t>
  </si>
  <si>
    <t>LAND_CST</t>
  </si>
  <si>
    <t>$/ACRE</t>
  </si>
  <si>
    <t>ENG_COST</t>
  </si>
  <si>
    <t>CON_COST</t>
  </si>
  <si>
    <t>EQUIP_COST</t>
  </si>
  <si>
    <t>EQUIP_INST</t>
  </si>
  <si>
    <t>EQUIP_CAPEX</t>
  </si>
  <si>
    <t>ft^2/tpd</t>
  </si>
  <si>
    <t>https://mswdst.rti.org/docs/MRF_Model_OCR.pdf</t>
  </si>
  <si>
    <t>CONV_COST</t>
  </si>
  <si>
    <t>STORE_BINS</t>
  </si>
  <si>
    <t>ROLLINGSTOCK_COST</t>
  </si>
  <si>
    <t>LABOR_COST</t>
  </si>
  <si>
    <t>$/TON</t>
  </si>
  <si>
    <t>PICK_WAGE</t>
  </si>
  <si>
    <t>DRIVER_WAGE</t>
  </si>
  <si>
    <t>MAN_WAGES</t>
  </si>
  <si>
    <t>LABOR</t>
  </si>
  <si>
    <t>$/HOUR</t>
  </si>
  <si>
    <t>TONS/DAY</t>
  </si>
  <si>
    <t>OP_COST</t>
  </si>
  <si>
    <t>MAINT_COST</t>
  </si>
  <si>
    <t>UTIL_COST</t>
  </si>
  <si>
    <t>OVERHEAD_COSTS</t>
  </si>
  <si>
    <t>CAPEX2</t>
  </si>
  <si>
    <t>$/TON/YEAR</t>
  </si>
  <si>
    <t>$/TON/DAY</t>
  </si>
  <si>
    <t>COST_ELEC</t>
  </si>
  <si>
    <t>$/KWH</t>
  </si>
  <si>
    <t>COST_FUEL</t>
  </si>
  <si>
    <t>$/GALLON</t>
  </si>
  <si>
    <t>COST_DIESEL</t>
  </si>
  <si>
    <t>SQFT/tpd</t>
  </si>
  <si>
    <t>State</t>
  </si>
  <si>
    <t>Average Wage</t>
  </si>
  <si>
    <t xml:space="preserve">Cost of Fuel </t>
  </si>
  <si>
    <t>Cost of Electricity</t>
  </si>
  <si>
    <t>Landfill Tipping Fee</t>
  </si>
  <si>
    <t>Units</t>
  </si>
  <si>
    <t>$/hour</t>
  </si>
  <si>
    <t>$/gallon diesel</t>
  </si>
  <si>
    <t>$/kWh</t>
  </si>
  <si>
    <t>$/ton</t>
  </si>
  <si>
    <t>Alaska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</si>
  <si>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</si>
  <si>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</si>
  <si>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</si>
  <si>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</si>
  <si>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</si>
  <si>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</si>
  <si>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</si>
  <si>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</si>
  <si>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</si>
  <si>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</si>
  <si>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</si>
  <si>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</si>
  <si>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</si>
  <si>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</si>
  <si>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</si>
  <si>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</si>
  <si>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</si>
  <si>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</si>
  <si>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</si>
  <si>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</si>
  <si>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</si>
  <si>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</si>
  <si>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</si>
  <si>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</si>
  <si>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</si>
  <si>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</si>
  <si>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</si>
  <si>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</si>
  <si>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</si>
  <si>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</si>
  <si>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</si>
  <si>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</si>
  <si>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</si>
  <si>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</si>
  <si>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</si>
  <si>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</si>
  <si>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</si>
  <si>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</si>
  <si>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</si>
  <si>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</si>
  <si>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</si>
  <si>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</si>
  <si>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</si>
  <si>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</si>
  <si>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</si>
  <si>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</si>
  <si>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</si>
  <si>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</si>
  <si>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</si>
  <si>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</si>
  <si>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https://nepis.epa.gov/Exe/ZyPDF.cgi/91015Y2C.PDF?Dockey=91015Y2C.PDF</t>
  </si>
  <si>
    <t>http://www4.ncsu.edu/~jfdecaro/papers/Pressley_etal_2014.pdf</t>
  </si>
  <si>
    <t>Tip+Sort</t>
  </si>
  <si>
    <t>Sorting</t>
  </si>
  <si>
    <t>Tip_Graph</t>
  </si>
  <si>
    <t>Tip-Sort</t>
  </si>
  <si>
    <t>Tip Fee</t>
  </si>
  <si>
    <t>OUTPUT DATA</t>
  </si>
  <si>
    <t>Sorting Cost Minus Tipping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</si>
</sst>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#,##0.0"/>
    <numFmt numFmtId="165" formatCode="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mbria"/>
      <scheme val="major"/>
    </font>
    <font>
      <sz val="11"/>
      <color theme="1"/>
      <name val="Cambria"/>
      <scheme val="major"/>
    </font>
    <font>
      <sz val="12"/>
      <color rgb="FF000000"/>
      <name val="Calibri"/>
      <family val="2"/>
      <scheme val="minor"/>
    </font>
    <font>
      <sz val="11"/>
      <name val="Cambria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5" applyNumberFormat="1" applyFont="1"/>
    <xf numFmtId="0" fontId="0" fillId="2" borderId="0" xfId="0" applyFill="1"/>
    <xf numFmtId="0" fontId="0" fillId="0" borderId="0" xfId="0" applyFill="1"/>
    <xf numFmtId="49" fontId="0" fillId="0" borderId="0" xfId="0" applyNumberFormat="1"/>
    <xf numFmtId="44" fontId="4" fillId="0" borderId="0" xfId="5" applyFont="1" applyFill="1" applyBorder="1"/>
    <xf numFmtId="44" fontId="0" fillId="0" borderId="0" xfId="5" applyFont="1" applyFill="1" applyBorder="1"/>
    <xf numFmtId="44" fontId="5" fillId="0" borderId="0" xfId="5" applyFont="1" applyFill="1" applyBorder="1"/>
    <xf numFmtId="44" fontId="4" fillId="0" borderId="0" xfId="5" applyFont="1" applyFill="1" applyBorder="1" applyAlignment="1">
      <alignment horizontal="left"/>
    </xf>
    <xf numFmtId="44" fontId="5" fillId="0" borderId="0" xfId="5" applyFont="1" applyBorder="1"/>
    <xf numFmtId="44" fontId="5" fillId="0" borderId="0" xfId="5" applyFont="1"/>
    <xf numFmtId="44" fontId="0" fillId="0" borderId="0" xfId="5" applyFont="1"/>
    <xf numFmtId="0" fontId="0" fillId="3" borderId="0" xfId="0" applyFill="1"/>
    <xf numFmtId="1" fontId="0" fillId="0" borderId="0" xfId="0" applyNumberFormat="1"/>
    <xf numFmtId="0" fontId="0" fillId="0" borderId="0" xfId="0" applyFill="1" applyAlignment="1">
      <alignment horizontal="center"/>
    </xf>
    <xf numFmtId="3" fontId="0" fillId="0" borderId="0" xfId="0" applyNumberFormat="1" applyFill="1"/>
    <xf numFmtId="1" fontId="6" fillId="0" borderId="0" xfId="0" applyNumberFormat="1" applyFont="1"/>
    <xf numFmtId="44" fontId="7" fillId="0" borderId="0" xfId="0" applyNumberFormat="1" applyFont="1"/>
    <xf numFmtId="164" fontId="0" fillId="0" borderId="0" xfId="0" applyNumberFormat="1"/>
    <xf numFmtId="0" fontId="0" fillId="0" borderId="1" xfId="0" applyNumberFormat="1" applyBorder="1" applyAlignment="1">
      <alignment horizontal="center" wrapText="1"/>
    </xf>
    <xf numFmtId="0" fontId="0" fillId="0" borderId="0" xfId="0" applyFill="1" applyBorder="1"/>
    <xf numFmtId="165" fontId="0" fillId="0" borderId="0" xfId="0" applyNumberFormat="1" applyBorder="1" applyAlignment="1">
      <alignment horizontal="center" wrapText="1"/>
    </xf>
    <xf numFmtId="0" fontId="0" fillId="4" borderId="0" xfId="0" applyFill="1" applyAlignment="1">
      <alignment horizontal="center"/>
    </xf>
  </cellXfs>
  <cellStyles count="586">
    <cellStyle name="Currency" xfId="5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 Waste Supply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States without Organics Ban</c:v>
          </c:tx>
          <c:marker>
            <c:symbol val="none"/>
          </c:marker>
          <c:xVal>
            <c:numRef>
              <c:f>'MRF SORTING'!$K$16:$K$60</c:f>
              <c:numCache>
                <c:formatCode>#,##0.0</c:formatCode>
                <c:ptCount val="45"/>
                <c:pt idx="0">
                  <c:v>10.661191792</c:v>
                </c:pt>
                <c:pt idx="1">
                  <c:v>11.585375238</c:v>
                </c:pt>
                <c:pt idx="2">
                  <c:v>12.8511711</c:v>
                </c:pt>
                <c:pt idx="3">
                  <c:v>13.412525372</c:v>
                </c:pt>
                <c:pt idx="4">
                  <c:v>14.441413658</c:v>
                </c:pt>
                <c:pt idx="5">
                  <c:v>14.623800318</c:v>
                </c:pt>
                <c:pt idx="6">
                  <c:v>14.781194438</c:v>
                </c:pt>
                <c:pt idx="7">
                  <c:v>18.555640398</c:v>
                </c:pt>
                <c:pt idx="8">
                  <c:v>20.460332514</c:v>
                </c:pt>
                <c:pt idx="9">
                  <c:v>20.750407154</c:v>
                </c:pt>
                <c:pt idx="10">
                  <c:v>21.046389474</c:v>
                </c:pt>
                <c:pt idx="11">
                  <c:v>23.544967508</c:v>
                </c:pt>
                <c:pt idx="12">
                  <c:v>24.81832871</c:v>
                </c:pt>
                <c:pt idx="13">
                  <c:v>25.455365064</c:v>
                </c:pt>
                <c:pt idx="14">
                  <c:v>26.033738304</c:v>
                </c:pt>
                <c:pt idx="15">
                  <c:v>26.88004801</c:v>
                </c:pt>
                <c:pt idx="16">
                  <c:v>27.7601663</c:v>
                </c:pt>
                <c:pt idx="17">
                  <c:v>28.0230752</c:v>
                </c:pt>
                <c:pt idx="18">
                  <c:v>29.14993822</c:v>
                </c:pt>
                <c:pt idx="19">
                  <c:v>31.0199414</c:v>
                </c:pt>
                <c:pt idx="20">
                  <c:v>32.092210948</c:v>
                </c:pt>
                <c:pt idx="21">
                  <c:v>32.663390818</c:v>
                </c:pt>
                <c:pt idx="22">
                  <c:v>33.847665824</c:v>
                </c:pt>
                <c:pt idx="23">
                  <c:v>34.044284032</c:v>
                </c:pt>
                <c:pt idx="24">
                  <c:v>34.430634422</c:v>
                </c:pt>
                <c:pt idx="25">
                  <c:v>34.995538976</c:v>
                </c:pt>
                <c:pt idx="26">
                  <c:v>35.265733526</c:v>
                </c:pt>
                <c:pt idx="27">
                  <c:v>36.959344496</c:v>
                </c:pt>
                <c:pt idx="28">
                  <c:v>37.35044536</c:v>
                </c:pt>
                <c:pt idx="29">
                  <c:v>41.132398538</c:v>
                </c:pt>
                <c:pt idx="30">
                  <c:v>42.99277896</c:v>
                </c:pt>
                <c:pt idx="31">
                  <c:v>43.136708818</c:v>
                </c:pt>
                <c:pt idx="32">
                  <c:v>45.407218898</c:v>
                </c:pt>
                <c:pt idx="33">
                  <c:v>46.139943606</c:v>
                </c:pt>
                <c:pt idx="34">
                  <c:v>48.692751848</c:v>
                </c:pt>
                <c:pt idx="35">
                  <c:v>49.612748404</c:v>
                </c:pt>
                <c:pt idx="36">
                  <c:v>49.783124466</c:v>
                </c:pt>
                <c:pt idx="37">
                  <c:v>51.048178416</c:v>
                </c:pt>
                <c:pt idx="38">
                  <c:v>56.14966294</c:v>
                </c:pt>
                <c:pt idx="39">
                  <c:v>56.683317364</c:v>
                </c:pt>
                <c:pt idx="40">
                  <c:v>58.281408386</c:v>
                </c:pt>
                <c:pt idx="41">
                  <c:v>59.590602102</c:v>
                </c:pt>
                <c:pt idx="42">
                  <c:v>59.93887047600001</c:v>
                </c:pt>
                <c:pt idx="43">
                  <c:v>61.084351348</c:v>
                </c:pt>
                <c:pt idx="44">
                  <c:v>61.196058488</c:v>
                </c:pt>
              </c:numCache>
            </c:numRef>
          </c:xVal>
          <c:yVal>
            <c:numRef>
              <c:f>'MRF SORTING'!$O$16:$O$60</c:f>
              <c:numCache>
                <c:formatCode>General</c:formatCode>
                <c:ptCount val="45"/>
                <c:pt idx="0">
                  <c:v>-10.71703847849051</c:v>
                </c:pt>
                <c:pt idx="1">
                  <c:v>64.26720357570624</c:v>
                </c:pt>
                <c:pt idx="2">
                  <c:v>111.8399552201242</c:v>
                </c:pt>
                <c:pt idx="3">
                  <c:v>156.1538590340185</c:v>
                </c:pt>
                <c:pt idx="4">
                  <c:v>206.9155416636975</c:v>
                </c:pt>
                <c:pt idx="5">
                  <c:v>189.8500115759578</c:v>
                </c:pt>
                <c:pt idx="6">
                  <c:v>259.0426581384402</c:v>
                </c:pt>
                <c:pt idx="7">
                  <c:v>293.0706035911137</c:v>
                </c:pt>
                <c:pt idx="8">
                  <c:v>333.6661766292484</c:v>
                </c:pt>
                <c:pt idx="9">
                  <c:v>361.3322130363975</c:v>
                </c:pt>
                <c:pt idx="10">
                  <c:v>398.7075340312436</c:v>
                </c:pt>
                <c:pt idx="11">
                  <c:v>426.9096139135881</c:v>
                </c:pt>
                <c:pt idx="12">
                  <c:v>466.0198651216216</c:v>
                </c:pt>
                <c:pt idx="13">
                  <c:v>506.221079376841</c:v>
                </c:pt>
                <c:pt idx="14">
                  <c:v>555.8897733393234</c:v>
                </c:pt>
                <c:pt idx="15">
                  <c:v>596.5705237123361</c:v>
                </c:pt>
                <c:pt idx="16">
                  <c:v>642.2573386934528</c:v>
                </c:pt>
                <c:pt idx="17">
                  <c:v>651.0042316242858</c:v>
                </c:pt>
                <c:pt idx="18">
                  <c:v>680.3343323241016</c:v>
                </c:pt>
                <c:pt idx="19">
                  <c:v>705.9550923814058</c:v>
                </c:pt>
                <c:pt idx="20">
                  <c:v>742.227602278936</c:v>
                </c:pt>
                <c:pt idx="21">
                  <c:v>789.1331089387517</c:v>
                </c:pt>
                <c:pt idx="22">
                  <c:v>829.714949707802</c:v>
                </c:pt>
                <c:pt idx="23">
                  <c:v>875.9210166571051</c:v>
                </c:pt>
                <c:pt idx="24">
                  <c:v>923.614055567541</c:v>
                </c:pt>
                <c:pt idx="25">
                  <c:v>976.9629925188622</c:v>
                </c:pt>
                <c:pt idx="26">
                  <c:v>976.0588556070824</c:v>
                </c:pt>
                <c:pt idx="27">
                  <c:v>990.6582956117554</c:v>
                </c:pt>
                <c:pt idx="28">
                  <c:v>1042.504171066809</c:v>
                </c:pt>
                <c:pt idx="29">
                  <c:v>1053.879831318528</c:v>
                </c:pt>
                <c:pt idx="30">
                  <c:v>1088.042676308725</c:v>
                </c:pt>
                <c:pt idx="31">
                  <c:v>1146.579027040329</c:v>
                </c:pt>
                <c:pt idx="32">
                  <c:v>1182.610645859317</c:v>
                </c:pt>
                <c:pt idx="33">
                  <c:v>1234.316168993513</c:v>
                </c:pt>
                <c:pt idx="34">
                  <c:v>1247.265263839632</c:v>
                </c:pt>
                <c:pt idx="35">
                  <c:v>1293.130559179566</c:v>
                </c:pt>
                <c:pt idx="36">
                  <c:v>1329.513041400952</c:v>
                </c:pt>
                <c:pt idx="37">
                  <c:v>1375.490339327434</c:v>
                </c:pt>
                <c:pt idx="38">
                  <c:v>1422.569676672065</c:v>
                </c:pt>
                <c:pt idx="39">
                  <c:v>1481.896934557162</c:v>
                </c:pt>
                <c:pt idx="40">
                  <c:v>1511.835236878904</c:v>
                </c:pt>
                <c:pt idx="41">
                  <c:v>1513.154385868269</c:v>
                </c:pt>
                <c:pt idx="42">
                  <c:v>1545.126325009479</c:v>
                </c:pt>
                <c:pt idx="43">
                  <c:v>1571.594561541783</c:v>
                </c:pt>
                <c:pt idx="44">
                  <c:v>1622.610139170266</c:v>
                </c:pt>
              </c:numCache>
            </c:numRef>
          </c:yVal>
          <c:smooth val="1"/>
        </c:ser>
        <c:ser>
          <c:idx val="0"/>
          <c:order val="1"/>
          <c:tx>
            <c:v>States with Organics Bans</c:v>
          </c:tx>
          <c:marker>
            <c:symbol val="none"/>
          </c:marker>
          <c:xVal>
            <c:numRef>
              <c:f>'MRF SORTING'!$K$8:$K$14</c:f>
              <c:numCache>
                <c:formatCode>#,##0.0</c:formatCode>
                <c:ptCount val="7"/>
                <c:pt idx="0">
                  <c:v>0.75385388</c:v>
                </c:pt>
                <c:pt idx="1">
                  <c:v>0.96371575</c:v>
                </c:pt>
                <c:pt idx="2">
                  <c:v>8.336113442</c:v>
                </c:pt>
                <c:pt idx="3">
                  <c:v>9.034484512</c:v>
                </c:pt>
                <c:pt idx="4">
                  <c:v>9.160531926</c:v>
                </c:pt>
                <c:pt idx="5">
                  <c:v>10.525465576</c:v>
                </c:pt>
                <c:pt idx="6">
                  <c:v>10.5</c:v>
                </c:pt>
              </c:numCache>
            </c:numRef>
          </c:xVal>
          <c:yVal>
            <c:numRef>
              <c:f>'MRF SORTING'!$O$8:$O$14</c:f>
              <c:numCache>
                <c:formatCode>General</c:formatCode>
                <c:ptCount val="7"/>
                <c:pt idx="0">
                  <c:v>-45.70443661971832</c:v>
                </c:pt>
                <c:pt idx="1">
                  <c:v>-128.046103286385</c:v>
                </c:pt>
                <c:pt idx="2">
                  <c:v>-183.7868608621425</c:v>
                </c:pt>
                <c:pt idx="3">
                  <c:v>-273.1825197768712</c:v>
                </c:pt>
                <c:pt idx="4">
                  <c:v>-364.3921583310881</c:v>
                </c:pt>
                <c:pt idx="5">
                  <c:v>-442.6753794849343</c:v>
                </c:pt>
                <c:pt idx="6">
                  <c:v>-10.71703847849051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09480"/>
        <c:axId val="2106787976"/>
      </c:scatterChart>
      <c:valAx>
        <c:axId val="210910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Wet</a:t>
                </a:r>
                <a:r>
                  <a:rPr lang="en-US" baseline="0"/>
                  <a:t> Tons</a:t>
                </a:r>
                <a:endParaRPr lang="en-US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106787976"/>
        <c:crosses val="autoZero"/>
        <c:crossBetween val="midCat"/>
      </c:valAx>
      <c:valAx>
        <c:axId val="210678797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Dollar per Wet 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0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12</xdr:row>
      <xdr:rowOff>152400</xdr:rowOff>
    </xdr:from>
    <xdr:to>
      <xdr:col>23</xdr:col>
      <xdr:colOff>723900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O60"/>
  <sheetViews>
    <sheetView tabSelected="1" topLeftCell="D1" workbookViewId="0">
      <selection activeCell="N26" sqref="N26"/>
    </sheetView>
  </sheetViews>
  <sheetFormatPr baseColWidth="10" defaultRowHeight="15" x14ac:dyDescent="0"/>
  <cols>
    <col min="1" max="1" width="19.1640625" customWidth="1"/>
    <col min="2" max="2" width="14.1640625" bestFit="1" customWidth="1"/>
    <col min="3" max="4" width="13" customWidth="1"/>
    <col min="5" max="5" width="15.83203125" customWidth="1"/>
  </cols>
  <sheetData>
    <row r="2" spans="1:15">
      <c r="D2" s="22" t="s">
        <v>142</v>
      </c>
      <c r="E2" s="22"/>
      <c r="F2" s="22"/>
      <c r="G2" s="22"/>
      <c r="H2" s="22"/>
      <c r="I2" s="22"/>
      <c r="J2" s="22"/>
      <c r="N2" t="s">
        <v>135</v>
      </c>
    </row>
    <row r="3" spans="1:15">
      <c r="H3" t="s">
        <v>141</v>
      </c>
      <c r="J3" t="s">
        <v>143</v>
      </c>
      <c r="N3" t="s">
        <v>49</v>
      </c>
    </row>
    <row r="4" spans="1:15">
      <c r="D4" s="16"/>
      <c r="E4" s="5" t="s">
        <v>80</v>
      </c>
      <c r="F4" s="6" t="s">
        <v>81</v>
      </c>
      <c r="G4" t="s">
        <v>82</v>
      </c>
      <c r="H4" t="s">
        <v>83</v>
      </c>
      <c r="J4" t="s">
        <v>83</v>
      </c>
      <c r="N4" t="s">
        <v>136</v>
      </c>
    </row>
    <row r="5" spans="1:15">
      <c r="D5" s="16"/>
      <c r="E5" s="19">
        <v>16.14</v>
      </c>
      <c r="F5" s="6">
        <v>2.585</v>
      </c>
      <c r="G5">
        <v>9.9400000000000002E-2</v>
      </c>
      <c r="H5">
        <v>47.383749999999992</v>
      </c>
      <c r="I5" s="15">
        <v>111707.14</v>
      </c>
      <c r="J5">
        <f>ANN_COST-TIPPING_FEE</f>
        <v>51.01557762848249</v>
      </c>
    </row>
    <row r="6" spans="1:15">
      <c r="D6" s="16"/>
      <c r="E6" s="10"/>
      <c r="F6" s="6"/>
      <c r="I6" s="15"/>
    </row>
    <row r="7" spans="1:15">
      <c r="D7" s="16"/>
      <c r="E7" s="17"/>
      <c r="L7" t="s">
        <v>138</v>
      </c>
      <c r="M7" t="s">
        <v>137</v>
      </c>
      <c r="N7" t="s">
        <v>140</v>
      </c>
      <c r="O7" t="s">
        <v>139</v>
      </c>
    </row>
    <row r="8" spans="1:15">
      <c r="D8" s="4" t="s">
        <v>121</v>
      </c>
      <c r="E8" s="7">
        <v>14.47</v>
      </c>
      <c r="F8" s="6">
        <v>2.7589999999999999</v>
      </c>
      <c r="G8">
        <v>8.8900000000000007E-2</v>
      </c>
      <c r="H8">
        <v>45.704436619718315</v>
      </c>
      <c r="I8" s="15">
        <v>753853.88</v>
      </c>
      <c r="J8">
        <v>0</v>
      </c>
      <c r="K8" s="18">
        <f>I8/1000000</f>
        <v>0.75385387999999998</v>
      </c>
      <c r="L8">
        <f>L49+J8</f>
        <v>1234.3161689935134</v>
      </c>
      <c r="M8">
        <f>J8+H8</f>
        <v>45.704436619718315</v>
      </c>
      <c r="N8">
        <f>J8-H8</f>
        <v>-45.704436619718315</v>
      </c>
      <c r="O8">
        <f>N8</f>
        <v>-45.704436619718315</v>
      </c>
    </row>
    <row r="9" spans="1:15">
      <c r="A9" t="s">
        <v>22</v>
      </c>
      <c r="B9">
        <v>10</v>
      </c>
      <c r="C9" t="s">
        <v>60</v>
      </c>
      <c r="D9" s="4" t="s">
        <v>123</v>
      </c>
      <c r="E9" s="7">
        <v>14.6</v>
      </c>
      <c r="F9" s="6">
        <v>2.5779999999999998</v>
      </c>
      <c r="G9">
        <v>0.1537</v>
      </c>
      <c r="H9">
        <v>82.341666666666669</v>
      </c>
      <c r="I9" s="15">
        <v>209861.87</v>
      </c>
      <c r="J9">
        <v>0</v>
      </c>
      <c r="K9" s="18">
        <f>K8+(I9/1000000)</f>
        <v>0.96371574999999998</v>
      </c>
      <c r="L9">
        <f>L50+J9</f>
        <v>1247.2652638396323</v>
      </c>
      <c r="M9">
        <f>J9+H9</f>
        <v>82.341666666666669</v>
      </c>
      <c r="N9">
        <f t="shared" ref="N9:N60" si="0">J9-H9</f>
        <v>-82.341666666666669</v>
      </c>
      <c r="O9">
        <f>O8+N9</f>
        <v>-128.04610328638498</v>
      </c>
    </row>
    <row r="10" spans="1:15">
      <c r="A10" t="s">
        <v>0</v>
      </c>
      <c r="B10">
        <f>(DISC_RATE*((1+DISC_RATE)^LIFE))/(((1+DISC_RATE)^LIFE)-1)</f>
        <v>0.11745962477254576</v>
      </c>
      <c r="C10" t="s">
        <v>6</v>
      </c>
      <c r="D10" s="4" t="s">
        <v>88</v>
      </c>
      <c r="E10" s="19">
        <v>14.33</v>
      </c>
      <c r="F10" s="6">
        <v>2.8660000000000001</v>
      </c>
      <c r="G10">
        <v>0.1394</v>
      </c>
      <c r="H10">
        <v>55.740757575757542</v>
      </c>
      <c r="I10" s="15">
        <v>7372397.6919999998</v>
      </c>
      <c r="J10">
        <v>0</v>
      </c>
      <c r="K10" s="18">
        <f t="shared" ref="K10:K60" si="1">K9+(I10/1000000)</f>
        <v>8.3361134420000003</v>
      </c>
      <c r="L10">
        <f>L19+J10</f>
        <v>156.15385903401847</v>
      </c>
      <c r="M10">
        <f>J10+H10</f>
        <v>55.740757575757542</v>
      </c>
      <c r="N10">
        <f t="shared" si="0"/>
        <v>-55.740757575757542</v>
      </c>
      <c r="O10">
        <f t="shared" ref="O10:O60" si="2">O9+N10</f>
        <v>-183.78686086214253</v>
      </c>
    </row>
    <row r="11" spans="1:15">
      <c r="A11" t="s">
        <v>1</v>
      </c>
      <c r="B11">
        <v>20</v>
      </c>
      <c r="C11" t="s">
        <v>4</v>
      </c>
      <c r="D11" s="4" t="s">
        <v>90</v>
      </c>
      <c r="E11" s="8">
        <v>15.06</v>
      </c>
      <c r="F11" s="6">
        <v>2.5779999999999998</v>
      </c>
      <c r="G11">
        <v>0.15809999999999999</v>
      </c>
      <c r="H11">
        <v>89.395658914728685</v>
      </c>
      <c r="I11" s="15">
        <v>698371.07</v>
      </c>
      <c r="J11">
        <v>0</v>
      </c>
      <c r="K11" s="18">
        <f t="shared" si="1"/>
        <v>9.0344845120000006</v>
      </c>
      <c r="L11">
        <f>L20+J11</f>
        <v>206.91554166369752</v>
      </c>
      <c r="M11">
        <f>J11+H11</f>
        <v>89.395658914728685</v>
      </c>
      <c r="N11">
        <f t="shared" si="0"/>
        <v>-89.395658914728685</v>
      </c>
      <c r="O11">
        <f t="shared" si="2"/>
        <v>-273.18251977687123</v>
      </c>
    </row>
    <row r="12" spans="1:15">
      <c r="A12" t="s">
        <v>2</v>
      </c>
      <c r="B12">
        <v>0.1</v>
      </c>
      <c r="C12" t="s">
        <v>5</v>
      </c>
      <c r="D12" s="4" t="s">
        <v>129</v>
      </c>
      <c r="E12" s="10">
        <v>13.63</v>
      </c>
      <c r="F12" s="6">
        <v>2.5779999999999998</v>
      </c>
      <c r="G12">
        <v>0.1472</v>
      </c>
      <c r="H12">
        <v>91.209638554216895</v>
      </c>
      <c r="I12" s="15">
        <v>126047.414</v>
      </c>
      <c r="J12">
        <v>0</v>
      </c>
      <c r="K12" s="18">
        <f t="shared" si="1"/>
        <v>9.1605319260000009</v>
      </c>
      <c r="L12">
        <f>L55+J12</f>
        <v>1481.8969345571625</v>
      </c>
      <c r="M12">
        <f>J12+H12</f>
        <v>91.209638554216895</v>
      </c>
      <c r="N12">
        <f t="shared" si="0"/>
        <v>-91.209638554216895</v>
      </c>
      <c r="O12">
        <f t="shared" si="2"/>
        <v>-364.39215833108813</v>
      </c>
    </row>
    <row r="13" spans="1:15">
      <c r="A13" t="s">
        <v>3</v>
      </c>
      <c r="B13">
        <f>CRF*CAPEX2+OP_COST</f>
        <v>98.399327628482482</v>
      </c>
      <c r="C13" s="3" t="s">
        <v>54</v>
      </c>
      <c r="D13" s="4" t="s">
        <v>105</v>
      </c>
      <c r="E13" s="7">
        <v>15.1</v>
      </c>
      <c r="F13" s="6">
        <v>2.5779999999999998</v>
      </c>
      <c r="G13">
        <v>0.1502</v>
      </c>
      <c r="H13">
        <v>78.283221153846185</v>
      </c>
      <c r="I13" s="15">
        <v>1364933.65</v>
      </c>
      <c r="J13">
        <v>0</v>
      </c>
      <c r="K13" s="18">
        <f t="shared" si="1"/>
        <v>10.525465576</v>
      </c>
      <c r="L13">
        <f>L34+J13</f>
        <v>680.33433232410164</v>
      </c>
      <c r="M13">
        <f>J13+H13</f>
        <v>78.283221153846185</v>
      </c>
      <c r="N13">
        <f t="shared" si="0"/>
        <v>-78.283221153846185</v>
      </c>
      <c r="O13">
        <f t="shared" si="2"/>
        <v>-442.6753794849343</v>
      </c>
    </row>
    <row r="14" spans="1:15">
      <c r="C14" s="3"/>
      <c r="D14" s="4"/>
      <c r="E14" s="7"/>
      <c r="F14" s="6"/>
      <c r="I14" s="15"/>
      <c r="K14" s="18">
        <v>10.5</v>
      </c>
      <c r="O14">
        <f>O16</f>
        <v>-10.717038478490508</v>
      </c>
    </row>
    <row r="15" spans="1:15">
      <c r="A15" t="s">
        <v>7</v>
      </c>
      <c r="B15">
        <f>(CON_COST+LAND_COST+ENG_COST+EQUIP_COST)*1.65</f>
        <v>12863.266757934134</v>
      </c>
      <c r="C15" t="s">
        <v>67</v>
      </c>
      <c r="D15" s="4"/>
      <c r="E15" s="7"/>
      <c r="F15" s="6"/>
      <c r="I15" s="15"/>
      <c r="K15" s="18"/>
    </row>
    <row r="16" spans="1:15">
      <c r="A16" t="s">
        <v>8</v>
      </c>
      <c r="B16">
        <v>40</v>
      </c>
      <c r="C16" t="s">
        <v>9</v>
      </c>
      <c r="D16" s="4" t="s">
        <v>84</v>
      </c>
      <c r="E16" s="7">
        <v>11.79</v>
      </c>
      <c r="F16" s="6">
        <v>2.472</v>
      </c>
      <c r="G16">
        <v>0.20349999999999999</v>
      </c>
      <c r="H16">
        <v>86.032972972972971</v>
      </c>
      <c r="I16" s="15">
        <v>135726.21599999999</v>
      </c>
      <c r="J16">
        <v>-10.717038478490508</v>
      </c>
      <c r="K16" s="18">
        <f>K13+(I16/1000000)</f>
        <v>10.661191792</v>
      </c>
      <c r="L16">
        <f>J16</f>
        <v>-10.717038478490508</v>
      </c>
      <c r="M16">
        <f>J16+H16</f>
        <v>75.315934494482462</v>
      </c>
      <c r="N16">
        <f>J16</f>
        <v>-10.717038478490508</v>
      </c>
      <c r="O16">
        <f>N16</f>
        <v>-10.717038478490508</v>
      </c>
    </row>
    <row r="17" spans="1:15">
      <c r="A17" t="s">
        <v>10</v>
      </c>
      <c r="B17">
        <f>TIP_AREA+PROCESS_AREA+OFFICE_AREA</f>
        <v>91.033333333333331</v>
      </c>
      <c r="C17" t="s">
        <v>73</v>
      </c>
      <c r="D17" s="4" t="s">
        <v>85</v>
      </c>
      <c r="E17" s="7">
        <v>17.73</v>
      </c>
      <c r="F17" s="6">
        <v>2.3069999999999999</v>
      </c>
      <c r="G17">
        <v>0.1144</v>
      </c>
      <c r="H17">
        <v>32.144285714285715</v>
      </c>
      <c r="I17" s="15">
        <v>924183.446</v>
      </c>
      <c r="J17">
        <v>74.984242054196756</v>
      </c>
      <c r="K17" s="18">
        <f t="shared" si="1"/>
        <v>11.585375238000001</v>
      </c>
      <c r="L17">
        <f>L16+J17</f>
        <v>64.267203575706247</v>
      </c>
      <c r="M17">
        <f t="shared" ref="M17:M66" si="3">J17+H17</f>
        <v>107.12852776848247</v>
      </c>
      <c r="N17">
        <f t="shared" ref="N17:N60" si="4">J17</f>
        <v>74.984242054196756</v>
      </c>
      <c r="O17">
        <f t="shared" si="2"/>
        <v>64.267203575706247</v>
      </c>
    </row>
    <row r="18" spans="1:15">
      <c r="A18" t="s">
        <v>11</v>
      </c>
      <c r="B18">
        <f>MFI*TIP_STOR*2000/(NL*REF_HEIGHT)</f>
        <v>20.833333333333332</v>
      </c>
      <c r="C18" t="s">
        <v>48</v>
      </c>
      <c r="D18" s="4" t="s">
        <v>86</v>
      </c>
      <c r="E18" s="7">
        <v>13.8</v>
      </c>
      <c r="F18" s="6">
        <v>2.7589999999999999</v>
      </c>
      <c r="G18">
        <v>0.1023</v>
      </c>
      <c r="H18">
        <v>38.101532258064516</v>
      </c>
      <c r="I18" s="15">
        <v>1265795.862</v>
      </c>
      <c r="J18">
        <v>47.572751644417956</v>
      </c>
      <c r="K18" s="18">
        <f t="shared" si="1"/>
        <v>12.851171100000002</v>
      </c>
      <c r="L18">
        <f t="shared" ref="L18:L60" si="5">L17+J18</f>
        <v>111.83995522012421</v>
      </c>
      <c r="M18">
        <f t="shared" si="3"/>
        <v>85.674283902482472</v>
      </c>
      <c r="N18">
        <f t="shared" si="4"/>
        <v>47.572751644417956</v>
      </c>
      <c r="O18">
        <f t="shared" si="2"/>
        <v>111.83995522012421</v>
      </c>
    </row>
    <row r="19" spans="1:15">
      <c r="A19" t="s">
        <v>12</v>
      </c>
      <c r="B19">
        <v>2.5</v>
      </c>
      <c r="C19" t="s">
        <v>13</v>
      </c>
      <c r="D19" s="4" t="s">
        <v>87</v>
      </c>
      <c r="E19" s="7">
        <v>12.08</v>
      </c>
      <c r="F19" s="6">
        <v>2.3069999999999999</v>
      </c>
      <c r="G19">
        <v>8.5000000000000006E-2</v>
      </c>
      <c r="H19">
        <v>31.771176470588234</v>
      </c>
      <c r="I19" s="15">
        <v>561354.272</v>
      </c>
      <c r="J19">
        <v>44.313903813894242</v>
      </c>
      <c r="K19" s="18">
        <f t="shared" si="1"/>
        <v>13.412525372000001</v>
      </c>
      <c r="L19">
        <f t="shared" si="5"/>
        <v>156.15385903401847</v>
      </c>
      <c r="M19">
        <f t="shared" si="3"/>
        <v>76.085080284482473</v>
      </c>
      <c r="N19">
        <f t="shared" si="4"/>
        <v>44.313903813894242</v>
      </c>
      <c r="O19">
        <f t="shared" si="2"/>
        <v>156.15385903401847</v>
      </c>
    </row>
    <row r="20" spans="1:15">
      <c r="A20" t="s">
        <v>14</v>
      </c>
      <c r="B20">
        <f>0.5</f>
        <v>0.5</v>
      </c>
      <c r="C20" t="s">
        <v>15</v>
      </c>
      <c r="D20" s="4" t="s">
        <v>89</v>
      </c>
      <c r="E20" s="7">
        <v>13.99</v>
      </c>
      <c r="F20" s="6">
        <v>2.585</v>
      </c>
      <c r="G20">
        <v>9.64E-2</v>
      </c>
      <c r="H20">
        <v>35.878803418803415</v>
      </c>
      <c r="I20" s="15">
        <v>1028888.286</v>
      </c>
      <c r="J20">
        <v>50.761682629679058</v>
      </c>
      <c r="K20" s="18">
        <f t="shared" si="1"/>
        <v>14.441413658000002</v>
      </c>
      <c r="L20">
        <f t="shared" si="5"/>
        <v>206.91554166369752</v>
      </c>
      <c r="M20">
        <f>J20+H20</f>
        <v>86.640486048482472</v>
      </c>
      <c r="N20">
        <f t="shared" si="4"/>
        <v>50.761682629679058</v>
      </c>
      <c r="O20">
        <f t="shared" si="2"/>
        <v>206.91554166369752</v>
      </c>
    </row>
    <row r="21" spans="1:15">
      <c r="A21" t="s">
        <v>16</v>
      </c>
      <c r="B21">
        <v>12</v>
      </c>
      <c r="C21" t="s">
        <v>17</v>
      </c>
      <c r="D21" s="4" t="s">
        <v>91</v>
      </c>
      <c r="E21" s="7">
        <v>13.62</v>
      </c>
      <c r="F21" s="6">
        <v>2.6709999999999998</v>
      </c>
      <c r="G21">
        <v>9.9500000000000005E-2</v>
      </c>
      <c r="H21">
        <v>101.72222222222223</v>
      </c>
      <c r="I21" s="15">
        <v>182386.66</v>
      </c>
      <c r="J21">
        <v>-17.065530087739759</v>
      </c>
      <c r="K21" s="18">
        <f t="shared" si="1"/>
        <v>14.623800318000002</v>
      </c>
      <c r="L21">
        <f t="shared" si="5"/>
        <v>189.85001157595775</v>
      </c>
      <c r="M21">
        <f>J21+H21</f>
        <v>84.656692134482469</v>
      </c>
      <c r="N21">
        <f t="shared" si="4"/>
        <v>-17.065530087739759</v>
      </c>
      <c r="O21">
        <f t="shared" si="2"/>
        <v>189.85001157595775</v>
      </c>
    </row>
    <row r="22" spans="1:15">
      <c r="A22" t="s">
        <v>18</v>
      </c>
      <c r="B22">
        <f>10</f>
        <v>10</v>
      </c>
      <c r="C22" t="s">
        <v>19</v>
      </c>
      <c r="D22" s="4" t="s">
        <v>92</v>
      </c>
      <c r="E22" s="7">
        <v>22.17</v>
      </c>
      <c r="F22" s="6">
        <v>2.6709999999999998</v>
      </c>
      <c r="G22">
        <v>0.1193</v>
      </c>
      <c r="H22">
        <v>62.277999999999999</v>
      </c>
      <c r="I22" s="15">
        <v>157394.12</v>
      </c>
      <c r="J22">
        <v>69.19264656248248</v>
      </c>
      <c r="K22" s="18">
        <f t="shared" si="1"/>
        <v>14.781194438000002</v>
      </c>
      <c r="L22">
        <f t="shared" si="5"/>
        <v>259.04265813844023</v>
      </c>
      <c r="M22">
        <f>J22+H22</f>
        <v>131.47064656248247</v>
      </c>
      <c r="N22">
        <f t="shared" si="4"/>
        <v>69.19264656248248</v>
      </c>
      <c r="O22">
        <f t="shared" si="2"/>
        <v>259.04265813844023</v>
      </c>
    </row>
    <row r="23" spans="1:15">
      <c r="A23" t="s">
        <v>20</v>
      </c>
      <c r="B23">
        <f>(4*30*0.5*60*7*10)/(2000)</f>
        <v>126</v>
      </c>
      <c r="C23" t="s">
        <v>25</v>
      </c>
      <c r="D23" s="4" t="s">
        <v>93</v>
      </c>
      <c r="E23" s="7">
        <v>12.97</v>
      </c>
      <c r="F23" s="6">
        <v>2.407</v>
      </c>
      <c r="G23">
        <v>9.5500000000000002E-2</v>
      </c>
      <c r="H23">
        <v>47.004472361809043</v>
      </c>
      <c r="I23" s="15">
        <v>3774445.96</v>
      </c>
      <c r="J23">
        <v>34.027945452673443</v>
      </c>
      <c r="K23" s="18">
        <f t="shared" si="1"/>
        <v>18.555640398000001</v>
      </c>
      <c r="L23">
        <f t="shared" si="5"/>
        <v>293.0706035911137</v>
      </c>
      <c r="M23">
        <f>J23+H23</f>
        <v>81.032417814482486</v>
      </c>
      <c r="N23">
        <f t="shared" si="4"/>
        <v>34.027945452673443</v>
      </c>
      <c r="O23">
        <f t="shared" si="2"/>
        <v>293.0706035911137</v>
      </c>
    </row>
    <row r="24" spans="1:15">
      <c r="A24" t="s">
        <v>21</v>
      </c>
      <c r="B24">
        <f>ROUNDUP(TPD/CONV_CAP,0)</f>
        <v>1</v>
      </c>
      <c r="C24" t="s">
        <v>24</v>
      </c>
      <c r="D24" s="4" t="s">
        <v>94</v>
      </c>
      <c r="E24" s="7">
        <v>13</v>
      </c>
      <c r="F24" s="6">
        <v>2.407</v>
      </c>
      <c r="G24">
        <v>0.1003</v>
      </c>
      <c r="H24">
        <v>40.632391304347827</v>
      </c>
      <c r="I24" s="15">
        <v>1904692.1159999999</v>
      </c>
      <c r="J24">
        <v>40.595573038134667</v>
      </c>
      <c r="K24" s="18">
        <f t="shared" si="1"/>
        <v>20.460332514000001</v>
      </c>
      <c r="L24">
        <f t="shared" si="5"/>
        <v>333.66617662924835</v>
      </c>
      <c r="M24">
        <f>J24+H24</f>
        <v>81.227964342482494</v>
      </c>
      <c r="N24">
        <f t="shared" si="4"/>
        <v>40.595573038134667</v>
      </c>
      <c r="O24">
        <f t="shared" si="2"/>
        <v>333.66617662924835</v>
      </c>
    </row>
    <row r="25" spans="1:15">
      <c r="A25" t="s">
        <v>23</v>
      </c>
      <c r="B25">
        <f>4+(NUM_CONV*8)</f>
        <v>12</v>
      </c>
      <c r="C25" t="s">
        <v>19</v>
      </c>
      <c r="D25" s="4" t="s">
        <v>95</v>
      </c>
      <c r="E25" s="5">
        <v>17.18</v>
      </c>
      <c r="F25" s="6">
        <v>2.742</v>
      </c>
      <c r="G25">
        <v>0.2646</v>
      </c>
      <c r="H25">
        <v>77.533333333333331</v>
      </c>
      <c r="I25" s="15">
        <v>290074.64</v>
      </c>
      <c r="J25">
        <v>27.66603640714915</v>
      </c>
      <c r="K25" s="18">
        <f t="shared" si="1"/>
        <v>20.750407154000001</v>
      </c>
      <c r="L25">
        <f t="shared" si="5"/>
        <v>361.33221303639749</v>
      </c>
      <c r="M25">
        <f>J25+H25</f>
        <v>105.19936974048248</v>
      </c>
      <c r="N25">
        <f t="shared" si="4"/>
        <v>27.66603640714915</v>
      </c>
      <c r="O25">
        <f t="shared" si="2"/>
        <v>361.33221303639749</v>
      </c>
    </row>
    <row r="26" spans="1:15">
      <c r="A26" t="s">
        <v>26</v>
      </c>
      <c r="B26">
        <f>(SORT_WIDTH*CONV_LENGTH)+(MFI*8)+20</f>
        <v>59.2</v>
      </c>
      <c r="C26" t="s">
        <v>36</v>
      </c>
      <c r="D26" s="4" t="s">
        <v>96</v>
      </c>
      <c r="E26" s="5">
        <v>13.35</v>
      </c>
      <c r="F26" s="6">
        <v>2.585</v>
      </c>
      <c r="G26">
        <v>7.9899999999999999E-2</v>
      </c>
      <c r="H26">
        <v>45.661636363636369</v>
      </c>
      <c r="I26" s="15">
        <v>295982.32</v>
      </c>
      <c r="J26">
        <v>37.375320994846113</v>
      </c>
      <c r="K26" s="18">
        <f t="shared" si="1"/>
        <v>21.046389474000001</v>
      </c>
      <c r="L26">
        <f t="shared" si="5"/>
        <v>398.7075340312436</v>
      </c>
      <c r="M26">
        <f>J26+H26</f>
        <v>83.036957358482482</v>
      </c>
      <c r="N26">
        <f t="shared" si="4"/>
        <v>37.375320994846113</v>
      </c>
      <c r="O26">
        <f t="shared" si="2"/>
        <v>398.7075340312436</v>
      </c>
    </row>
    <row r="27" spans="1:15">
      <c r="A27" t="s">
        <v>27</v>
      </c>
      <c r="B27">
        <f>N_PICK*4*2/2</f>
        <v>1.5999999999999999</v>
      </c>
      <c r="C27" t="s">
        <v>19</v>
      </c>
      <c r="D27" s="4" t="s">
        <v>97</v>
      </c>
      <c r="E27" s="9">
        <v>13.69</v>
      </c>
      <c r="F27" s="6">
        <v>2.403</v>
      </c>
      <c r="G27">
        <v>9.0700000000000003E-2</v>
      </c>
      <c r="H27">
        <v>56.729051724137939</v>
      </c>
      <c r="I27" s="15">
        <v>2498578.034</v>
      </c>
      <c r="J27">
        <v>28.202079882344528</v>
      </c>
      <c r="K27" s="18">
        <f t="shared" si="1"/>
        <v>23.544967508000003</v>
      </c>
      <c r="L27">
        <f t="shared" si="5"/>
        <v>426.90961391358815</v>
      </c>
      <c r="M27">
        <f>J27+H27</f>
        <v>84.931131606482467</v>
      </c>
      <c r="N27">
        <f t="shared" si="4"/>
        <v>28.202079882344528</v>
      </c>
      <c r="O27">
        <f t="shared" si="2"/>
        <v>426.90961391358815</v>
      </c>
    </row>
    <row r="28" spans="1:15">
      <c r="A28" t="s">
        <v>28</v>
      </c>
      <c r="B28" s="1">
        <f>(SE/(PR*HR_DAY))</f>
        <v>0.39999999999999997</v>
      </c>
      <c r="C28" t="s">
        <v>34</v>
      </c>
      <c r="D28" s="4" t="s">
        <v>98</v>
      </c>
      <c r="E28" s="5">
        <v>13.92</v>
      </c>
      <c r="F28" s="6">
        <v>2.403</v>
      </c>
      <c r="G28">
        <v>0.1041</v>
      </c>
      <c r="H28">
        <v>47.165306122448989</v>
      </c>
      <c r="I28" s="15">
        <v>1273361.202</v>
      </c>
      <c r="J28">
        <v>39.110251208033482</v>
      </c>
      <c r="K28" s="18">
        <f t="shared" si="1"/>
        <v>24.818328710000003</v>
      </c>
      <c r="L28">
        <f t="shared" si="5"/>
        <v>466.01986512162165</v>
      </c>
      <c r="M28">
        <f>J28+H28</f>
        <v>86.275557330482471</v>
      </c>
      <c r="N28">
        <f t="shared" si="4"/>
        <v>39.110251208033482</v>
      </c>
      <c r="O28">
        <f t="shared" si="2"/>
        <v>466.01986512162165</v>
      </c>
    </row>
    <row r="29" spans="1:15">
      <c r="A29" t="s">
        <v>29</v>
      </c>
      <c r="B29">
        <v>7</v>
      </c>
      <c r="C29" t="s">
        <v>30</v>
      </c>
      <c r="D29" s="4" t="s">
        <v>99</v>
      </c>
      <c r="E29" s="7">
        <v>14.16</v>
      </c>
      <c r="F29" s="6">
        <v>2.403</v>
      </c>
      <c r="G29">
        <v>8.9599999999999999E-2</v>
      </c>
      <c r="H29">
        <v>47.288842105263164</v>
      </c>
      <c r="I29" s="15">
        <v>637036.35400000005</v>
      </c>
      <c r="J29">
        <v>40.201214255219305</v>
      </c>
      <c r="K29" s="18">
        <f t="shared" si="1"/>
        <v>25.455365064000002</v>
      </c>
      <c r="L29">
        <f t="shared" si="5"/>
        <v>506.22107937684098</v>
      </c>
      <c r="M29">
        <f>J29+H29</f>
        <v>87.49005636048247</v>
      </c>
      <c r="N29">
        <f t="shared" si="4"/>
        <v>40.201214255219305</v>
      </c>
      <c r="O29">
        <f t="shared" si="2"/>
        <v>506.22107937684098</v>
      </c>
    </row>
    <row r="30" spans="1:15">
      <c r="A30" t="s">
        <v>31</v>
      </c>
      <c r="B30" s="2">
        <f>0.25</f>
        <v>0.25</v>
      </c>
      <c r="C30" t="s">
        <v>25</v>
      </c>
      <c r="D30" s="4" t="s">
        <v>100</v>
      </c>
      <c r="E30" s="7">
        <v>14.04</v>
      </c>
      <c r="F30" s="6">
        <v>2.403</v>
      </c>
      <c r="G30">
        <v>0.1053</v>
      </c>
      <c r="H30">
        <v>37.269999999999996</v>
      </c>
      <c r="I30" s="15">
        <v>578373.24</v>
      </c>
      <c r="J30">
        <v>49.668693962482493</v>
      </c>
      <c r="K30" s="18">
        <f t="shared" si="1"/>
        <v>26.033738304000003</v>
      </c>
      <c r="L30">
        <f t="shared" si="5"/>
        <v>555.88977333932348</v>
      </c>
      <c r="M30">
        <f>J30+H30</f>
        <v>86.938693962482489</v>
      </c>
      <c r="N30">
        <f t="shared" si="4"/>
        <v>49.668693962482493</v>
      </c>
      <c r="O30">
        <f t="shared" si="2"/>
        <v>555.88977333932348</v>
      </c>
    </row>
    <row r="31" spans="1:15">
      <c r="A31" t="s">
        <v>32</v>
      </c>
      <c r="B31">
        <v>0.7</v>
      </c>
      <c r="C31" t="s">
        <v>33</v>
      </c>
      <c r="D31" s="4" t="s">
        <v>101</v>
      </c>
      <c r="E31" s="5">
        <v>13.36</v>
      </c>
      <c r="F31" s="6">
        <v>2.403</v>
      </c>
      <c r="G31">
        <v>9.7600000000000006E-2</v>
      </c>
      <c r="H31">
        <v>42.494216867469866</v>
      </c>
      <c r="I31" s="15">
        <v>846309.70600000001</v>
      </c>
      <c r="J31" s="3">
        <v>40.680750373012607</v>
      </c>
      <c r="K31" s="18">
        <f t="shared" si="1"/>
        <v>26.880048010000003</v>
      </c>
      <c r="L31">
        <f t="shared" si="5"/>
        <v>596.57052371233613</v>
      </c>
      <c r="M31">
        <f>J31+H31</f>
        <v>83.174967240482474</v>
      </c>
      <c r="N31">
        <f t="shared" si="4"/>
        <v>40.680750373012607</v>
      </c>
      <c r="O31">
        <f t="shared" si="2"/>
        <v>596.57052371233613</v>
      </c>
    </row>
    <row r="32" spans="1:15">
      <c r="A32" t="s">
        <v>35</v>
      </c>
      <c r="B32">
        <f>11</f>
        <v>11</v>
      </c>
      <c r="C32" t="s">
        <v>36</v>
      </c>
      <c r="D32" s="4" t="s">
        <v>102</v>
      </c>
      <c r="E32" s="7">
        <v>12.81</v>
      </c>
      <c r="F32" s="6">
        <v>2.3069999999999999</v>
      </c>
      <c r="G32">
        <v>8.8700000000000001E-2</v>
      </c>
      <c r="H32">
        <v>34.408536585365852</v>
      </c>
      <c r="I32" s="15">
        <v>880118.29</v>
      </c>
      <c r="J32">
        <v>45.686814981116626</v>
      </c>
      <c r="K32" s="18">
        <f t="shared" si="1"/>
        <v>27.760166300000002</v>
      </c>
      <c r="L32">
        <f t="shared" si="5"/>
        <v>642.25733869345277</v>
      </c>
      <c r="M32">
        <f>J32+H32</f>
        <v>80.095351566482478</v>
      </c>
      <c r="N32">
        <f t="shared" si="4"/>
        <v>45.686814981116626</v>
      </c>
      <c r="O32">
        <f t="shared" si="2"/>
        <v>642.25733869345277</v>
      </c>
    </row>
    <row r="33" spans="1:15" s="3" customFormat="1">
      <c r="A33" s="12"/>
      <c r="B33" s="12"/>
      <c r="C33" s="12"/>
      <c r="D33" s="4" t="s">
        <v>103</v>
      </c>
      <c r="E33" s="7">
        <v>13.38</v>
      </c>
      <c r="F33" s="6">
        <v>2.5779999999999998</v>
      </c>
      <c r="G33">
        <v>0.12180000000000001</v>
      </c>
      <c r="H33">
        <v>74.729690721649476</v>
      </c>
      <c r="I33" s="15">
        <v>262908.90000000002</v>
      </c>
      <c r="J33">
        <v>8.7468929308330132</v>
      </c>
      <c r="K33" s="18">
        <f t="shared" si="1"/>
        <v>28.023075200000001</v>
      </c>
      <c r="L33">
        <f t="shared" si="5"/>
        <v>651.00423162428581</v>
      </c>
      <c r="M33">
        <f>J33+H33</f>
        <v>83.476583652482489</v>
      </c>
      <c r="N33">
        <f t="shared" si="4"/>
        <v>8.7468929308330132</v>
      </c>
      <c r="O33">
        <f t="shared" si="2"/>
        <v>651.00423162428581</v>
      </c>
    </row>
    <row r="34" spans="1:15">
      <c r="A34" t="s">
        <v>37</v>
      </c>
      <c r="C34" t="s">
        <v>38</v>
      </c>
      <c r="D34" s="4" t="s">
        <v>104</v>
      </c>
      <c r="E34" s="5">
        <v>14.48</v>
      </c>
      <c r="F34" s="6">
        <v>2.6709999999999998</v>
      </c>
      <c r="G34">
        <v>0.11070000000000001</v>
      </c>
      <c r="H34">
        <v>60.096266666666672</v>
      </c>
      <c r="I34" s="15">
        <v>1126863.02</v>
      </c>
      <c r="J34">
        <v>29.330100699815809</v>
      </c>
      <c r="K34" s="18">
        <f t="shared" si="1"/>
        <v>29.149938220000003</v>
      </c>
      <c r="L34">
        <f t="shared" si="5"/>
        <v>680.33433232410164</v>
      </c>
      <c r="M34">
        <f>J34+H34</f>
        <v>89.426367366482481</v>
      </c>
      <c r="N34">
        <f t="shared" si="4"/>
        <v>29.330100699815809</v>
      </c>
      <c r="O34">
        <f t="shared" si="2"/>
        <v>680.33433232410164</v>
      </c>
    </row>
    <row r="35" spans="1:15">
      <c r="A35" t="s">
        <v>39</v>
      </c>
      <c r="B35">
        <f>(FLOOR_AREA*4*LAND_CST)/(43560)</f>
        <v>4.179675543311907</v>
      </c>
      <c r="C35" t="s">
        <v>40</v>
      </c>
      <c r="D35" s="4" t="s">
        <v>106</v>
      </c>
      <c r="E35" s="7">
        <v>13.68</v>
      </c>
      <c r="F35" s="6">
        <v>2.403</v>
      </c>
      <c r="G35">
        <v>0.1081</v>
      </c>
      <c r="H35">
        <v>59.370852713178294</v>
      </c>
      <c r="I35" s="15">
        <v>1870003.18</v>
      </c>
      <c r="J35">
        <v>25.620760057304196</v>
      </c>
      <c r="K35" s="18">
        <f t="shared" si="1"/>
        <v>31.019941400000004</v>
      </c>
      <c r="L35">
        <f t="shared" si="5"/>
        <v>705.95509238140585</v>
      </c>
      <c r="M35">
        <f>J35+H35</f>
        <v>84.99161277048249</v>
      </c>
      <c r="N35">
        <f t="shared" si="4"/>
        <v>25.620760057304196</v>
      </c>
      <c r="O35">
        <f t="shared" si="2"/>
        <v>705.95509238140585</v>
      </c>
    </row>
    <row r="36" spans="1:15">
      <c r="A36" t="s">
        <v>41</v>
      </c>
      <c r="B36" s="2">
        <v>500</v>
      </c>
      <c r="C36" t="s">
        <v>42</v>
      </c>
      <c r="D36" s="4" t="s">
        <v>107</v>
      </c>
      <c r="E36" s="5">
        <v>15.27</v>
      </c>
      <c r="F36" s="6">
        <v>2.403</v>
      </c>
      <c r="G36">
        <v>0.10589999999999999</v>
      </c>
      <c r="H36">
        <v>57.385952380952382</v>
      </c>
      <c r="I36" s="15">
        <v>1072269.548</v>
      </c>
      <c r="J36">
        <v>36.272509897530107</v>
      </c>
      <c r="K36" s="18">
        <f t="shared" si="1"/>
        <v>32.092210948000002</v>
      </c>
      <c r="L36">
        <f t="shared" si="5"/>
        <v>742.22760227893593</v>
      </c>
      <c r="M36">
        <f>J36+H36</f>
        <v>93.658462278482489</v>
      </c>
      <c r="N36">
        <f t="shared" si="4"/>
        <v>36.272509897530107</v>
      </c>
      <c r="O36">
        <f t="shared" si="2"/>
        <v>742.22760227893593</v>
      </c>
    </row>
    <row r="37" spans="1:15">
      <c r="A37" t="s">
        <v>43</v>
      </c>
      <c r="B37">
        <f>CON_COST*0.3</f>
        <v>1092.3999999999999</v>
      </c>
      <c r="C37" t="s">
        <v>40</v>
      </c>
      <c r="D37" s="4" t="s">
        <v>108</v>
      </c>
      <c r="E37" s="7">
        <v>11.81</v>
      </c>
      <c r="F37" s="6">
        <v>2.3069999999999999</v>
      </c>
      <c r="G37">
        <v>0.1047</v>
      </c>
      <c r="H37">
        <v>27.835666666666668</v>
      </c>
      <c r="I37" s="15">
        <v>571179.87</v>
      </c>
      <c r="J37">
        <v>46.905506659815813</v>
      </c>
      <c r="K37" s="18">
        <f t="shared" si="1"/>
        <v>32.663390818000003</v>
      </c>
      <c r="L37">
        <f t="shared" si="5"/>
        <v>789.13310893875177</v>
      </c>
      <c r="M37">
        <f>J37+H37</f>
        <v>74.741173326482482</v>
      </c>
      <c r="N37">
        <f t="shared" si="4"/>
        <v>46.905506659815813</v>
      </c>
      <c r="O37">
        <f t="shared" si="2"/>
        <v>789.13310893875177</v>
      </c>
    </row>
    <row r="38" spans="1:15">
      <c r="A38" t="s">
        <v>44</v>
      </c>
      <c r="B38">
        <f>FLOOR_AREA*AREA_RT</f>
        <v>3641.333333333333</v>
      </c>
      <c r="C38" t="s">
        <v>40</v>
      </c>
      <c r="D38" s="4" t="s">
        <v>109</v>
      </c>
      <c r="E38" s="7">
        <v>14.01</v>
      </c>
      <c r="F38" s="6">
        <v>2.403</v>
      </c>
      <c r="G38">
        <v>8.5500000000000007E-2</v>
      </c>
      <c r="H38">
        <v>46.062098765432097</v>
      </c>
      <c r="I38" s="15">
        <v>1184275.0060000001</v>
      </c>
      <c r="J38">
        <v>40.581840769050373</v>
      </c>
      <c r="K38" s="18">
        <f t="shared" si="1"/>
        <v>33.847665824000003</v>
      </c>
      <c r="L38">
        <f t="shared" si="5"/>
        <v>829.71494970780213</v>
      </c>
      <c r="M38">
        <f>J38+H38</f>
        <v>86.64393953448247</v>
      </c>
      <c r="N38">
        <f t="shared" si="4"/>
        <v>40.581840769050373</v>
      </c>
      <c r="O38">
        <f t="shared" si="2"/>
        <v>829.71494970780213</v>
      </c>
    </row>
    <row r="39" spans="1:15">
      <c r="A39" t="s">
        <v>45</v>
      </c>
      <c r="B39">
        <f>EQUIP_CAPEX+EQUIP_INST</f>
        <v>3058.0062383561644</v>
      </c>
      <c r="C39" t="s">
        <v>40</v>
      </c>
      <c r="D39" s="4" t="s">
        <v>110</v>
      </c>
      <c r="E39" s="5">
        <v>14.13</v>
      </c>
      <c r="F39" s="6">
        <v>2.585</v>
      </c>
      <c r="G39">
        <v>0.1022</v>
      </c>
      <c r="H39">
        <v>41.237179487179489</v>
      </c>
      <c r="I39" s="15">
        <v>196618.20800000001</v>
      </c>
      <c r="J39">
        <v>46.206066949302993</v>
      </c>
      <c r="K39" s="18">
        <f t="shared" si="1"/>
        <v>34.044284032</v>
      </c>
      <c r="L39">
        <f t="shared" si="5"/>
        <v>875.92101665710516</v>
      </c>
      <c r="M39">
        <f>J39+H39</f>
        <v>87.443246436482482</v>
      </c>
      <c r="N39">
        <f t="shared" si="4"/>
        <v>46.206066949302993</v>
      </c>
      <c r="O39">
        <f t="shared" si="2"/>
        <v>875.92101665710516</v>
      </c>
    </row>
    <row r="40" spans="1:15">
      <c r="A40" t="s">
        <v>46</v>
      </c>
      <c r="B40">
        <f>EQUIP_CAPEX*0.1</f>
        <v>278.00056712328768</v>
      </c>
      <c r="C40" t="s">
        <v>40</v>
      </c>
      <c r="D40" s="4" t="s">
        <v>111</v>
      </c>
      <c r="E40" s="7">
        <v>14.02</v>
      </c>
      <c r="F40" s="6">
        <v>2.403</v>
      </c>
      <c r="G40">
        <v>8.72E-2</v>
      </c>
      <c r="H40">
        <v>39.016744186046509</v>
      </c>
      <c r="I40" s="15">
        <v>386350.39</v>
      </c>
      <c r="J40">
        <v>47.693038910435959</v>
      </c>
      <c r="K40" s="18">
        <f t="shared" si="1"/>
        <v>34.430634421999997</v>
      </c>
      <c r="L40">
        <f t="shared" si="5"/>
        <v>923.61405556754107</v>
      </c>
      <c r="M40">
        <f>J40+H40</f>
        <v>86.709783096482468</v>
      </c>
      <c r="N40">
        <f t="shared" si="4"/>
        <v>47.693038910435959</v>
      </c>
      <c r="O40">
        <f t="shared" si="2"/>
        <v>923.61405556754107</v>
      </c>
    </row>
    <row r="41" spans="1:15">
      <c r="A41" t="s">
        <v>47</v>
      </c>
      <c r="B41">
        <f>CONV_COST+STORAGE_COST+ROLLINGSTOCK_COST+(2.07/365)</f>
        <v>2780.0056712328769</v>
      </c>
      <c r="C41" t="s">
        <v>40</v>
      </c>
      <c r="D41" s="4" t="s">
        <v>112</v>
      </c>
      <c r="E41" s="7">
        <v>14.09</v>
      </c>
      <c r="F41" s="6">
        <v>2.7589999999999999</v>
      </c>
      <c r="G41">
        <v>8.0199999999999994E-2</v>
      </c>
      <c r="H41">
        <v>33.762580645161286</v>
      </c>
      <c r="I41" s="15">
        <v>564904.554</v>
      </c>
      <c r="J41">
        <v>53.3489369513212</v>
      </c>
      <c r="K41" s="18">
        <f t="shared" si="1"/>
        <v>34.995538975999999</v>
      </c>
      <c r="L41">
        <f t="shared" si="5"/>
        <v>976.96299251886228</v>
      </c>
      <c r="M41">
        <f>J41+H41</f>
        <v>87.111517596482486</v>
      </c>
      <c r="N41">
        <f t="shared" si="4"/>
        <v>53.3489369513212</v>
      </c>
      <c r="O41">
        <f t="shared" si="2"/>
        <v>976.96299251886228</v>
      </c>
    </row>
    <row r="42" spans="1:15">
      <c r="A42" t="s">
        <v>50</v>
      </c>
      <c r="B42">
        <f>1200*CONV_LENGTH</f>
        <v>1919.9999999999998</v>
      </c>
      <c r="C42" t="s">
        <v>40</v>
      </c>
      <c r="D42" s="4" t="s">
        <v>113</v>
      </c>
      <c r="E42" s="5">
        <v>13.66</v>
      </c>
      <c r="F42" s="6">
        <v>2.5779999999999998</v>
      </c>
      <c r="G42">
        <v>0.14480000000000001</v>
      </c>
      <c r="H42">
        <v>86.061639344262289</v>
      </c>
      <c r="I42" s="15">
        <v>270194.55</v>
      </c>
      <c r="J42">
        <v>-0.90413691177980127</v>
      </c>
      <c r="K42" s="18">
        <f t="shared" si="1"/>
        <v>35.265733525999998</v>
      </c>
      <c r="L42">
        <f t="shared" si="5"/>
        <v>976.05885560708248</v>
      </c>
      <c r="M42">
        <f>J42+H42</f>
        <v>85.157502432482488</v>
      </c>
      <c r="N42">
        <f t="shared" si="4"/>
        <v>-0.90413691177980127</v>
      </c>
      <c r="O42">
        <f t="shared" si="2"/>
        <v>976.05885560708248</v>
      </c>
    </row>
    <row r="43" spans="1:15">
      <c r="A43" t="s">
        <v>51</v>
      </c>
      <c r="B43">
        <f>400*N_PICK</f>
        <v>160</v>
      </c>
      <c r="C43" t="s">
        <v>40</v>
      </c>
      <c r="D43" s="4" t="s">
        <v>114</v>
      </c>
      <c r="E43" s="7">
        <v>13.93</v>
      </c>
      <c r="F43" s="6">
        <v>2.6709999999999998</v>
      </c>
      <c r="G43">
        <v>0.12239999999999999</v>
      </c>
      <c r="H43">
        <v>71.90130952380953</v>
      </c>
      <c r="I43" s="15">
        <v>1693610.97</v>
      </c>
      <c r="J43">
        <v>14.599440004672957</v>
      </c>
      <c r="K43" s="18">
        <f t="shared" si="1"/>
        <v>36.959344496</v>
      </c>
      <c r="L43">
        <f t="shared" si="5"/>
        <v>990.65829561175542</v>
      </c>
      <c r="M43">
        <f>J43+H43</f>
        <v>86.500749528482487</v>
      </c>
      <c r="N43">
        <f t="shared" si="4"/>
        <v>14.599440004672957</v>
      </c>
      <c r="O43">
        <f t="shared" si="2"/>
        <v>990.65829561175542</v>
      </c>
    </row>
    <row r="44" spans="1:15">
      <c r="A44" t="s">
        <v>52</v>
      </c>
      <c r="B44">
        <v>700</v>
      </c>
      <c r="C44" t="s">
        <v>40</v>
      </c>
      <c r="D44" s="4" t="s">
        <v>115</v>
      </c>
      <c r="E44" s="7">
        <v>13.08</v>
      </c>
      <c r="F44" s="6">
        <v>2.3069999999999999</v>
      </c>
      <c r="G44">
        <v>9.9699999999999997E-2</v>
      </c>
      <c r="H44">
        <v>29.796428571428571</v>
      </c>
      <c r="I44" s="15">
        <v>391100.864</v>
      </c>
      <c r="J44">
        <v>51.845875455053907</v>
      </c>
      <c r="K44" s="18">
        <f t="shared" si="1"/>
        <v>37.350445360000002</v>
      </c>
      <c r="L44">
        <f t="shared" si="5"/>
        <v>1042.5041710668092</v>
      </c>
      <c r="M44">
        <f>J44+H44</f>
        <v>81.642304026482478</v>
      </c>
      <c r="N44">
        <f t="shared" si="4"/>
        <v>51.845875455053907</v>
      </c>
      <c r="O44">
        <f t="shared" si="2"/>
        <v>1042.5041710668092</v>
      </c>
    </row>
    <row r="45" spans="1:15">
      <c r="A45" t="s">
        <v>53</v>
      </c>
      <c r="B45">
        <f>PICK_WAGE+DRIVER_WAGE+MAN_WAGES</f>
        <v>62.945999999999998</v>
      </c>
      <c r="C45" t="s">
        <v>54</v>
      </c>
      <c r="D45" s="4" t="s">
        <v>116</v>
      </c>
      <c r="E45" s="5">
        <v>14.58</v>
      </c>
      <c r="F45" s="6">
        <v>2.6709999999999998</v>
      </c>
      <c r="G45">
        <v>0.13780000000000001</v>
      </c>
      <c r="H45">
        <v>78.775942720763751</v>
      </c>
      <c r="I45" s="15">
        <v>3781953.1779999998</v>
      </c>
      <c r="J45">
        <v>11.375660251718728</v>
      </c>
      <c r="K45" s="18">
        <f t="shared" si="1"/>
        <v>41.132398538000004</v>
      </c>
      <c r="L45">
        <f t="shared" si="5"/>
        <v>1053.879831318528</v>
      </c>
      <c r="M45">
        <f>J45+H45</f>
        <v>90.151602972482479</v>
      </c>
      <c r="N45">
        <f t="shared" si="4"/>
        <v>11.375660251718728</v>
      </c>
      <c r="O45">
        <f t="shared" si="2"/>
        <v>1053.879831318528</v>
      </c>
    </row>
    <row r="46" spans="1:15">
      <c r="A46" t="s">
        <v>55</v>
      </c>
      <c r="B46">
        <f>SE*LABOR/PR</f>
        <v>45.192</v>
      </c>
      <c r="C46" t="s">
        <v>54</v>
      </c>
      <c r="D46" s="4" t="s">
        <v>117</v>
      </c>
      <c r="E46" s="7">
        <v>12.75</v>
      </c>
      <c r="F46" s="6">
        <v>2.407</v>
      </c>
      <c r="G46">
        <v>8.2000000000000003E-2</v>
      </c>
      <c r="H46">
        <v>45.579085714285725</v>
      </c>
      <c r="I46" s="15">
        <v>1860380.422</v>
      </c>
      <c r="J46">
        <v>34.16284499019676</v>
      </c>
      <c r="K46" s="18">
        <f t="shared" si="1"/>
        <v>42.992778960000003</v>
      </c>
      <c r="L46">
        <f t="shared" si="5"/>
        <v>1088.0426763087248</v>
      </c>
      <c r="M46">
        <f>J46+H46</f>
        <v>79.741930704482485</v>
      </c>
      <c r="N46">
        <f t="shared" si="4"/>
        <v>34.16284499019676</v>
      </c>
      <c r="O46">
        <f t="shared" si="2"/>
        <v>1088.0426763087248</v>
      </c>
    </row>
    <row r="47" spans="1:15">
      <c r="A47" t="s">
        <v>56</v>
      </c>
      <c r="B47">
        <f>LABOR*0.32</f>
        <v>5.1648000000000005</v>
      </c>
      <c r="C47" t="s">
        <v>54</v>
      </c>
      <c r="D47" s="4" t="s">
        <v>118</v>
      </c>
      <c r="E47" s="7">
        <v>15.63</v>
      </c>
      <c r="F47" s="6">
        <v>2.403</v>
      </c>
      <c r="G47">
        <v>9.1200000000000003E-2</v>
      </c>
      <c r="H47">
        <v>36.990487804878043</v>
      </c>
      <c r="I47" s="15">
        <v>143929.85800000001</v>
      </c>
      <c r="J47">
        <v>58.536350731604458</v>
      </c>
      <c r="K47" s="18">
        <f t="shared" si="1"/>
        <v>43.136708818000002</v>
      </c>
      <c r="L47">
        <f t="shared" si="5"/>
        <v>1146.5790270403293</v>
      </c>
      <c r="M47">
        <f>J47+H47</f>
        <v>95.526838536482501</v>
      </c>
      <c r="N47">
        <f t="shared" si="4"/>
        <v>58.536350731604458</v>
      </c>
      <c r="O47">
        <f t="shared" si="2"/>
        <v>1146.5790270403293</v>
      </c>
    </row>
    <row r="48" spans="1:15">
      <c r="A48" t="s">
        <v>57</v>
      </c>
      <c r="B48">
        <f>0.25*(PICK_WAGE+DRIVER_WAGE)</f>
        <v>12.5892</v>
      </c>
      <c r="C48" t="s">
        <v>54</v>
      </c>
      <c r="D48" s="4" t="s">
        <v>119</v>
      </c>
      <c r="E48" s="5">
        <v>13.5</v>
      </c>
      <c r="F48" s="6">
        <v>2.403</v>
      </c>
      <c r="G48">
        <v>0.1024</v>
      </c>
      <c r="H48">
        <v>47.939494949494943</v>
      </c>
      <c r="I48" s="15">
        <v>2270510.0800000001</v>
      </c>
      <c r="J48">
        <v>36.031618818987553</v>
      </c>
      <c r="K48" s="18">
        <f t="shared" si="1"/>
        <v>45.407218898000004</v>
      </c>
      <c r="L48">
        <f t="shared" si="5"/>
        <v>1182.6106458593167</v>
      </c>
      <c r="M48">
        <f>J48+H48</f>
        <v>83.971113768482496</v>
      </c>
      <c r="N48">
        <f t="shared" si="4"/>
        <v>36.031618818987553</v>
      </c>
      <c r="O48">
        <f t="shared" si="2"/>
        <v>1182.6106458593167</v>
      </c>
    </row>
    <row r="49" spans="1:15">
      <c r="A49" t="s">
        <v>58</v>
      </c>
      <c r="C49" t="s">
        <v>59</v>
      </c>
      <c r="D49" s="4" t="s">
        <v>120</v>
      </c>
      <c r="E49" s="7">
        <v>13.52</v>
      </c>
      <c r="F49" s="6">
        <v>2.403</v>
      </c>
      <c r="G49">
        <v>8.0399999999999999E-2</v>
      </c>
      <c r="H49">
        <v>32.229285714285716</v>
      </c>
      <c r="I49" s="15">
        <v>732724.70799999998</v>
      </c>
      <c r="J49">
        <v>51.70552313419676</v>
      </c>
      <c r="K49" s="18">
        <f t="shared" si="1"/>
        <v>46.139943606000003</v>
      </c>
      <c r="L49">
        <f t="shared" si="5"/>
        <v>1234.3161689935134</v>
      </c>
      <c r="M49">
        <f>J49+H49</f>
        <v>83.934808848482476</v>
      </c>
      <c r="N49">
        <f t="shared" si="4"/>
        <v>51.70552313419676</v>
      </c>
      <c r="O49">
        <f t="shared" si="2"/>
        <v>1234.3161689935134</v>
      </c>
    </row>
    <row r="50" spans="1:15">
      <c r="A50" t="s">
        <v>61</v>
      </c>
      <c r="B50">
        <f>LABOR_COST+OVERHEAD_COSTS+MAINT_COST+UTIL_COST</f>
        <v>94.259835883999997</v>
      </c>
      <c r="C50" t="s">
        <v>54</v>
      </c>
      <c r="D50" s="4" t="s">
        <v>122</v>
      </c>
      <c r="E50" s="5">
        <v>14.62</v>
      </c>
      <c r="F50" s="6">
        <v>2.6709999999999998</v>
      </c>
      <c r="G50">
        <v>9.1300000000000006E-2</v>
      </c>
      <c r="H50">
        <v>77.11336363636363</v>
      </c>
      <c r="I50" s="15">
        <v>2552808.2420000001</v>
      </c>
      <c r="J50">
        <v>12.94909484611884</v>
      </c>
      <c r="K50" s="18">
        <f t="shared" si="1"/>
        <v>48.692751848</v>
      </c>
      <c r="L50">
        <f t="shared" si="5"/>
        <v>1247.2652638396323</v>
      </c>
      <c r="M50">
        <f>J50+H50</f>
        <v>90.062458482482469</v>
      </c>
      <c r="N50">
        <f t="shared" si="4"/>
        <v>12.94909484611884</v>
      </c>
      <c r="O50">
        <f t="shared" si="2"/>
        <v>1247.2652638396323</v>
      </c>
    </row>
    <row r="51" spans="1:15">
      <c r="A51" t="s">
        <v>62</v>
      </c>
      <c r="B51">
        <v>5</v>
      </c>
      <c r="C51" t="s">
        <v>54</v>
      </c>
      <c r="D51" s="4" t="s">
        <v>124</v>
      </c>
      <c r="E51" s="7">
        <v>13.1</v>
      </c>
      <c r="F51" s="6">
        <v>2.407</v>
      </c>
      <c r="G51">
        <v>0.1048</v>
      </c>
      <c r="H51">
        <v>35.938431372549012</v>
      </c>
      <c r="I51" s="15">
        <v>919996.55599999998</v>
      </c>
      <c r="J51">
        <v>45.865295339933489</v>
      </c>
      <c r="K51" s="18">
        <f t="shared" si="1"/>
        <v>49.612748404000001</v>
      </c>
      <c r="L51">
        <f t="shared" si="5"/>
        <v>1293.1305591795658</v>
      </c>
      <c r="M51">
        <f>J51+H51</f>
        <v>81.803726712482501</v>
      </c>
      <c r="N51">
        <f t="shared" si="4"/>
        <v>45.865295339933489</v>
      </c>
      <c r="O51">
        <f t="shared" si="2"/>
        <v>1293.1305591795658</v>
      </c>
    </row>
    <row r="52" spans="1:15">
      <c r="A52" t="s">
        <v>63</v>
      </c>
      <c r="B52">
        <f>6.61386*COST_ELEC+(COST_FUEL)</f>
        <v>1.1354358840000001</v>
      </c>
      <c r="C52" t="s">
        <v>54</v>
      </c>
      <c r="D52" s="4" t="s">
        <v>125</v>
      </c>
      <c r="E52" s="5">
        <v>12.51</v>
      </c>
      <c r="F52" s="6">
        <v>2.403</v>
      </c>
      <c r="G52">
        <v>9.64E-2</v>
      </c>
      <c r="H52">
        <v>42.143548387096779</v>
      </c>
      <c r="I52" s="15">
        <v>170376.06200000001</v>
      </c>
      <c r="J52">
        <v>36.382482221385708</v>
      </c>
      <c r="K52" s="18">
        <f t="shared" si="1"/>
        <v>49.783124466000004</v>
      </c>
      <c r="L52">
        <f t="shared" si="5"/>
        <v>1329.5130414009516</v>
      </c>
      <c r="M52">
        <f>J52+H52</f>
        <v>78.526030608482486</v>
      </c>
      <c r="N52">
        <f t="shared" si="4"/>
        <v>36.382482221385708</v>
      </c>
      <c r="O52">
        <f t="shared" si="2"/>
        <v>1329.5130414009516</v>
      </c>
    </row>
    <row r="53" spans="1:15">
      <c r="A53" t="s">
        <v>64</v>
      </c>
      <c r="B53">
        <f>0.4*LABOR_COST</f>
        <v>25.1784</v>
      </c>
      <c r="C53" t="s">
        <v>54</v>
      </c>
      <c r="D53" s="4" t="s">
        <v>126</v>
      </c>
      <c r="E53" s="7">
        <v>13.27</v>
      </c>
      <c r="F53" s="6">
        <v>2.403</v>
      </c>
      <c r="G53">
        <v>0.1027</v>
      </c>
      <c r="H53">
        <v>36.739999999999995</v>
      </c>
      <c r="I53" s="15">
        <v>1265053.95</v>
      </c>
      <c r="J53">
        <v>45.977297926482493</v>
      </c>
      <c r="K53" s="18">
        <f t="shared" si="1"/>
        <v>51.048178416000006</v>
      </c>
      <c r="L53">
        <f t="shared" si="5"/>
        <v>1375.490339327434</v>
      </c>
      <c r="M53">
        <f>J53+H53</f>
        <v>82.717297926482487</v>
      </c>
      <c r="N53">
        <f t="shared" si="4"/>
        <v>45.977297926482493</v>
      </c>
      <c r="O53">
        <f t="shared" si="2"/>
        <v>1375.490339327434</v>
      </c>
    </row>
    <row r="54" spans="1:15">
      <c r="A54" t="s">
        <v>65</v>
      </c>
      <c r="B54">
        <f>CAPEX/365</f>
        <v>35.241826734066123</v>
      </c>
      <c r="C54" t="s">
        <v>66</v>
      </c>
      <c r="D54" s="4" t="s">
        <v>127</v>
      </c>
      <c r="E54" s="7">
        <v>13.32</v>
      </c>
      <c r="F54" s="6">
        <v>2.3069999999999999</v>
      </c>
      <c r="G54">
        <v>8.4199999999999997E-2</v>
      </c>
      <c r="H54">
        <v>35.770851851851866</v>
      </c>
      <c r="I54" s="15">
        <v>5101484.5240000002</v>
      </c>
      <c r="J54">
        <v>47.079337344630623</v>
      </c>
      <c r="K54" s="18">
        <f t="shared" si="1"/>
        <v>56.149662940000006</v>
      </c>
      <c r="L54">
        <f t="shared" si="5"/>
        <v>1422.5696766720646</v>
      </c>
      <c r="M54">
        <f>J54+H54</f>
        <v>82.850189196482489</v>
      </c>
      <c r="N54">
        <f t="shared" si="4"/>
        <v>47.079337344630623</v>
      </c>
      <c r="O54">
        <f t="shared" si="2"/>
        <v>1422.5696766720646</v>
      </c>
    </row>
    <row r="55" spans="1:15">
      <c r="A55" t="s">
        <v>68</v>
      </c>
      <c r="C55" t="s">
        <v>69</v>
      </c>
      <c r="D55" s="4" t="s">
        <v>128</v>
      </c>
      <c r="E55" s="5">
        <v>13.76</v>
      </c>
      <c r="F55" s="6">
        <v>2.585</v>
      </c>
      <c r="G55">
        <v>8.4599999999999995E-2</v>
      </c>
      <c r="H55">
        <v>25.979384615384618</v>
      </c>
      <c r="I55" s="15">
        <v>533654.424</v>
      </c>
      <c r="J55">
        <v>59.327257885097865</v>
      </c>
      <c r="K55" s="18">
        <f t="shared" si="1"/>
        <v>56.683317364000004</v>
      </c>
      <c r="L55">
        <f t="shared" si="5"/>
        <v>1481.8969345571625</v>
      </c>
      <c r="M55">
        <f>J55+H55</f>
        <v>85.306642500482482</v>
      </c>
      <c r="N55">
        <f t="shared" si="4"/>
        <v>59.327257885097865</v>
      </c>
      <c r="O55">
        <f t="shared" si="2"/>
        <v>1481.8969345571625</v>
      </c>
    </row>
    <row r="56" spans="1:15">
      <c r="A56" t="s">
        <v>70</v>
      </c>
      <c r="B56">
        <f>0.18492*cost_diesel</f>
        <v>0.4780182</v>
      </c>
      <c r="C56" t="s">
        <v>54</v>
      </c>
      <c r="D56" s="4" t="s">
        <v>130</v>
      </c>
      <c r="E56" s="10">
        <v>13.31</v>
      </c>
      <c r="F56" s="6">
        <v>2.407</v>
      </c>
      <c r="G56">
        <v>7.8600000000000003E-2</v>
      </c>
      <c r="H56">
        <v>52.838741258741265</v>
      </c>
      <c r="I56" s="15">
        <v>1598091.0220000001</v>
      </c>
      <c r="J56">
        <v>29.938302321741219</v>
      </c>
      <c r="K56" s="18">
        <f t="shared" si="1"/>
        <v>58.281408386000003</v>
      </c>
      <c r="L56">
        <f t="shared" si="5"/>
        <v>1511.8352368789037</v>
      </c>
      <c r="M56">
        <f>J56+H56</f>
        <v>82.777043580482484</v>
      </c>
      <c r="N56">
        <f t="shared" si="4"/>
        <v>29.938302321741219</v>
      </c>
      <c r="O56">
        <f t="shared" si="2"/>
        <v>1511.8352368789037</v>
      </c>
    </row>
    <row r="57" spans="1:15">
      <c r="A57" t="s">
        <v>72</v>
      </c>
      <c r="C57" t="s">
        <v>71</v>
      </c>
      <c r="D57" s="4" t="s">
        <v>131</v>
      </c>
      <c r="E57" s="10">
        <v>15.55</v>
      </c>
      <c r="F57" s="6">
        <v>2.7589999999999999</v>
      </c>
      <c r="G57">
        <v>8.3699999999999997E-2</v>
      </c>
      <c r="H57">
        <v>93.787117117117091</v>
      </c>
      <c r="I57" s="15">
        <v>1309193.716</v>
      </c>
      <c r="J57">
        <v>1.319148989365388</v>
      </c>
      <c r="K57" s="18">
        <f t="shared" si="1"/>
        <v>59.590602102000005</v>
      </c>
      <c r="L57">
        <f t="shared" si="5"/>
        <v>1513.1543858682692</v>
      </c>
      <c r="M57">
        <f>J57+H57</f>
        <v>95.106266106482479</v>
      </c>
      <c r="N57">
        <f t="shared" si="4"/>
        <v>1.319148989365388</v>
      </c>
      <c r="O57">
        <f t="shared" si="2"/>
        <v>1513.1543858682692</v>
      </c>
    </row>
    <row r="58" spans="1:15">
      <c r="D58" s="4" t="s">
        <v>132</v>
      </c>
      <c r="E58" s="10">
        <v>12.82</v>
      </c>
      <c r="F58" s="6">
        <v>2.407</v>
      </c>
      <c r="G58">
        <v>9.9400000000000002E-2</v>
      </c>
      <c r="H58">
        <v>48.267272727272719</v>
      </c>
      <c r="I58" s="15">
        <v>348268.37400000001</v>
      </c>
      <c r="J58">
        <v>31.971939141209766</v>
      </c>
      <c r="K58" s="18">
        <f t="shared" si="1"/>
        <v>59.938870476000005</v>
      </c>
      <c r="L58">
        <f t="shared" si="5"/>
        <v>1545.1263250094789</v>
      </c>
      <c r="M58">
        <f>J58+H58</f>
        <v>80.239211868482485</v>
      </c>
      <c r="N58">
        <f t="shared" si="4"/>
        <v>31.971939141209766</v>
      </c>
      <c r="O58">
        <f t="shared" si="2"/>
        <v>1545.1263250094789</v>
      </c>
    </row>
    <row r="59" spans="1:15">
      <c r="D59" s="4" t="s">
        <v>133</v>
      </c>
      <c r="E59" s="10">
        <v>15.01</v>
      </c>
      <c r="F59" s="6">
        <v>2.403</v>
      </c>
      <c r="G59">
        <v>0.1085</v>
      </c>
      <c r="H59">
        <v>65.787821782178213</v>
      </c>
      <c r="I59" s="15">
        <v>1145480.872</v>
      </c>
      <c r="J59">
        <v>26.468236532304275</v>
      </c>
      <c r="K59" s="18">
        <f t="shared" si="1"/>
        <v>61.084351348000006</v>
      </c>
      <c r="L59">
        <f t="shared" si="5"/>
        <v>1571.5945615417832</v>
      </c>
      <c r="M59">
        <f>J59+H59</f>
        <v>92.256058314482488</v>
      </c>
      <c r="N59">
        <f t="shared" si="4"/>
        <v>26.468236532304275</v>
      </c>
      <c r="O59">
        <f t="shared" si="2"/>
        <v>1571.5945615417832</v>
      </c>
    </row>
    <row r="60" spans="1:15">
      <c r="D60" s="4" t="s">
        <v>134</v>
      </c>
      <c r="E60" s="10">
        <v>16.14</v>
      </c>
      <c r="F60" s="6">
        <v>2.585</v>
      </c>
      <c r="G60">
        <v>9.9400000000000002E-2</v>
      </c>
      <c r="H60">
        <v>47.383749999999992</v>
      </c>
      <c r="I60" s="15">
        <v>111707.14</v>
      </c>
      <c r="J60">
        <v>51.01557762848249</v>
      </c>
      <c r="K60" s="18">
        <f t="shared" si="1"/>
        <v>61.196058488000006</v>
      </c>
      <c r="L60">
        <f t="shared" si="5"/>
        <v>1622.6101391702657</v>
      </c>
      <c r="M60">
        <f>J60+H60</f>
        <v>98.399327628482482</v>
      </c>
      <c r="N60">
        <f t="shared" si="4"/>
        <v>51.01557762848249</v>
      </c>
      <c r="O60">
        <f t="shared" si="2"/>
        <v>1622.6101391702657</v>
      </c>
    </row>
  </sheetData>
  <mergeCells count="1">
    <mergeCell ref="D2:J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54"/>
  <sheetViews>
    <sheetView topLeftCell="A20" workbookViewId="0">
      <selection activeCell="B53" sqref="B53:F53"/>
    </sheetView>
  </sheetViews>
  <sheetFormatPr baseColWidth="10" defaultRowHeight="15" x14ac:dyDescent="0"/>
  <cols>
    <col min="1" max="1" width="23.83203125" customWidth="1"/>
    <col min="2" max="2" width="19.1640625" style="10" customWidth="1"/>
    <col min="3" max="3" width="14.5" style="11" customWidth="1"/>
    <col min="4" max="4" width="15.33203125" customWidth="1"/>
    <col min="5" max="5" width="17.33203125" customWidth="1"/>
    <col min="8" max="8" width="20.1640625" style="3" customWidth="1"/>
    <col min="9" max="9" width="13" style="20" customWidth="1"/>
  </cols>
  <sheetData>
    <row r="1" spans="1:16">
      <c r="A1" s="4" t="s">
        <v>74</v>
      </c>
      <c r="B1" s="5" t="s">
        <v>75</v>
      </c>
      <c r="C1" s="6" t="s">
        <v>76</v>
      </c>
      <c r="D1" t="s">
        <v>77</v>
      </c>
      <c r="E1" t="s">
        <v>78</v>
      </c>
    </row>
    <row r="2" spans="1:16">
      <c r="A2" s="4" t="s">
        <v>79</v>
      </c>
      <c r="B2" s="5" t="s">
        <v>80</v>
      </c>
      <c r="C2" s="6" t="s">
        <v>81</v>
      </c>
      <c r="D2" t="s">
        <v>82</v>
      </c>
      <c r="E2" t="s">
        <v>83</v>
      </c>
    </row>
    <row r="3" spans="1:16">
      <c r="A3" s="4" t="s">
        <v>84</v>
      </c>
      <c r="B3" s="19">
        <v>11.79</v>
      </c>
      <c r="C3" s="6">
        <v>2.472</v>
      </c>
      <c r="D3">
        <v>0.20349999999999999</v>
      </c>
      <c r="E3">
        <v>86.032972972972971</v>
      </c>
      <c r="F3" s="15">
        <v>135726.21599999999</v>
      </c>
      <c r="G3" s="13"/>
      <c r="H3" s="15"/>
      <c r="I3" s="21"/>
    </row>
    <row r="4" spans="1:16">
      <c r="A4" s="4" t="s">
        <v>85</v>
      </c>
      <c r="B4" s="19">
        <v>17.73</v>
      </c>
      <c r="C4" s="6">
        <v>2.3069999999999999</v>
      </c>
      <c r="D4">
        <v>0.1144</v>
      </c>
      <c r="E4">
        <v>32.144285714285715</v>
      </c>
      <c r="F4" s="15">
        <v>924183.446</v>
      </c>
      <c r="G4" s="13"/>
      <c r="H4" s="15"/>
      <c r="I4" s="21"/>
    </row>
    <row r="5" spans="1:16">
      <c r="A5" s="4" t="s">
        <v>86</v>
      </c>
      <c r="B5" s="19">
        <v>13.8</v>
      </c>
      <c r="C5" s="6">
        <v>2.7589999999999999</v>
      </c>
      <c r="D5">
        <v>0.1023</v>
      </c>
      <c r="E5">
        <v>38.101532258064516</v>
      </c>
      <c r="F5" s="15">
        <v>1265795.862</v>
      </c>
      <c r="G5" s="13"/>
      <c r="H5" s="15"/>
      <c r="I5" s="21"/>
    </row>
    <row r="6" spans="1:16">
      <c r="A6" s="4" t="s">
        <v>87</v>
      </c>
      <c r="B6" s="19">
        <v>12.08</v>
      </c>
      <c r="C6" s="6">
        <v>2.3069999999999999</v>
      </c>
      <c r="D6">
        <v>8.5000000000000006E-2</v>
      </c>
      <c r="E6">
        <v>31.771176470588234</v>
      </c>
      <c r="F6" s="15">
        <v>561354.272</v>
      </c>
      <c r="G6" s="13"/>
      <c r="H6" s="15"/>
      <c r="I6" s="21"/>
    </row>
    <row r="7" spans="1:16">
      <c r="A7" s="4" t="s">
        <v>88</v>
      </c>
      <c r="B7" s="19">
        <v>14.33</v>
      </c>
      <c r="C7" s="6">
        <v>2.8660000000000001</v>
      </c>
      <c r="D7">
        <v>0.1394</v>
      </c>
      <c r="E7">
        <v>55.740757575757542</v>
      </c>
      <c r="F7" s="15">
        <v>7372397.6919999998</v>
      </c>
      <c r="G7" s="13"/>
      <c r="H7" s="15"/>
      <c r="I7" s="21"/>
    </row>
    <row r="8" spans="1:16">
      <c r="A8" s="4" t="s">
        <v>89</v>
      </c>
      <c r="B8" s="19">
        <v>13.99</v>
      </c>
      <c r="C8" s="6">
        <v>2.585</v>
      </c>
      <c r="D8">
        <v>9.64E-2</v>
      </c>
      <c r="E8">
        <v>35.878803418803415</v>
      </c>
      <c r="F8" s="15">
        <v>1028888.286</v>
      </c>
      <c r="G8" s="13"/>
      <c r="H8" s="15"/>
      <c r="I8" s="21"/>
    </row>
    <row r="9" spans="1:16">
      <c r="A9" s="4" t="s">
        <v>90</v>
      </c>
      <c r="B9" s="19">
        <v>15.06</v>
      </c>
      <c r="C9" s="6">
        <v>2.5779999999999998</v>
      </c>
      <c r="D9">
        <v>0.15809999999999999</v>
      </c>
      <c r="E9">
        <v>89.395658914728685</v>
      </c>
      <c r="F9" s="15">
        <v>698371.07</v>
      </c>
      <c r="G9" s="13"/>
      <c r="H9" s="15"/>
      <c r="I9" s="21"/>
    </row>
    <row r="10" spans="1:16">
      <c r="A10" s="4" t="s">
        <v>91</v>
      </c>
      <c r="B10" s="19">
        <v>13.62</v>
      </c>
      <c r="C10" s="6">
        <v>2.6709999999999998</v>
      </c>
      <c r="D10">
        <v>9.9500000000000005E-2</v>
      </c>
      <c r="E10">
        <v>101.72222222222223</v>
      </c>
      <c r="F10" s="15">
        <v>182386.66</v>
      </c>
      <c r="G10" s="13"/>
      <c r="H10" s="15"/>
      <c r="I10" s="21"/>
      <c r="K10" s="13" t="s">
        <v>88</v>
      </c>
      <c r="L10" s="7">
        <v>33.299999999999997</v>
      </c>
      <c r="M10" s="6">
        <v>2.8660000000000001</v>
      </c>
      <c r="N10">
        <v>0.1394</v>
      </c>
      <c r="O10">
        <v>55.740757575757542</v>
      </c>
      <c r="P10" s="15">
        <v>7372397.6919999998</v>
      </c>
    </row>
    <row r="11" spans="1:16">
      <c r="A11" s="4" t="s">
        <v>92</v>
      </c>
      <c r="B11" s="19">
        <v>22.17</v>
      </c>
      <c r="C11" s="6">
        <v>2.6709999999999998</v>
      </c>
      <c r="D11">
        <v>0.1193</v>
      </c>
      <c r="E11">
        <v>62.277999999999999</v>
      </c>
      <c r="F11" s="15">
        <v>157394.12</v>
      </c>
      <c r="G11" s="13"/>
      <c r="H11" s="15"/>
      <c r="I11" s="21"/>
      <c r="K11" s="13" t="s">
        <v>127</v>
      </c>
      <c r="L11" s="7">
        <v>18.39</v>
      </c>
      <c r="M11" s="6">
        <v>2.3069999999999999</v>
      </c>
      <c r="N11">
        <v>8.4199999999999997E-2</v>
      </c>
      <c r="O11">
        <v>35.770851851851866</v>
      </c>
      <c r="P11" s="15">
        <v>5101484.5240000002</v>
      </c>
    </row>
    <row r="12" spans="1:16">
      <c r="A12" s="4" t="s">
        <v>93</v>
      </c>
      <c r="B12" s="19">
        <v>12.97</v>
      </c>
      <c r="C12" s="6">
        <v>2.407</v>
      </c>
      <c r="D12">
        <v>9.5500000000000002E-2</v>
      </c>
      <c r="E12">
        <v>47.004472361809043</v>
      </c>
      <c r="F12" s="15">
        <v>3774445.96</v>
      </c>
      <c r="G12" s="13"/>
      <c r="H12" s="15"/>
      <c r="I12" s="21"/>
      <c r="K12" s="13" t="s">
        <v>116</v>
      </c>
      <c r="L12" s="5">
        <v>25.94</v>
      </c>
      <c r="M12" s="6">
        <v>2.6709999999999998</v>
      </c>
      <c r="N12">
        <v>0.13780000000000001</v>
      </c>
      <c r="O12">
        <v>78.775942720763751</v>
      </c>
      <c r="P12" s="15">
        <v>3781953.1779999998</v>
      </c>
    </row>
    <row r="13" spans="1:16">
      <c r="A13" s="4" t="s">
        <v>94</v>
      </c>
      <c r="B13" s="19">
        <v>13</v>
      </c>
      <c r="C13" s="6">
        <v>2.407</v>
      </c>
      <c r="D13">
        <v>0.1003</v>
      </c>
      <c r="E13">
        <v>40.632391304347827</v>
      </c>
      <c r="F13" s="15">
        <v>1904692.1159999999</v>
      </c>
      <c r="G13" s="13"/>
      <c r="H13" s="15"/>
      <c r="I13" s="21"/>
      <c r="K13" s="13" t="s">
        <v>93</v>
      </c>
      <c r="L13" s="7">
        <v>22.72</v>
      </c>
      <c r="M13" s="6">
        <v>2.407</v>
      </c>
      <c r="N13">
        <v>9.5500000000000002E-2</v>
      </c>
      <c r="O13">
        <v>47.004472361809043</v>
      </c>
      <c r="P13" s="15">
        <v>3774445.96</v>
      </c>
    </row>
    <row r="14" spans="1:16">
      <c r="A14" s="4" t="s">
        <v>95</v>
      </c>
      <c r="B14" s="19">
        <v>17.18</v>
      </c>
      <c r="C14" s="6">
        <v>2.742</v>
      </c>
      <c r="D14">
        <v>0.2646</v>
      </c>
      <c r="E14">
        <v>77.533333333333331</v>
      </c>
      <c r="F14" s="15">
        <v>290074.64</v>
      </c>
      <c r="G14" s="13"/>
      <c r="H14" s="15"/>
      <c r="I14" s="21"/>
      <c r="K14" s="13" t="s">
        <v>122</v>
      </c>
      <c r="L14" s="5">
        <v>23.55</v>
      </c>
      <c r="M14" s="6">
        <v>2.6709999999999998</v>
      </c>
      <c r="N14">
        <v>9.1300000000000006E-2</v>
      </c>
      <c r="O14">
        <v>77.11336363636363</v>
      </c>
      <c r="P14" s="15">
        <v>2552808.2420000001</v>
      </c>
    </row>
    <row r="15" spans="1:16">
      <c r="A15" s="4" t="s">
        <v>96</v>
      </c>
      <c r="B15" s="19">
        <v>13.35</v>
      </c>
      <c r="C15" s="6">
        <v>2.585</v>
      </c>
      <c r="D15">
        <v>7.9899999999999999E-2</v>
      </c>
      <c r="E15">
        <v>45.661636363636369</v>
      </c>
      <c r="F15" s="15">
        <v>295982.32</v>
      </c>
      <c r="G15" s="13"/>
      <c r="H15" s="15"/>
      <c r="I15" s="21"/>
      <c r="K15" s="13" t="s">
        <v>97</v>
      </c>
      <c r="L15" s="9">
        <v>25.98</v>
      </c>
      <c r="M15" s="6">
        <v>2.403</v>
      </c>
      <c r="N15">
        <v>9.0700000000000003E-2</v>
      </c>
      <c r="O15">
        <v>56.729051724137939</v>
      </c>
      <c r="P15" s="15">
        <v>2498578.034</v>
      </c>
    </row>
    <row r="16" spans="1:16">
      <c r="A16" s="4" t="s">
        <v>97</v>
      </c>
      <c r="B16" s="19">
        <v>13.69</v>
      </c>
      <c r="C16" s="6">
        <v>2.403</v>
      </c>
      <c r="D16">
        <v>9.0700000000000003E-2</v>
      </c>
      <c r="E16">
        <v>56.729051724137939</v>
      </c>
      <c r="F16" s="15">
        <v>2498578.034</v>
      </c>
      <c r="G16" s="13"/>
      <c r="H16" s="15"/>
      <c r="I16" s="21"/>
      <c r="K16" s="13" t="s">
        <v>119</v>
      </c>
      <c r="L16" s="5">
        <v>22.49</v>
      </c>
      <c r="M16" s="6">
        <v>2.403</v>
      </c>
      <c r="N16">
        <v>0.1024</v>
      </c>
      <c r="O16">
        <v>47.939494949494943</v>
      </c>
      <c r="P16" s="15">
        <v>2270510.0800000001</v>
      </c>
    </row>
    <row r="17" spans="1:16">
      <c r="A17" s="4" t="s">
        <v>98</v>
      </c>
      <c r="B17" s="19">
        <v>13.92</v>
      </c>
      <c r="C17" s="6">
        <v>2.403</v>
      </c>
      <c r="D17">
        <v>0.1041</v>
      </c>
      <c r="E17">
        <v>47.165306122448989</v>
      </c>
      <c r="F17" s="15">
        <v>1273361.202</v>
      </c>
      <c r="G17" s="13"/>
      <c r="H17" s="15"/>
      <c r="I17" s="21"/>
      <c r="K17" s="13" t="s">
        <v>94</v>
      </c>
      <c r="L17" s="7">
        <v>18.09</v>
      </c>
      <c r="M17" s="6">
        <v>2.407</v>
      </c>
      <c r="N17">
        <v>0.1003</v>
      </c>
      <c r="O17">
        <v>40.632391304347827</v>
      </c>
      <c r="P17" s="15">
        <v>1904692.1159999999</v>
      </c>
    </row>
    <row r="18" spans="1:16">
      <c r="A18" s="4" t="s">
        <v>99</v>
      </c>
      <c r="B18" s="19">
        <v>14.16</v>
      </c>
      <c r="C18" s="6">
        <v>2.403</v>
      </c>
      <c r="D18">
        <v>8.9599999999999999E-2</v>
      </c>
      <c r="E18">
        <v>47.288842105263164</v>
      </c>
      <c r="F18" s="15">
        <v>637036.35400000005</v>
      </c>
      <c r="G18" s="13"/>
      <c r="H18" s="15"/>
      <c r="I18" s="21"/>
      <c r="K18" s="13" t="s">
        <v>106</v>
      </c>
      <c r="L18" s="7">
        <v>22.94</v>
      </c>
      <c r="M18" s="6">
        <v>2.403</v>
      </c>
      <c r="N18">
        <v>0.1081</v>
      </c>
      <c r="O18">
        <v>59.370852713178294</v>
      </c>
      <c r="P18" s="15">
        <v>1870003.18</v>
      </c>
    </row>
    <row r="19" spans="1:16">
      <c r="A19" s="4" t="s">
        <v>100</v>
      </c>
      <c r="B19" s="19">
        <v>14.04</v>
      </c>
      <c r="C19" s="6">
        <v>2.403</v>
      </c>
      <c r="D19">
        <v>0.1053</v>
      </c>
      <c r="E19">
        <v>37.269999999999996</v>
      </c>
      <c r="F19" s="15">
        <v>578373.24</v>
      </c>
      <c r="G19" s="13"/>
      <c r="H19" s="15"/>
      <c r="I19" s="21"/>
      <c r="K19" s="13" t="s">
        <v>117</v>
      </c>
      <c r="L19" s="7">
        <v>19.920000000000002</v>
      </c>
      <c r="M19" s="6">
        <v>2.407</v>
      </c>
      <c r="N19">
        <v>8.2000000000000003E-2</v>
      </c>
      <c r="O19">
        <v>45.579085714285725</v>
      </c>
      <c r="P19" s="15">
        <v>1860380.422</v>
      </c>
    </row>
    <row r="20" spans="1:16">
      <c r="A20" s="4" t="s">
        <v>101</v>
      </c>
      <c r="B20" s="19">
        <v>13.36</v>
      </c>
      <c r="C20" s="6">
        <v>2.403</v>
      </c>
      <c r="D20">
        <v>9.7600000000000006E-2</v>
      </c>
      <c r="E20">
        <v>42.494216867469866</v>
      </c>
      <c r="F20" s="15">
        <v>846309.70600000001</v>
      </c>
      <c r="G20" s="13"/>
      <c r="H20" s="15"/>
      <c r="I20" s="21"/>
    </row>
    <row r="21" spans="1:16">
      <c r="A21" s="4" t="s">
        <v>102</v>
      </c>
      <c r="B21" s="19">
        <v>12.81</v>
      </c>
      <c r="C21" s="6">
        <v>2.3069999999999999</v>
      </c>
      <c r="D21">
        <v>8.8700000000000001E-2</v>
      </c>
      <c r="E21">
        <v>34.408536585365852</v>
      </c>
      <c r="F21" s="15">
        <v>880118.29</v>
      </c>
      <c r="G21" s="13"/>
      <c r="H21" s="15"/>
      <c r="I21" s="21"/>
    </row>
    <row r="22" spans="1:16">
      <c r="A22" s="4" t="s">
        <v>103</v>
      </c>
      <c r="B22" s="19">
        <v>13.38</v>
      </c>
      <c r="C22" s="6">
        <v>2.5779999999999998</v>
      </c>
      <c r="D22">
        <v>0.12180000000000001</v>
      </c>
      <c r="E22">
        <v>74.729690721649476</v>
      </c>
      <c r="F22" s="15">
        <v>262908.90000000002</v>
      </c>
      <c r="G22" s="13"/>
      <c r="H22" s="15"/>
      <c r="I22" s="21"/>
    </row>
    <row r="23" spans="1:16">
      <c r="A23" s="4" t="s">
        <v>104</v>
      </c>
      <c r="B23" s="19">
        <v>14.48</v>
      </c>
      <c r="C23" s="6">
        <v>2.6709999999999998</v>
      </c>
      <c r="D23">
        <v>0.11070000000000001</v>
      </c>
      <c r="E23">
        <v>60.096266666666672</v>
      </c>
      <c r="F23" s="15">
        <v>1126863.02</v>
      </c>
      <c r="G23" s="13"/>
      <c r="H23" s="15"/>
      <c r="I23" s="21"/>
    </row>
    <row r="24" spans="1:16">
      <c r="A24" s="4" t="s">
        <v>105</v>
      </c>
      <c r="B24" s="19">
        <v>15.1</v>
      </c>
      <c r="C24" s="6">
        <v>2.5779999999999998</v>
      </c>
      <c r="D24">
        <v>0.1502</v>
      </c>
      <c r="E24">
        <v>78.283221153846185</v>
      </c>
      <c r="F24" s="15">
        <v>1364933.65</v>
      </c>
      <c r="G24" s="13"/>
      <c r="H24" s="15"/>
      <c r="I24" s="21"/>
    </row>
    <row r="25" spans="1:16" ht="16" customHeight="1">
      <c r="A25" s="4" t="s">
        <v>106</v>
      </c>
      <c r="B25" s="19">
        <v>13.68</v>
      </c>
      <c r="C25" s="6">
        <v>2.403</v>
      </c>
      <c r="D25">
        <v>0.1081</v>
      </c>
      <c r="E25">
        <v>59.370852713178294</v>
      </c>
      <c r="F25" s="15">
        <v>1870003.18</v>
      </c>
      <c r="G25" s="13"/>
      <c r="H25" s="15"/>
      <c r="I25" s="21"/>
    </row>
    <row r="26" spans="1:16">
      <c r="A26" s="4" t="s">
        <v>107</v>
      </c>
      <c r="B26" s="19">
        <v>15.27</v>
      </c>
      <c r="C26" s="6">
        <v>2.403</v>
      </c>
      <c r="D26">
        <v>0.10589999999999999</v>
      </c>
      <c r="E26">
        <v>57.385952380952382</v>
      </c>
      <c r="F26" s="15">
        <v>1072269.548</v>
      </c>
      <c r="G26" s="13"/>
      <c r="H26" s="15"/>
      <c r="I26" s="21"/>
    </row>
    <row r="27" spans="1:16">
      <c r="A27" s="4" t="s">
        <v>108</v>
      </c>
      <c r="B27" s="19">
        <v>11.81</v>
      </c>
      <c r="C27" s="6">
        <v>2.3069999999999999</v>
      </c>
      <c r="D27">
        <v>0.1047</v>
      </c>
      <c r="E27">
        <v>27.835666666666668</v>
      </c>
      <c r="F27" s="15">
        <v>571179.87</v>
      </c>
      <c r="G27" s="13"/>
      <c r="H27" s="15"/>
      <c r="I27" s="21"/>
    </row>
    <row r="28" spans="1:16">
      <c r="A28" s="4" t="s">
        <v>109</v>
      </c>
      <c r="B28" s="19">
        <v>14.01</v>
      </c>
      <c r="C28" s="6">
        <v>2.403</v>
      </c>
      <c r="D28">
        <v>8.5500000000000007E-2</v>
      </c>
      <c r="E28">
        <v>46.062098765432097</v>
      </c>
      <c r="F28" s="15">
        <v>1184275.0060000001</v>
      </c>
      <c r="G28" s="13"/>
      <c r="H28" s="15"/>
      <c r="I28" s="21"/>
    </row>
    <row r="29" spans="1:16">
      <c r="A29" s="4" t="s">
        <v>110</v>
      </c>
      <c r="B29" s="19">
        <v>14.13</v>
      </c>
      <c r="C29" s="6">
        <v>2.585</v>
      </c>
      <c r="D29">
        <v>0.1022</v>
      </c>
      <c r="E29">
        <v>41.237179487179489</v>
      </c>
      <c r="F29" s="15">
        <v>196618.20800000001</v>
      </c>
      <c r="G29" s="13"/>
      <c r="H29" s="15"/>
      <c r="I29" s="21"/>
    </row>
    <row r="30" spans="1:16">
      <c r="A30" s="4" t="s">
        <v>111</v>
      </c>
      <c r="B30" s="19">
        <v>14.02</v>
      </c>
      <c r="C30" s="6">
        <v>2.403</v>
      </c>
      <c r="D30">
        <v>8.72E-2</v>
      </c>
      <c r="E30">
        <v>39.016744186046509</v>
      </c>
      <c r="F30" s="15">
        <v>386350.39</v>
      </c>
      <c r="G30" s="13"/>
      <c r="H30" s="15"/>
      <c r="I30" s="21"/>
    </row>
    <row r="31" spans="1:16">
      <c r="A31" s="4" t="s">
        <v>112</v>
      </c>
      <c r="B31" s="19">
        <v>14.09</v>
      </c>
      <c r="C31" s="6">
        <v>2.7589999999999999</v>
      </c>
      <c r="D31">
        <v>8.0199999999999994E-2</v>
      </c>
      <c r="E31">
        <v>33.762580645161286</v>
      </c>
      <c r="F31" s="15">
        <v>564904.554</v>
      </c>
      <c r="G31" s="13"/>
      <c r="H31" s="15"/>
      <c r="I31" s="21"/>
    </row>
    <row r="32" spans="1:16">
      <c r="A32" s="4" t="s">
        <v>113</v>
      </c>
      <c r="B32" s="19">
        <v>13.66</v>
      </c>
      <c r="C32" s="6">
        <v>2.5779999999999998</v>
      </c>
      <c r="D32">
        <v>0.14480000000000001</v>
      </c>
      <c r="E32">
        <v>86.061639344262289</v>
      </c>
      <c r="F32" s="15">
        <v>270194.55</v>
      </c>
      <c r="G32" s="13"/>
      <c r="H32" s="15"/>
      <c r="I32" s="21"/>
    </row>
    <row r="33" spans="1:9">
      <c r="A33" s="4" t="s">
        <v>114</v>
      </c>
      <c r="B33" s="19">
        <v>13.93</v>
      </c>
      <c r="C33" s="6">
        <v>2.6709999999999998</v>
      </c>
      <c r="D33">
        <v>0.12239999999999999</v>
      </c>
      <c r="E33">
        <v>71.90130952380953</v>
      </c>
      <c r="F33" s="15">
        <v>1693610.97</v>
      </c>
      <c r="G33" s="13"/>
      <c r="H33" s="15"/>
      <c r="I33" s="21"/>
    </row>
    <row r="34" spans="1:9">
      <c r="A34" s="4" t="s">
        <v>115</v>
      </c>
      <c r="B34" s="19">
        <v>13.08</v>
      </c>
      <c r="C34" s="6">
        <v>2.3069999999999999</v>
      </c>
      <c r="D34">
        <v>9.9699999999999997E-2</v>
      </c>
      <c r="E34">
        <v>29.796428571428571</v>
      </c>
      <c r="F34" s="15">
        <v>391100.864</v>
      </c>
      <c r="G34" s="13"/>
      <c r="H34" s="15"/>
      <c r="I34" s="21"/>
    </row>
    <row r="35" spans="1:9">
      <c r="A35" s="4" t="s">
        <v>116</v>
      </c>
      <c r="B35" s="19">
        <v>14.58</v>
      </c>
      <c r="C35" s="6">
        <v>2.6709999999999998</v>
      </c>
      <c r="D35">
        <v>0.13780000000000001</v>
      </c>
      <c r="E35">
        <v>78.775942720763751</v>
      </c>
      <c r="F35" s="15">
        <v>3781953.1779999998</v>
      </c>
      <c r="G35" s="13"/>
      <c r="H35" s="15"/>
      <c r="I35" s="21"/>
    </row>
    <row r="36" spans="1:9">
      <c r="A36" s="4" t="s">
        <v>117</v>
      </c>
      <c r="B36" s="19">
        <v>12.75</v>
      </c>
      <c r="C36" s="6">
        <v>2.407</v>
      </c>
      <c r="D36">
        <v>8.2000000000000003E-2</v>
      </c>
      <c r="E36">
        <v>45.579085714285725</v>
      </c>
      <c r="F36" s="15">
        <v>1860380.422</v>
      </c>
      <c r="G36" s="13"/>
      <c r="H36" s="15"/>
      <c r="I36" s="21"/>
    </row>
    <row r="37" spans="1:9">
      <c r="A37" s="4" t="s">
        <v>118</v>
      </c>
      <c r="B37" s="19">
        <v>15.63</v>
      </c>
      <c r="C37" s="6">
        <v>2.403</v>
      </c>
      <c r="D37">
        <v>9.1200000000000003E-2</v>
      </c>
      <c r="E37">
        <v>36.990487804878043</v>
      </c>
      <c r="F37" s="15">
        <v>143929.85800000001</v>
      </c>
      <c r="G37" s="13"/>
      <c r="H37" s="15"/>
      <c r="I37" s="21"/>
    </row>
    <row r="38" spans="1:9">
      <c r="A38" s="4" t="s">
        <v>119</v>
      </c>
      <c r="B38" s="19">
        <v>13.5</v>
      </c>
      <c r="C38" s="6">
        <v>2.403</v>
      </c>
      <c r="D38">
        <v>0.1024</v>
      </c>
      <c r="E38">
        <v>47.939494949494943</v>
      </c>
      <c r="F38" s="15">
        <v>2270510.0800000001</v>
      </c>
      <c r="G38" s="13"/>
      <c r="H38" s="15"/>
      <c r="I38" s="21"/>
    </row>
    <row r="39" spans="1:9">
      <c r="A39" s="4" t="s">
        <v>120</v>
      </c>
      <c r="B39" s="19">
        <v>13.52</v>
      </c>
      <c r="C39" s="6">
        <v>2.403</v>
      </c>
      <c r="D39">
        <v>8.0399999999999999E-2</v>
      </c>
      <c r="E39">
        <v>32.229285714285716</v>
      </c>
      <c r="F39" s="15">
        <v>732724.70799999998</v>
      </c>
      <c r="G39" s="13"/>
      <c r="H39" s="15"/>
      <c r="I39" s="21"/>
    </row>
    <row r="40" spans="1:9">
      <c r="A40" s="4" t="s">
        <v>121</v>
      </c>
      <c r="B40" s="19">
        <v>14.47</v>
      </c>
      <c r="C40" s="6">
        <v>2.7589999999999999</v>
      </c>
      <c r="D40">
        <v>8.8900000000000007E-2</v>
      </c>
      <c r="E40">
        <v>45.704436619718315</v>
      </c>
      <c r="F40" s="15">
        <v>753853.88</v>
      </c>
      <c r="G40" s="13"/>
      <c r="H40" s="15"/>
      <c r="I40" s="21"/>
    </row>
    <row r="41" spans="1:9">
      <c r="A41" s="4" t="s">
        <v>122</v>
      </c>
      <c r="B41" s="19">
        <v>14.62</v>
      </c>
      <c r="C41" s="6">
        <v>2.6709999999999998</v>
      </c>
      <c r="D41">
        <v>9.1300000000000006E-2</v>
      </c>
      <c r="E41">
        <v>77.11336363636363</v>
      </c>
      <c r="F41" s="15">
        <v>2552808.2420000001</v>
      </c>
      <c r="G41" s="13"/>
      <c r="H41" s="15"/>
      <c r="I41" s="21"/>
    </row>
    <row r="42" spans="1:9">
      <c r="A42" s="4" t="s">
        <v>123</v>
      </c>
      <c r="B42" s="19">
        <v>14.6</v>
      </c>
      <c r="C42" s="6">
        <v>2.5779999999999998</v>
      </c>
      <c r="D42">
        <v>0.1537</v>
      </c>
      <c r="E42">
        <v>82.341666666666669</v>
      </c>
      <c r="F42" s="15">
        <v>209861.87</v>
      </c>
      <c r="G42" s="13"/>
      <c r="H42" s="15"/>
      <c r="I42" s="21"/>
    </row>
    <row r="43" spans="1:9">
      <c r="A43" s="4" t="s">
        <v>124</v>
      </c>
      <c r="B43" s="19">
        <v>13.1</v>
      </c>
      <c r="C43" s="6">
        <v>2.407</v>
      </c>
      <c r="D43">
        <v>0.1048</v>
      </c>
      <c r="E43">
        <v>35.938431372549012</v>
      </c>
      <c r="F43" s="15">
        <v>919996.55599999998</v>
      </c>
      <c r="G43" s="13"/>
      <c r="H43" s="15"/>
      <c r="I43" s="21"/>
    </row>
    <row r="44" spans="1:9">
      <c r="A44" s="4" t="s">
        <v>125</v>
      </c>
      <c r="B44" s="19">
        <v>12.51</v>
      </c>
      <c r="C44" s="6">
        <v>2.403</v>
      </c>
      <c r="D44">
        <v>9.64E-2</v>
      </c>
      <c r="E44">
        <v>42.143548387096779</v>
      </c>
      <c r="F44" s="15">
        <v>170376.06200000001</v>
      </c>
      <c r="G44" s="13"/>
      <c r="H44" s="15"/>
      <c r="I44" s="21"/>
    </row>
    <row r="45" spans="1:9">
      <c r="A45" s="4" t="s">
        <v>126</v>
      </c>
      <c r="B45" s="19">
        <v>13.27</v>
      </c>
      <c r="C45" s="6">
        <v>2.403</v>
      </c>
      <c r="D45">
        <v>0.1027</v>
      </c>
      <c r="E45">
        <v>36.739999999999995</v>
      </c>
      <c r="F45" s="15">
        <v>1265053.95</v>
      </c>
      <c r="G45" s="13"/>
      <c r="H45" s="14"/>
      <c r="I45" s="21"/>
    </row>
    <row r="46" spans="1:9">
      <c r="A46" s="4" t="s">
        <v>127</v>
      </c>
      <c r="B46" s="19">
        <v>13.32</v>
      </c>
      <c r="C46" s="6">
        <v>2.3069999999999999</v>
      </c>
      <c r="D46">
        <v>8.4199999999999997E-2</v>
      </c>
      <c r="E46">
        <v>35.770851851851866</v>
      </c>
      <c r="F46" s="15">
        <v>5101484.5240000002</v>
      </c>
      <c r="G46" s="13"/>
      <c r="H46" s="15"/>
      <c r="I46" s="21"/>
    </row>
    <row r="47" spans="1:9">
      <c r="A47" s="4" t="s">
        <v>128</v>
      </c>
      <c r="B47" s="19">
        <v>13.76</v>
      </c>
      <c r="C47" s="6">
        <v>2.585</v>
      </c>
      <c r="D47">
        <v>8.4599999999999995E-2</v>
      </c>
      <c r="E47">
        <v>25.979384615384618</v>
      </c>
      <c r="F47" s="15">
        <v>533654.424</v>
      </c>
      <c r="G47" s="13"/>
      <c r="H47" s="15"/>
      <c r="I47" s="21"/>
    </row>
    <row r="48" spans="1:9">
      <c r="A48" s="4" t="s">
        <v>129</v>
      </c>
      <c r="B48" s="19">
        <v>13.63</v>
      </c>
      <c r="C48" s="6">
        <v>2.5779999999999998</v>
      </c>
      <c r="D48">
        <v>0.1472</v>
      </c>
      <c r="E48">
        <v>91.209638554216895</v>
      </c>
      <c r="F48" s="15">
        <v>126047.414</v>
      </c>
      <c r="G48" s="13"/>
      <c r="H48" s="15"/>
      <c r="I48" s="21"/>
    </row>
    <row r="49" spans="1:9">
      <c r="A49" s="4" t="s">
        <v>130</v>
      </c>
      <c r="B49" s="19">
        <v>13.31</v>
      </c>
      <c r="C49" s="6">
        <v>2.407</v>
      </c>
      <c r="D49">
        <v>7.8600000000000003E-2</v>
      </c>
      <c r="E49">
        <v>52.838741258741265</v>
      </c>
      <c r="F49" s="15">
        <v>1598091.0220000001</v>
      </c>
      <c r="G49" s="13"/>
      <c r="H49" s="15"/>
      <c r="I49" s="21"/>
    </row>
    <row r="50" spans="1:9">
      <c r="A50" s="4" t="s">
        <v>131</v>
      </c>
      <c r="B50" s="19">
        <v>15.55</v>
      </c>
      <c r="C50" s="6">
        <v>2.7589999999999999</v>
      </c>
      <c r="D50">
        <v>8.3699999999999997E-2</v>
      </c>
      <c r="E50">
        <v>93.787117117117091</v>
      </c>
      <c r="F50" s="15">
        <v>1309193.716</v>
      </c>
      <c r="G50" s="13"/>
      <c r="H50" s="15"/>
      <c r="I50" s="21"/>
    </row>
    <row r="51" spans="1:9">
      <c r="A51" s="4" t="s">
        <v>132</v>
      </c>
      <c r="B51" s="19">
        <v>12.82</v>
      </c>
      <c r="C51" s="6">
        <v>2.407</v>
      </c>
      <c r="D51">
        <v>9.9400000000000002E-2</v>
      </c>
      <c r="E51">
        <v>48.267272727272719</v>
      </c>
      <c r="F51" s="15">
        <v>348268.37400000001</v>
      </c>
      <c r="G51" s="13"/>
      <c r="H51" s="15"/>
      <c r="I51" s="21"/>
    </row>
    <row r="52" spans="1:9">
      <c r="A52" s="4" t="s">
        <v>133</v>
      </c>
      <c r="B52" s="19">
        <v>15.01</v>
      </c>
      <c r="C52" s="6">
        <v>2.403</v>
      </c>
      <c r="D52">
        <v>0.1085</v>
      </c>
      <c r="E52">
        <v>65.787821782178213</v>
      </c>
      <c r="F52" s="15">
        <v>1145480.872</v>
      </c>
      <c r="G52" s="13"/>
      <c r="H52" s="15"/>
      <c r="I52" s="21"/>
    </row>
    <row r="53" spans="1:9">
      <c r="A53" s="4" t="s">
        <v>134</v>
      </c>
      <c r="B53" s="19">
        <v>16.14</v>
      </c>
      <c r="C53" s="6">
        <v>2.585</v>
      </c>
      <c r="D53">
        <v>9.9400000000000002E-2</v>
      </c>
      <c r="E53">
        <v>47.383749999999992</v>
      </c>
      <c r="F53" s="15">
        <v>111707.14</v>
      </c>
      <c r="G53" s="13"/>
      <c r="H53" s="15"/>
      <c r="I53" s="21"/>
    </row>
    <row r="54" spans="1:9">
      <c r="G54" s="13"/>
      <c r="H54" s="15"/>
    </row>
  </sheetData>
  <sortState ref="G1:H53">
    <sortCondition ref="G1:G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MRF SORTING</vt:lpstr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Badgett</dc:creator>
  <cp:lastModifiedBy>Alex Badgett</cp:lastModifiedBy>
  <dcterms:created xsi:type="dcterms:W3CDTF">2017-06-23T17:18:57Z</dcterms:created>
  <dcterms:modified xsi:type="dcterms:W3CDTF">2017-07-25T01:48:14Z</dcterms:modified>
</cp:coreProperties>
</file>