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codeName="ThisWorkbook" autoCompressPictures="0"/>
  <bookViews>
    <workbookView xWindow="0" yWindow="0" windowWidth="25600" windowHeight="15460" tabRatio="867" firstSheet="3" activeTab="9"/>
  </bookViews>
  <sheets>
    <sheet name="Inputs" sheetId="13" r:id="rId1"/>
    <sheet name="Supply Curves" sheetId="20" r:id="rId2"/>
    <sheet name="State Data" sheetId="2" r:id="rId3"/>
    <sheet name="Sensitivity Analysis" sheetId="19" r:id="rId4"/>
    <sheet name="Cost Index Estimation" sheetId="17" r:id="rId5"/>
    <sheet name="Calibration" sheetId="18" r:id="rId6"/>
    <sheet name="Agricultural Land Application" sheetId="4" r:id="rId7"/>
    <sheet name="Anaerobic Digestion" sheetId="6" r:id="rId8"/>
    <sheet name="Multiple Hearth Incineration" sheetId="8" r:id="rId9"/>
    <sheet name="Dewatering" sheetId="12" r:id="rId10"/>
    <sheet name="Dewatered Sludge Hauling" sheetId="11" r:id="rId11"/>
    <sheet name="Landfill" sheetId="16" r:id="rId12"/>
    <sheet name="Liquid Sludge Hauling" sheetId="9" r:id="rId13"/>
    <sheet name="Cost Data" sheetId="5" r:id="rId14"/>
    <sheet name="Workspace" sheetId="1" r:id="rId15"/>
    <sheet name="Regional Sludge Production Info" sheetId="10" r:id="rId16"/>
  </sheets>
  <definedNames>
    <definedName name="A" localSheetId="11">'Anaerobic Digestion'!#REF!</definedName>
    <definedName name="A">'Anaerobic Digestion'!#REF!</definedName>
    <definedName name="AAA" localSheetId="11">'Anaerobic Digestion'!#REF!</definedName>
    <definedName name="AAA">'Anaerobic Digestion'!#REF!</definedName>
    <definedName name="ACC">'Agricultural Land Application'!$C$48</definedName>
    <definedName name="ACC_BF">Dewatering!$C$23</definedName>
    <definedName name="ACC_C">Dewatering!$H$34</definedName>
    <definedName name="ACC_DW" localSheetId="11">Landfill!$C$79</definedName>
    <definedName name="ACC_DW">'Dewatered Sludge Hauling'!$C$79</definedName>
    <definedName name="ACC_HL">'Liquid Sludge Hauling'!$C$75</definedName>
    <definedName name="ACCAD">'Anaerobic Digestion'!$C$24</definedName>
    <definedName name="ACCI">'Multiple Hearth Incineration'!$C$30</definedName>
    <definedName name="AIR">'Multiple Hearth Incineration'!$C$11</definedName>
    <definedName name="BE_C">Dewatering!$H$24</definedName>
    <definedName name="BFLR">Dewatering!$C$10</definedName>
    <definedName name="CAP">'Agricultural Land Application'!$C$18</definedName>
    <definedName name="CAP_DW" localSheetId="11">Landfill!$C$39</definedName>
    <definedName name="CAP_DW">'Dewatered Sludge Hauling'!$C$39</definedName>
    <definedName name="CAP_HL">'Liquid Sludge Hauling'!$C$34</definedName>
    <definedName name="COSTDF">'Agricultural Land Application'!$C$41</definedName>
    <definedName name="COSTDF_I">Inputs!$L$42</definedName>
    <definedName name="COSTDL_DW" localSheetId="11">Landfill!$C$76</definedName>
    <definedName name="COSTDL_DW">'Dewatered Sludge Hauling'!$C$76</definedName>
    <definedName name="COSTDSL">'Agricultural Land Application'!$C$40</definedName>
    <definedName name="COSTDSL_HL">'Liquid Sludge Hauling'!$C$73</definedName>
    <definedName name="COSTDTAD">'Anaerobic Digestion'!$C$25</definedName>
    <definedName name="COSTE">'Anaerobic Digestion'!$C$19</definedName>
    <definedName name="COSTE_BF">Dewatering!$C$19</definedName>
    <definedName name="COSTE_I">Inputs!$N$42</definedName>
    <definedName name="COSTEI" localSheetId="11">'Multiple Hearth Incineration'!#REF!</definedName>
    <definedName name="COSTEI">'Multiple Hearth Incineration'!#REF!</definedName>
    <definedName name="COSTEL">'Anaerobic Digestion'!$C$20</definedName>
    <definedName name="COSTEL_BF">Dewatering!$C$18</definedName>
    <definedName name="COSTEL_C">Dewatering!$H$27</definedName>
    <definedName name="COSTELI">'Multiple Hearth Incineration'!$C$27</definedName>
    <definedName name="COSTEW">'Agricultural Land Application'!$C$33</definedName>
    <definedName name="COSTFO">'Multiple Hearth Incineration'!$C$23</definedName>
    <definedName name="COSTFUELI">'Multiple Hearth Incineration'!$C$26</definedName>
    <definedName name="COSTL">'Agricultural Land Application'!$C$39</definedName>
    <definedName name="COSTL_I">Inputs!$K$42</definedName>
    <definedName name="COSTLA_DW" localSheetId="11">Landfill!$C$66</definedName>
    <definedName name="COSTLA_DW">'Dewatered Sludge Hauling'!$C$66</definedName>
    <definedName name="COSTLA_HL">'Liquid Sludge Hauling'!$C$64</definedName>
    <definedName name="COSTLAB_DW" localSheetId="11">Landfill!$C$65</definedName>
    <definedName name="COSTLAB_DW">'Dewatered Sludge Hauling'!$C$65</definedName>
    <definedName name="COSTLAND">'Agricultural Land Application'!$C$29</definedName>
    <definedName name="COSTLB">'Agricultural Land Application'!$C$38</definedName>
    <definedName name="COSTLB_BF">Dewatering!$C$17</definedName>
    <definedName name="COSTLB_C">Dewatering!$H$26</definedName>
    <definedName name="COSTLB_DW" localSheetId="11">Landfill!$C$75</definedName>
    <definedName name="COSTLB_DW">'Dewatered Sludge Hauling'!$C$75</definedName>
    <definedName name="COSTLB_HL">'Liquid Sludge Hauling'!$C$72</definedName>
    <definedName name="COSTLBAD">'Anaerobic Digestion'!$C$18</definedName>
    <definedName name="COSTLBI">'Multiple Hearth Incineration'!$C$25</definedName>
    <definedName name="COSTMAV">'Agricultural Land Application'!$C$35</definedName>
    <definedName name="COSTMPI">'Multiple Hearth Incineration'!$C$28</definedName>
    <definedName name="COSTMS">'Anaerobic Digestion'!$C$21</definedName>
    <definedName name="COSTOM">'Agricultural Land Application'!$C$47</definedName>
    <definedName name="COSTOM_BF">Dewatering!$C$22</definedName>
    <definedName name="COSTOM_C">Dewatering!$H$33</definedName>
    <definedName name="COSTOM_DW" localSheetId="11">Landfill!$C$78</definedName>
    <definedName name="COSTOM_DW">'Dewatered Sludge Hauling'!$C$78</definedName>
    <definedName name="COSTOM_HL">'Liquid Sludge Hauling'!$C$74</definedName>
    <definedName name="COSTOMAD">'Anaerobic Digestion'!$C$23</definedName>
    <definedName name="COSTOMI">'Multiple Hearth Incineration'!$C$33</definedName>
    <definedName name="COSTPHT">'Agricultural Land Application'!$C$31</definedName>
    <definedName name="COSTPM_BF">Dewatering!$C$20</definedName>
    <definedName name="COSTPM_C">Dewatering!$H$28</definedName>
    <definedName name="COSTPV">'Agricultural Land Application'!$C$36</definedName>
    <definedName name="COSTSTT_HL">'Liquid Sludge Hauling'!$C$48</definedName>
    <definedName name="COSTTRK_DW" localSheetId="11">Landfill!$C$54</definedName>
    <definedName name="COSTTRK_DW">'Dewatered Sludge Hauling'!$C$54</definedName>
    <definedName name="COSTWTAD">'Anaerobic Digestion'!$C$27</definedName>
    <definedName name="CPDT">'Agricultural Land Application'!$C$3</definedName>
    <definedName name="CPDT_BF">Dewatering!$C$25</definedName>
    <definedName name="CPDT_C">Dewatering!$H$36</definedName>
    <definedName name="CPDT_DW" localSheetId="11">Landfill!$C$82</definedName>
    <definedName name="CPDT_DW">'Dewatered Sludge Hauling'!$C$82</definedName>
    <definedName name="CPDTI">'Multiple Hearth Incineration'!$C$32</definedName>
    <definedName name="CPWT">'Agricultural Land Application'!$C$50</definedName>
    <definedName name="CPWT_BF">Dewatering!$C$26</definedName>
    <definedName name="CPWT_C">Dewatering!$H$37</definedName>
    <definedName name="CPWT_DW" localSheetId="11">Landfill!$C$83</definedName>
    <definedName name="CPWT_DW">'Dewatered Sludge Hauling'!$C$83</definedName>
    <definedName name="CPWT_DWL">Landfill!$C$83</definedName>
    <definedName name="CPWTI">'Multiple Hearth Incineration'!$C$34</definedName>
    <definedName name="CRF">'Agricultural Land Application'!$C$51</definedName>
    <definedName name="CSTLAB_HL">'Liquid Sludge Hauling'!$C$63</definedName>
    <definedName name="CT">'Agricultural Land Application'!$C$16</definedName>
    <definedName name="DFRCAP">'Agricultural Land Application'!$C$28</definedName>
    <definedName name="DPY">'Agricultural Land Application'!$C$10</definedName>
    <definedName name="DPY_BF">Dewatering!$C$12</definedName>
    <definedName name="DPY_C">Dewatering!$H$11</definedName>
    <definedName name="DPY_DW" localSheetId="11">Landfill!$C$8</definedName>
    <definedName name="DPY_DW">'Dewatered Sludge Hauling'!$C$8</definedName>
    <definedName name="DPY_HL">'Liquid Sludge Hauling'!$C$8</definedName>
    <definedName name="DPYI">'Multiple Hearth Incineration'!$C$7</definedName>
    <definedName name="DSAR">'Agricultural Land Application'!$C$8</definedName>
    <definedName name="DSS_BF">Dewatering!$C$13</definedName>
    <definedName name="DT">'Liquid Sludge Hauling'!$C$36</definedName>
    <definedName name="DT_DW" localSheetId="11">Landfill!$C$41</definedName>
    <definedName name="DT_DW">'Dewatered Sludge Hauling'!$C$41</definedName>
    <definedName name="E">'Anaerobic Digestion'!$C$17</definedName>
    <definedName name="E_BF">Dewatering!$C$16</definedName>
    <definedName name="E_C">Dewatering!$H$25</definedName>
    <definedName name="EI">'Multiple Hearth Incineration'!$C$19</definedName>
    <definedName name="ENRCCI">'Agricultural Land Application'!$C$45</definedName>
    <definedName name="ENRCCI_I">Inputs!$B$19</definedName>
    <definedName name="FACTOR">'Liquid Sludge Hauling'!$C$20</definedName>
    <definedName name="FACTOR_DW" localSheetId="11">Landfill!$C$21</definedName>
    <definedName name="FACTOR_DW">'Dewatered Sludge Hauling'!$C$21</definedName>
    <definedName name="FC">'Liquid Sludge Hauling'!$C$42</definedName>
    <definedName name="FC_DW" localSheetId="11">Landfill!$C$48</definedName>
    <definedName name="FC_DW">'Dewatered Sludge Hauling'!$C$48</definedName>
    <definedName name="FO">'Multiple Hearth Incineration'!$C$18</definedName>
    <definedName name="FRLG">'Agricultural Land Application'!$C$24</definedName>
    <definedName name="FRPH">'Agricultural Land Application'!$C$22</definedName>
    <definedName name="FU">'Agricultural Land Application'!$C$27</definedName>
    <definedName name="FU_DW" localSheetId="11">Landfill!$C$47</definedName>
    <definedName name="FU_DW">'Dewatered Sludge Hauling'!$C$47</definedName>
    <definedName name="FU_HL">'Liquid Sludge Hauling'!$C$41</definedName>
    <definedName name="FUELO_I">Inputs!$M$42</definedName>
    <definedName name="FWWAB">'Agricultural Land Application'!$C$20</definedName>
    <definedName name="HAIR">'Multiple Hearth Incineration'!$C$12</definedName>
    <definedName name="HAUL_DIST">Inputs!$A$15</definedName>
    <definedName name="HCW">'Multiple Hearth Incineration'!$C$15</definedName>
    <definedName name="HL">'Multiple Hearth Incineration'!$C$16</definedName>
    <definedName name="HPD">'Agricultural Land Application'!$C$11</definedName>
    <definedName name="HPD_BF">Dewatering!$C$11</definedName>
    <definedName name="HPD_C">Dewatering!$H$10</definedName>
    <definedName name="HPD_DW" localSheetId="11">Landfill!$C$6</definedName>
    <definedName name="HPD_DW">'Dewatered Sludge Hauling'!$C$6</definedName>
    <definedName name="HPD_HL">'Liquid Sludge Hauling'!$C$7</definedName>
    <definedName name="HPDI">'Multiple Hearth Incineration'!$C$6</definedName>
    <definedName name="HSS">'Multiple Hearth Incineration'!$C$13</definedName>
    <definedName name="HSV">'Agricultural Land Application'!$C$9</definedName>
    <definedName name="HV">'Multiple Hearth Incineration'!$C$10</definedName>
    <definedName name="HW">'Multiple Hearth Incineration'!$C$14</definedName>
    <definedName name="I">Inputs!$B$25</definedName>
    <definedName name="L">'Agricultural Land Application'!$C$26</definedName>
    <definedName name="L_BF">Dewatering!$C$15</definedName>
    <definedName name="L_C">Dewatering!$H$16</definedName>
    <definedName name="LANDCST">'Agricultural Land Application'!$C$30</definedName>
    <definedName name="LGEWCST">'Agricultural Land Application'!$C$34</definedName>
    <definedName name="LI">'Multiple Hearth Incineration'!$C$9</definedName>
    <definedName name="LIFETIME">'Agricultural Land Application'!$C$49</definedName>
    <definedName name="LR">'Multiple Hearth Incineration'!$C$8</definedName>
    <definedName name="LT">'Liquid Sludge Hauling'!$C$3</definedName>
    <definedName name="LT_DW" localSheetId="11">Landfill!$C$3</definedName>
    <definedName name="LT_DW">'Dewatered Sludge Hauling'!$C$3</definedName>
    <definedName name="MCM">'Liquid Sludge Hauling'!$C$69</definedName>
    <definedName name="MCM_DW" localSheetId="11">Landfill!$C$72</definedName>
    <definedName name="MCM_DW">'Dewatered Sludge Hauling'!$C$72</definedName>
    <definedName name="MCOSTLA_DW" localSheetId="11">Landfill!$C$74</definedName>
    <definedName name="MCOSTLA_DW">'Dewatered Sludge Hauling'!$C$74</definedName>
    <definedName name="MCOSTLA_HL">'Liquid Sludge Hauling'!$C$71</definedName>
    <definedName name="MCSTCAP">'Agricultural Land Application'!$C$43</definedName>
    <definedName name="ML">'Anaerobic Digestion'!$C$15</definedName>
    <definedName name="MSECI">'Agricultural Land Application'!$C$37</definedName>
    <definedName name="MSECI_I">Inputs!$B$18</definedName>
    <definedName name="MSECIAD">'Anaerobic Digestion'!$C$26</definedName>
    <definedName name="MSV">Dewatering!$H$12</definedName>
    <definedName name="NOV">'Agricultural Land Application'!$C$25</definedName>
    <definedName name="NRT_DW" localSheetId="11">Landfill!$C$40</definedName>
    <definedName name="NRT_DW">'Dewatered Sludge Hauling'!$C$40</definedName>
    <definedName name="NRT_HL">'Liquid Sludge Hauling'!$C$35</definedName>
    <definedName name="NTR_DW" localSheetId="11">Landfill!$C$30</definedName>
    <definedName name="NTR_DW">'Dewatered Sludge Hauling'!$C$30</definedName>
    <definedName name="NTR_HL">'Liquid Sludge Hauling'!$C$27</definedName>
    <definedName name="OL">'Anaerobic Digestion'!$C$16</definedName>
    <definedName name="PE_C">Dewatering!$H$20</definedName>
    <definedName name="PHCST">'Agricultural Land Application'!$C$32</definedName>
    <definedName name="PV">'Anaerobic Digestion'!$C$10</definedName>
    <definedName name="PVR">'Anaerobic Digestion'!$C$8</definedName>
    <definedName name="RTHD">'Liquid Sludge Hauling'!$C$6</definedName>
    <definedName name="RTHD_DW" localSheetId="11">Landfill!$C$7</definedName>
    <definedName name="RTHD_DW">'Dewatered Sludge Hauling'!$C$7</definedName>
    <definedName name="RTHT">'Liquid Sludge Hauling'!$C$5</definedName>
    <definedName name="RTHT_DW" localSheetId="11">Landfill!$C$5</definedName>
    <definedName name="RTHT_DW">'Dewatered Sludge Hauling'!$C$5</definedName>
    <definedName name="S_HL" localSheetId="11">'Liquid Sludge Hauling'!#REF!</definedName>
    <definedName name="S_HL">'Liquid Sludge Hauling'!#REF!</definedName>
    <definedName name="SD">'Anaerobic Digestion'!$C$9</definedName>
    <definedName name="SDAR">'Agricultural Land Application'!$C$7</definedName>
    <definedName name="SGD">'Anaerobic Digestion'!$C$12</definedName>
    <definedName name="SH">'Multiple Hearth Incineration'!$C$17</definedName>
    <definedName name="SMC">'Agricultural Land Application'!$C$44</definedName>
    <definedName name="SS" localSheetId="11">#REF!</definedName>
    <definedName name="SS">#REF!</definedName>
    <definedName name="SS_AD">'Anaerobic Digestion'!$C$4</definedName>
    <definedName name="SS_AD_I">Inputs!$I$10</definedName>
    <definedName name="SS_BF">Dewatering!$C$8</definedName>
    <definedName name="SS_C">Dewatering!$H$8</definedName>
    <definedName name="SS_DW" localSheetId="11">Landfill!$C$81</definedName>
    <definedName name="SS_DW">'Dewatered Sludge Hauling'!$C$81</definedName>
    <definedName name="SS_DWH_I">Inputs!$P$15</definedName>
    <definedName name="SS_HL">'Liquid Sludge Hauling'!$C$78</definedName>
    <definedName name="SS_LA_1">'Agricultural Land Application'!$C$4</definedName>
    <definedName name="SSE">#REF!</definedName>
    <definedName name="SSE_AD">'Anaerobic Digestion'!$C$3</definedName>
    <definedName name="SSEAD" localSheetId="11">'Anaerobic Digestion'!#REF!</definedName>
    <definedName name="SSEAD">'Anaerobic Digestion'!#REF!</definedName>
    <definedName name="SSG">'Agricultural Land Application'!$C$6</definedName>
    <definedName name="SSG_AD">'Anaerobic Digestion'!$C$5</definedName>
    <definedName name="SSG_BF">Dewatering!$C$9</definedName>
    <definedName name="SSG_C">Dewatering!$H$9</definedName>
    <definedName name="SSG_DW">'Dewatered Sludge Hauling'!$C$84</definedName>
    <definedName name="SSI">'Multiple Hearth Incineration'!$C$3</definedName>
    <definedName name="SV" localSheetId="11">#REF!</definedName>
    <definedName name="SV">#REF!</definedName>
    <definedName name="SV_AD_I">Inputs!$I$8</definedName>
    <definedName name="SV_BF">Dewatering!$C$7</definedName>
    <definedName name="SV_C">Dewatering!$H$7</definedName>
    <definedName name="SV_DW" localSheetId="11">Landfill!$C$2</definedName>
    <definedName name="SV_DW">'Dewatered Sludge Hauling'!$C$2</definedName>
    <definedName name="SV_DW_I">Inputs!$O$6</definedName>
    <definedName name="SV_DWH_I">Inputs!$P$13</definedName>
    <definedName name="SV_HL">'Liquid Sludge Hauling'!$C$2</definedName>
    <definedName name="SV_HL_YR">'Liquid Sludge Hauling'!$C$53</definedName>
    <definedName name="sv_i">Inputs!$B$4</definedName>
    <definedName name="SV_LA_1">'Agricultural Land Application'!$C$2</definedName>
    <definedName name="SVAD">'Anaerobic Digestion'!$C$2</definedName>
    <definedName name="SVCY" localSheetId="11">Landfill!$C$20</definedName>
    <definedName name="SVCY">'Dewatered Sludge Hauling'!$C$20</definedName>
    <definedName name="SVI">'Multiple Hearth Incineration'!$C$2</definedName>
    <definedName name="TBCC">'Agricultural Land Application'!$C$46</definedName>
    <definedName name="TBCC_BF">Dewatering!$C$21</definedName>
    <definedName name="TBCC_C">Dewatering!$H$29</definedName>
    <definedName name="TBCC_DW" localSheetId="11">Landfill!$C$77</definedName>
    <definedName name="TBCC_DW">'Dewatered Sludge Hauling'!$C$77</definedName>
    <definedName name="TBCC_HL">'Liquid Sludge Hauling'!$C$76</definedName>
    <definedName name="TBCCAD">'Anaerobic Digestion'!$C$22</definedName>
    <definedName name="TBCCI">'Multiple Hearth Incineration'!$C$29</definedName>
    <definedName name="TBFW">Dewatering!$C$14</definedName>
    <definedName name="TCOSTTRK_DW" localSheetId="11">Landfill!$C$55</definedName>
    <definedName name="TCOSTTRK_DW">'Dewatered Sludge Hauling'!$C$55</definedName>
    <definedName name="TD">'Anaerobic Digestion'!$C$7</definedName>
    <definedName name="TDSS">'Agricultural Land Application'!$C$5</definedName>
    <definedName name="TDSS_BF">Dewatering!$C$24</definedName>
    <definedName name="TDSS_C">Dewatering!$H$35</definedName>
    <definedName name="TDSS_DW" localSheetId="11">Landfill!$C$80</definedName>
    <definedName name="TDSS_DW">'Dewatered Sludge Hauling'!$C$80</definedName>
    <definedName name="TDSS_HL">'Liquid Sludge Hauling'!$C$77</definedName>
    <definedName name="TDSSAD">'Anaerobic Digestion'!$C$6</definedName>
    <definedName name="TDSSI">'Multiple Hearth Incineration'!$C$31</definedName>
    <definedName name="test">'Agricultural Land Application'!$I$3</definedName>
    <definedName name="test2">#REF!</definedName>
    <definedName name="TIPP">Inputs!$O$42</definedName>
    <definedName name="TLAPH">'Agricultural Land Application'!$C$21</definedName>
    <definedName name="TLAR">'Agricultural Land Application'!$C$19</definedName>
    <definedName name="TLARLG">'Agricultural Land Application'!$C$23</definedName>
    <definedName name="TTCOST">'Liquid Sludge Hauling'!$C$47</definedName>
    <definedName name="ULT">'Liquid Sludge Hauling'!$C$4</definedName>
    <definedName name="ULT_DW" localSheetId="11">Landfill!$C$4</definedName>
    <definedName name="ULT_DW">'Dewatered Sludge Hauling'!$C$4</definedName>
    <definedName name="VD">'Anaerobic Digestion'!$C$11</definedName>
    <definedName name="VHRCAP">'Agricultural Land Application'!$C$17</definedName>
    <definedName name="VMC">'Agricultural Land Application'!$C$42</definedName>
    <definedName name="VMC_DW" localSheetId="11">Landfill!$C$73</definedName>
    <definedName name="VMC_DW">'Dewatered Sludge Hauling'!$C$73</definedName>
    <definedName name="VMC_HL">'Liquid Sludge Hauling'!$C$70</definedName>
    <definedName name="VRS">'Anaerobic Digestion'!$C$13</definedName>
    <definedName name="VSS">'Multiple Hearth Incineration'!$C$5</definedName>
    <definedName name="VT">'Anaerobic Digestion'!$C$14</definedName>
  </definedNames>
  <calcPr calcId="140000" iterate="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8" l="1"/>
  <c r="C2" i="16"/>
  <c r="E4" i="13"/>
  <c r="G4" i="13"/>
  <c r="E10" i="13"/>
  <c r="G11" i="13"/>
  <c r="I8" i="13"/>
  <c r="K6" i="13"/>
  <c r="M7" i="13"/>
  <c r="O6" i="13"/>
  <c r="C7" i="12"/>
  <c r="H7" i="12"/>
  <c r="P13" i="13"/>
  <c r="C2" i="11"/>
  <c r="C2" i="6"/>
  <c r="C2" i="4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17" i="20"/>
  <c r="U16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3" i="20"/>
  <c r="E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2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17" i="20"/>
  <c r="T16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2" i="20"/>
  <c r="C8" i="12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3" i="20"/>
  <c r="H2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2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C52" i="20"/>
  <c r="C51" i="20"/>
  <c r="C50" i="20"/>
  <c r="C49" i="20"/>
  <c r="C48" i="20"/>
  <c r="C47" i="20"/>
  <c r="C46" i="20"/>
  <c r="C45" i="20"/>
  <c r="C44" i="20"/>
  <c r="C43" i="20"/>
  <c r="C42" i="20"/>
  <c r="C41" i="20"/>
  <c r="C40" i="20"/>
  <c r="C39" i="20"/>
  <c r="C38" i="20"/>
  <c r="C37" i="20"/>
  <c r="C36" i="20"/>
  <c r="C35" i="20"/>
  <c r="C34" i="20"/>
  <c r="C33" i="20"/>
  <c r="C32" i="20"/>
  <c r="C31" i="20"/>
  <c r="C30" i="20"/>
  <c r="C29" i="20"/>
  <c r="C28" i="20"/>
  <c r="C27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" i="20"/>
  <c r="V16" i="20"/>
  <c r="V17" i="20"/>
  <c r="V18" i="20"/>
  <c r="V19" i="20"/>
  <c r="T2" i="20"/>
  <c r="C6" i="4"/>
  <c r="C6" i="6"/>
  <c r="C17" i="6"/>
  <c r="C5" i="4"/>
  <c r="C7" i="4"/>
  <c r="C21" i="4"/>
  <c r="C31" i="4"/>
  <c r="C23" i="4"/>
  <c r="C33" i="4"/>
  <c r="C9" i="4"/>
  <c r="C12" i="4"/>
  <c r="D12" i="4"/>
  <c r="C13" i="4"/>
  <c r="D13" i="4"/>
  <c r="C14" i="4"/>
  <c r="D14" i="4"/>
  <c r="C15" i="4"/>
  <c r="D15" i="4"/>
  <c r="C25" i="4"/>
  <c r="C35" i="4"/>
  <c r="C46" i="4"/>
  <c r="C48" i="4"/>
  <c r="C26" i="4"/>
  <c r="C39" i="4"/>
  <c r="C38" i="4"/>
  <c r="J12" i="4"/>
  <c r="M12" i="4"/>
  <c r="J13" i="4"/>
  <c r="M13" i="4"/>
  <c r="J14" i="4"/>
  <c r="M14" i="4"/>
  <c r="J15" i="4"/>
  <c r="M15" i="4"/>
  <c r="C28" i="4"/>
  <c r="L12" i="4"/>
  <c r="L13" i="4"/>
  <c r="L14" i="4"/>
  <c r="L15" i="4"/>
  <c r="C18" i="4"/>
  <c r="K12" i="4"/>
  <c r="K13" i="4"/>
  <c r="K14" i="4"/>
  <c r="K15" i="4"/>
  <c r="C16" i="4"/>
  <c r="C17" i="4"/>
  <c r="C27" i="4"/>
  <c r="C41" i="4"/>
  <c r="C40" i="4"/>
  <c r="O12" i="4"/>
  <c r="O13" i="4"/>
  <c r="O14" i="4"/>
  <c r="O15" i="4"/>
  <c r="C43" i="4"/>
  <c r="C42" i="4"/>
  <c r="C19" i="4"/>
  <c r="C44" i="4"/>
  <c r="C47" i="4"/>
  <c r="C20" i="11"/>
  <c r="C21" i="11"/>
  <c r="C22" i="11"/>
  <c r="C23" i="11"/>
  <c r="C24" i="11"/>
  <c r="C25" i="11"/>
  <c r="C26" i="11"/>
  <c r="C27" i="11"/>
  <c r="C28" i="11"/>
  <c r="C29" i="11"/>
  <c r="C30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77" i="11"/>
  <c r="C79" i="11"/>
  <c r="C31" i="11"/>
  <c r="C32" i="11"/>
  <c r="C33" i="11"/>
  <c r="C34" i="11"/>
  <c r="C35" i="11"/>
  <c r="C36" i="11"/>
  <c r="C37" i="11"/>
  <c r="C38" i="11"/>
  <c r="C39" i="11"/>
  <c r="C40" i="11"/>
  <c r="C67" i="11"/>
  <c r="C68" i="11"/>
  <c r="C69" i="11"/>
  <c r="C70" i="11"/>
  <c r="C71" i="11"/>
  <c r="C72" i="11"/>
  <c r="C73" i="11"/>
  <c r="C74" i="11"/>
  <c r="C41" i="11"/>
  <c r="C75" i="11"/>
  <c r="C42" i="11"/>
  <c r="C43" i="11"/>
  <c r="C44" i="11"/>
  <c r="C45" i="11"/>
  <c r="C46" i="11"/>
  <c r="C48" i="11"/>
  <c r="C47" i="11"/>
  <c r="C76" i="11"/>
  <c r="C78" i="11"/>
  <c r="C20" i="16"/>
  <c r="C21" i="16"/>
  <c r="C22" i="16"/>
  <c r="C23" i="16"/>
  <c r="C24" i="16"/>
  <c r="C25" i="16"/>
  <c r="C26" i="16"/>
  <c r="C27" i="16"/>
  <c r="C28" i="16"/>
  <c r="C29" i="16"/>
  <c r="C30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77" i="16"/>
  <c r="C79" i="16"/>
  <c r="C31" i="16"/>
  <c r="C32" i="16"/>
  <c r="C33" i="16"/>
  <c r="C34" i="16"/>
  <c r="C35" i="16"/>
  <c r="C36" i="16"/>
  <c r="C37" i="16"/>
  <c r="C38" i="16"/>
  <c r="C39" i="16"/>
  <c r="C40" i="16"/>
  <c r="C67" i="16"/>
  <c r="C68" i="16"/>
  <c r="C69" i="16"/>
  <c r="C70" i="16"/>
  <c r="C71" i="16"/>
  <c r="C72" i="16"/>
  <c r="C73" i="16"/>
  <c r="C74" i="16"/>
  <c r="C41" i="16"/>
  <c r="C75" i="16"/>
  <c r="C42" i="16"/>
  <c r="C43" i="16"/>
  <c r="C44" i="16"/>
  <c r="C45" i="16"/>
  <c r="C46" i="16"/>
  <c r="C48" i="16"/>
  <c r="C47" i="16"/>
  <c r="C76" i="16"/>
  <c r="C78" i="16"/>
  <c r="C83" i="16"/>
  <c r="C29" i="8"/>
  <c r="C30" i="8"/>
  <c r="C9" i="8"/>
  <c r="C25" i="8"/>
  <c r="C19" i="8"/>
  <c r="C19" i="6"/>
  <c r="C27" i="8"/>
  <c r="C28" i="8"/>
  <c r="C8" i="8"/>
  <c r="C10" i="8"/>
  <c r="C11" i="8"/>
  <c r="C12" i="8"/>
  <c r="C13" i="8"/>
  <c r="C14" i="8"/>
  <c r="C15" i="8"/>
  <c r="C16" i="8"/>
  <c r="C17" i="8"/>
  <c r="C18" i="8"/>
  <c r="C23" i="8"/>
  <c r="C26" i="8"/>
  <c r="C33" i="8"/>
  <c r="C9" i="12"/>
  <c r="C13" i="12"/>
  <c r="C14" i="12"/>
  <c r="C21" i="12"/>
  <c r="C23" i="12"/>
  <c r="C15" i="12"/>
  <c r="C17" i="12"/>
  <c r="C16" i="12"/>
  <c r="C19" i="12"/>
  <c r="C18" i="12"/>
  <c r="C20" i="12"/>
  <c r="C22" i="12"/>
  <c r="H12" i="12"/>
  <c r="H30" i="12"/>
  <c r="H31" i="12"/>
  <c r="H32" i="12"/>
  <c r="H29" i="12"/>
  <c r="H34" i="12"/>
  <c r="H17" i="12"/>
  <c r="H18" i="12"/>
  <c r="H19" i="12"/>
  <c r="H20" i="12"/>
  <c r="H21" i="12"/>
  <c r="H22" i="12"/>
  <c r="H23" i="12"/>
  <c r="H24" i="12"/>
  <c r="H25" i="12"/>
  <c r="H27" i="12"/>
  <c r="H13" i="12"/>
  <c r="H14" i="12"/>
  <c r="H15" i="12"/>
  <c r="H16" i="12"/>
  <c r="H26" i="12"/>
  <c r="H28" i="12"/>
  <c r="H33" i="12"/>
  <c r="C13" i="6"/>
  <c r="C9" i="6"/>
  <c r="C11" i="6"/>
  <c r="C14" i="6"/>
  <c r="C22" i="6"/>
  <c r="C24" i="6"/>
  <c r="C15" i="6"/>
  <c r="C16" i="6"/>
  <c r="C18" i="6"/>
  <c r="C20" i="6"/>
  <c r="C21" i="6"/>
  <c r="C23" i="6"/>
  <c r="C37" i="4"/>
  <c r="C51" i="4"/>
  <c r="C45" i="4"/>
  <c r="C9" i="11"/>
  <c r="C10" i="11"/>
  <c r="C11" i="11"/>
  <c r="C12" i="11"/>
  <c r="C13" i="11"/>
  <c r="C14" i="11"/>
  <c r="C15" i="11"/>
  <c r="C4" i="11"/>
  <c r="C7" i="11"/>
  <c r="C16" i="11"/>
  <c r="C17" i="11"/>
  <c r="C18" i="11"/>
  <c r="C19" i="11"/>
  <c r="C5" i="11"/>
  <c r="C7" i="16"/>
  <c r="C16" i="16"/>
  <c r="C17" i="16"/>
  <c r="C18" i="16"/>
  <c r="C19" i="16"/>
  <c r="C5" i="16"/>
  <c r="C3" i="8"/>
  <c r="C4" i="6"/>
  <c r="C3" i="6"/>
  <c r="C22" i="4"/>
  <c r="C20" i="4"/>
  <c r="C7" i="6"/>
  <c r="Q5" i="19"/>
  <c r="M5" i="19"/>
  <c r="C81" i="16"/>
  <c r="C80" i="16"/>
  <c r="C82" i="16"/>
  <c r="H48" i="13"/>
  <c r="C5" i="6"/>
  <c r="C27" i="6"/>
  <c r="C50" i="4"/>
  <c r="C81" i="11"/>
  <c r="C84" i="11"/>
  <c r="C83" i="11"/>
  <c r="I5" i="19"/>
  <c r="E10" i="19"/>
  <c r="E5" i="19"/>
  <c r="C3" i="4"/>
  <c r="B18" i="13"/>
  <c r="B19" i="13"/>
  <c r="E72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L39" i="18"/>
  <c r="M39" i="18"/>
  <c r="T47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K48" i="13"/>
  <c r="N48" i="13"/>
  <c r="Q48" i="13"/>
  <c r="P48" i="13"/>
  <c r="O48" i="13"/>
  <c r="M48" i="13"/>
  <c r="H8" i="12"/>
  <c r="H9" i="12"/>
  <c r="L48" i="13"/>
  <c r="J48" i="13"/>
  <c r="C80" i="11"/>
  <c r="H37" i="12"/>
  <c r="C26" i="12"/>
  <c r="C34" i="8"/>
  <c r="J40" i="17"/>
  <c r="C24" i="8"/>
  <c r="C48" i="13"/>
  <c r="C82" i="11"/>
  <c r="F48" i="13"/>
  <c r="I48" i="13"/>
  <c r="C10" i="16"/>
  <c r="C11" i="16"/>
  <c r="C12" i="16"/>
  <c r="C13" i="16"/>
  <c r="C14" i="16"/>
  <c r="C15" i="16"/>
  <c r="C4" i="16"/>
  <c r="I3" i="16"/>
  <c r="H3" i="16"/>
  <c r="C31" i="8"/>
  <c r="C32" i="8"/>
  <c r="G48" i="13"/>
  <c r="C25" i="6"/>
  <c r="B48" i="13"/>
  <c r="H35" i="12"/>
  <c r="H36" i="12"/>
  <c r="D48" i="13"/>
  <c r="C24" i="12"/>
  <c r="C25" i="12"/>
  <c r="E48" i="13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M14" i="13"/>
  <c r="I15" i="13"/>
  <c r="G39" i="12"/>
  <c r="B30" i="12"/>
  <c r="I3" i="11"/>
  <c r="H3" i="11"/>
  <c r="C5" i="9"/>
  <c r="C20" i="9"/>
  <c r="C21" i="9"/>
  <c r="C22" i="9"/>
  <c r="C23" i="9"/>
  <c r="C24" i="9"/>
  <c r="C25" i="9"/>
  <c r="C26" i="9"/>
  <c r="C27" i="9"/>
  <c r="C49" i="9"/>
  <c r="C50" i="9"/>
  <c r="C51" i="9"/>
  <c r="C52" i="9"/>
  <c r="C48" i="9"/>
  <c r="C47" i="9"/>
  <c r="C53" i="9"/>
  <c r="C54" i="9"/>
  <c r="C55" i="9"/>
  <c r="C56" i="9"/>
  <c r="C57" i="9"/>
  <c r="C58" i="9"/>
  <c r="C59" i="9"/>
  <c r="C60" i="9"/>
  <c r="C61" i="9"/>
  <c r="C62" i="9"/>
  <c r="C63" i="9"/>
  <c r="C64" i="9"/>
  <c r="C76" i="9"/>
  <c r="C75" i="9"/>
  <c r="C28" i="9"/>
  <c r="C29" i="9"/>
  <c r="C30" i="9"/>
  <c r="C31" i="9"/>
  <c r="C32" i="9"/>
  <c r="C33" i="9"/>
  <c r="C34" i="9"/>
  <c r="C35" i="9"/>
  <c r="C65" i="9"/>
  <c r="C66" i="9"/>
  <c r="C67" i="9"/>
  <c r="C68" i="9"/>
  <c r="C69" i="9"/>
  <c r="C70" i="9"/>
  <c r="C71" i="9"/>
  <c r="C36" i="9"/>
  <c r="C72" i="9"/>
  <c r="C37" i="9"/>
  <c r="C38" i="9"/>
  <c r="C39" i="9"/>
  <c r="C40" i="9"/>
  <c r="C42" i="9"/>
  <c r="C41" i="9"/>
  <c r="C73" i="9"/>
  <c r="C74" i="9"/>
  <c r="C77" i="9"/>
  <c r="C17" i="9"/>
  <c r="C18" i="9"/>
  <c r="C19" i="9"/>
  <c r="C10" i="9"/>
  <c r="C11" i="9"/>
  <c r="C12" i="9"/>
  <c r="C13" i="9"/>
  <c r="C14" i="9"/>
  <c r="C15" i="9"/>
  <c r="C4" i="9"/>
  <c r="C80" i="9"/>
  <c r="C79" i="9"/>
  <c r="C46" i="9"/>
  <c r="C45" i="9"/>
  <c r="C44" i="9"/>
  <c r="C43" i="9"/>
  <c r="G6" i="8"/>
  <c r="C12" i="6"/>
  <c r="J5" i="6"/>
  <c r="I6" i="4"/>
  <c r="G6" i="4"/>
  <c r="F6" i="4"/>
  <c r="C36" i="4"/>
  <c r="P21" i="4"/>
  <c r="C22" i="8"/>
  <c r="C21" i="8"/>
  <c r="C20" i="8"/>
  <c r="C4" i="8"/>
  <c r="L22" i="4"/>
  <c r="M22" i="4"/>
  <c r="L23" i="4"/>
  <c r="M23" i="4"/>
  <c r="L24" i="4"/>
  <c r="M24" i="4"/>
  <c r="L25" i="4"/>
  <c r="M25" i="4"/>
  <c r="L26" i="4"/>
  <c r="M26" i="4"/>
  <c r="L27" i="4"/>
  <c r="M27" i="4"/>
  <c r="L28" i="4"/>
  <c r="M28" i="4"/>
  <c r="L29" i="4"/>
  <c r="M29" i="4"/>
  <c r="L30" i="4"/>
  <c r="M30" i="4"/>
  <c r="L31" i="4"/>
  <c r="M31" i="4"/>
  <c r="L32" i="4"/>
  <c r="M32" i="4"/>
  <c r="L33" i="4"/>
  <c r="M33" i="4"/>
  <c r="L34" i="4"/>
  <c r="M34" i="4"/>
  <c r="L35" i="4"/>
  <c r="M35" i="4"/>
  <c r="L36" i="4"/>
  <c r="M36" i="4"/>
  <c r="L37" i="4"/>
  <c r="M37" i="4"/>
  <c r="L38" i="4"/>
  <c r="M38" i="4"/>
  <c r="L39" i="4"/>
  <c r="M39" i="4"/>
  <c r="L40" i="4"/>
  <c r="M40" i="4"/>
  <c r="L41" i="4"/>
  <c r="M41" i="4"/>
  <c r="L42" i="4"/>
  <c r="M42" i="4"/>
  <c r="L43" i="4"/>
  <c r="M43" i="4"/>
  <c r="L44" i="4"/>
  <c r="M44" i="4"/>
  <c r="L45" i="4"/>
  <c r="M45" i="4"/>
  <c r="L46" i="4"/>
  <c r="M46" i="4"/>
  <c r="L47" i="4"/>
  <c r="M47" i="4"/>
  <c r="L48" i="4"/>
  <c r="M48" i="4"/>
  <c r="L49" i="4"/>
  <c r="M49" i="4"/>
  <c r="L50" i="4"/>
  <c r="M50" i="4"/>
  <c r="L51" i="4"/>
  <c r="M51" i="4"/>
  <c r="L52" i="4"/>
  <c r="M52" i="4"/>
  <c r="L53" i="4"/>
  <c r="M53" i="4"/>
  <c r="L54" i="4"/>
  <c r="M54" i="4"/>
  <c r="L55" i="4"/>
  <c r="M55" i="4"/>
  <c r="L56" i="4"/>
  <c r="M56" i="4"/>
  <c r="L57" i="4"/>
  <c r="M57" i="4"/>
  <c r="L58" i="4"/>
  <c r="M58" i="4"/>
  <c r="L59" i="4"/>
  <c r="M59" i="4"/>
  <c r="L60" i="4"/>
  <c r="M60" i="4"/>
  <c r="L61" i="4"/>
  <c r="M61" i="4"/>
  <c r="L62" i="4"/>
  <c r="M62" i="4"/>
  <c r="L63" i="4"/>
  <c r="M63" i="4"/>
  <c r="L64" i="4"/>
  <c r="M64" i="4"/>
  <c r="L65" i="4"/>
  <c r="M65" i="4"/>
  <c r="L66" i="4"/>
  <c r="M66" i="4"/>
  <c r="L67" i="4"/>
  <c r="M67" i="4"/>
  <c r="L68" i="4"/>
  <c r="M68" i="4"/>
  <c r="L69" i="4"/>
  <c r="M69" i="4"/>
  <c r="L70" i="4"/>
  <c r="M70" i="4"/>
  <c r="L71" i="4"/>
  <c r="M71" i="4"/>
  <c r="L72" i="4"/>
  <c r="M72" i="4"/>
  <c r="L73" i="4"/>
  <c r="M73" i="4"/>
  <c r="K21" i="4"/>
  <c r="M21" i="4"/>
  <c r="L21" i="4"/>
  <c r="I13" i="4"/>
  <c r="I14" i="4"/>
  <c r="I15" i="4"/>
  <c r="I12" i="4"/>
  <c r="C32" i="4"/>
  <c r="C24" i="4"/>
  <c r="H21" i="4"/>
</calcChain>
</file>

<file path=xl/comments1.xml><?xml version="1.0" encoding="utf-8"?>
<comments xmlns="http://schemas.openxmlformats.org/spreadsheetml/2006/main">
  <authors>
    <author>Alex Badgett</author>
  </authors>
  <commentList>
    <comment ref="B18" authorId="0">
      <text>
        <r>
          <rPr>
            <b/>
            <sz val="9"/>
            <color indexed="81"/>
            <rFont val="Calibri"/>
            <family val="2"/>
          </rPr>
          <t>Alex Badgett:</t>
        </r>
        <r>
          <rPr>
            <sz val="9"/>
            <color indexed="81"/>
            <rFont val="Calibri"/>
            <family val="2"/>
          </rPr>
          <t xml:space="preserve">
See Cost Index Estimation Tab</t>
        </r>
      </text>
    </comment>
    <comment ref="B19" authorId="0">
      <text>
        <r>
          <rPr>
            <b/>
            <sz val="9"/>
            <color indexed="81"/>
            <rFont val="Calibri"/>
            <family val="2"/>
          </rPr>
          <t>Alex Badgett:</t>
        </r>
        <r>
          <rPr>
            <sz val="9"/>
            <color indexed="81"/>
            <rFont val="Calibri"/>
            <family val="2"/>
          </rPr>
          <t xml:space="preserve">
See Cost Index Estimation Tab</t>
        </r>
      </text>
    </comment>
  </commentList>
</comments>
</file>

<file path=xl/sharedStrings.xml><?xml version="1.0" encoding="utf-8"?>
<sst xmlns="http://schemas.openxmlformats.org/spreadsheetml/2006/main" count="1344" uniqueCount="651">
  <si>
    <t>Inflation Adjustment: Newcost/Oldcost=NewCPI/OldCPI</t>
  </si>
  <si>
    <t>Agricultural Land Application</t>
  </si>
  <si>
    <t>CPDT</t>
  </si>
  <si>
    <t>SV</t>
  </si>
  <si>
    <t>SSG</t>
  </si>
  <si>
    <t>%</t>
  </si>
  <si>
    <t>DSAR (AVG DRY SOLIDS APPLICATION RATE</t>
  </si>
  <si>
    <t>TONS DRY SOLIDS/ACRE/YEAR</t>
  </si>
  <si>
    <t>HSV</t>
  </si>
  <si>
    <t>DPY (SLUDGE APPLICATION PERIOD)</t>
  </si>
  <si>
    <t>DAYS/YEAR</t>
  </si>
  <si>
    <t>HPD (DAILY SLUDGE APPLICATION RATE)</t>
  </si>
  <si>
    <t>HR/DAY</t>
  </si>
  <si>
    <t>GAL/HR</t>
  </si>
  <si>
    <t>ACRES</t>
  </si>
  <si>
    <t>CAP=1600</t>
  </si>
  <si>
    <t>CAP=2200</t>
  </si>
  <si>
    <t>CAP=3200</t>
  </si>
  <si>
    <t>CAP=4000</t>
  </si>
  <si>
    <t>CT</t>
  </si>
  <si>
    <t>MINUTES</t>
  </si>
  <si>
    <t>VHRCAP</t>
  </si>
  <si>
    <t>CAP</t>
  </si>
  <si>
    <t>GALLONS</t>
  </si>
  <si>
    <t>TLAR</t>
  </si>
  <si>
    <t>FWWAB</t>
  </si>
  <si>
    <t>TLAPH</t>
  </si>
  <si>
    <t>FRPH</t>
  </si>
  <si>
    <t>TLARLG</t>
  </si>
  <si>
    <t>FRLG</t>
  </si>
  <si>
    <t>L</t>
  </si>
  <si>
    <t>FU</t>
  </si>
  <si>
    <t>DFRCAP</t>
  </si>
  <si>
    <t>COSTLAND</t>
  </si>
  <si>
    <t>LANDCST</t>
  </si>
  <si>
    <t>COSTPHT</t>
  </si>
  <si>
    <t>PHCST</t>
  </si>
  <si>
    <t>$/ACRE</t>
  </si>
  <si>
    <t>COSTEW</t>
  </si>
  <si>
    <t>LGEWCST</t>
  </si>
  <si>
    <t>COSTMAV</t>
  </si>
  <si>
    <t>COSTPV</t>
  </si>
  <si>
    <t>1994 $</t>
  </si>
  <si>
    <t>MSECI</t>
  </si>
  <si>
    <t>N/A</t>
  </si>
  <si>
    <t>COSTLB</t>
  </si>
  <si>
    <t>COSTL</t>
  </si>
  <si>
    <t>$/HR</t>
  </si>
  <si>
    <t>COSTDSL</t>
  </si>
  <si>
    <t>COSTDF</t>
  </si>
  <si>
    <t>$/GAL</t>
  </si>
  <si>
    <t>VMC</t>
  </si>
  <si>
    <t>MCSTCAP</t>
  </si>
  <si>
    <t>SMC</t>
  </si>
  <si>
    <t>ENRCCI</t>
  </si>
  <si>
    <t>TBCC</t>
  </si>
  <si>
    <t>COSTOM</t>
  </si>
  <si>
    <t>ACC</t>
  </si>
  <si>
    <t>LIFETIME</t>
  </si>
  <si>
    <t>Out-of-State</t>
  </si>
  <si>
    <t>Disposal Cost Summary Per Wet Ton</t>
  </si>
  <si>
    <t>Landfilling</t>
  </si>
  <si>
    <t>Biosolids Land App</t>
  </si>
  <si>
    <t>Incineration</t>
  </si>
  <si>
    <t>In-State (New Hampshire)</t>
  </si>
  <si>
    <t>Costs do not include transportation to the site or the value of the land for land application</t>
  </si>
  <si>
    <t>Source: https://www.des.nh.gov/organization/commissioner/pip/publications/wd/documents/hb699report.pdf</t>
  </si>
  <si>
    <t>TD</t>
  </si>
  <si>
    <t>PVR</t>
  </si>
  <si>
    <t>SD</t>
  </si>
  <si>
    <t>PV</t>
  </si>
  <si>
    <t>VD</t>
  </si>
  <si>
    <t>SGD</t>
  </si>
  <si>
    <t>VT</t>
  </si>
  <si>
    <t>VRS</t>
  </si>
  <si>
    <t>SVAD</t>
  </si>
  <si>
    <t>TDSSAD</t>
  </si>
  <si>
    <t>ML</t>
  </si>
  <si>
    <t>OL</t>
  </si>
  <si>
    <t>E</t>
  </si>
  <si>
    <t>COSTLBAD</t>
  </si>
  <si>
    <t>COSTE</t>
  </si>
  <si>
    <t>COSTEL</t>
  </si>
  <si>
    <t>COSTMS</t>
  </si>
  <si>
    <t>TBCCAD</t>
  </si>
  <si>
    <t>COSTOMAD</t>
  </si>
  <si>
    <t>COSTDTAD</t>
  </si>
  <si>
    <t>ACCAD</t>
  </si>
  <si>
    <t>SV_LA_1</t>
  </si>
  <si>
    <t>CAPACITY (GAL)</t>
  </si>
  <si>
    <t>LT</t>
  </si>
  <si>
    <t>ULT</t>
  </si>
  <si>
    <t>TT</t>
  </si>
  <si>
    <t>CT_CALC</t>
  </si>
  <si>
    <t>CAP_CALC</t>
  </si>
  <si>
    <t>FUEL_CALC</t>
  </si>
  <si>
    <t>INDEX</t>
  </si>
  <si>
    <t>BASE CAPITAL COST</t>
  </si>
  <si>
    <t>Engineering News Record Construction Cost Index</t>
  </si>
  <si>
    <t>Total Base Capital Cost</t>
  </si>
  <si>
    <t>Cost of Land</t>
  </si>
  <si>
    <t>Marshall and Swift Equipment Cost Index</t>
  </si>
  <si>
    <t>Cost of Lime Addition ($/acre)</t>
  </si>
  <si>
    <t>Cost of light grading earthwork</t>
  </si>
  <si>
    <t>Cost/acre of light grading earthwork</t>
  </si>
  <si>
    <t>GAL/DAY</t>
  </si>
  <si>
    <t>$/DRY TON</t>
  </si>
  <si>
    <t>$</t>
  </si>
  <si>
    <t>GPD</t>
  </si>
  <si>
    <t>UNITS</t>
  </si>
  <si>
    <t>TONS/YEAR</t>
  </si>
  <si>
    <t>TDSS (DRY SOLIDS APPLIED TO LAND/YEAR)</t>
  </si>
  <si>
    <t>SDAR (ACRES NEEDED FOR LAND APP)</t>
  </si>
  <si>
    <t># OF VEHICLES</t>
  </si>
  <si>
    <t>NOV (NUMBER OF SLUDGE LAND APP VEHICLES)</t>
  </si>
  <si>
    <t>HR/YEAR</t>
  </si>
  <si>
    <t>GAL/YEAR</t>
  </si>
  <si>
    <t>VEH_CALC</t>
  </si>
  <si>
    <t>$/VEHICLE</t>
  </si>
  <si>
    <t>$/YEAR</t>
  </si>
  <si>
    <t>MAINT_CALC</t>
  </si>
  <si>
    <t>YEARS</t>
  </si>
  <si>
    <t>SVI</t>
  </si>
  <si>
    <t>VARIABLE</t>
  </si>
  <si>
    <t>VALUE</t>
  </si>
  <si>
    <t>VSS</t>
  </si>
  <si>
    <t>HPD</t>
  </si>
  <si>
    <t>DPY</t>
  </si>
  <si>
    <t>DAY/YEAR</t>
  </si>
  <si>
    <t>LR</t>
  </si>
  <si>
    <t>LB/HR</t>
  </si>
  <si>
    <t>LI</t>
  </si>
  <si>
    <t>HR/YR</t>
  </si>
  <si>
    <t>HV</t>
  </si>
  <si>
    <t>BTU/HR</t>
  </si>
  <si>
    <t>AIR</t>
  </si>
  <si>
    <t>LB AIR/HR</t>
  </si>
  <si>
    <t>HAIR</t>
  </si>
  <si>
    <t>HSS</t>
  </si>
  <si>
    <t>HW</t>
  </si>
  <si>
    <t>HCW</t>
  </si>
  <si>
    <t>HL</t>
  </si>
  <si>
    <t>SH</t>
  </si>
  <si>
    <t>FO</t>
  </si>
  <si>
    <t>GAL/YR</t>
  </si>
  <si>
    <t>EI</t>
  </si>
  <si>
    <t>KWHR</t>
  </si>
  <si>
    <t>COSTFO</t>
  </si>
  <si>
    <t>$/KWHR</t>
  </si>
  <si>
    <t>COSTLBI</t>
  </si>
  <si>
    <t>$/YR</t>
  </si>
  <si>
    <t>COSTFUELI</t>
  </si>
  <si>
    <t>COSTELI</t>
  </si>
  <si>
    <t>COSTMPI</t>
  </si>
  <si>
    <t>TBCCI</t>
  </si>
  <si>
    <t>ACCI</t>
  </si>
  <si>
    <t>TDSSI</t>
  </si>
  <si>
    <t>TONS/YR</t>
  </si>
  <si>
    <t>CPDTI</t>
  </si>
  <si>
    <t>COSTOMI</t>
  </si>
  <si>
    <t>SSI</t>
  </si>
  <si>
    <t>CPWT</t>
  </si>
  <si>
    <t>$/WET TON</t>
  </si>
  <si>
    <t>CRF</t>
  </si>
  <si>
    <t>%/YR</t>
  </si>
  <si>
    <t>Chemical Conditioning</t>
  </si>
  <si>
    <t>Dewatering</t>
  </si>
  <si>
    <t>Land Application</t>
  </si>
  <si>
    <t>SS_LA_1</t>
  </si>
  <si>
    <t>SS_AD</t>
  </si>
  <si>
    <t>SSG_AD</t>
  </si>
  <si>
    <t>SSE_AD</t>
  </si>
  <si>
    <t>% VS CONVERTED TO METHANE CO2</t>
  </si>
  <si>
    <t>% VS</t>
  </si>
  <si>
    <t>FT^3/DAY</t>
  </si>
  <si>
    <t>TONS/DAY</t>
  </si>
  <si>
    <t>DAILY DRY SOLIDS</t>
  </si>
  <si>
    <t>DAYS</t>
  </si>
  <si>
    <t>SOLIDS RETENTION TIME</t>
  </si>
  <si>
    <t>LB/DAY</t>
  </si>
  <si>
    <t>DIGESTED SLUDGE SOLIDS W/D</t>
  </si>
  <si>
    <t>VOLUME DIGESTED SLUDGE</t>
  </si>
  <si>
    <t>FT^3</t>
  </si>
  <si>
    <t>DIGESTION TANK VOLUME</t>
  </si>
  <si>
    <t>KWHR/YR</t>
  </si>
  <si>
    <t>ANAEROBIC DIGESTION</t>
  </si>
  <si>
    <t>Source: https://static1.squarespace.com/static/54806478e4b0dc44e1698e88/t/54860dace4b00d929c03c3c4/1418071468667/Twohig-VTRegulationUpdate-23Oct2014.pdf</t>
  </si>
  <si>
    <t>Source: http://www.rural.palegislature.us/biosolids07.pdf</t>
  </si>
  <si>
    <t>Source: http://imperial.granicus.com/MetaViewer.php?view_id=2&amp;clip_id=888&amp;meta_id=130520</t>
  </si>
  <si>
    <t>Source: http://download.springer.com/static/pdf/167/chp%253A10.1007%252F978-1-59745-174-1_7.pdf?originUrl=http%3A%2F%2Flink.springer.com%2Fchapter%2F10.1007%2F978-1-59745-174-1_7&amp;token2=exp=1497913483~acl=%2Fstatic%2Fpdf%2F167%2Fchp%25253A10.1007%25252F978-1-59745-174-1_7.pdf%3ForiginUrl%3Dhttp%253A%252F%252Flink.springer.com%252Fchapter%252F10.1007%252F978-1-59745-174-1_7*~hmac=2340eb9715529e7807b7dbb04e1cc0737251ab5371ede90dab515f25533debb6</t>
  </si>
  <si>
    <t xml:space="preserve">Engineering and Management of Agricultural Land Application Wang et al. </t>
  </si>
  <si>
    <t>From handbook of environmental engineering, Volume 7: Biosolids engineering and management.</t>
  </si>
  <si>
    <t xml:space="preserve">From: Colacicco, Daniel, E. Epstein, G. B. Willson, J. F. Parr and L. A.
Christensen, "Costs of Sludge Composting", U.S. Department
of Agriculture, ARS-NE-79, Beltsville, Maryland, 1979. </t>
  </si>
  <si>
    <t>http://www.twdb.texas.gov/publications/reports/contracted_reports/doc/95483092.pdf</t>
  </si>
  <si>
    <t>Page 43, Section 6: Costs</t>
  </si>
  <si>
    <t>http://www.deq.virginia.gov/Programs/Water/LandApplicationBeneficialReuse/SewageSludgeBiosolids.aspx</t>
  </si>
  <si>
    <t>Alaska: $88/wet ton for transport and tip fees at Waste Mgmt in Juneau, $140/wet ton for transport and tip at WM in Arlington, Oregon</t>
  </si>
  <si>
    <t>http://www.juneau.org/clerk/PWFCAGENDA/documents/Biosolids_Report.pdf</t>
  </si>
  <si>
    <t xml:space="preserve">$25-50/wet ton for operating cost of a monofill (not including cost of additional treatment for disposal in monofill) </t>
  </si>
  <si>
    <t>Land application: proposed to vary by location of site and difficulty of application</t>
  </si>
  <si>
    <t>Report provides capital costs for AD, incineration, other technologies</t>
  </si>
  <si>
    <t>Littleton/Englewood, CO: $100/dry ton for landfill disposal: $80 for hauling, $20 for permits and disposal</t>
  </si>
  <si>
    <t>https://bacwa.org/wp-content/uploads/2010/03/Bay-Area-Biosolids-Management_Challenges_Opportunities_Policies.pdf</t>
  </si>
  <si>
    <t>Planning level analysis puts the costs of a regional processing facility designed to convert biosolids to energy at between $70 and $120 per wet ton just for the facility. In addition to facility costs, there would be costs for pre-processing and transportation, which would vary by wastewater agency</t>
  </si>
  <si>
    <t>City of Los Angeles: Hyperion Treatment Plant</t>
  </si>
  <si>
    <t>Colorado</t>
  </si>
  <si>
    <t>Illinois Metropolitan Water Reclamation District of Greater Chicago</t>
  </si>
  <si>
    <t>Michigan: City of Grand Rapids WWTP</t>
  </si>
  <si>
    <t>Ohio: Northeast ohio regional sewer district</t>
  </si>
  <si>
    <t>Wisconsin: Milwaukee metropolitan sewerage district: operation by united water services inc</t>
  </si>
  <si>
    <t>https://esa.un.org/iys/docs/san_lib_docs/habitat2008.pdf</t>
  </si>
  <si>
    <t>Variable</t>
  </si>
  <si>
    <t>Units</t>
  </si>
  <si>
    <t>Value</t>
  </si>
  <si>
    <t>SV_HL</t>
  </si>
  <si>
    <t>HR</t>
  </si>
  <si>
    <t>RTHT</t>
  </si>
  <si>
    <t>RTHD</t>
  </si>
  <si>
    <t>MILES</t>
  </si>
  <si>
    <t>HPD_HL</t>
  </si>
  <si>
    <t>DPY_HL</t>
  </si>
  <si>
    <t>DAYS/YR</t>
  </si>
  <si>
    <t>Landfill</t>
  </si>
  <si>
    <t>Storage Lagoon at Disposal Site</t>
  </si>
  <si>
    <t>Agricultural Utilization</t>
  </si>
  <si>
    <t>Forest Land Utilization</t>
  </si>
  <si>
    <t>Land Reclamation Utilization</t>
  </si>
  <si>
    <t>Dedicated Disposal Site</t>
  </si>
  <si>
    <t>LF_HL</t>
  </si>
  <si>
    <t>SL_HL</t>
  </si>
  <si>
    <t>AG_HL</t>
  </si>
  <si>
    <t>FL_HL</t>
  </si>
  <si>
    <t>LR_HL</t>
  </si>
  <si>
    <t>DDS_HL</t>
  </si>
  <si>
    <t xml:space="preserve">DISPOSAL </t>
  </si>
  <si>
    <t>TRAVEL</t>
  </si>
  <si>
    <t>Urban Travel</t>
  </si>
  <si>
    <t>Rural Travel</t>
  </si>
  <si>
    <t>Highway Travel</t>
  </si>
  <si>
    <t>UT_HL</t>
  </si>
  <si>
    <t>RT_HL</t>
  </si>
  <si>
    <t>HT_HL</t>
  </si>
  <si>
    <t>MPH</t>
  </si>
  <si>
    <t>Geographical Exemptions</t>
  </si>
  <si>
    <t>FACTOR</t>
  </si>
  <si>
    <t>GAL/TRIP</t>
  </si>
  <si>
    <t>1 TRUCK @ 1600</t>
  </si>
  <si>
    <t>1 TRUCK @ 2500</t>
  </si>
  <si>
    <t>1 TRUCK @ 4000</t>
  </si>
  <si>
    <t>2 TRUCKS @ 4000</t>
  </si>
  <si>
    <t>2 TRUCKS @ 6000</t>
  </si>
  <si>
    <t>ALL @ 6000</t>
  </si>
  <si>
    <t xml:space="preserve">TRUCK </t>
  </si>
  <si>
    <t>NUMBER OF TRUCKS</t>
  </si>
  <si>
    <t>NTR_HL</t>
  </si>
  <si>
    <t>TRUCK_CAP</t>
  </si>
  <si>
    <t>GAL</t>
  </si>
  <si>
    <t>CAP_HL</t>
  </si>
  <si>
    <t>NRT_HL</t>
  </si>
  <si>
    <t>RT/YR</t>
  </si>
  <si>
    <t>DT</t>
  </si>
  <si>
    <t>MPG</t>
  </si>
  <si>
    <t>FUEL 1600</t>
  </si>
  <si>
    <t>FUEL 2500</t>
  </si>
  <si>
    <t>FUEL 4000</t>
  </si>
  <si>
    <t>FUEL 6000</t>
  </si>
  <si>
    <t>FU_HL</t>
  </si>
  <si>
    <t>FC</t>
  </si>
  <si>
    <t>TTCOST</t>
  </si>
  <si>
    <t>$/TRUCK</t>
  </si>
  <si>
    <t>COSTSTT_HL</t>
  </si>
  <si>
    <t>1600 COST</t>
  </si>
  <si>
    <t>2500 COST</t>
  </si>
  <si>
    <t>4000 COST</t>
  </si>
  <si>
    <t>6000 COST</t>
  </si>
  <si>
    <t>SV_HL_YR</t>
  </si>
  <si>
    <t>CAP_COST</t>
  </si>
  <si>
    <t>CSTLAB_HL</t>
  </si>
  <si>
    <t>COSTLA_HL</t>
  </si>
  <si>
    <t>MAINT1600</t>
  </si>
  <si>
    <t>MAINT2500</t>
  </si>
  <si>
    <t>MAINT4000</t>
  </si>
  <si>
    <t>MAINT6000</t>
  </si>
  <si>
    <t>$/MILE</t>
  </si>
  <si>
    <t>MCM</t>
  </si>
  <si>
    <t>VMC_HL</t>
  </si>
  <si>
    <t>MCOSTLA_HL</t>
  </si>
  <si>
    <t>COSTLB_HL</t>
  </si>
  <si>
    <t>COSTDSL_HL</t>
  </si>
  <si>
    <t>COSTOM_HL</t>
  </si>
  <si>
    <t>ACC_HL</t>
  </si>
  <si>
    <t>TBCC_HL</t>
  </si>
  <si>
    <t>TDSS_HL</t>
  </si>
  <si>
    <t>SS_HL</t>
  </si>
  <si>
    <t>CPDT_HL</t>
  </si>
  <si>
    <t>SV_DW</t>
  </si>
  <si>
    <t>LT_DW</t>
  </si>
  <si>
    <t>ULT_DW</t>
  </si>
  <si>
    <t>RTHT_DW</t>
  </si>
  <si>
    <t>HPD_DW</t>
  </si>
  <si>
    <t>RTHD_DW</t>
  </si>
  <si>
    <t>DPY_DW</t>
  </si>
  <si>
    <t>LF_DW</t>
  </si>
  <si>
    <t>SL_DW</t>
  </si>
  <si>
    <t>AG_DW</t>
  </si>
  <si>
    <t>FL_DW</t>
  </si>
  <si>
    <t>LR_DW</t>
  </si>
  <si>
    <t>DDS_DW</t>
  </si>
  <si>
    <t>SVCY</t>
  </si>
  <si>
    <t>YD^3/YR</t>
  </si>
  <si>
    <t>FACTOR_DW</t>
  </si>
  <si>
    <t>1 TRUCK @ 7</t>
  </si>
  <si>
    <t>1 TRUCK @ 10</t>
  </si>
  <si>
    <t>1 TRUCK @ 15</t>
  </si>
  <si>
    <t>1 TRUCK @ 25</t>
  </si>
  <si>
    <t>1 TRUCK @ 36</t>
  </si>
  <si>
    <t>2 TRUCKS @ 25</t>
  </si>
  <si>
    <t>2 TRUCKS @ 36</t>
  </si>
  <si>
    <t>MORE</t>
  </si>
  <si>
    <t>NTR_DW</t>
  </si>
  <si>
    <t># TRUCKS</t>
  </si>
  <si>
    <t>CAP_DW</t>
  </si>
  <si>
    <t>YD^3</t>
  </si>
  <si>
    <t>NRT_DW</t>
  </si>
  <si>
    <t>DT_DW</t>
  </si>
  <si>
    <t>FUEL 7</t>
  </si>
  <si>
    <t xml:space="preserve">FUEL 10 </t>
  </si>
  <si>
    <t>FUEL 15</t>
  </si>
  <si>
    <t>FUEL 25</t>
  </si>
  <si>
    <t>FUEL 36</t>
  </si>
  <si>
    <t>FU_DW</t>
  </si>
  <si>
    <t>FC_DW</t>
  </si>
  <si>
    <t>7 COST</t>
  </si>
  <si>
    <t>10 COST</t>
  </si>
  <si>
    <t>15 COST</t>
  </si>
  <si>
    <t>25 COST</t>
  </si>
  <si>
    <t>36 COST</t>
  </si>
  <si>
    <t>COSTTRK_DW</t>
  </si>
  <si>
    <t>TCOSTTRK_DW</t>
  </si>
  <si>
    <t>COSTLAB_DW</t>
  </si>
  <si>
    <t>COSTLA_DW</t>
  </si>
  <si>
    <t>COUNT</t>
  </si>
  <si>
    <t>MAINT 7</t>
  </si>
  <si>
    <t>MAINT 10</t>
  </si>
  <si>
    <t>MAINT 15</t>
  </si>
  <si>
    <t>MAINT 25</t>
  </si>
  <si>
    <t>MAINT 36</t>
  </si>
  <si>
    <t>MCM_DW</t>
  </si>
  <si>
    <t>VMC_DW</t>
  </si>
  <si>
    <t>MCOSTLA_DW</t>
  </si>
  <si>
    <t>COSTLB_DW</t>
  </si>
  <si>
    <t>COSTDSL_DW</t>
  </si>
  <si>
    <t>TBCC_DW</t>
  </si>
  <si>
    <t>COSTOM_DW</t>
  </si>
  <si>
    <t>ACC_DW</t>
  </si>
  <si>
    <t>TDSS_DW</t>
  </si>
  <si>
    <t>SS_DW</t>
  </si>
  <si>
    <t>CPDT_DW</t>
  </si>
  <si>
    <t>CPWT_DW</t>
  </si>
  <si>
    <t>https://nepis.epa.gov/Exe/ZyPDF.cgi/P10053DP.PDF?Dockey=P10053DP.PDF</t>
  </si>
  <si>
    <t>Virginia charges a fee of $7.50 per dry ton of land applied biosolids to plants spreading the material</t>
  </si>
  <si>
    <t>Wet Tons</t>
  </si>
  <si>
    <t>Dry Tons</t>
  </si>
  <si>
    <t>Locality</t>
  </si>
  <si>
    <t>Transportation</t>
  </si>
  <si>
    <t>Notes</t>
  </si>
  <si>
    <t>New Hampshire</t>
  </si>
  <si>
    <t>Pennsylvania</t>
  </si>
  <si>
    <t>Vermont</t>
  </si>
  <si>
    <t>Pennsylvania &lt;1mgd</t>
  </si>
  <si>
    <t>Vermont Class A</t>
  </si>
  <si>
    <t>Vermont Class B</t>
  </si>
  <si>
    <t>Vermont Grasslands</t>
  </si>
  <si>
    <t>Pennsylvania 1-5mgd</t>
  </si>
  <si>
    <t>Pennsylvania &gt;5mgd</t>
  </si>
  <si>
    <t>Arizona Imperial County WW</t>
  </si>
  <si>
    <t>Arizona Max Landfill</t>
  </si>
  <si>
    <t>Arizona Minimum Landfill</t>
  </si>
  <si>
    <t>National Average Min</t>
  </si>
  <si>
    <t>National Average Max</t>
  </si>
  <si>
    <t>Average</t>
  </si>
  <si>
    <t>Adjusted From 1960 $</t>
  </si>
  <si>
    <t>GBRA Texas</t>
  </si>
  <si>
    <t>Adjusted from 1995</t>
  </si>
  <si>
    <t>Luling, Texas</t>
  </si>
  <si>
    <t>Adjusted from 1996</t>
  </si>
  <si>
    <t>San Marcos Texas</t>
  </si>
  <si>
    <t>Adjusted from 1997</t>
  </si>
  <si>
    <t>Seguin Texas 1</t>
  </si>
  <si>
    <t>Adjusted from 1998</t>
  </si>
  <si>
    <t>Seguin Texas 2</t>
  </si>
  <si>
    <t>Adjusted from 1999</t>
  </si>
  <si>
    <t>Texas Average</t>
  </si>
  <si>
    <t>Adjusted from 2000</t>
  </si>
  <si>
    <t>Juneau, Alaska</t>
  </si>
  <si>
    <t>Arlington, Oregon</t>
  </si>
  <si>
    <t>Littleton, Colorado</t>
  </si>
  <si>
    <t>Bay Area</t>
  </si>
  <si>
    <t>Nevada</t>
  </si>
  <si>
    <t>Great Lakes Water Authority</t>
  </si>
  <si>
    <t>Notes:</t>
  </si>
  <si>
    <t>Two most common types of dewatering are belt filters and centrifuges</t>
  </si>
  <si>
    <t>Important to note that chemical stabilization of sludge is often necessary prior to dewatering</t>
  </si>
  <si>
    <t>% dry solids vary by technology and sludge input mix, climate, etc.</t>
  </si>
  <si>
    <t>Belt Filter Dewatering</t>
  </si>
  <si>
    <t>SV_BF</t>
  </si>
  <si>
    <t>SS_BF</t>
  </si>
  <si>
    <t>SSG_BF</t>
  </si>
  <si>
    <t>BFLR</t>
  </si>
  <si>
    <t>LB/METER/HR</t>
  </si>
  <si>
    <t>(DEFAULT VALUE)</t>
  </si>
  <si>
    <t>HPD_BF</t>
  </si>
  <si>
    <t>HRS/DAY</t>
  </si>
  <si>
    <t>DPY_BF</t>
  </si>
  <si>
    <t>DSS_BF</t>
  </si>
  <si>
    <t>TBFW</t>
  </si>
  <si>
    <t>METERS</t>
  </si>
  <si>
    <t>L_BF</t>
  </si>
  <si>
    <t>E_BF</t>
  </si>
  <si>
    <t>COSTLB_BF</t>
  </si>
  <si>
    <t>COSTEL_BF</t>
  </si>
  <si>
    <t>COSTE_BF</t>
  </si>
  <si>
    <t>COSTPM_BF</t>
  </si>
  <si>
    <t>TBCC_BF</t>
  </si>
  <si>
    <t>COSTOM_BF</t>
  </si>
  <si>
    <t>ACC_BF</t>
  </si>
  <si>
    <t>TDSS_BF</t>
  </si>
  <si>
    <t>TDS/YR</t>
  </si>
  <si>
    <t>CPDT_BF</t>
  </si>
  <si>
    <t xml:space="preserve">Centrifuge </t>
  </si>
  <si>
    <t>SV_C</t>
  </si>
  <si>
    <t>SS_C</t>
  </si>
  <si>
    <t>SSG_C</t>
  </si>
  <si>
    <t>HPD_C</t>
  </si>
  <si>
    <t>DPY_C</t>
  </si>
  <si>
    <t>MSV</t>
  </si>
  <si>
    <t>DAY/YR</t>
  </si>
  <si>
    <t>GAL/MIN</t>
  </si>
  <si>
    <t>L_C</t>
  </si>
  <si>
    <t>LABOR</t>
  </si>
  <si>
    <t>E_C</t>
  </si>
  <si>
    <t>PE_C</t>
  </si>
  <si>
    <t>BE</t>
  </si>
  <si>
    <t>BE_C</t>
  </si>
  <si>
    <t>COSTLB_C</t>
  </si>
  <si>
    <t>COSTEL_C</t>
  </si>
  <si>
    <t>COSTPM_C</t>
  </si>
  <si>
    <t>TBCC_C</t>
  </si>
  <si>
    <t>TB</t>
  </si>
  <si>
    <t>COSTOM_C</t>
  </si>
  <si>
    <t>ACC_C</t>
  </si>
  <si>
    <t>TDSS_C</t>
  </si>
  <si>
    <t>CPDT_C</t>
  </si>
  <si>
    <t>Plant Inflow</t>
  </si>
  <si>
    <t>mgd</t>
  </si>
  <si>
    <t>Primary Sludge</t>
  </si>
  <si>
    <t>gpd</t>
  </si>
  <si>
    <t>SS [%]</t>
  </si>
  <si>
    <t>Waste Activated Sludge</t>
  </si>
  <si>
    <t>Anaerobic Digestion</t>
  </si>
  <si>
    <t>Thickened Primary Sludge</t>
  </si>
  <si>
    <t>Thickened Waste Activated Sludge</t>
  </si>
  <si>
    <t>Digestate</t>
  </si>
  <si>
    <t>Gasses Out</t>
  </si>
  <si>
    <t>Lime In</t>
  </si>
  <si>
    <t>Hauling</t>
  </si>
  <si>
    <t>Where will Sludge Be Land Applied?</t>
  </si>
  <si>
    <t>What Type of Driving?</t>
  </si>
  <si>
    <t>AD</t>
  </si>
  <si>
    <t>LA</t>
  </si>
  <si>
    <t>DW C</t>
  </si>
  <si>
    <t>DW BP</t>
  </si>
  <si>
    <t>HAUL</t>
  </si>
  <si>
    <t>Distance to Site?</t>
  </si>
  <si>
    <t>INCINERATION</t>
  </si>
  <si>
    <t>LANDFILL</t>
  </si>
  <si>
    <t>LA + HAUL</t>
  </si>
  <si>
    <t>DIESEL FUEL</t>
  </si>
  <si>
    <t>ELECTRICITY</t>
  </si>
  <si>
    <t>INTEREST</t>
  </si>
  <si>
    <t>FUEL OIL</t>
  </si>
  <si>
    <t>Inflation Indices, O&amp;M</t>
  </si>
  <si>
    <t>TIP FEE</t>
  </si>
  <si>
    <t>Source: http://engineering.utep.edu/enge/EE/15/02/1.htm</t>
  </si>
  <si>
    <t>Year</t>
  </si>
  <si>
    <t>CE Plant Cost Index</t>
  </si>
  <si>
    <t>ENR Construction Cost Index</t>
  </si>
  <si>
    <t>M&amp;S Equipment Cost Index</t>
  </si>
  <si>
    <t>USER INPUT</t>
  </si>
  <si>
    <t>$/hour</t>
  </si>
  <si>
    <t>$/gallon</t>
  </si>
  <si>
    <t>$/kWh</t>
  </si>
  <si>
    <t>$/ton</t>
  </si>
  <si>
    <t>COSTWTAD</t>
  </si>
  <si>
    <t>CPWTI</t>
  </si>
  <si>
    <t>CPWT_BF</t>
  </si>
  <si>
    <t>$/ WET TON</t>
  </si>
  <si>
    <t>CPWT_C</t>
  </si>
  <si>
    <t>SSG_DW</t>
  </si>
  <si>
    <t>DRY TON</t>
  </si>
  <si>
    <t>WET TON</t>
  </si>
  <si>
    <t>Miles</t>
  </si>
  <si>
    <t>Transporation</t>
  </si>
  <si>
    <t>Tip Fee</t>
  </si>
  <si>
    <t>Wet Tons Biosolids</t>
  </si>
  <si>
    <t>Disposal</t>
  </si>
  <si>
    <t>la</t>
  </si>
  <si>
    <t>c</t>
  </si>
  <si>
    <t>dwi</t>
  </si>
  <si>
    <t>adf</t>
  </si>
  <si>
    <t>mr</t>
  </si>
  <si>
    <t>Haul Distance</t>
  </si>
  <si>
    <t>Land Application (incl haul)</t>
  </si>
  <si>
    <t>Baseline:</t>
  </si>
  <si>
    <t>MGD Plant Flow +/- 50%</t>
  </si>
  <si>
    <t>Haul Distance +/- 50%</t>
  </si>
  <si>
    <t>Type of Land Applied (Forest, Ag, etc.)</t>
  </si>
  <si>
    <t>Travel Type (Urban, Rural, Hghwy)</t>
  </si>
  <si>
    <t>Suspended Solids +/- 50%</t>
  </si>
  <si>
    <t>Wage +/- 50%</t>
  </si>
  <si>
    <t>Interest Rate +/- 50%</t>
  </si>
  <si>
    <t>Tipping Fee +/- 50%</t>
  </si>
  <si>
    <t>Cost Fuel Oil +/- 50%</t>
  </si>
  <si>
    <t>Cost Electricty +/- 50%</t>
  </si>
  <si>
    <t>State</t>
  </si>
  <si>
    <t>Average Wage</t>
  </si>
  <si>
    <t xml:space="preserve">Cost of Fuel </t>
  </si>
  <si>
    <t>Cost of Fuel Oil</t>
  </si>
  <si>
    <t>Cost of Electricity</t>
  </si>
  <si>
    <t>Landfill Tipping Fee</t>
  </si>
  <si>
    <t>$/gallon diesel</t>
  </si>
  <si>
    <t>Disposal Distance</t>
  </si>
  <si>
    <t>Alaska</t>
  </si>
  <si>
    <t>Alabama</t>
  </si>
  <si>
    <t>Arizona</t>
  </si>
  <si>
    <t>Arkansas</t>
  </si>
  <si>
    <t>California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</si>
  <si>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</si>
  <si>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</si>
  <si>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</si>
  <si>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</si>
  <si>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</si>
  <si>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</si>
  <si>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</si>
  <si>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</si>
  <si>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</si>
  <si>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</si>
  <si>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</si>
  <si>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</si>
  <si>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</si>
  <si>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</si>
  <si>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</si>
  <si>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</si>
  <si>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</si>
  <si>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</si>
  <si>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</si>
  <si>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</si>
  <si>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</si>
  <si>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</si>
  <si>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</si>
  <si>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</si>
  <si>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</si>
  <si>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</si>
  <si>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</si>
  <si>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</si>
  <si>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</si>
  <si>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</si>
  <si>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</si>
  <si>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</si>
  <si>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</si>
  <si>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</si>
  <si>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</si>
  <si>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</si>
  <si>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</si>
  <si>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Washington</t>
  </si>
  <si>
    <t>West Virginia</t>
  </si>
  <si>
    <t>Wisconsin</t>
  </si>
  <si>
    <t>Wyoming</t>
  </si>
  <si>
    <t>Gallons Per Day Plant Inflow</t>
  </si>
  <si>
    <t>Centrifuge Dewatering</t>
  </si>
  <si>
    <t>Belt Filter Press Dewatering</t>
  </si>
  <si>
    <t>Hauling Cost</t>
  </si>
  <si>
    <t>Land Application Plus Hauling Costs</t>
  </si>
  <si>
    <t>Cost</t>
  </si>
  <si>
    <t>Literature Costs</t>
  </si>
  <si>
    <t>260.32/dt</t>
  </si>
  <si>
    <t>93/wt</t>
  </si>
  <si>
    <t>Landfill or LA</t>
  </si>
  <si>
    <t>161.45/dt</t>
  </si>
  <si>
    <t>140/wt</t>
  </si>
  <si>
    <t>88/wt</t>
  </si>
  <si>
    <t>277/??</t>
  </si>
  <si>
    <t>11/wet ton</t>
  </si>
  <si>
    <t>Michigan?</t>
  </si>
  <si>
    <t>Land A</t>
  </si>
  <si>
    <t>PNNL Primary T/y</t>
  </si>
  <si>
    <t>PNNL Secondary T/y</t>
  </si>
  <si>
    <t xml:space="preserve">Cost </t>
  </si>
  <si>
    <t>Primary</t>
  </si>
  <si>
    <t>AK</t>
  </si>
  <si>
    <t>AL</t>
  </si>
  <si>
    <t>AR</t>
  </si>
  <si>
    <t>AZ</t>
  </si>
  <si>
    <t>CA</t>
  </si>
  <si>
    <t>CO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</si>
  <si>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</si>
  <si>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</si>
  <si>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</si>
  <si>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</si>
  <si>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</si>
  <si>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</si>
  <si>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</si>
  <si>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</si>
  <si>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</si>
  <si>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</si>
  <si>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</si>
  <si>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</si>
  <si>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</si>
  <si>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</si>
  <si>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</si>
  <si>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</si>
  <si>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</si>
  <si>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</si>
  <si>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</si>
  <si>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</si>
  <si>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</si>
  <si>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</si>
  <si>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</si>
  <si>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</si>
  <si>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</si>
  <si>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</si>
  <si>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</si>
  <si>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</si>
  <si>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</si>
  <si>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</si>
  <si>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</si>
  <si>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</si>
  <si>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</si>
  <si>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TN</t>
  </si>
  <si>
    <t>TX</t>
  </si>
  <si>
    <t>UT</t>
  </si>
  <si>
    <t>VA</t>
  </si>
  <si>
    <t>WA</t>
  </si>
  <si>
    <t>WI</t>
  </si>
  <si>
    <t>WV</t>
  </si>
  <si>
    <t>WY</t>
  </si>
  <si>
    <t>http://www.fwrj.com/TechArticles08/t3-%20Sludge%20Management.pdf</t>
  </si>
  <si>
    <t>http://imperial.granicus.com/MetaViewer.php?view_id=2&amp;clip_id=888&amp;meta_id=130520</t>
  </si>
  <si>
    <t>http://www.waterworld.com/articles/print/volume-16/issue-2/editorial-focus/georgia-centrifuge-project-reduces-sludge-disposal-costs.html</t>
  </si>
  <si>
    <t>http://www.cityofbowie.org/AgendaCenter/ViewFile/Item/530?fileID=614</t>
  </si>
  <si>
    <t>http://www.maine.gov/dep/waste/residuals/documents/municipalordinanceguidance7.pdf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</si>
</sst>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6" formatCode="&quot;$&quot;#,##0;[Red]\-&quot;$&quot;#,##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_);_(* \(#,##0\);_(* &quot;-&quot;??_);_(@_)"/>
  </numFmts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6"/>
      <color theme="1"/>
      <name val="Calibri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scheme val="minor"/>
    </font>
    <font>
      <sz val="11"/>
      <name val="Cambria"/>
      <scheme val="major"/>
    </font>
    <font>
      <sz val="11"/>
      <color theme="1"/>
      <name val="Cambria"/>
      <scheme val="major"/>
    </font>
    <font>
      <sz val="11"/>
      <color rgb="FF212121"/>
      <name val="Calibri"/>
    </font>
  </fonts>
  <fills count="9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1027">
    <xf numFmtId="0" fontId="0" fillId="0" borderId="0"/>
    <xf numFmtId="44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6" applyNumberFormat="0" applyFill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" fillId="7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Fill="1"/>
    <xf numFmtId="0" fontId="0" fillId="0" borderId="1" xfId="0" applyBorder="1"/>
    <xf numFmtId="0" fontId="0" fillId="0" borderId="0" xfId="0" applyBorder="1"/>
    <xf numFmtId="44" fontId="0" fillId="0" borderId="0" xfId="1" applyFont="1" applyBorder="1"/>
    <xf numFmtId="6" fontId="0" fillId="0" borderId="1" xfId="1" applyNumberFormat="1" applyFont="1" applyBorder="1"/>
    <xf numFmtId="0" fontId="0" fillId="0" borderId="1" xfId="0" applyFill="1" applyBorder="1"/>
    <xf numFmtId="0" fontId="0" fillId="0" borderId="5" xfId="0" applyFill="1" applyBorder="1"/>
    <xf numFmtId="11" fontId="0" fillId="0" borderId="0" xfId="0" applyNumberFormat="1"/>
    <xf numFmtId="0" fontId="0" fillId="2" borderId="0" xfId="0" applyFill="1"/>
    <xf numFmtId="0" fontId="6" fillId="0" borderId="6" xfId="42" applyNumberFormat="1"/>
    <xf numFmtId="0" fontId="0" fillId="3" borderId="0" xfId="0" applyFill="1"/>
    <xf numFmtId="0" fontId="6" fillId="0" borderId="6" xfId="42"/>
    <xf numFmtId="0" fontId="7" fillId="0" borderId="0" xfId="0" applyFont="1"/>
    <xf numFmtId="0" fontId="0" fillId="5" borderId="0" xfId="0" applyFill="1"/>
    <xf numFmtId="0" fontId="8" fillId="0" borderId="0" xfId="0" applyFont="1"/>
    <xf numFmtId="0" fontId="0" fillId="6" borderId="0" xfId="0" applyFill="1"/>
    <xf numFmtId="0" fontId="2" fillId="7" borderId="0" xfId="261"/>
    <xf numFmtId="0" fontId="9" fillId="0" borderId="0" xfId="0" applyFont="1"/>
    <xf numFmtId="0" fontId="0" fillId="0" borderId="0" xfId="0" applyFill="1" applyBorder="1"/>
    <xf numFmtId="0" fontId="0" fillId="0" borderId="0" xfId="0" quotePrefix="1" applyFill="1" applyBorder="1"/>
    <xf numFmtId="49" fontId="0" fillId="0" borderId="0" xfId="0" applyNumberFormat="1"/>
    <xf numFmtId="44" fontId="0" fillId="0" borderId="0" xfId="1" applyFont="1" applyFill="1" applyBorder="1"/>
    <xf numFmtId="44" fontId="0" fillId="0" borderId="0" xfId="1" applyFont="1"/>
    <xf numFmtId="44" fontId="13" fillId="0" borderId="0" xfId="1" applyFont="1" applyFill="1" applyBorder="1"/>
    <xf numFmtId="44" fontId="14" fillId="0" borderId="0" xfId="1" applyFont="1" applyFill="1" applyBorder="1"/>
    <xf numFmtId="44" fontId="14" fillId="0" borderId="0" xfId="1" applyFont="1" applyBorder="1"/>
    <xf numFmtId="44" fontId="14" fillId="0" borderId="0" xfId="1" applyFont="1"/>
    <xf numFmtId="44" fontId="13" fillId="0" borderId="0" xfId="1" applyFont="1" applyFill="1" applyBorder="1" applyAlignment="1">
      <alignment horizontal="left"/>
    </xf>
    <xf numFmtId="164" fontId="0" fillId="0" borderId="0" xfId="906" applyNumberFormat="1" applyFont="1" applyAlignment="1"/>
    <xf numFmtId="43" fontId="0" fillId="0" borderId="0" xfId="0" applyNumberFormat="1"/>
    <xf numFmtId="0" fontId="0" fillId="0" borderId="0" xfId="0" applyAlignment="1"/>
    <xf numFmtId="0" fontId="12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2" fillId="7" borderId="0" xfId="261" applyAlignment="1">
      <alignment horizontal="center" wrapText="1"/>
    </xf>
    <xf numFmtId="0" fontId="9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5" fillId="0" borderId="0" xfId="0" applyFont="1"/>
  </cellXfs>
  <cellStyles count="1027">
    <cellStyle name="20% - Accent1" xfId="261" builtinId="30"/>
    <cellStyle name="Comma" xfId="906" builtinId="3"/>
    <cellStyle name="Currency" xfId="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Heading 2" xfId="42" builtinId="17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817274129394"/>
          <c:y val="0.0398936170212766"/>
          <c:w val="0.618899261303677"/>
          <c:h val="0.813627492042218"/>
        </c:manualLayout>
      </c:layout>
      <c:lineChart>
        <c:grouping val="standard"/>
        <c:varyColors val="0"/>
        <c:ser>
          <c:idx val="0"/>
          <c:order val="0"/>
          <c:tx>
            <c:v>Anaerobic Digestion</c:v>
          </c:tx>
          <c:marker>
            <c:symbol val="none"/>
          </c:marker>
          <c:cat>
            <c:numRef>
              <c:f>Inputs!$A$48:$A$146</c:f>
              <c:numCache>
                <c:formatCode>General</c:formatCode>
                <c:ptCount val="99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  <c:pt idx="17">
                  <c:v>9.5</c:v>
                </c:pt>
                <c:pt idx="18">
                  <c:v>10.0</c:v>
                </c:pt>
                <c:pt idx="19">
                  <c:v>10.5</c:v>
                </c:pt>
                <c:pt idx="20">
                  <c:v>11.0</c:v>
                </c:pt>
                <c:pt idx="21">
                  <c:v>11.5</c:v>
                </c:pt>
                <c:pt idx="22">
                  <c:v>12.0</c:v>
                </c:pt>
                <c:pt idx="23">
                  <c:v>12.5</c:v>
                </c:pt>
                <c:pt idx="24">
                  <c:v>13.0</c:v>
                </c:pt>
                <c:pt idx="25">
                  <c:v>13.5</c:v>
                </c:pt>
                <c:pt idx="26">
                  <c:v>14.0</c:v>
                </c:pt>
                <c:pt idx="27">
                  <c:v>14.5</c:v>
                </c:pt>
                <c:pt idx="28">
                  <c:v>15.0</c:v>
                </c:pt>
                <c:pt idx="29">
                  <c:v>15.5</c:v>
                </c:pt>
                <c:pt idx="30">
                  <c:v>16.0</c:v>
                </c:pt>
                <c:pt idx="31">
                  <c:v>16.5</c:v>
                </c:pt>
                <c:pt idx="32">
                  <c:v>17.0</c:v>
                </c:pt>
                <c:pt idx="33">
                  <c:v>17.5</c:v>
                </c:pt>
                <c:pt idx="34">
                  <c:v>18.0</c:v>
                </c:pt>
                <c:pt idx="35">
                  <c:v>18.5</c:v>
                </c:pt>
                <c:pt idx="36">
                  <c:v>19.0</c:v>
                </c:pt>
                <c:pt idx="37">
                  <c:v>19.5</c:v>
                </c:pt>
                <c:pt idx="38">
                  <c:v>20.0</c:v>
                </c:pt>
                <c:pt idx="39">
                  <c:v>20.5</c:v>
                </c:pt>
                <c:pt idx="40">
                  <c:v>21.0</c:v>
                </c:pt>
                <c:pt idx="41">
                  <c:v>21.5</c:v>
                </c:pt>
                <c:pt idx="42">
                  <c:v>22.0</c:v>
                </c:pt>
                <c:pt idx="43">
                  <c:v>22.5</c:v>
                </c:pt>
                <c:pt idx="44">
                  <c:v>23.0</c:v>
                </c:pt>
                <c:pt idx="45">
                  <c:v>23.5</c:v>
                </c:pt>
                <c:pt idx="46">
                  <c:v>24.0</c:v>
                </c:pt>
                <c:pt idx="47">
                  <c:v>24.5</c:v>
                </c:pt>
                <c:pt idx="48">
                  <c:v>25.0</c:v>
                </c:pt>
                <c:pt idx="49">
                  <c:v>25.5</c:v>
                </c:pt>
                <c:pt idx="50">
                  <c:v>26.0</c:v>
                </c:pt>
                <c:pt idx="51">
                  <c:v>26.5</c:v>
                </c:pt>
                <c:pt idx="52">
                  <c:v>27.0</c:v>
                </c:pt>
                <c:pt idx="53">
                  <c:v>27.5</c:v>
                </c:pt>
                <c:pt idx="54">
                  <c:v>28.0</c:v>
                </c:pt>
                <c:pt idx="55">
                  <c:v>28.5</c:v>
                </c:pt>
                <c:pt idx="56">
                  <c:v>29.0</c:v>
                </c:pt>
                <c:pt idx="57">
                  <c:v>29.5</c:v>
                </c:pt>
                <c:pt idx="58">
                  <c:v>30.0</c:v>
                </c:pt>
                <c:pt idx="59">
                  <c:v>30.5</c:v>
                </c:pt>
                <c:pt idx="60">
                  <c:v>31.0</c:v>
                </c:pt>
                <c:pt idx="61">
                  <c:v>31.5</c:v>
                </c:pt>
                <c:pt idx="62">
                  <c:v>32.0</c:v>
                </c:pt>
                <c:pt idx="63">
                  <c:v>32.5</c:v>
                </c:pt>
                <c:pt idx="64">
                  <c:v>33.0</c:v>
                </c:pt>
                <c:pt idx="65">
                  <c:v>33.5</c:v>
                </c:pt>
                <c:pt idx="66">
                  <c:v>34.0</c:v>
                </c:pt>
                <c:pt idx="67">
                  <c:v>34.5</c:v>
                </c:pt>
                <c:pt idx="68">
                  <c:v>35.0</c:v>
                </c:pt>
                <c:pt idx="69">
                  <c:v>35.5</c:v>
                </c:pt>
                <c:pt idx="70">
                  <c:v>36.0</c:v>
                </c:pt>
                <c:pt idx="71">
                  <c:v>36.5</c:v>
                </c:pt>
                <c:pt idx="72">
                  <c:v>37.0</c:v>
                </c:pt>
                <c:pt idx="73">
                  <c:v>37.5</c:v>
                </c:pt>
                <c:pt idx="74">
                  <c:v>38.0</c:v>
                </c:pt>
                <c:pt idx="75">
                  <c:v>38.5</c:v>
                </c:pt>
                <c:pt idx="76">
                  <c:v>39.0</c:v>
                </c:pt>
                <c:pt idx="77">
                  <c:v>39.5</c:v>
                </c:pt>
                <c:pt idx="78">
                  <c:v>40.0</c:v>
                </c:pt>
                <c:pt idx="79">
                  <c:v>40.5</c:v>
                </c:pt>
                <c:pt idx="80">
                  <c:v>41.0</c:v>
                </c:pt>
                <c:pt idx="81">
                  <c:v>41.5</c:v>
                </c:pt>
                <c:pt idx="82">
                  <c:v>42.0</c:v>
                </c:pt>
                <c:pt idx="83">
                  <c:v>42.5</c:v>
                </c:pt>
                <c:pt idx="84">
                  <c:v>43.0</c:v>
                </c:pt>
                <c:pt idx="85">
                  <c:v>43.5</c:v>
                </c:pt>
                <c:pt idx="86">
                  <c:v>44.0</c:v>
                </c:pt>
                <c:pt idx="87">
                  <c:v>44.5</c:v>
                </c:pt>
                <c:pt idx="88">
                  <c:v>45.0</c:v>
                </c:pt>
                <c:pt idx="89">
                  <c:v>45.5</c:v>
                </c:pt>
                <c:pt idx="90">
                  <c:v>46.0</c:v>
                </c:pt>
                <c:pt idx="91">
                  <c:v>46.5</c:v>
                </c:pt>
                <c:pt idx="92">
                  <c:v>47.0</c:v>
                </c:pt>
                <c:pt idx="93">
                  <c:v>47.5</c:v>
                </c:pt>
                <c:pt idx="94">
                  <c:v>48.0</c:v>
                </c:pt>
                <c:pt idx="95">
                  <c:v>48.5</c:v>
                </c:pt>
                <c:pt idx="96">
                  <c:v>49.0</c:v>
                </c:pt>
                <c:pt idx="97">
                  <c:v>49.5</c:v>
                </c:pt>
                <c:pt idx="98">
                  <c:v>50.0</c:v>
                </c:pt>
              </c:numCache>
            </c:numRef>
          </c:cat>
          <c:val>
            <c:numRef>
              <c:f>Inputs!$B$48:$B$146</c:f>
              <c:numCache>
                <c:formatCode>General</c:formatCode>
                <c:ptCount val="99"/>
                <c:pt idx="0">
                  <c:v>277.855148990821</c:v>
                </c:pt>
                <c:pt idx="1">
                  <c:v>237.032436000692</c:v>
                </c:pt>
                <c:pt idx="2">
                  <c:v>213.9893730936454</c:v>
                </c:pt>
                <c:pt idx="3">
                  <c:v>198.6085710946278</c:v>
                </c:pt>
                <c:pt idx="4">
                  <c:v>187.2965498237983</c:v>
                </c:pt>
                <c:pt idx="5">
                  <c:v>178.4327307652392</c:v>
                </c:pt>
                <c:pt idx="6">
                  <c:v>171.1710514282421</c:v>
                </c:pt>
                <c:pt idx="7">
                  <c:v>165.02337836911</c:v>
                </c:pt>
                <c:pt idx="8">
                  <c:v>159.6867857328895</c:v>
                </c:pt>
                <c:pt idx="9">
                  <c:v>154.9625232405973</c:v>
                </c:pt>
                <c:pt idx="10">
                  <c:v>150.7143317899823</c:v>
                </c:pt>
                <c:pt idx="11">
                  <c:v>146.8454086349815</c:v>
                </c:pt>
                <c:pt idx="12">
                  <c:v>143.2849265518319</c:v>
                </c:pt>
                <c:pt idx="13">
                  <c:v>139.9797639628521</c:v>
                </c:pt>
                <c:pt idx="14">
                  <c:v>136.889227994927</c:v>
                </c:pt>
                <c:pt idx="15">
                  <c:v>133.9815728073666</c:v>
                </c:pt>
                <c:pt idx="16">
                  <c:v>131.2316353842162</c:v>
                </c:pt>
                <c:pt idx="17">
                  <c:v>128.6191894684803</c:v>
                </c:pt>
                <c:pt idx="18">
                  <c:v>126.1277740530775</c:v>
                </c:pt>
                <c:pt idx="19">
                  <c:v>123.7438432516737</c:v>
                </c:pt>
                <c:pt idx="20">
                  <c:v>121.4561386035508</c:v>
                </c:pt>
                <c:pt idx="21">
                  <c:v>119.255218352948</c:v>
                </c:pt>
                <c:pt idx="22">
                  <c:v>117.1330994609388</c:v>
                </c:pt>
                <c:pt idx="23">
                  <c:v>115.0829818667535</c:v>
                </c:pt>
                <c:pt idx="24">
                  <c:v>113.0990336259365</c:v>
                </c:pt>
                <c:pt idx="25">
                  <c:v>111.1762217006591</c:v>
                </c:pt>
                <c:pt idx="26">
                  <c:v>109.310177398525</c:v>
                </c:pt>
                <c:pt idx="27">
                  <c:v>107.4970884004148</c:v>
                </c:pt>
                <c:pt idx="28">
                  <c:v>105.733611401563</c:v>
                </c:pt>
                <c:pt idx="29">
                  <c:v>104.0168008845631</c:v>
                </c:pt>
                <c:pt idx="30">
                  <c:v>102.3440506282818</c:v>
                </c:pt>
                <c:pt idx="31">
                  <c:v>100.7130453538883</c:v>
                </c:pt>
                <c:pt idx="32">
                  <c:v>99.1217205011236</c:v>
                </c:pt>
                <c:pt idx="33">
                  <c:v>97.56822857181977</c:v>
                </c:pt>
                <c:pt idx="34">
                  <c:v>96.05091081366757</c:v>
                </c:pt>
                <c:pt idx="35">
                  <c:v>94.56827327378598</c:v>
                </c:pt>
                <c:pt idx="36">
                  <c:v>93.11896644915494</c:v>
                </c:pt>
                <c:pt idx="37">
                  <c:v>91.7017679142068</c:v>
                </c:pt>
                <c:pt idx="38">
                  <c:v>90.31556742561933</c:v>
                </c:pt>
                <c:pt idx="39">
                  <c:v>88.95935409858086</c:v>
                </c:pt>
                <c:pt idx="40">
                  <c:v>87.63220532342518</c:v>
                </c:pt>
                <c:pt idx="41">
                  <c:v>86.33327715100266</c:v>
                </c:pt>
                <c:pt idx="42">
                  <c:v>85.06179592282152</c:v>
                </c:pt>
                <c:pt idx="43">
                  <c:v>83.81705096041223</c:v>
                </c:pt>
                <c:pt idx="44">
                  <c:v>82.59838815949914</c:v>
                </c:pt>
                <c:pt idx="45">
                  <c:v>81.40520435991113</c:v>
                </c:pt>
                <c:pt idx="46">
                  <c:v>80.23694238290831</c:v>
                </c:pt>
                <c:pt idx="47">
                  <c:v>79.09308664464893</c:v>
                </c:pt>
                <c:pt idx="48">
                  <c:v>77.97315926859914</c:v>
                </c:pt>
                <c:pt idx="49">
                  <c:v>76.87671663135589</c:v>
                </c:pt>
                <c:pt idx="50">
                  <c:v>75.80334628606698</c:v>
                </c:pt>
                <c:pt idx="51">
                  <c:v>74.75266421574845</c:v>
                </c:pt>
                <c:pt idx="52">
                  <c:v>73.72431237560458</c:v>
                </c:pt>
                <c:pt idx="53">
                  <c:v>72.71795648918387</c:v>
                </c:pt>
                <c:pt idx="54">
                  <c:v>71.73328406804125</c:v>
                </c:pt>
                <c:pt idx="55">
                  <c:v>70.77000262867382</c:v>
                </c:pt>
                <c:pt idx="56">
                  <c:v>69.82783808398041</c:v>
                </c:pt>
                <c:pt idx="57">
                  <c:v>68.90653328946227</c:v>
                </c:pt>
                <c:pt idx="58">
                  <c:v>68.00584672692199</c:v>
                </c:pt>
                <c:pt idx="59">
                  <c:v>67.12555131059064</c:v>
                </c:pt>
                <c:pt idx="60">
                  <c:v>66.26543330248531</c:v>
                </c:pt>
                <c:pt idx="61">
                  <c:v>65.42529132540993</c:v>
                </c:pt>
                <c:pt idx="62">
                  <c:v>64.6049354634048</c:v>
                </c:pt>
                <c:pt idx="63">
                  <c:v>63.80418644065729</c:v>
                </c:pt>
                <c:pt idx="64">
                  <c:v>63.02287487093216</c:v>
                </c:pt>
                <c:pt idx="65">
                  <c:v>62.26084057049285</c:v>
                </c:pt>
                <c:pt idx="66">
                  <c:v>61.51793192827765</c:v>
                </c:pt>
                <c:pt idx="67">
                  <c:v>60.79400532779207</c:v>
                </c:pt>
                <c:pt idx="68">
                  <c:v>60.08892461578348</c:v>
                </c:pt>
                <c:pt idx="69">
                  <c:v>59.40256061330181</c:v>
                </c:pt>
                <c:pt idx="70">
                  <c:v>58.73479066521612</c:v>
                </c:pt>
                <c:pt idx="71">
                  <c:v>58.08549822467229</c:v>
                </c:pt>
                <c:pt idx="72">
                  <c:v>57.45457246934128</c:v>
                </c:pt>
                <c:pt idx="73">
                  <c:v>56.84190794663048</c:v>
                </c:pt>
                <c:pt idx="74">
                  <c:v>56.24740424531551</c:v>
                </c:pt>
                <c:pt idx="75">
                  <c:v>55.67096569130474</c:v>
                </c:pt>
                <c:pt idx="76">
                  <c:v>55.11250106547273</c:v>
                </c:pt>
                <c:pt idx="77">
                  <c:v>54.5719233417001</c:v>
                </c:pt>
                <c:pt idx="78">
                  <c:v>54.04914944343589</c:v>
                </c:pt>
                <c:pt idx="79">
                  <c:v>53.54410001725792</c:v>
                </c:pt>
                <c:pt idx="80">
                  <c:v>53.05669922204953</c:v>
                </c:pt>
                <c:pt idx="81">
                  <c:v>52.58687453253855</c:v>
                </c:pt>
                <c:pt idx="82">
                  <c:v>52.13455655605944</c:v>
                </c:pt>
                <c:pt idx="83">
                  <c:v>51.6996788615015</c:v>
                </c:pt>
                <c:pt idx="84">
                  <c:v>51.28217781949969</c:v>
                </c:pt>
                <c:pt idx="85">
                  <c:v>50.88199245300658</c:v>
                </c:pt>
                <c:pt idx="86">
                  <c:v>50.49906429746001</c:v>
                </c:pt>
                <c:pt idx="87">
                  <c:v>50.13333726982832</c:v>
                </c:pt>
                <c:pt idx="88">
                  <c:v>49.78475754587621</c:v>
                </c:pt>
                <c:pt idx="89">
                  <c:v>49.45327344504933</c:v>
                </c:pt>
                <c:pt idx="90">
                  <c:v>49.13883532242676</c:v>
                </c:pt>
                <c:pt idx="91">
                  <c:v>48.84139546723517</c:v>
                </c:pt>
                <c:pt idx="92">
                  <c:v>48.5609080074595</c:v>
                </c:pt>
                <c:pt idx="93">
                  <c:v>48.29732882012406</c:v>
                </c:pt>
                <c:pt idx="94">
                  <c:v>48.05061544684967</c:v>
                </c:pt>
                <c:pt idx="95">
                  <c:v>47.8207270143255</c:v>
                </c:pt>
                <c:pt idx="96">
                  <c:v>47.60762415936224</c:v>
                </c:pt>
                <c:pt idx="97">
                  <c:v>47.4112689582176</c:v>
                </c:pt>
                <c:pt idx="98">
                  <c:v>47.2316248599111</c:v>
                </c:pt>
              </c:numCache>
            </c:numRef>
          </c:val>
          <c:smooth val="0"/>
        </c:ser>
        <c:ser>
          <c:idx val="2"/>
          <c:order val="1"/>
          <c:tx>
            <c:v>Centrifuge Dewatering</c:v>
          </c:tx>
          <c:marker>
            <c:symbol val="none"/>
          </c:marker>
          <c:cat>
            <c:numRef>
              <c:f>Inputs!$A$48:$A$146</c:f>
              <c:numCache>
                <c:formatCode>General</c:formatCode>
                <c:ptCount val="99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  <c:pt idx="17">
                  <c:v>9.5</c:v>
                </c:pt>
                <c:pt idx="18">
                  <c:v>10.0</c:v>
                </c:pt>
                <c:pt idx="19">
                  <c:v>10.5</c:v>
                </c:pt>
                <c:pt idx="20">
                  <c:v>11.0</c:v>
                </c:pt>
                <c:pt idx="21">
                  <c:v>11.5</c:v>
                </c:pt>
                <c:pt idx="22">
                  <c:v>12.0</c:v>
                </c:pt>
                <c:pt idx="23">
                  <c:v>12.5</c:v>
                </c:pt>
                <c:pt idx="24">
                  <c:v>13.0</c:v>
                </c:pt>
                <c:pt idx="25">
                  <c:v>13.5</c:v>
                </c:pt>
                <c:pt idx="26">
                  <c:v>14.0</c:v>
                </c:pt>
                <c:pt idx="27">
                  <c:v>14.5</c:v>
                </c:pt>
                <c:pt idx="28">
                  <c:v>15.0</c:v>
                </c:pt>
                <c:pt idx="29">
                  <c:v>15.5</c:v>
                </c:pt>
                <c:pt idx="30">
                  <c:v>16.0</c:v>
                </c:pt>
                <c:pt idx="31">
                  <c:v>16.5</c:v>
                </c:pt>
                <c:pt idx="32">
                  <c:v>17.0</c:v>
                </c:pt>
                <c:pt idx="33">
                  <c:v>17.5</c:v>
                </c:pt>
                <c:pt idx="34">
                  <c:v>18.0</c:v>
                </c:pt>
                <c:pt idx="35">
                  <c:v>18.5</c:v>
                </c:pt>
                <c:pt idx="36">
                  <c:v>19.0</c:v>
                </c:pt>
                <c:pt idx="37">
                  <c:v>19.5</c:v>
                </c:pt>
                <c:pt idx="38">
                  <c:v>20.0</c:v>
                </c:pt>
                <c:pt idx="39">
                  <c:v>20.5</c:v>
                </c:pt>
                <c:pt idx="40">
                  <c:v>21.0</c:v>
                </c:pt>
                <c:pt idx="41">
                  <c:v>21.5</c:v>
                </c:pt>
                <c:pt idx="42">
                  <c:v>22.0</c:v>
                </c:pt>
                <c:pt idx="43">
                  <c:v>22.5</c:v>
                </c:pt>
                <c:pt idx="44">
                  <c:v>23.0</c:v>
                </c:pt>
                <c:pt idx="45">
                  <c:v>23.5</c:v>
                </c:pt>
                <c:pt idx="46">
                  <c:v>24.0</c:v>
                </c:pt>
                <c:pt idx="47">
                  <c:v>24.5</c:v>
                </c:pt>
                <c:pt idx="48">
                  <c:v>25.0</c:v>
                </c:pt>
                <c:pt idx="49">
                  <c:v>25.5</c:v>
                </c:pt>
                <c:pt idx="50">
                  <c:v>26.0</c:v>
                </c:pt>
                <c:pt idx="51">
                  <c:v>26.5</c:v>
                </c:pt>
                <c:pt idx="52">
                  <c:v>27.0</c:v>
                </c:pt>
                <c:pt idx="53">
                  <c:v>27.5</c:v>
                </c:pt>
                <c:pt idx="54">
                  <c:v>28.0</c:v>
                </c:pt>
                <c:pt idx="55">
                  <c:v>28.5</c:v>
                </c:pt>
                <c:pt idx="56">
                  <c:v>29.0</c:v>
                </c:pt>
                <c:pt idx="57">
                  <c:v>29.5</c:v>
                </c:pt>
                <c:pt idx="58">
                  <c:v>30.0</c:v>
                </c:pt>
                <c:pt idx="59">
                  <c:v>30.5</c:v>
                </c:pt>
                <c:pt idx="60">
                  <c:v>31.0</c:v>
                </c:pt>
                <c:pt idx="61">
                  <c:v>31.5</c:v>
                </c:pt>
                <c:pt idx="62">
                  <c:v>32.0</c:v>
                </c:pt>
                <c:pt idx="63">
                  <c:v>32.5</c:v>
                </c:pt>
                <c:pt idx="64">
                  <c:v>33.0</c:v>
                </c:pt>
                <c:pt idx="65">
                  <c:v>33.5</c:v>
                </c:pt>
                <c:pt idx="66">
                  <c:v>34.0</c:v>
                </c:pt>
                <c:pt idx="67">
                  <c:v>34.5</c:v>
                </c:pt>
                <c:pt idx="68">
                  <c:v>35.0</c:v>
                </c:pt>
                <c:pt idx="69">
                  <c:v>35.5</c:v>
                </c:pt>
                <c:pt idx="70">
                  <c:v>36.0</c:v>
                </c:pt>
                <c:pt idx="71">
                  <c:v>36.5</c:v>
                </c:pt>
                <c:pt idx="72">
                  <c:v>37.0</c:v>
                </c:pt>
                <c:pt idx="73">
                  <c:v>37.5</c:v>
                </c:pt>
                <c:pt idx="74">
                  <c:v>38.0</c:v>
                </c:pt>
                <c:pt idx="75">
                  <c:v>38.5</c:v>
                </c:pt>
                <c:pt idx="76">
                  <c:v>39.0</c:v>
                </c:pt>
                <c:pt idx="77">
                  <c:v>39.5</c:v>
                </c:pt>
                <c:pt idx="78">
                  <c:v>40.0</c:v>
                </c:pt>
                <c:pt idx="79">
                  <c:v>40.5</c:v>
                </c:pt>
                <c:pt idx="80">
                  <c:v>41.0</c:v>
                </c:pt>
                <c:pt idx="81">
                  <c:v>41.5</c:v>
                </c:pt>
                <c:pt idx="82">
                  <c:v>42.0</c:v>
                </c:pt>
                <c:pt idx="83">
                  <c:v>42.5</c:v>
                </c:pt>
                <c:pt idx="84">
                  <c:v>43.0</c:v>
                </c:pt>
                <c:pt idx="85">
                  <c:v>43.5</c:v>
                </c:pt>
                <c:pt idx="86">
                  <c:v>44.0</c:v>
                </c:pt>
                <c:pt idx="87">
                  <c:v>44.5</c:v>
                </c:pt>
                <c:pt idx="88">
                  <c:v>45.0</c:v>
                </c:pt>
                <c:pt idx="89">
                  <c:v>45.5</c:v>
                </c:pt>
                <c:pt idx="90">
                  <c:v>46.0</c:v>
                </c:pt>
                <c:pt idx="91">
                  <c:v>46.5</c:v>
                </c:pt>
                <c:pt idx="92">
                  <c:v>47.0</c:v>
                </c:pt>
                <c:pt idx="93">
                  <c:v>47.5</c:v>
                </c:pt>
                <c:pt idx="94">
                  <c:v>48.0</c:v>
                </c:pt>
                <c:pt idx="95">
                  <c:v>48.5</c:v>
                </c:pt>
                <c:pt idx="96">
                  <c:v>49.0</c:v>
                </c:pt>
                <c:pt idx="97">
                  <c:v>49.5</c:v>
                </c:pt>
                <c:pt idx="98">
                  <c:v>50.0</c:v>
                </c:pt>
              </c:numCache>
            </c:numRef>
          </c:cat>
          <c:val>
            <c:numRef>
              <c:f>Inputs!$D$48:$D$146</c:f>
              <c:numCache>
                <c:formatCode>General</c:formatCode>
                <c:ptCount val="99"/>
                <c:pt idx="0">
                  <c:v>1282.794276493667</c:v>
                </c:pt>
                <c:pt idx="1">
                  <c:v>867.5616088402163</c:v>
                </c:pt>
                <c:pt idx="2">
                  <c:v>659.8979532486724</c:v>
                </c:pt>
                <c:pt idx="3">
                  <c:v>535.2619031800938</c:v>
                </c:pt>
                <c:pt idx="4">
                  <c:v>452.1396564548331</c:v>
                </c:pt>
                <c:pt idx="5">
                  <c:v>392.7395835673275</c:v>
                </c:pt>
                <c:pt idx="6">
                  <c:v>348.1658697647952</c:v>
                </c:pt>
                <c:pt idx="7">
                  <c:v>313.4763957401355</c:v>
                </c:pt>
                <c:pt idx="8">
                  <c:v>285.7058899090879</c:v>
                </c:pt>
                <c:pt idx="9">
                  <c:v>262.9673612634866</c:v>
                </c:pt>
                <c:pt idx="10">
                  <c:v>244.0028157978876</c:v>
                </c:pt>
                <c:pt idx="11">
                  <c:v>227.9413345854452</c:v>
                </c:pt>
                <c:pt idx="12">
                  <c:v>214.1608326784126</c:v>
                </c:pt>
                <c:pt idx="13">
                  <c:v>202.2051144484418</c:v>
                </c:pt>
                <c:pt idx="14">
                  <c:v>191.7320331742721</c:v>
                </c:pt>
                <c:pt idx="15">
                  <c:v>182.4799472455276</c:v>
                </c:pt>
                <c:pt idx="16">
                  <c:v>174.2453576319159</c:v>
                </c:pt>
                <c:pt idx="17">
                  <c:v>166.8676072042587</c:v>
                </c:pt>
                <c:pt idx="18">
                  <c:v>160.2181702592136</c:v>
                </c:pt>
                <c:pt idx="19">
                  <c:v>154.1930021797888</c:v>
                </c:pt>
                <c:pt idx="20">
                  <c:v>148.7069755520822</c:v>
                </c:pt>
                <c:pt idx="21">
                  <c:v>143.6897677298268</c:v>
                </c:pt>
                <c:pt idx="22">
                  <c:v>139.0827765078</c:v>
                </c:pt>
                <c:pt idx="23">
                  <c:v>134.8367760336149</c:v>
                </c:pt>
                <c:pt idx="24">
                  <c:v>130.910113662944</c:v>
                </c:pt>
                <c:pt idx="25">
                  <c:v>127.2673075135825</c:v>
                </c:pt>
                <c:pt idx="26">
                  <c:v>123.8779445436407</c:v>
                </c:pt>
                <c:pt idx="27">
                  <c:v>120.7158066135583</c:v>
                </c:pt>
                <c:pt idx="28">
                  <c:v>117.7581713357163</c:v>
                </c:pt>
                <c:pt idx="29">
                  <c:v>114.9852482434791</c:v>
                </c:pt>
                <c:pt idx="30">
                  <c:v>112.3797206785403</c:v>
                </c:pt>
                <c:pt idx="31">
                  <c:v>109.9263709714793</c:v>
                </c:pt>
                <c:pt idx="32">
                  <c:v>107.6117717669248</c:v>
                </c:pt>
                <c:pt idx="33">
                  <c:v>105.4240302644052</c:v>
                </c:pt>
                <c:pt idx="34">
                  <c:v>103.3525750857235</c:v>
                </c:pt>
                <c:pt idx="35">
                  <c:v>101.3879777043797</c:v>
                </c:pt>
                <c:pt idx="36">
                  <c:v>99.52180207034746</c:v>
                </c:pt>
                <c:pt idx="37">
                  <c:v>97.74647736950051</c:v>
                </c:pt>
                <c:pt idx="38">
                  <c:v>96.05518986912528</c:v>
                </c:pt>
                <c:pt idx="39">
                  <c:v>94.4417905909193</c:v>
                </c:pt>
                <c:pt idx="40">
                  <c:v>92.90071617356119</c:v>
                </c:pt>
                <c:pt idx="41">
                  <c:v>91.4269207777131</c:v>
                </c:pt>
                <c:pt idx="42">
                  <c:v>90.0158172767041</c:v>
                </c:pt>
                <c:pt idx="43">
                  <c:v>88.66322628845635</c:v>
                </c:pt>
                <c:pt idx="44">
                  <c:v>87.36533185542048</c:v>
                </c:pt>
                <c:pt idx="45">
                  <c:v>86.11864278239169</c:v>
                </c:pt>
                <c:pt idx="46">
                  <c:v>84.91995880709905</c:v>
                </c:pt>
                <c:pt idx="47">
                  <c:v>83.76634091317113</c:v>
                </c:pt>
                <c:pt idx="48">
                  <c:v>82.65508520554633</c:v>
                </c:pt>
                <c:pt idx="49">
                  <c:v>81.58369985936393</c:v>
                </c:pt>
                <c:pt idx="50">
                  <c:v>80.54988472859864</c:v>
                </c:pt>
                <c:pt idx="51">
                  <c:v>79.55151326315164</c:v>
                </c:pt>
                <c:pt idx="52">
                  <c:v>78.58661643515358</c:v>
                </c:pt>
                <c:pt idx="53">
                  <c:v>77.65336841876207</c:v>
                </c:pt>
                <c:pt idx="54">
                  <c:v>76.75007380426622</c:v>
                </c:pt>
                <c:pt idx="55">
                  <c:v>75.87515615807524</c:v>
                </c:pt>
                <c:pt idx="56">
                  <c:v>75.0271477661564</c:v>
                </c:pt>
                <c:pt idx="57">
                  <c:v>74.20468042051297</c:v>
                </c:pt>
                <c:pt idx="58">
                  <c:v>73.40647712701475</c:v>
                </c:pt>
                <c:pt idx="59">
                  <c:v>72.63134462885151</c:v>
                </c:pt>
                <c:pt idx="60">
                  <c:v>71.87816665352335</c:v>
                </c:pt>
                <c:pt idx="61">
                  <c:v>71.14589780297486</c:v>
                </c:pt>
                <c:pt idx="62">
                  <c:v>70.43355801652909</c:v>
                </c:pt>
                <c:pt idx="63">
                  <c:v>69.74022754493525</c:v>
                </c:pt>
                <c:pt idx="64">
                  <c:v>69.06504238132156</c:v>
                </c:pt>
                <c:pt idx="65">
                  <c:v>68.4071901013159</c:v>
                </c:pt>
                <c:pt idx="66">
                  <c:v>67.7659060702152</c:v>
                </c:pt>
                <c:pt idx="67">
                  <c:v>67.14046997996577</c:v>
                </c:pt>
                <c:pt idx="68">
                  <c:v>66.5302026829742</c:v>
                </c:pt>
                <c:pt idx="69">
                  <c:v>65.93446329348326</c:v>
                </c:pt>
                <c:pt idx="70">
                  <c:v>65.35264653050004</c:v>
                </c:pt>
                <c:pt idx="71">
                  <c:v>64.78418027911344</c:v>
                </c:pt>
                <c:pt idx="72">
                  <c:v>64.2285233495427</c:v>
                </c:pt>
                <c:pt idx="73">
                  <c:v>63.68516341546201</c:v>
                </c:pt>
                <c:pt idx="74">
                  <c:v>63.15361511508904</c:v>
                </c:pt>
                <c:pt idx="75">
                  <c:v>62.6334183002405</c:v>
                </c:pt>
                <c:pt idx="76">
                  <c:v>62.12413642007592</c:v>
                </c:pt>
                <c:pt idx="77">
                  <c:v>61.62535502759474</c:v>
                </c:pt>
                <c:pt idx="78">
                  <c:v>61.13668039814654</c:v>
                </c:pt>
                <c:pt idx="79">
                  <c:v>60.65773825027344</c:v>
                </c:pt>
                <c:pt idx="80">
                  <c:v>60.18817256014967</c:v>
                </c:pt>
                <c:pt idx="81">
                  <c:v>59.72764446172422</c:v>
                </c:pt>
                <c:pt idx="82">
                  <c:v>59.27583122542465</c:v>
                </c:pt>
                <c:pt idx="83">
                  <c:v>58.83242530895257</c:v>
                </c:pt>
                <c:pt idx="84">
                  <c:v>58.39713347430253</c:v>
                </c:pt>
                <c:pt idx="85">
                  <c:v>57.96967596567617</c:v>
                </c:pt>
                <c:pt idx="86">
                  <c:v>57.54978574344786</c:v>
                </c:pt>
                <c:pt idx="87">
                  <c:v>57.13720776977281</c:v>
                </c:pt>
                <c:pt idx="88">
                  <c:v>56.73169834182167</c:v>
                </c:pt>
                <c:pt idx="89">
                  <c:v>56.33302446897727</c:v>
                </c:pt>
                <c:pt idx="90">
                  <c:v>55.94096329064934</c:v>
                </c:pt>
                <c:pt idx="91">
                  <c:v>56.93569730126592</c:v>
                </c:pt>
                <c:pt idx="92">
                  <c:v>56.58292307821295</c:v>
                </c:pt>
                <c:pt idx="93">
                  <c:v>56.23723250340414</c:v>
                </c:pt>
                <c:pt idx="94">
                  <c:v>55.89840478966109</c:v>
                </c:pt>
                <c:pt idx="95">
                  <c:v>55.56622825443132</c:v>
                </c:pt>
                <c:pt idx="96">
                  <c:v>55.24049985526655</c:v>
                </c:pt>
                <c:pt idx="97">
                  <c:v>54.92102475345372</c:v>
                </c:pt>
                <c:pt idx="98">
                  <c:v>54.60761590382832</c:v>
                </c:pt>
              </c:numCache>
            </c:numRef>
          </c:val>
          <c:smooth val="0"/>
        </c:ser>
        <c:ser>
          <c:idx val="3"/>
          <c:order val="2"/>
          <c:tx>
            <c:v>Belt Filter Press Dewatering</c:v>
          </c:tx>
          <c:marker>
            <c:symbol val="none"/>
          </c:marker>
          <c:cat>
            <c:numRef>
              <c:f>Inputs!$A$48:$A$146</c:f>
              <c:numCache>
                <c:formatCode>General</c:formatCode>
                <c:ptCount val="99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  <c:pt idx="17">
                  <c:v>9.5</c:v>
                </c:pt>
                <c:pt idx="18">
                  <c:v>10.0</c:v>
                </c:pt>
                <c:pt idx="19">
                  <c:v>10.5</c:v>
                </c:pt>
                <c:pt idx="20">
                  <c:v>11.0</c:v>
                </c:pt>
                <c:pt idx="21">
                  <c:v>11.5</c:v>
                </c:pt>
                <c:pt idx="22">
                  <c:v>12.0</c:v>
                </c:pt>
                <c:pt idx="23">
                  <c:v>12.5</c:v>
                </c:pt>
                <c:pt idx="24">
                  <c:v>13.0</c:v>
                </c:pt>
                <c:pt idx="25">
                  <c:v>13.5</c:v>
                </c:pt>
                <c:pt idx="26">
                  <c:v>14.0</c:v>
                </c:pt>
                <c:pt idx="27">
                  <c:v>14.5</c:v>
                </c:pt>
                <c:pt idx="28">
                  <c:v>15.0</c:v>
                </c:pt>
                <c:pt idx="29">
                  <c:v>15.5</c:v>
                </c:pt>
                <c:pt idx="30">
                  <c:v>16.0</c:v>
                </c:pt>
                <c:pt idx="31">
                  <c:v>16.5</c:v>
                </c:pt>
                <c:pt idx="32">
                  <c:v>17.0</c:v>
                </c:pt>
                <c:pt idx="33">
                  <c:v>17.5</c:v>
                </c:pt>
                <c:pt idx="34">
                  <c:v>18.0</c:v>
                </c:pt>
                <c:pt idx="35">
                  <c:v>18.5</c:v>
                </c:pt>
                <c:pt idx="36">
                  <c:v>19.0</c:v>
                </c:pt>
                <c:pt idx="37">
                  <c:v>19.5</c:v>
                </c:pt>
                <c:pt idx="38">
                  <c:v>20.0</c:v>
                </c:pt>
                <c:pt idx="39">
                  <c:v>20.5</c:v>
                </c:pt>
                <c:pt idx="40">
                  <c:v>21.0</c:v>
                </c:pt>
                <c:pt idx="41">
                  <c:v>21.5</c:v>
                </c:pt>
                <c:pt idx="42">
                  <c:v>22.0</c:v>
                </c:pt>
                <c:pt idx="43">
                  <c:v>22.5</c:v>
                </c:pt>
                <c:pt idx="44">
                  <c:v>23.0</c:v>
                </c:pt>
                <c:pt idx="45">
                  <c:v>23.5</c:v>
                </c:pt>
                <c:pt idx="46">
                  <c:v>24.0</c:v>
                </c:pt>
                <c:pt idx="47">
                  <c:v>24.5</c:v>
                </c:pt>
                <c:pt idx="48">
                  <c:v>25.0</c:v>
                </c:pt>
                <c:pt idx="49">
                  <c:v>25.5</c:v>
                </c:pt>
                <c:pt idx="50">
                  <c:v>26.0</c:v>
                </c:pt>
                <c:pt idx="51">
                  <c:v>26.5</c:v>
                </c:pt>
                <c:pt idx="52">
                  <c:v>27.0</c:v>
                </c:pt>
                <c:pt idx="53">
                  <c:v>27.5</c:v>
                </c:pt>
                <c:pt idx="54">
                  <c:v>28.0</c:v>
                </c:pt>
                <c:pt idx="55">
                  <c:v>28.5</c:v>
                </c:pt>
                <c:pt idx="56">
                  <c:v>29.0</c:v>
                </c:pt>
                <c:pt idx="57">
                  <c:v>29.5</c:v>
                </c:pt>
                <c:pt idx="58">
                  <c:v>30.0</c:v>
                </c:pt>
                <c:pt idx="59">
                  <c:v>30.5</c:v>
                </c:pt>
                <c:pt idx="60">
                  <c:v>31.0</c:v>
                </c:pt>
                <c:pt idx="61">
                  <c:v>31.5</c:v>
                </c:pt>
                <c:pt idx="62">
                  <c:v>32.0</c:v>
                </c:pt>
                <c:pt idx="63">
                  <c:v>32.5</c:v>
                </c:pt>
                <c:pt idx="64">
                  <c:v>33.0</c:v>
                </c:pt>
                <c:pt idx="65">
                  <c:v>33.5</c:v>
                </c:pt>
                <c:pt idx="66">
                  <c:v>34.0</c:v>
                </c:pt>
                <c:pt idx="67">
                  <c:v>34.5</c:v>
                </c:pt>
                <c:pt idx="68">
                  <c:v>35.0</c:v>
                </c:pt>
                <c:pt idx="69">
                  <c:v>35.5</c:v>
                </c:pt>
                <c:pt idx="70">
                  <c:v>36.0</c:v>
                </c:pt>
                <c:pt idx="71">
                  <c:v>36.5</c:v>
                </c:pt>
                <c:pt idx="72">
                  <c:v>37.0</c:v>
                </c:pt>
                <c:pt idx="73">
                  <c:v>37.5</c:v>
                </c:pt>
                <c:pt idx="74">
                  <c:v>38.0</c:v>
                </c:pt>
                <c:pt idx="75">
                  <c:v>38.5</c:v>
                </c:pt>
                <c:pt idx="76">
                  <c:v>39.0</c:v>
                </c:pt>
                <c:pt idx="77">
                  <c:v>39.5</c:v>
                </c:pt>
                <c:pt idx="78">
                  <c:v>40.0</c:v>
                </c:pt>
                <c:pt idx="79">
                  <c:v>40.5</c:v>
                </c:pt>
                <c:pt idx="80">
                  <c:v>41.0</c:v>
                </c:pt>
                <c:pt idx="81">
                  <c:v>41.5</c:v>
                </c:pt>
                <c:pt idx="82">
                  <c:v>42.0</c:v>
                </c:pt>
                <c:pt idx="83">
                  <c:v>42.5</c:v>
                </c:pt>
                <c:pt idx="84">
                  <c:v>43.0</c:v>
                </c:pt>
                <c:pt idx="85">
                  <c:v>43.5</c:v>
                </c:pt>
                <c:pt idx="86">
                  <c:v>44.0</c:v>
                </c:pt>
                <c:pt idx="87">
                  <c:v>44.5</c:v>
                </c:pt>
                <c:pt idx="88">
                  <c:v>45.0</c:v>
                </c:pt>
                <c:pt idx="89">
                  <c:v>45.5</c:v>
                </c:pt>
                <c:pt idx="90">
                  <c:v>46.0</c:v>
                </c:pt>
                <c:pt idx="91">
                  <c:v>46.5</c:v>
                </c:pt>
                <c:pt idx="92">
                  <c:v>47.0</c:v>
                </c:pt>
                <c:pt idx="93">
                  <c:v>47.5</c:v>
                </c:pt>
                <c:pt idx="94">
                  <c:v>48.0</c:v>
                </c:pt>
                <c:pt idx="95">
                  <c:v>48.5</c:v>
                </c:pt>
                <c:pt idx="96">
                  <c:v>49.0</c:v>
                </c:pt>
                <c:pt idx="97">
                  <c:v>49.5</c:v>
                </c:pt>
                <c:pt idx="98">
                  <c:v>50.0</c:v>
                </c:pt>
              </c:numCache>
            </c:numRef>
          </c:cat>
          <c:val>
            <c:numRef>
              <c:f>Inputs!$E$48:$E$146</c:f>
              <c:numCache>
                <c:formatCode>General</c:formatCode>
                <c:ptCount val="99"/>
                <c:pt idx="0">
                  <c:v>1090.90104668646</c:v>
                </c:pt>
                <c:pt idx="1">
                  <c:v>755.972100006588</c:v>
                </c:pt>
                <c:pt idx="2">
                  <c:v>588.5076266666525</c:v>
                </c:pt>
                <c:pt idx="3">
                  <c:v>488.0289426626911</c:v>
                </c:pt>
                <c:pt idx="4">
                  <c:v>421.0431533267166</c:v>
                </c:pt>
                <c:pt idx="5">
                  <c:v>373.1961609438779</c:v>
                </c:pt>
                <c:pt idx="6">
                  <c:v>337.3109166567489</c:v>
                </c:pt>
                <c:pt idx="7">
                  <c:v>309.4001711000928</c:v>
                </c:pt>
                <c:pt idx="8">
                  <c:v>287.0715746547682</c:v>
                </c:pt>
                <c:pt idx="9">
                  <c:v>268.8027230176843</c:v>
                </c:pt>
                <c:pt idx="10">
                  <c:v>253.578679986781</c:v>
                </c:pt>
                <c:pt idx="11">
                  <c:v>240.6967974221705</c:v>
                </c:pt>
                <c:pt idx="12">
                  <c:v>229.6551837953616</c:v>
                </c:pt>
                <c:pt idx="13">
                  <c:v>220.0857853187939</c:v>
                </c:pt>
                <c:pt idx="14">
                  <c:v>211.7125616517971</c:v>
                </c:pt>
                <c:pt idx="15">
                  <c:v>204.324423122094</c:v>
                </c:pt>
                <c:pt idx="16">
                  <c:v>197.7571888734691</c:v>
                </c:pt>
                <c:pt idx="17">
                  <c:v>191.881242440489</c:v>
                </c:pt>
                <c:pt idx="18">
                  <c:v>186.5928906508068</c:v>
                </c:pt>
                <c:pt idx="19">
                  <c:v>184.0338655589708</c:v>
                </c:pt>
                <c:pt idx="20">
                  <c:v>180.9818483015473</c:v>
                </c:pt>
                <c:pt idx="21">
                  <c:v>178.3612611807992</c:v>
                </c:pt>
                <c:pt idx="22">
                  <c:v>176.1181696233395</c:v>
                </c:pt>
                <c:pt idx="23">
                  <c:v>174.207268587523</c:v>
                </c:pt>
                <c:pt idx="24">
                  <c:v>172.5902230381116</c:v>
                </c:pt>
                <c:pt idx="25">
                  <c:v>171.2343772043469</c:v>
                </c:pt>
                <c:pt idx="26">
                  <c:v>170.1117404255787</c:v>
                </c:pt>
                <c:pt idx="27">
                  <c:v>169.1981828219363</c:v>
                </c:pt>
                <c:pt idx="28">
                  <c:v>168.472791830865</c:v>
                </c:pt>
                <c:pt idx="29">
                  <c:v>167.9173532849786</c:v>
                </c:pt>
                <c:pt idx="30">
                  <c:v>167.5159297878139</c:v>
                </c:pt>
                <c:pt idx="31">
                  <c:v>167.2545157485398</c:v>
                </c:pt>
                <c:pt idx="32">
                  <c:v>167.1207532928936</c:v>
                </c:pt>
                <c:pt idx="33">
                  <c:v>167.1036968750996</c:v>
                </c:pt>
                <c:pt idx="34">
                  <c:v>167.193617121135</c:v>
                </c:pt>
                <c:pt idx="35">
                  <c:v>167.3818364811959</c:v>
                </c:pt>
                <c:pt idx="36">
                  <c:v>167.6605908317732</c:v>
                </c:pt>
                <c:pt idx="37">
                  <c:v>168.022912369718</c:v>
                </c:pt>
                <c:pt idx="38">
                  <c:v>168.4625300721961</c:v>
                </c:pt>
                <c:pt idx="39">
                  <c:v>168.9737847234792</c:v>
                </c:pt>
                <c:pt idx="40">
                  <c:v>169.5515560807654</c:v>
                </c:pt>
                <c:pt idx="41">
                  <c:v>170.1912002029088</c:v>
                </c:pt>
                <c:pt idx="42">
                  <c:v>170.8884953252314</c:v>
                </c:pt>
                <c:pt idx="43">
                  <c:v>171.6395949510266</c:v>
                </c:pt>
                <c:pt idx="44">
                  <c:v>172.4409870615621</c:v>
                </c:pt>
                <c:pt idx="45">
                  <c:v>173.2894585333171</c:v>
                </c:pt>
                <c:pt idx="46">
                  <c:v>174.182064003064</c:v>
                </c:pt>
                <c:pt idx="47">
                  <c:v>175.1160985453897</c:v>
                </c:pt>
                <c:pt idx="48">
                  <c:v>176.0890736289143</c:v>
                </c:pt>
                <c:pt idx="49">
                  <c:v>177.0986959011896</c:v>
                </c:pt>
                <c:pt idx="50">
                  <c:v>178.1428484214941</c:v>
                </c:pt>
                <c:pt idx="51">
                  <c:v>179.2195740182175</c:v>
                </c:pt>
                <c:pt idx="52">
                  <c:v>180.3270604954242</c:v>
                </c:pt>
                <c:pt idx="53">
                  <c:v>181.4636274532466</c:v>
                </c:pt>
                <c:pt idx="54">
                  <c:v>182.6277145203795</c:v>
                </c:pt>
                <c:pt idx="55">
                  <c:v>183.8178708252576</c:v>
                </c:pt>
                <c:pt idx="56">
                  <c:v>185.0327455564245</c:v>
                </c:pt>
                <c:pt idx="57">
                  <c:v>186.2710794828608</c:v>
                </c:pt>
                <c:pt idx="58">
                  <c:v>187.531697322282</c:v>
                </c:pt>
                <c:pt idx="59">
                  <c:v>188.8135008600945</c:v>
                </c:pt>
                <c:pt idx="60">
                  <c:v>190.1154627342589</c:v>
                </c:pt>
                <c:pt idx="61">
                  <c:v>191.4366208120718</c:v>
                </c:pt>
                <c:pt idx="62">
                  <c:v>192.7760730941235</c:v>
                </c:pt>
                <c:pt idx="63">
                  <c:v>194.1329730886607</c:v>
                </c:pt>
                <c:pt idx="64">
                  <c:v>195.5065256064604</c:v>
                </c:pt>
                <c:pt idx="65">
                  <c:v>196.8959829322828</c:v>
                </c:pt>
                <c:pt idx="66">
                  <c:v>198.3006413341381</c:v>
                </c:pt>
                <c:pt idx="67">
                  <c:v>199.7198378760932</c:v>
                </c:pt>
                <c:pt idx="68">
                  <c:v>201.1529475042688</c:v>
                </c:pt>
                <c:pt idx="69">
                  <c:v>202.5993803790885</c:v>
                </c:pt>
                <c:pt idx="70">
                  <c:v>204.0585794298412</c:v>
                </c:pt>
                <c:pt idx="71">
                  <c:v>205.5300181102384</c:v>
                </c:pt>
                <c:pt idx="72">
                  <c:v>207.0131983359532</c:v>
                </c:pt>
                <c:pt idx="73">
                  <c:v>208.507648587156</c:v>
                </c:pt>
                <c:pt idx="74">
                  <c:v>210.0129221608504</c:v>
                </c:pt>
                <c:pt idx="75">
                  <c:v>211.5285955593904</c:v>
                </c:pt>
                <c:pt idx="76">
                  <c:v>213.0542670029581</c:v>
                </c:pt>
                <c:pt idx="77">
                  <c:v>214.5895550550176</c:v>
                </c:pt>
                <c:pt idx="78">
                  <c:v>216.1340973508595</c:v>
                </c:pt>
                <c:pt idx="79">
                  <c:v>217.6875494203282</c:v>
                </c:pt>
                <c:pt idx="80">
                  <c:v>219.2495835966903</c:v>
                </c:pt>
                <c:pt idx="81">
                  <c:v>220.8198880043801</c:v>
                </c:pt>
                <c:pt idx="82">
                  <c:v>222.3981656190495</c:v>
                </c:pt>
                <c:pt idx="83">
                  <c:v>223.9841333939667</c:v>
                </c:pt>
                <c:pt idx="84">
                  <c:v>225.5775214473643</c:v>
                </c:pt>
                <c:pt idx="85">
                  <c:v>227.1780723058318</c:v>
                </c:pt>
                <c:pt idx="86">
                  <c:v>228.7855401992955</c:v>
                </c:pt>
                <c:pt idx="87">
                  <c:v>230.3996904035283</c:v>
                </c:pt>
                <c:pt idx="88">
                  <c:v>232.0202986264901</c:v>
                </c:pt>
                <c:pt idx="89">
                  <c:v>233.6471504351321</c:v>
                </c:pt>
                <c:pt idx="90">
                  <c:v>235.2800407195816</c:v>
                </c:pt>
                <c:pt idx="91">
                  <c:v>236.9187731918958</c:v>
                </c:pt>
                <c:pt idx="92">
                  <c:v>238.5631599168099</c:v>
                </c:pt>
                <c:pt idx="93">
                  <c:v>240.2130208721235</c:v>
                </c:pt>
                <c:pt idx="94">
                  <c:v>241.8681835365609</c:v>
                </c:pt>
                <c:pt idx="95">
                  <c:v>243.528482503126</c:v>
                </c:pt>
                <c:pt idx="96">
                  <c:v>245.1937591161283</c:v>
                </c:pt>
                <c:pt idx="97">
                  <c:v>246.8638611302087</c:v>
                </c:pt>
                <c:pt idx="98">
                  <c:v>248.5386423898221</c:v>
                </c:pt>
              </c:numCache>
            </c:numRef>
          </c:val>
          <c:smooth val="0"/>
        </c:ser>
        <c:ser>
          <c:idx val="4"/>
          <c:order val="3"/>
          <c:tx>
            <c:v>Dewatered Sludge Hauling</c:v>
          </c:tx>
          <c:marker>
            <c:symbol val="none"/>
          </c:marker>
          <c:cat>
            <c:numRef>
              <c:f>Inputs!$A$48:$A$146</c:f>
              <c:numCache>
                <c:formatCode>General</c:formatCode>
                <c:ptCount val="99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  <c:pt idx="17">
                  <c:v>9.5</c:v>
                </c:pt>
                <c:pt idx="18">
                  <c:v>10.0</c:v>
                </c:pt>
                <c:pt idx="19">
                  <c:v>10.5</c:v>
                </c:pt>
                <c:pt idx="20">
                  <c:v>11.0</c:v>
                </c:pt>
                <c:pt idx="21">
                  <c:v>11.5</c:v>
                </c:pt>
                <c:pt idx="22">
                  <c:v>12.0</c:v>
                </c:pt>
                <c:pt idx="23">
                  <c:v>12.5</c:v>
                </c:pt>
                <c:pt idx="24">
                  <c:v>13.0</c:v>
                </c:pt>
                <c:pt idx="25">
                  <c:v>13.5</c:v>
                </c:pt>
                <c:pt idx="26">
                  <c:v>14.0</c:v>
                </c:pt>
                <c:pt idx="27">
                  <c:v>14.5</c:v>
                </c:pt>
                <c:pt idx="28">
                  <c:v>15.0</c:v>
                </c:pt>
                <c:pt idx="29">
                  <c:v>15.5</c:v>
                </c:pt>
                <c:pt idx="30">
                  <c:v>16.0</c:v>
                </c:pt>
                <c:pt idx="31">
                  <c:v>16.5</c:v>
                </c:pt>
                <c:pt idx="32">
                  <c:v>17.0</c:v>
                </c:pt>
                <c:pt idx="33">
                  <c:v>17.5</c:v>
                </c:pt>
                <c:pt idx="34">
                  <c:v>18.0</c:v>
                </c:pt>
                <c:pt idx="35">
                  <c:v>18.5</c:v>
                </c:pt>
                <c:pt idx="36">
                  <c:v>19.0</c:v>
                </c:pt>
                <c:pt idx="37">
                  <c:v>19.5</c:v>
                </c:pt>
                <c:pt idx="38">
                  <c:v>20.0</c:v>
                </c:pt>
                <c:pt idx="39">
                  <c:v>20.5</c:v>
                </c:pt>
                <c:pt idx="40">
                  <c:v>21.0</c:v>
                </c:pt>
                <c:pt idx="41">
                  <c:v>21.5</c:v>
                </c:pt>
                <c:pt idx="42">
                  <c:v>22.0</c:v>
                </c:pt>
                <c:pt idx="43">
                  <c:v>22.5</c:v>
                </c:pt>
                <c:pt idx="44">
                  <c:v>23.0</c:v>
                </c:pt>
                <c:pt idx="45">
                  <c:v>23.5</c:v>
                </c:pt>
                <c:pt idx="46">
                  <c:v>24.0</c:v>
                </c:pt>
                <c:pt idx="47">
                  <c:v>24.5</c:v>
                </c:pt>
                <c:pt idx="48">
                  <c:v>25.0</c:v>
                </c:pt>
                <c:pt idx="49">
                  <c:v>25.5</c:v>
                </c:pt>
                <c:pt idx="50">
                  <c:v>26.0</c:v>
                </c:pt>
                <c:pt idx="51">
                  <c:v>26.5</c:v>
                </c:pt>
                <c:pt idx="52">
                  <c:v>27.0</c:v>
                </c:pt>
                <c:pt idx="53">
                  <c:v>27.5</c:v>
                </c:pt>
                <c:pt idx="54">
                  <c:v>28.0</c:v>
                </c:pt>
                <c:pt idx="55">
                  <c:v>28.5</c:v>
                </c:pt>
                <c:pt idx="56">
                  <c:v>29.0</c:v>
                </c:pt>
                <c:pt idx="57">
                  <c:v>29.5</c:v>
                </c:pt>
                <c:pt idx="58">
                  <c:v>30.0</c:v>
                </c:pt>
                <c:pt idx="59">
                  <c:v>30.5</c:v>
                </c:pt>
                <c:pt idx="60">
                  <c:v>31.0</c:v>
                </c:pt>
                <c:pt idx="61">
                  <c:v>31.5</c:v>
                </c:pt>
                <c:pt idx="62">
                  <c:v>32.0</c:v>
                </c:pt>
                <c:pt idx="63">
                  <c:v>32.5</c:v>
                </c:pt>
                <c:pt idx="64">
                  <c:v>33.0</c:v>
                </c:pt>
                <c:pt idx="65">
                  <c:v>33.5</c:v>
                </c:pt>
                <c:pt idx="66">
                  <c:v>34.0</c:v>
                </c:pt>
                <c:pt idx="67">
                  <c:v>34.5</c:v>
                </c:pt>
                <c:pt idx="68">
                  <c:v>35.0</c:v>
                </c:pt>
                <c:pt idx="69">
                  <c:v>35.5</c:v>
                </c:pt>
                <c:pt idx="70">
                  <c:v>36.0</c:v>
                </c:pt>
                <c:pt idx="71">
                  <c:v>36.5</c:v>
                </c:pt>
                <c:pt idx="72">
                  <c:v>37.0</c:v>
                </c:pt>
                <c:pt idx="73">
                  <c:v>37.5</c:v>
                </c:pt>
                <c:pt idx="74">
                  <c:v>38.0</c:v>
                </c:pt>
                <c:pt idx="75">
                  <c:v>38.5</c:v>
                </c:pt>
                <c:pt idx="76">
                  <c:v>39.0</c:v>
                </c:pt>
                <c:pt idx="77">
                  <c:v>39.5</c:v>
                </c:pt>
                <c:pt idx="78">
                  <c:v>40.0</c:v>
                </c:pt>
                <c:pt idx="79">
                  <c:v>40.5</c:v>
                </c:pt>
                <c:pt idx="80">
                  <c:v>41.0</c:v>
                </c:pt>
                <c:pt idx="81">
                  <c:v>41.5</c:v>
                </c:pt>
                <c:pt idx="82">
                  <c:v>42.0</c:v>
                </c:pt>
                <c:pt idx="83">
                  <c:v>42.5</c:v>
                </c:pt>
                <c:pt idx="84">
                  <c:v>43.0</c:v>
                </c:pt>
                <c:pt idx="85">
                  <c:v>43.5</c:v>
                </c:pt>
                <c:pt idx="86">
                  <c:v>44.0</c:v>
                </c:pt>
                <c:pt idx="87">
                  <c:v>44.5</c:v>
                </c:pt>
                <c:pt idx="88">
                  <c:v>45.0</c:v>
                </c:pt>
                <c:pt idx="89">
                  <c:v>45.5</c:v>
                </c:pt>
                <c:pt idx="90">
                  <c:v>46.0</c:v>
                </c:pt>
                <c:pt idx="91">
                  <c:v>46.5</c:v>
                </c:pt>
                <c:pt idx="92">
                  <c:v>47.0</c:v>
                </c:pt>
                <c:pt idx="93">
                  <c:v>47.5</c:v>
                </c:pt>
                <c:pt idx="94">
                  <c:v>48.0</c:v>
                </c:pt>
                <c:pt idx="95">
                  <c:v>48.5</c:v>
                </c:pt>
                <c:pt idx="96">
                  <c:v>49.0</c:v>
                </c:pt>
                <c:pt idx="97">
                  <c:v>49.5</c:v>
                </c:pt>
                <c:pt idx="98">
                  <c:v>50.0</c:v>
                </c:pt>
              </c:numCache>
            </c:numRef>
          </c:cat>
          <c:val>
            <c:numRef>
              <c:f>Inputs!$F$48:$F$146</c:f>
              <c:numCache>
                <c:formatCode>General</c:formatCode>
                <c:ptCount val="99"/>
                <c:pt idx="0">
                  <c:v>211.0582772938847</c:v>
                </c:pt>
                <c:pt idx="1">
                  <c:v>164.5530123811185</c:v>
                </c:pt>
                <c:pt idx="2">
                  <c:v>144.5773630703497</c:v>
                </c:pt>
                <c:pt idx="3">
                  <c:v>126.3014603463538</c:v>
                </c:pt>
                <c:pt idx="4">
                  <c:v>109.6727835727744</c:v>
                </c:pt>
                <c:pt idx="5">
                  <c:v>99.2885197690616</c:v>
                </c:pt>
                <c:pt idx="6">
                  <c:v>93.5925712124354</c:v>
                </c:pt>
                <c:pt idx="7">
                  <c:v>83.98067629016591</c:v>
                </c:pt>
                <c:pt idx="8">
                  <c:v>77.90384010122152</c:v>
                </c:pt>
                <c:pt idx="9">
                  <c:v>73.01304515782196</c:v>
                </c:pt>
                <c:pt idx="10">
                  <c:v>68.86298426139694</c:v>
                </c:pt>
                <c:pt idx="11">
                  <c:v>65.35139427211422</c:v>
                </c:pt>
                <c:pt idx="12">
                  <c:v>63.04277413909467</c:v>
                </c:pt>
                <c:pt idx="13">
                  <c:v>59.98100224843187</c:v>
                </c:pt>
                <c:pt idx="14">
                  <c:v>63.63813096792133</c:v>
                </c:pt>
                <c:pt idx="15">
                  <c:v>60.90154654505258</c:v>
                </c:pt>
                <c:pt idx="16">
                  <c:v>58.46902705805811</c:v>
                </c:pt>
                <c:pt idx="17">
                  <c:v>56.2925622539052</c:v>
                </c:pt>
                <c:pt idx="18">
                  <c:v>99.96426030880343</c:v>
                </c:pt>
                <c:pt idx="19">
                  <c:v>95.7650709066842</c:v>
                </c:pt>
                <c:pt idx="20">
                  <c:v>91.90937507727615</c:v>
                </c:pt>
                <c:pt idx="21">
                  <c:v>88.38895714607752</c:v>
                </c:pt>
                <c:pt idx="22">
                  <c:v>85.16190737581206</c:v>
                </c:pt>
                <c:pt idx="23">
                  <c:v>82.19302158716784</c:v>
                </c:pt>
                <c:pt idx="24">
                  <c:v>79.45251162841934</c:v>
                </c:pt>
                <c:pt idx="25">
                  <c:v>88.05758467550526</c:v>
                </c:pt>
                <c:pt idx="26">
                  <c:v>85.19854514458181</c:v>
                </c:pt>
                <c:pt idx="27">
                  <c:v>82.53668075372207</c:v>
                </c:pt>
                <c:pt idx="28">
                  <c:v>80.0522739889196</c:v>
                </c:pt>
                <c:pt idx="29">
                  <c:v>78.80802213599257</c:v>
                </c:pt>
                <c:pt idx="30">
                  <c:v>76.62320470152228</c:v>
                </c:pt>
                <c:pt idx="31">
                  <c:v>74.54384934116244</c:v>
                </c:pt>
                <c:pt idx="32">
                  <c:v>72.58680900200027</c:v>
                </c:pt>
                <c:pt idx="33">
                  <c:v>70.74159953936164</c:v>
                </c:pt>
                <c:pt idx="34">
                  <c:v>68.99890171353627</c:v>
                </c:pt>
                <c:pt idx="35">
                  <c:v>67.35040377018795</c:v>
                </c:pt>
                <c:pt idx="36">
                  <c:v>65.78866887648955</c:v>
                </c:pt>
                <c:pt idx="37">
                  <c:v>122.09907726622</c:v>
                </c:pt>
                <c:pt idx="38">
                  <c:v>119.176932630948</c:v>
                </c:pt>
                <c:pt idx="39">
                  <c:v>116.3973316364209</c:v>
                </c:pt>
                <c:pt idx="40">
                  <c:v>113.7500925940141</c:v>
                </c:pt>
                <c:pt idx="41">
                  <c:v>111.2259809489286</c:v>
                </c:pt>
                <c:pt idx="42">
                  <c:v>108.816601651347</c:v>
                </c:pt>
                <c:pt idx="43">
                  <c:v>106.5143058781023</c:v>
                </c:pt>
                <c:pt idx="44">
                  <c:v>104.3121099210857</c:v>
                </c:pt>
                <c:pt idx="45">
                  <c:v>102.2036244303251</c:v>
                </c:pt>
                <c:pt idx="46">
                  <c:v>100.2010942095105</c:v>
                </c:pt>
                <c:pt idx="47">
                  <c:v>98.26256763085394</c:v>
                </c:pt>
                <c:pt idx="48">
                  <c:v>96.40158211534358</c:v>
                </c:pt>
                <c:pt idx="49">
                  <c:v>94.61357642397088</c:v>
                </c:pt>
                <c:pt idx="50">
                  <c:v>92.8943401822664</c:v>
                </c:pt>
                <c:pt idx="51">
                  <c:v>91.23998077987155</c:v>
                </c:pt>
                <c:pt idx="52">
                  <c:v>89.6468939479357</c:v>
                </c:pt>
                <c:pt idx="53">
                  <c:v>88.11173754625213</c:v>
                </c:pt>
                <c:pt idx="54">
                  <c:v>86.63140815891433</c:v>
                </c:pt>
                <c:pt idx="55">
                  <c:v>85.20302015358843</c:v>
                </c:pt>
                <c:pt idx="56">
                  <c:v>139.5136796211058</c:v>
                </c:pt>
                <c:pt idx="57">
                  <c:v>137.2218062166962</c:v>
                </c:pt>
                <c:pt idx="58">
                  <c:v>134.9920180965637</c:v>
                </c:pt>
                <c:pt idx="59">
                  <c:v>132.8494136812256</c:v>
                </c:pt>
                <c:pt idx="60">
                  <c:v>131.3020119726135</c:v>
                </c:pt>
                <c:pt idx="61">
                  <c:v>129.2859982708409</c:v>
                </c:pt>
                <c:pt idx="62">
                  <c:v>127.3329849972487</c:v>
                </c:pt>
                <c:pt idx="63">
                  <c:v>125.4268547512717</c:v>
                </c:pt>
                <c:pt idx="64">
                  <c:v>123.5914955695999</c:v>
                </c:pt>
                <c:pt idx="65">
                  <c:v>121.7981078597365</c:v>
                </c:pt>
                <c:pt idx="66">
                  <c:v>120.0700937553424</c:v>
                </c:pt>
                <c:pt idx="67">
                  <c:v>118.379723106841</c:v>
                </c:pt>
                <c:pt idx="68">
                  <c:v>116.7499149018995</c:v>
                </c:pt>
                <c:pt idx="69">
                  <c:v>115.1539234104467</c:v>
                </c:pt>
                <c:pt idx="70">
                  <c:v>113.6141904292035</c:v>
                </c:pt>
                <c:pt idx="71">
                  <c:v>112.1048798618</c:v>
                </c:pt>
                <c:pt idx="72">
                  <c:v>110.6479645766532</c:v>
                </c:pt>
                <c:pt idx="73">
                  <c:v>109.229900365777</c:v>
                </c:pt>
                <c:pt idx="74">
                  <c:v>107.8378558742371</c:v>
                </c:pt>
                <c:pt idx="75">
                  <c:v>106.4931194182202</c:v>
                </c:pt>
                <c:pt idx="76">
                  <c:v>158.9147449915062</c:v>
                </c:pt>
                <c:pt idx="77">
                  <c:v>156.9463294051816</c:v>
                </c:pt>
                <c:pt idx="78">
                  <c:v>155.0271242085151</c:v>
                </c:pt>
                <c:pt idx="79">
                  <c:v>153.1447823695693</c:v>
                </c:pt>
                <c:pt idx="80">
                  <c:v>151.318747385451</c:v>
                </c:pt>
                <c:pt idx="81">
                  <c:v>149.5264424200105</c:v>
                </c:pt>
                <c:pt idx="82">
                  <c:v>147.7869599349135</c:v>
                </c:pt>
                <c:pt idx="83">
                  <c:v>146.0884064494658</c:v>
                </c:pt>
                <c:pt idx="84">
                  <c:v>144.419441668122</c:v>
                </c:pt>
                <c:pt idx="85">
                  <c:v>142.7986424957512</c:v>
                </c:pt>
                <c:pt idx="86">
                  <c:v>141.214679668207</c:v>
                </c:pt>
                <c:pt idx="87">
                  <c:v>139.6567331017541</c:v>
                </c:pt>
                <c:pt idx="88">
                  <c:v>138.1428795525331</c:v>
                </c:pt>
                <c:pt idx="89">
                  <c:v>136.6622975098884</c:v>
                </c:pt>
                <c:pt idx="90">
                  <c:v>137.0239831776784</c:v>
                </c:pt>
                <c:pt idx="91">
                  <c:v>135.5872727528846</c:v>
                </c:pt>
                <c:pt idx="92">
                  <c:v>134.1720617156614</c:v>
                </c:pt>
                <c:pt idx="93">
                  <c:v>132.7956180520425</c:v>
                </c:pt>
                <c:pt idx="94">
                  <c:v>131.4478502980823</c:v>
                </c:pt>
                <c:pt idx="95">
                  <c:v>183.2065108018643</c:v>
                </c:pt>
                <c:pt idx="96">
                  <c:v>181.3630273506765</c:v>
                </c:pt>
                <c:pt idx="97">
                  <c:v>179.5567859894117</c:v>
                </c:pt>
                <c:pt idx="98">
                  <c:v>177.7866694553721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614776"/>
        <c:axId val="2113595176"/>
      </c:lineChart>
      <c:catAx>
        <c:axId val="2113614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mgd Inflow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3595176"/>
        <c:crosses val="autoZero"/>
        <c:auto val="1"/>
        <c:lblAlgn val="ctr"/>
        <c:lblOffset val="100"/>
        <c:noMultiLvlLbl val="0"/>
      </c:catAx>
      <c:valAx>
        <c:axId val="2113595176"/>
        <c:scaling>
          <c:orientation val="minMax"/>
          <c:max val="300.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$/Dry</a:t>
                </a:r>
                <a:r>
                  <a:rPr lang="en-US" baseline="0"/>
                  <a:t> Ton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3614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Land Application</c:v>
          </c:tx>
          <c:marker>
            <c:symbol val="none"/>
          </c:marker>
          <c:cat>
            <c:numRef>
              <c:f>Inputs!$A$48:$A$146</c:f>
              <c:numCache>
                <c:formatCode>General</c:formatCode>
                <c:ptCount val="99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  <c:pt idx="17">
                  <c:v>9.5</c:v>
                </c:pt>
                <c:pt idx="18">
                  <c:v>10.0</c:v>
                </c:pt>
                <c:pt idx="19">
                  <c:v>10.5</c:v>
                </c:pt>
                <c:pt idx="20">
                  <c:v>11.0</c:v>
                </c:pt>
                <c:pt idx="21">
                  <c:v>11.5</c:v>
                </c:pt>
                <c:pt idx="22">
                  <c:v>12.0</c:v>
                </c:pt>
                <c:pt idx="23">
                  <c:v>12.5</c:v>
                </c:pt>
                <c:pt idx="24">
                  <c:v>13.0</c:v>
                </c:pt>
                <c:pt idx="25">
                  <c:v>13.5</c:v>
                </c:pt>
                <c:pt idx="26">
                  <c:v>14.0</c:v>
                </c:pt>
                <c:pt idx="27">
                  <c:v>14.5</c:v>
                </c:pt>
                <c:pt idx="28">
                  <c:v>15.0</c:v>
                </c:pt>
                <c:pt idx="29">
                  <c:v>15.5</c:v>
                </c:pt>
                <c:pt idx="30">
                  <c:v>16.0</c:v>
                </c:pt>
                <c:pt idx="31">
                  <c:v>16.5</c:v>
                </c:pt>
                <c:pt idx="32">
                  <c:v>17.0</c:v>
                </c:pt>
                <c:pt idx="33">
                  <c:v>17.5</c:v>
                </c:pt>
                <c:pt idx="34">
                  <c:v>18.0</c:v>
                </c:pt>
                <c:pt idx="35">
                  <c:v>18.5</c:v>
                </c:pt>
                <c:pt idx="36">
                  <c:v>19.0</c:v>
                </c:pt>
                <c:pt idx="37">
                  <c:v>19.5</c:v>
                </c:pt>
                <c:pt idx="38">
                  <c:v>20.0</c:v>
                </c:pt>
                <c:pt idx="39">
                  <c:v>20.5</c:v>
                </c:pt>
                <c:pt idx="40">
                  <c:v>21.0</c:v>
                </c:pt>
                <c:pt idx="41">
                  <c:v>21.5</c:v>
                </c:pt>
                <c:pt idx="42">
                  <c:v>22.0</c:v>
                </c:pt>
                <c:pt idx="43">
                  <c:v>22.5</c:v>
                </c:pt>
                <c:pt idx="44">
                  <c:v>23.0</c:v>
                </c:pt>
                <c:pt idx="45">
                  <c:v>23.5</c:v>
                </c:pt>
                <c:pt idx="46">
                  <c:v>24.0</c:v>
                </c:pt>
                <c:pt idx="47">
                  <c:v>24.5</c:v>
                </c:pt>
                <c:pt idx="48">
                  <c:v>25.0</c:v>
                </c:pt>
                <c:pt idx="49">
                  <c:v>25.5</c:v>
                </c:pt>
                <c:pt idx="50">
                  <c:v>26.0</c:v>
                </c:pt>
                <c:pt idx="51">
                  <c:v>26.5</c:v>
                </c:pt>
                <c:pt idx="52">
                  <c:v>27.0</c:v>
                </c:pt>
                <c:pt idx="53">
                  <c:v>27.5</c:v>
                </c:pt>
                <c:pt idx="54">
                  <c:v>28.0</c:v>
                </c:pt>
                <c:pt idx="55">
                  <c:v>28.5</c:v>
                </c:pt>
                <c:pt idx="56">
                  <c:v>29.0</c:v>
                </c:pt>
                <c:pt idx="57">
                  <c:v>29.5</c:v>
                </c:pt>
                <c:pt idx="58">
                  <c:v>30.0</c:v>
                </c:pt>
                <c:pt idx="59">
                  <c:v>30.5</c:v>
                </c:pt>
                <c:pt idx="60">
                  <c:v>31.0</c:v>
                </c:pt>
                <c:pt idx="61">
                  <c:v>31.5</c:v>
                </c:pt>
                <c:pt idx="62">
                  <c:v>32.0</c:v>
                </c:pt>
                <c:pt idx="63">
                  <c:v>32.5</c:v>
                </c:pt>
                <c:pt idx="64">
                  <c:v>33.0</c:v>
                </c:pt>
                <c:pt idx="65">
                  <c:v>33.5</c:v>
                </c:pt>
                <c:pt idx="66">
                  <c:v>34.0</c:v>
                </c:pt>
                <c:pt idx="67">
                  <c:v>34.5</c:v>
                </c:pt>
                <c:pt idx="68">
                  <c:v>35.0</c:v>
                </c:pt>
                <c:pt idx="69">
                  <c:v>35.5</c:v>
                </c:pt>
                <c:pt idx="70">
                  <c:v>36.0</c:v>
                </c:pt>
                <c:pt idx="71">
                  <c:v>36.5</c:v>
                </c:pt>
                <c:pt idx="72">
                  <c:v>37.0</c:v>
                </c:pt>
                <c:pt idx="73">
                  <c:v>37.5</c:v>
                </c:pt>
                <c:pt idx="74">
                  <c:v>38.0</c:v>
                </c:pt>
                <c:pt idx="75">
                  <c:v>38.5</c:v>
                </c:pt>
                <c:pt idx="76">
                  <c:v>39.0</c:v>
                </c:pt>
                <c:pt idx="77">
                  <c:v>39.5</c:v>
                </c:pt>
                <c:pt idx="78">
                  <c:v>40.0</c:v>
                </c:pt>
                <c:pt idx="79">
                  <c:v>40.5</c:v>
                </c:pt>
                <c:pt idx="80">
                  <c:v>41.0</c:v>
                </c:pt>
                <c:pt idx="81">
                  <c:v>41.5</c:v>
                </c:pt>
                <c:pt idx="82">
                  <c:v>42.0</c:v>
                </c:pt>
                <c:pt idx="83">
                  <c:v>42.5</c:v>
                </c:pt>
                <c:pt idx="84">
                  <c:v>43.0</c:v>
                </c:pt>
                <c:pt idx="85">
                  <c:v>43.5</c:v>
                </c:pt>
                <c:pt idx="86">
                  <c:v>44.0</c:v>
                </c:pt>
                <c:pt idx="87">
                  <c:v>44.5</c:v>
                </c:pt>
                <c:pt idx="88">
                  <c:v>45.0</c:v>
                </c:pt>
                <c:pt idx="89">
                  <c:v>45.5</c:v>
                </c:pt>
                <c:pt idx="90">
                  <c:v>46.0</c:v>
                </c:pt>
                <c:pt idx="91">
                  <c:v>46.5</c:v>
                </c:pt>
                <c:pt idx="92">
                  <c:v>47.0</c:v>
                </c:pt>
                <c:pt idx="93">
                  <c:v>47.5</c:v>
                </c:pt>
                <c:pt idx="94">
                  <c:v>48.0</c:v>
                </c:pt>
                <c:pt idx="95">
                  <c:v>48.5</c:v>
                </c:pt>
                <c:pt idx="96">
                  <c:v>49.0</c:v>
                </c:pt>
                <c:pt idx="97">
                  <c:v>49.5</c:v>
                </c:pt>
                <c:pt idx="98">
                  <c:v>50.0</c:v>
                </c:pt>
              </c:numCache>
            </c:numRef>
          </c:cat>
          <c:val>
            <c:numRef>
              <c:f>Inputs!$I$48:$I$146</c:f>
              <c:numCache>
                <c:formatCode>General</c:formatCode>
                <c:ptCount val="99"/>
                <c:pt idx="0">
                  <c:v>390.5076710061156</c:v>
                </c:pt>
                <c:pt idx="1">
                  <c:v>288.2522602122064</c:v>
                </c:pt>
                <c:pt idx="2">
                  <c:v>240.4018993586345</c:v>
                </c:pt>
                <c:pt idx="3">
                  <c:v>205.4012853562428</c:v>
                </c:pt>
                <c:pt idx="4">
                  <c:v>177.6228492501021</c:v>
                </c:pt>
                <c:pt idx="5">
                  <c:v>159.2744952389037</c:v>
                </c:pt>
                <c:pt idx="6">
                  <c:v>147.6054919337265</c:v>
                </c:pt>
                <c:pt idx="7">
                  <c:v>133.347895411214</c:v>
                </c:pt>
                <c:pt idx="8">
                  <c:v>123.5545027607122</c:v>
                </c:pt>
                <c:pt idx="9">
                  <c:v>115.6228920800958</c:v>
                </c:pt>
                <c:pt idx="10">
                  <c:v>108.938820259613</c:v>
                </c:pt>
                <c:pt idx="11">
                  <c:v>103.283068735978</c:v>
                </c:pt>
                <c:pt idx="12">
                  <c:v>99.13659699391479</c:v>
                </c:pt>
                <c:pt idx="13">
                  <c:v>94.48202122264703</c:v>
                </c:pt>
                <c:pt idx="14">
                  <c:v>96.74544719196032</c:v>
                </c:pt>
                <c:pt idx="15">
                  <c:v>92.7791255485524</c:v>
                </c:pt>
                <c:pt idx="16">
                  <c:v>89.25350670364704</c:v>
                </c:pt>
                <c:pt idx="17">
                  <c:v>86.09900594596084</c:v>
                </c:pt>
                <c:pt idx="18">
                  <c:v>128.8904718962916</c:v>
                </c:pt>
                <c:pt idx="19">
                  <c:v>123.8948822256419</c:v>
                </c:pt>
                <c:pt idx="20">
                  <c:v>134.519114476247</c:v>
                </c:pt>
                <c:pt idx="21">
                  <c:v>129.6766127871869</c:v>
                </c:pt>
                <c:pt idx="22">
                  <c:v>125.2376530245859</c:v>
                </c:pt>
                <c:pt idx="23">
                  <c:v>121.1538101435559</c:v>
                </c:pt>
                <c:pt idx="24">
                  <c:v>117.3841091081431</c:v>
                </c:pt>
                <c:pt idx="25">
                  <c:v>125.0362275278315</c:v>
                </c:pt>
                <c:pt idx="26">
                  <c:v>121.29230162022</c:v>
                </c:pt>
                <c:pt idx="27">
                  <c:v>117.8065775539084</c:v>
                </c:pt>
                <c:pt idx="28">
                  <c:v>114.5532351394918</c:v>
                </c:pt>
                <c:pt idx="29">
                  <c:v>112.5896564300354</c:v>
                </c:pt>
                <c:pt idx="30">
                  <c:v>109.7304701040001</c:v>
                </c:pt>
                <c:pt idx="31">
                  <c:v>107.0176167261039</c:v>
                </c:pt>
                <c:pt idx="32">
                  <c:v>104.4643429870929</c:v>
                </c:pt>
                <c:pt idx="33">
                  <c:v>102.0569706298391</c:v>
                </c:pt>
                <c:pt idx="34">
                  <c:v>99.7833412038176</c:v>
                </c:pt>
                <c:pt idx="35">
                  <c:v>97.6326106858024</c:v>
                </c:pt>
                <c:pt idx="36">
                  <c:v>95.59507652887854</c:v>
                </c:pt>
                <c:pt idx="37">
                  <c:v>151.4540856338236</c:v>
                </c:pt>
                <c:pt idx="38">
                  <c:v>148.1031116926369</c:v>
                </c:pt>
                <c:pt idx="39">
                  <c:v>144.9155999081529</c:v>
                </c:pt>
                <c:pt idx="40">
                  <c:v>141.8798744111131</c:v>
                </c:pt>
                <c:pt idx="41">
                  <c:v>138.9853454597159</c:v>
                </c:pt>
                <c:pt idx="42">
                  <c:v>143.8243500927621</c:v>
                </c:pt>
                <c:pt idx="43">
                  <c:v>141.0152563205925</c:v>
                </c:pt>
                <c:pt idx="44">
                  <c:v>138.3282970685372</c:v>
                </c:pt>
                <c:pt idx="45">
                  <c:v>135.7556765156461</c:v>
                </c:pt>
                <c:pt idx="46">
                  <c:v>133.3083502005881</c:v>
                </c:pt>
                <c:pt idx="47">
                  <c:v>130.9431824767154</c:v>
                </c:pt>
                <c:pt idx="48">
                  <c:v>128.6726214676978</c:v>
                </c:pt>
                <c:pt idx="49">
                  <c:v>126.4911020723215</c:v>
                </c:pt>
                <c:pt idx="50">
                  <c:v>124.3934872741067</c:v>
                </c:pt>
                <c:pt idx="51">
                  <c:v>122.3750277559535</c:v>
                </c:pt>
                <c:pt idx="52">
                  <c:v>120.4313260020489</c:v>
                </c:pt>
                <c:pt idx="53">
                  <c:v>118.5583043159302</c:v>
                </c:pt>
                <c:pt idx="54">
                  <c:v>116.7521762651835</c:v>
                </c:pt>
                <c:pt idx="55">
                  <c:v>115.0094211319651</c:v>
                </c:pt>
                <c:pt idx="56">
                  <c:v>169.0165537206104</c:v>
                </c:pt>
                <c:pt idx="57">
                  <c:v>166.4314424870848</c:v>
                </c:pt>
                <c:pt idx="58">
                  <c:v>163.9181911349565</c:v>
                </c:pt>
                <c:pt idx="59">
                  <c:v>161.5014173667154</c:v>
                </c:pt>
                <c:pt idx="60">
                  <c:v>159.6886904803406</c:v>
                </c:pt>
                <c:pt idx="61">
                  <c:v>157.4157746246327</c:v>
                </c:pt>
                <c:pt idx="62">
                  <c:v>155.2138873915843</c:v>
                </c:pt>
                <c:pt idx="63">
                  <c:v>153.0665408484788</c:v>
                </c:pt>
                <c:pt idx="64">
                  <c:v>156.0652510075077</c:v>
                </c:pt>
                <c:pt idx="65">
                  <c:v>153.9692974452583</c:v>
                </c:pt>
                <c:pt idx="66">
                  <c:v>151.9476164858332</c:v>
                </c:pt>
                <c:pt idx="67">
                  <c:v>149.972091066655</c:v>
                </c:pt>
                <c:pt idx="68">
                  <c:v>148.0652753717079</c:v>
                </c:pt>
                <c:pt idx="69">
                  <c:v>146.2000794195618</c:v>
                </c:pt>
                <c:pt idx="70">
                  <c:v>144.3986198806579</c:v>
                </c:pt>
                <c:pt idx="71">
                  <c:v>142.6347533474881</c:v>
                </c:pt>
                <c:pt idx="72">
                  <c:v>140.9301619887471</c:v>
                </c:pt>
                <c:pt idx="73">
                  <c:v>139.2710264007142</c:v>
                </c:pt>
                <c:pt idx="74">
                  <c:v>137.6442545167094</c:v>
                </c:pt>
                <c:pt idx="75">
                  <c:v>136.0708874846429</c:v>
                </c:pt>
                <c:pt idx="76">
                  <c:v>188.2697448053165</c:v>
                </c:pt>
                <c:pt idx="77">
                  <c:v>186.0842006699028</c:v>
                </c:pt>
                <c:pt idx="78">
                  <c:v>183.9532951387543</c:v>
                </c:pt>
                <c:pt idx="79">
                  <c:v>181.8644801349158</c:v>
                </c:pt>
                <c:pt idx="80">
                  <c:v>179.837007917552</c:v>
                </c:pt>
                <c:pt idx="81">
                  <c:v>177.8481196288592</c:v>
                </c:pt>
                <c:pt idx="82">
                  <c:v>175.9167343765478</c:v>
                </c:pt>
                <c:pt idx="83">
                  <c:v>174.0307934838031</c:v>
                </c:pt>
                <c:pt idx="84">
                  <c:v>172.1787991425006</c:v>
                </c:pt>
                <c:pt idx="85">
                  <c:v>170.3791779868891</c:v>
                </c:pt>
                <c:pt idx="86">
                  <c:v>172.4214393510507</c:v>
                </c:pt>
                <c:pt idx="87">
                  <c:v>170.64995441778</c:v>
                </c:pt>
                <c:pt idx="88">
                  <c:v>168.9273077993283</c:v>
                </c:pt>
                <c:pt idx="89">
                  <c:v>167.2425215466404</c:v>
                </c:pt>
                <c:pt idx="90">
                  <c:v>167.4044422268452</c:v>
                </c:pt>
                <c:pt idx="91">
                  <c:v>165.7722628361838</c:v>
                </c:pt>
                <c:pt idx="92">
                  <c:v>164.1657417477192</c:v>
                </c:pt>
                <c:pt idx="93">
                  <c:v>162.6020156133248</c:v>
                </c:pt>
                <c:pt idx="94">
                  <c:v>161.0708671071518</c:v>
                </c:pt>
                <c:pt idx="95">
                  <c:v>212.6499279055628</c:v>
                </c:pt>
                <c:pt idx="96">
                  <c:v>210.6305100495015</c:v>
                </c:pt>
                <c:pt idx="97">
                  <c:v>208.651888514137</c:v>
                </c:pt>
                <c:pt idx="98">
                  <c:v>206.7128394098373</c:v>
                </c:pt>
              </c:numCache>
            </c:numRef>
          </c:val>
          <c:smooth val="0"/>
        </c:ser>
        <c:ser>
          <c:idx val="1"/>
          <c:order val="1"/>
          <c:tx>
            <c:v>Incineration</c:v>
          </c:tx>
          <c:marker>
            <c:symbol val="none"/>
          </c:marker>
          <c:cat>
            <c:numRef>
              <c:f>Inputs!$A$48:$A$146</c:f>
              <c:numCache>
                <c:formatCode>General</c:formatCode>
                <c:ptCount val="99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  <c:pt idx="17">
                  <c:v>9.5</c:v>
                </c:pt>
                <c:pt idx="18">
                  <c:v>10.0</c:v>
                </c:pt>
                <c:pt idx="19">
                  <c:v>10.5</c:v>
                </c:pt>
                <c:pt idx="20">
                  <c:v>11.0</c:v>
                </c:pt>
                <c:pt idx="21">
                  <c:v>11.5</c:v>
                </c:pt>
                <c:pt idx="22">
                  <c:v>12.0</c:v>
                </c:pt>
                <c:pt idx="23">
                  <c:v>12.5</c:v>
                </c:pt>
                <c:pt idx="24">
                  <c:v>13.0</c:v>
                </c:pt>
                <c:pt idx="25">
                  <c:v>13.5</c:v>
                </c:pt>
                <c:pt idx="26">
                  <c:v>14.0</c:v>
                </c:pt>
                <c:pt idx="27">
                  <c:v>14.5</c:v>
                </c:pt>
                <c:pt idx="28">
                  <c:v>15.0</c:v>
                </c:pt>
                <c:pt idx="29">
                  <c:v>15.5</c:v>
                </c:pt>
                <c:pt idx="30">
                  <c:v>16.0</c:v>
                </c:pt>
                <c:pt idx="31">
                  <c:v>16.5</c:v>
                </c:pt>
                <c:pt idx="32">
                  <c:v>17.0</c:v>
                </c:pt>
                <c:pt idx="33">
                  <c:v>17.5</c:v>
                </c:pt>
                <c:pt idx="34">
                  <c:v>18.0</c:v>
                </c:pt>
                <c:pt idx="35">
                  <c:v>18.5</c:v>
                </c:pt>
                <c:pt idx="36">
                  <c:v>19.0</c:v>
                </c:pt>
                <c:pt idx="37">
                  <c:v>19.5</c:v>
                </c:pt>
                <c:pt idx="38">
                  <c:v>20.0</c:v>
                </c:pt>
                <c:pt idx="39">
                  <c:v>20.5</c:v>
                </c:pt>
                <c:pt idx="40">
                  <c:v>21.0</c:v>
                </c:pt>
                <c:pt idx="41">
                  <c:v>21.5</c:v>
                </c:pt>
                <c:pt idx="42">
                  <c:v>22.0</c:v>
                </c:pt>
                <c:pt idx="43">
                  <c:v>22.5</c:v>
                </c:pt>
                <c:pt idx="44">
                  <c:v>23.0</c:v>
                </c:pt>
                <c:pt idx="45">
                  <c:v>23.5</c:v>
                </c:pt>
                <c:pt idx="46">
                  <c:v>24.0</c:v>
                </c:pt>
                <c:pt idx="47">
                  <c:v>24.5</c:v>
                </c:pt>
                <c:pt idx="48">
                  <c:v>25.0</c:v>
                </c:pt>
                <c:pt idx="49">
                  <c:v>25.5</c:v>
                </c:pt>
                <c:pt idx="50">
                  <c:v>26.0</c:v>
                </c:pt>
                <c:pt idx="51">
                  <c:v>26.5</c:v>
                </c:pt>
                <c:pt idx="52">
                  <c:v>27.0</c:v>
                </c:pt>
                <c:pt idx="53">
                  <c:v>27.5</c:v>
                </c:pt>
                <c:pt idx="54">
                  <c:v>28.0</c:v>
                </c:pt>
                <c:pt idx="55">
                  <c:v>28.5</c:v>
                </c:pt>
                <c:pt idx="56">
                  <c:v>29.0</c:v>
                </c:pt>
                <c:pt idx="57">
                  <c:v>29.5</c:v>
                </c:pt>
                <c:pt idx="58">
                  <c:v>30.0</c:v>
                </c:pt>
                <c:pt idx="59">
                  <c:v>30.5</c:v>
                </c:pt>
                <c:pt idx="60">
                  <c:v>31.0</c:v>
                </c:pt>
                <c:pt idx="61">
                  <c:v>31.5</c:v>
                </c:pt>
                <c:pt idx="62">
                  <c:v>32.0</c:v>
                </c:pt>
                <c:pt idx="63">
                  <c:v>32.5</c:v>
                </c:pt>
                <c:pt idx="64">
                  <c:v>33.0</c:v>
                </c:pt>
                <c:pt idx="65">
                  <c:v>33.5</c:v>
                </c:pt>
                <c:pt idx="66">
                  <c:v>34.0</c:v>
                </c:pt>
                <c:pt idx="67">
                  <c:v>34.5</c:v>
                </c:pt>
                <c:pt idx="68">
                  <c:v>35.0</c:v>
                </c:pt>
                <c:pt idx="69">
                  <c:v>35.5</c:v>
                </c:pt>
                <c:pt idx="70">
                  <c:v>36.0</c:v>
                </c:pt>
                <c:pt idx="71">
                  <c:v>36.5</c:v>
                </c:pt>
                <c:pt idx="72">
                  <c:v>37.0</c:v>
                </c:pt>
                <c:pt idx="73">
                  <c:v>37.5</c:v>
                </c:pt>
                <c:pt idx="74">
                  <c:v>38.0</c:v>
                </c:pt>
                <c:pt idx="75">
                  <c:v>38.5</c:v>
                </c:pt>
                <c:pt idx="76">
                  <c:v>39.0</c:v>
                </c:pt>
                <c:pt idx="77">
                  <c:v>39.5</c:v>
                </c:pt>
                <c:pt idx="78">
                  <c:v>40.0</c:v>
                </c:pt>
                <c:pt idx="79">
                  <c:v>40.5</c:v>
                </c:pt>
                <c:pt idx="80">
                  <c:v>41.0</c:v>
                </c:pt>
                <c:pt idx="81">
                  <c:v>41.5</c:v>
                </c:pt>
                <c:pt idx="82">
                  <c:v>42.0</c:v>
                </c:pt>
                <c:pt idx="83">
                  <c:v>42.5</c:v>
                </c:pt>
                <c:pt idx="84">
                  <c:v>43.0</c:v>
                </c:pt>
                <c:pt idx="85">
                  <c:v>43.5</c:v>
                </c:pt>
                <c:pt idx="86">
                  <c:v>44.0</c:v>
                </c:pt>
                <c:pt idx="87">
                  <c:v>44.5</c:v>
                </c:pt>
                <c:pt idx="88">
                  <c:v>45.0</c:v>
                </c:pt>
                <c:pt idx="89">
                  <c:v>45.5</c:v>
                </c:pt>
                <c:pt idx="90">
                  <c:v>46.0</c:v>
                </c:pt>
                <c:pt idx="91">
                  <c:v>46.5</c:v>
                </c:pt>
                <c:pt idx="92">
                  <c:v>47.0</c:v>
                </c:pt>
                <c:pt idx="93">
                  <c:v>47.5</c:v>
                </c:pt>
                <c:pt idx="94">
                  <c:v>48.0</c:v>
                </c:pt>
                <c:pt idx="95">
                  <c:v>48.5</c:v>
                </c:pt>
                <c:pt idx="96">
                  <c:v>49.0</c:v>
                </c:pt>
                <c:pt idx="97">
                  <c:v>49.5</c:v>
                </c:pt>
                <c:pt idx="98">
                  <c:v>50.0</c:v>
                </c:pt>
              </c:numCache>
            </c:numRef>
          </c:cat>
          <c:val>
            <c:numRef>
              <c:f>Inputs!$G$48:$G$146</c:f>
              <c:numCache>
                <c:formatCode>General</c:formatCode>
                <c:ptCount val="99"/>
                <c:pt idx="0">
                  <c:v>2708.264712867545</c:v>
                </c:pt>
                <c:pt idx="1">
                  <c:v>1922.928364768463</c:v>
                </c:pt>
                <c:pt idx="2">
                  <c:v>1529.998142382191</c:v>
                </c:pt>
                <c:pt idx="3">
                  <c:v>1294.026648328482</c:v>
                </c:pt>
                <c:pt idx="4">
                  <c:v>1136.531416813919</c:v>
                </c:pt>
                <c:pt idx="5">
                  <c:v>1023.877105355613</c:v>
                </c:pt>
                <c:pt idx="6">
                  <c:v>939.2460427121147</c:v>
                </c:pt>
                <c:pt idx="7">
                  <c:v>873.295078193733</c:v>
                </c:pt>
                <c:pt idx="8">
                  <c:v>820.4183213866526</c:v>
                </c:pt>
                <c:pt idx="9">
                  <c:v>777.0483874820814</c:v>
                </c:pt>
                <c:pt idx="10">
                  <c:v>740.8070199408254</c:v>
                </c:pt>
                <c:pt idx="11">
                  <c:v>710.0477334665188</c:v>
                </c:pt>
                <c:pt idx="12">
                  <c:v>683.5944671331872</c:v>
                </c:pt>
                <c:pt idx="13">
                  <c:v>660.584776261781</c:v>
                </c:pt>
                <c:pt idx="14">
                  <c:v>640.3718273430143</c:v>
                </c:pt>
                <c:pt idx="15">
                  <c:v>622.4609829874327</c:v>
                </c:pt>
                <c:pt idx="16">
                  <c:v>606.4675252254609</c:v>
                </c:pt>
                <c:pt idx="17">
                  <c:v>592.0877293442759</c:v>
                </c:pt>
                <c:pt idx="18">
                  <c:v>579.0786155736195</c:v>
                </c:pt>
                <c:pt idx="19">
                  <c:v>567.243486004235</c:v>
                </c:pt>
                <c:pt idx="20">
                  <c:v>556.4214059830939</c:v>
                </c:pt>
                <c:pt idx="21">
                  <c:v>546.4794294924777</c:v>
                </c:pt>
                <c:pt idx="22">
                  <c:v>537.3067681842872</c:v>
                </c:pt>
                <c:pt idx="23">
                  <c:v>528.8103598461189</c:v>
                </c:pt>
                <c:pt idx="24">
                  <c:v>520.9114595290163</c:v>
                </c:pt>
                <c:pt idx="25">
                  <c:v>513.542988202387</c:v>
                </c:pt>
                <c:pt idx="26">
                  <c:v>506.6474495542942</c:v>
                </c:pt>
                <c:pt idx="27">
                  <c:v>500.1752777985856</c:v>
                </c:pt>
                <c:pt idx="28">
                  <c:v>494.0835159205961</c:v>
                </c:pt>
                <c:pt idx="29">
                  <c:v>488.3347497462625</c:v>
                </c:pt>
                <c:pt idx="30">
                  <c:v>482.8962418732791</c:v>
                </c:pt>
                <c:pt idx="31">
                  <c:v>477.7392230693172</c:v>
                </c:pt>
                <c:pt idx="32">
                  <c:v>472.8383087176156</c:v>
                </c:pt>
                <c:pt idx="33">
                  <c:v>468.1710153004725</c:v>
                </c:pt>
                <c:pt idx="34">
                  <c:v>463.7173574688186</c:v>
                </c:pt>
                <c:pt idx="35">
                  <c:v>459.4595104518627</c:v>
                </c:pt>
                <c:pt idx="36">
                  <c:v>455.3815257704761</c:v>
                </c:pt>
                <c:pt idx="37">
                  <c:v>451.4690906869787</c:v>
                </c:pt>
                <c:pt idx="38">
                  <c:v>447.7093237374591</c:v>
                </c:pt>
                <c:pt idx="39">
                  <c:v>444.0906001861915</c:v>
                </c:pt>
                <c:pt idx="40">
                  <c:v>440.602402415139</c:v>
                </c:pt>
                <c:pt idx="41">
                  <c:v>437.2351911893378</c:v>
                </c:pt>
                <c:pt idx="42">
                  <c:v>433.9802944770024</c:v>
                </c:pt>
                <c:pt idx="43">
                  <c:v>430.829811093617</c:v>
                </c:pt>
                <c:pt idx="44">
                  <c:v>427.7765269141892</c:v>
                </c:pt>
                <c:pt idx="45">
                  <c:v>424.813841781811</c:v>
                </c:pt>
                <c:pt idx="46">
                  <c:v>421.9357055526502</c:v>
                </c:pt>
                <c:pt idx="47">
                  <c:v>419.1365619721666</c:v>
                </c:pt>
                <c:pt idx="48">
                  <c:v>416.4112992861835</c:v>
                </c:pt>
                <c:pt idx="49">
                  <c:v>413.7552066624203</c:v>
                </c:pt>
                <c:pt idx="50">
                  <c:v>411.1639356403109</c:v>
                </c:pt>
                <c:pt idx="51">
                  <c:v>408.6334659449913</c:v>
                </c:pt>
                <c:pt idx="52">
                  <c:v>406.160075099736</c:v>
                </c:pt>
                <c:pt idx="53">
                  <c:v>403.7403113534</c:v>
                </c:pt>
                <c:pt idx="54">
                  <c:v>401.3709695084909</c:v>
                </c:pt>
                <c:pt idx="55">
                  <c:v>399.0490692936561</c:v>
                </c:pt>
                <c:pt idx="56">
                  <c:v>396.7718359734989</c:v>
                </c:pt>
                <c:pt idx="57">
                  <c:v>394.5366829302763</c:v>
                </c:pt>
                <c:pt idx="58">
                  <c:v>392.3411959874279</c:v>
                </c:pt>
                <c:pt idx="59">
                  <c:v>390.1831192750533</c:v>
                </c:pt>
                <c:pt idx="60">
                  <c:v>388.0603424632459</c:v>
                </c:pt>
                <c:pt idx="61">
                  <c:v>385.970889211299</c:v>
                </c:pt>
                <c:pt idx="62">
                  <c:v>383.9129066998005</c:v>
                </c:pt>
                <c:pt idx="63">
                  <c:v>381.8846561289939</c:v>
                </c:pt>
                <c:pt idx="64">
                  <c:v>379.8845040809269</c:v>
                </c:pt>
                <c:pt idx="65">
                  <c:v>377.9109146551361</c:v>
                </c:pt>
                <c:pt idx="66">
                  <c:v>375.9624422982446</c:v>
                </c:pt>
                <c:pt idx="67">
                  <c:v>374.0377252570717</c:v>
                </c:pt>
                <c:pt idx="68">
                  <c:v>372.135479592903</c:v>
                </c:pt>
                <c:pt idx="69">
                  <c:v>370.2544937016007</c:v>
                </c:pt>
                <c:pt idx="70">
                  <c:v>368.3936232903672</c:v>
                </c:pt>
                <c:pt idx="71">
                  <c:v>366.5517867673807</c:v>
                </c:pt>
                <c:pt idx="72">
                  <c:v>364.7279610052417</c:v>
                </c:pt>
                <c:pt idx="73">
                  <c:v>362.9211774433457</c:v>
                </c:pt>
                <c:pt idx="74">
                  <c:v>361.130518497962</c:v>
                </c:pt>
                <c:pt idx="75">
                  <c:v>359.3551142520471</c:v>
                </c:pt>
                <c:pt idx="76">
                  <c:v>357.5941393996882</c:v>
                </c:pt>
                <c:pt idx="77">
                  <c:v>355.8468104226133</c:v>
                </c:pt>
                <c:pt idx="78">
                  <c:v>354.1123829784645</c:v>
                </c:pt>
                <c:pt idx="79">
                  <c:v>352.3901494825305</c:v>
                </c:pt>
                <c:pt idx="80">
                  <c:v>350.679436866428</c:v>
                </c:pt>
                <c:pt idx="81">
                  <c:v>348.9796044988041</c:v>
                </c:pt>
                <c:pt idx="82">
                  <c:v>347.2900422545604</c:v>
                </c:pt>
                <c:pt idx="83">
                  <c:v>345.6101687203685</c:v>
                </c:pt>
                <c:pt idx="84">
                  <c:v>343.9394295253796</c:v>
                </c:pt>
                <c:pt idx="85">
                  <c:v>342.2772957870606</c:v>
                </c:pt>
                <c:pt idx="86">
                  <c:v>340.6232626629931</c:v>
                </c:pt>
                <c:pt idx="87">
                  <c:v>338.9768480003054</c:v>
                </c:pt>
                <c:pt idx="88">
                  <c:v>337.3375910751427</c:v>
                </c:pt>
                <c:pt idx="89">
                  <c:v>335.705051415248</c:v>
                </c:pt>
                <c:pt idx="90">
                  <c:v>334.0788076993323</c:v>
                </c:pt>
                <c:pt idx="91">
                  <c:v>332.458456727452</c:v>
                </c:pt>
                <c:pt idx="92">
                  <c:v>330.8436124571081</c:v>
                </c:pt>
                <c:pt idx="93">
                  <c:v>329.2339051002224</c:v>
                </c:pt>
                <c:pt idx="94">
                  <c:v>327.6289802765538</c:v>
                </c:pt>
                <c:pt idx="95">
                  <c:v>326.0284982194786</c:v>
                </c:pt>
                <c:pt idx="96">
                  <c:v>324.4321330303993</c:v>
                </c:pt>
                <c:pt idx="97">
                  <c:v>322.839571978338</c:v>
                </c:pt>
                <c:pt idx="98">
                  <c:v>321.2505148415563</c:v>
                </c:pt>
              </c:numCache>
            </c:numRef>
          </c:val>
          <c:smooth val="0"/>
        </c:ser>
        <c:ser>
          <c:idx val="2"/>
          <c:order val="2"/>
          <c:tx>
            <c:v>Landfill</c:v>
          </c:tx>
          <c:marker>
            <c:symbol val="none"/>
          </c:marker>
          <c:cat>
            <c:numRef>
              <c:f>Inputs!$A$48:$A$146</c:f>
              <c:numCache>
                <c:formatCode>General</c:formatCode>
                <c:ptCount val="99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  <c:pt idx="17">
                  <c:v>9.5</c:v>
                </c:pt>
                <c:pt idx="18">
                  <c:v>10.0</c:v>
                </c:pt>
                <c:pt idx="19">
                  <c:v>10.5</c:v>
                </c:pt>
                <c:pt idx="20">
                  <c:v>11.0</c:v>
                </c:pt>
                <c:pt idx="21">
                  <c:v>11.5</c:v>
                </c:pt>
                <c:pt idx="22">
                  <c:v>12.0</c:v>
                </c:pt>
                <c:pt idx="23">
                  <c:v>12.5</c:v>
                </c:pt>
                <c:pt idx="24">
                  <c:v>13.0</c:v>
                </c:pt>
                <c:pt idx="25">
                  <c:v>13.5</c:v>
                </c:pt>
                <c:pt idx="26">
                  <c:v>14.0</c:v>
                </c:pt>
                <c:pt idx="27">
                  <c:v>14.5</c:v>
                </c:pt>
                <c:pt idx="28">
                  <c:v>15.0</c:v>
                </c:pt>
                <c:pt idx="29">
                  <c:v>15.5</c:v>
                </c:pt>
                <c:pt idx="30">
                  <c:v>16.0</c:v>
                </c:pt>
                <c:pt idx="31">
                  <c:v>16.5</c:v>
                </c:pt>
                <c:pt idx="32">
                  <c:v>17.0</c:v>
                </c:pt>
                <c:pt idx="33">
                  <c:v>17.5</c:v>
                </c:pt>
                <c:pt idx="34">
                  <c:v>18.0</c:v>
                </c:pt>
                <c:pt idx="35">
                  <c:v>18.5</c:v>
                </c:pt>
                <c:pt idx="36">
                  <c:v>19.0</c:v>
                </c:pt>
                <c:pt idx="37">
                  <c:v>19.5</c:v>
                </c:pt>
                <c:pt idx="38">
                  <c:v>20.0</c:v>
                </c:pt>
                <c:pt idx="39">
                  <c:v>20.5</c:v>
                </c:pt>
                <c:pt idx="40">
                  <c:v>21.0</c:v>
                </c:pt>
                <c:pt idx="41">
                  <c:v>21.5</c:v>
                </c:pt>
                <c:pt idx="42">
                  <c:v>22.0</c:v>
                </c:pt>
                <c:pt idx="43">
                  <c:v>22.5</c:v>
                </c:pt>
                <c:pt idx="44">
                  <c:v>23.0</c:v>
                </c:pt>
                <c:pt idx="45">
                  <c:v>23.5</c:v>
                </c:pt>
                <c:pt idx="46">
                  <c:v>24.0</c:v>
                </c:pt>
                <c:pt idx="47">
                  <c:v>24.5</c:v>
                </c:pt>
                <c:pt idx="48">
                  <c:v>25.0</c:v>
                </c:pt>
                <c:pt idx="49">
                  <c:v>25.5</c:v>
                </c:pt>
                <c:pt idx="50">
                  <c:v>26.0</c:v>
                </c:pt>
                <c:pt idx="51">
                  <c:v>26.5</c:v>
                </c:pt>
                <c:pt idx="52">
                  <c:v>27.0</c:v>
                </c:pt>
                <c:pt idx="53">
                  <c:v>27.5</c:v>
                </c:pt>
                <c:pt idx="54">
                  <c:v>28.0</c:v>
                </c:pt>
                <c:pt idx="55">
                  <c:v>28.5</c:v>
                </c:pt>
                <c:pt idx="56">
                  <c:v>29.0</c:v>
                </c:pt>
                <c:pt idx="57">
                  <c:v>29.5</c:v>
                </c:pt>
                <c:pt idx="58">
                  <c:v>30.0</c:v>
                </c:pt>
                <c:pt idx="59">
                  <c:v>30.5</c:v>
                </c:pt>
                <c:pt idx="60">
                  <c:v>31.0</c:v>
                </c:pt>
                <c:pt idx="61">
                  <c:v>31.5</c:v>
                </c:pt>
                <c:pt idx="62">
                  <c:v>32.0</c:v>
                </c:pt>
                <c:pt idx="63">
                  <c:v>32.5</c:v>
                </c:pt>
                <c:pt idx="64">
                  <c:v>33.0</c:v>
                </c:pt>
                <c:pt idx="65">
                  <c:v>33.5</c:v>
                </c:pt>
                <c:pt idx="66">
                  <c:v>34.0</c:v>
                </c:pt>
                <c:pt idx="67">
                  <c:v>34.5</c:v>
                </c:pt>
                <c:pt idx="68">
                  <c:v>35.0</c:v>
                </c:pt>
                <c:pt idx="69">
                  <c:v>35.5</c:v>
                </c:pt>
                <c:pt idx="70">
                  <c:v>36.0</c:v>
                </c:pt>
                <c:pt idx="71">
                  <c:v>36.5</c:v>
                </c:pt>
                <c:pt idx="72">
                  <c:v>37.0</c:v>
                </c:pt>
                <c:pt idx="73">
                  <c:v>37.5</c:v>
                </c:pt>
                <c:pt idx="74">
                  <c:v>38.0</c:v>
                </c:pt>
                <c:pt idx="75">
                  <c:v>38.5</c:v>
                </c:pt>
                <c:pt idx="76">
                  <c:v>39.0</c:v>
                </c:pt>
                <c:pt idx="77">
                  <c:v>39.5</c:v>
                </c:pt>
                <c:pt idx="78">
                  <c:v>40.0</c:v>
                </c:pt>
                <c:pt idx="79">
                  <c:v>40.5</c:v>
                </c:pt>
                <c:pt idx="80">
                  <c:v>41.0</c:v>
                </c:pt>
                <c:pt idx="81">
                  <c:v>41.5</c:v>
                </c:pt>
                <c:pt idx="82">
                  <c:v>42.0</c:v>
                </c:pt>
                <c:pt idx="83">
                  <c:v>42.5</c:v>
                </c:pt>
                <c:pt idx="84">
                  <c:v>43.0</c:v>
                </c:pt>
                <c:pt idx="85">
                  <c:v>43.5</c:v>
                </c:pt>
                <c:pt idx="86">
                  <c:v>44.0</c:v>
                </c:pt>
                <c:pt idx="87">
                  <c:v>44.5</c:v>
                </c:pt>
                <c:pt idx="88">
                  <c:v>45.0</c:v>
                </c:pt>
                <c:pt idx="89">
                  <c:v>45.5</c:v>
                </c:pt>
                <c:pt idx="90">
                  <c:v>46.0</c:v>
                </c:pt>
                <c:pt idx="91">
                  <c:v>46.5</c:v>
                </c:pt>
                <c:pt idx="92">
                  <c:v>47.0</c:v>
                </c:pt>
                <c:pt idx="93">
                  <c:v>47.5</c:v>
                </c:pt>
                <c:pt idx="94">
                  <c:v>48.0</c:v>
                </c:pt>
                <c:pt idx="95">
                  <c:v>48.5</c:v>
                </c:pt>
                <c:pt idx="96">
                  <c:v>49.0</c:v>
                </c:pt>
                <c:pt idx="97">
                  <c:v>49.5</c:v>
                </c:pt>
                <c:pt idx="98">
                  <c:v>50.0</c:v>
                </c:pt>
              </c:numCache>
            </c:numRef>
          </c:cat>
          <c:val>
            <c:numRef>
              <c:f>Inputs!$H$48:$H$146</c:f>
              <c:numCache>
                <c:formatCode>General</c:formatCode>
                <c:ptCount val="99"/>
                <c:pt idx="0">
                  <c:v>294.4786496814617</c:v>
                </c:pt>
                <c:pt idx="1">
                  <c:v>246.1696035692832</c:v>
                </c:pt>
                <c:pt idx="2">
                  <c:v>226.5360645748108</c:v>
                </c:pt>
                <c:pt idx="3">
                  <c:v>209.6880778295867</c:v>
                </c:pt>
                <c:pt idx="4">
                  <c:v>196.8933912560314</c:v>
                </c:pt>
                <c:pt idx="5">
                  <c:v>184.1668959997681</c:v>
                </c:pt>
                <c:pt idx="6">
                  <c:v>178.2410602991524</c:v>
                </c:pt>
                <c:pt idx="7">
                  <c:v>171.6145206698014</c:v>
                </c:pt>
                <c:pt idx="8">
                  <c:v>163.985234749736</c:v>
                </c:pt>
                <c:pt idx="9">
                  <c:v>158.8921243346145</c:v>
                </c:pt>
                <c:pt idx="10">
                  <c:v>154.5802749737443</c:v>
                </c:pt>
                <c:pt idx="11">
                  <c:v>150.931787053008</c:v>
                </c:pt>
                <c:pt idx="12">
                  <c:v>147.8045116923768</c:v>
                </c:pt>
                <c:pt idx="13">
                  <c:v>145.0942063798298</c:v>
                </c:pt>
                <c:pt idx="14">
                  <c:v>149.2988507865885</c:v>
                </c:pt>
                <c:pt idx="15">
                  <c:v>147.2416431496351</c:v>
                </c:pt>
                <c:pt idx="16">
                  <c:v>144.7142636561045</c:v>
                </c:pt>
                <c:pt idx="17">
                  <c:v>142.4529241092614</c:v>
                </c:pt>
                <c:pt idx="18">
                  <c:v>140.4177185171026</c:v>
                </c:pt>
                <c:pt idx="19">
                  <c:v>138.5763420289589</c:v>
                </c:pt>
                <c:pt idx="20">
                  <c:v>136.9419774764086</c:v>
                </c:pt>
                <c:pt idx="21">
                  <c:v>135.4118398585684</c:v>
                </c:pt>
                <c:pt idx="22">
                  <c:v>173.0616016439726</c:v>
                </c:pt>
                <c:pt idx="23">
                  <c:v>169.9756569690119</c:v>
                </c:pt>
                <c:pt idx="24">
                  <c:v>167.1270926536636</c:v>
                </c:pt>
                <c:pt idx="25">
                  <c:v>164.4895331024152</c:v>
                </c:pt>
                <c:pt idx="26">
                  <c:v>162.0403706619702</c:v>
                </c:pt>
                <c:pt idx="27">
                  <c:v>159.7601159760387</c:v>
                </c:pt>
                <c:pt idx="28">
                  <c:v>157.6318782691692</c:v>
                </c:pt>
                <c:pt idx="29">
                  <c:v>156.7880525015656</c:v>
                </c:pt>
                <c:pt idx="30">
                  <c:v>154.8857066349528</c:v>
                </c:pt>
                <c:pt idx="31">
                  <c:v>153.0986544572256</c:v>
                </c:pt>
                <c:pt idx="32">
                  <c:v>160.457347738346</c:v>
                </c:pt>
                <c:pt idx="33">
                  <c:v>158.5394140352751</c:v>
                </c:pt>
                <c:pt idx="34">
                  <c:v>156.728032204597</c:v>
                </c:pt>
                <c:pt idx="35">
                  <c:v>155.0145629053069</c:v>
                </c:pt>
                <c:pt idx="36">
                  <c:v>153.3912762007163</c:v>
                </c:pt>
                <c:pt idx="37">
                  <c:v>151.851234968156</c:v>
                </c:pt>
                <c:pt idx="38">
                  <c:v>150.3881957972237</c:v>
                </c:pt>
                <c:pt idx="39">
                  <c:v>148.9965243907272</c:v>
                </c:pt>
                <c:pt idx="40">
                  <c:v>147.6711230512066</c:v>
                </c:pt>
                <c:pt idx="41">
                  <c:v>146.4261487217584</c:v>
                </c:pt>
                <c:pt idx="42">
                  <c:v>145.2194105265108</c:v>
                </c:pt>
                <c:pt idx="43">
                  <c:v>144.0663051399408</c:v>
                </c:pt>
                <c:pt idx="44">
                  <c:v>142.9633347701783</c:v>
                </c:pt>
                <c:pt idx="45">
                  <c:v>141.9072993097674</c:v>
                </c:pt>
                <c:pt idx="46">
                  <c:v>189.5210967415173</c:v>
                </c:pt>
                <c:pt idx="47">
                  <c:v>187.5059537501243</c:v>
                </c:pt>
                <c:pt idx="48">
                  <c:v>185.5714164783871</c:v>
                </c:pt>
                <c:pt idx="49">
                  <c:v>183.7127434133845</c:v>
                </c:pt>
                <c:pt idx="50">
                  <c:v>181.9255577739592</c:v>
                </c:pt>
                <c:pt idx="51">
                  <c:v>180.2058131020592</c:v>
                </c:pt>
                <c:pt idx="52">
                  <c:v>178.5497626772666</c:v>
                </c:pt>
                <c:pt idx="53">
                  <c:v>176.9539322679211</c:v>
                </c:pt>
                <c:pt idx="54">
                  <c:v>175.4150958017665</c:v>
                </c:pt>
                <c:pt idx="55">
                  <c:v>173.9302535975822</c:v>
                </c:pt>
                <c:pt idx="56">
                  <c:v>172.4966128487146</c:v>
                </c:pt>
                <c:pt idx="57">
                  <c:v>171.111570091334</c:v>
                </c:pt>
                <c:pt idx="58">
                  <c:v>169.7726954258661</c:v>
                </c:pt>
                <c:pt idx="59">
                  <c:v>168.4777182904136</c:v>
                </c:pt>
                <c:pt idx="60">
                  <c:v>167.7858452383873</c:v>
                </c:pt>
                <c:pt idx="61">
                  <c:v>166.5635157927504</c:v>
                </c:pt>
                <c:pt idx="62">
                  <c:v>165.3916691704641</c:v>
                </c:pt>
                <c:pt idx="63">
                  <c:v>164.2437833395841</c:v>
                </c:pt>
                <c:pt idx="64">
                  <c:v>163.1306819278216</c:v>
                </c:pt>
                <c:pt idx="65">
                  <c:v>162.050807423873</c:v>
                </c:pt>
                <c:pt idx="66">
                  <c:v>161.0026939347463</c:v>
                </c:pt>
                <c:pt idx="67">
                  <c:v>159.9849605467538</c:v>
                </c:pt>
                <c:pt idx="68">
                  <c:v>158.9963052555611</c:v>
                </c:pt>
                <c:pt idx="69">
                  <c:v>158.0354994091907</c:v>
                </c:pt>
                <c:pt idx="70">
                  <c:v>203.6445538804261</c:v>
                </c:pt>
                <c:pt idx="71">
                  <c:v>202.0763267403536</c:v>
                </c:pt>
                <c:pt idx="72">
                  <c:v>200.5609649733602</c:v>
                </c:pt>
                <c:pt idx="73">
                  <c:v>199.0860128534867</c:v>
                </c:pt>
                <c:pt idx="74">
                  <c:v>197.6396702192978</c:v>
                </c:pt>
                <c:pt idx="75">
                  <c:v>196.2409674370061</c:v>
                </c:pt>
                <c:pt idx="76">
                  <c:v>194.868185452623</c:v>
                </c:pt>
                <c:pt idx="77">
                  <c:v>193.5399749530056</c:v>
                </c:pt>
                <c:pt idx="78">
                  <c:v>192.2352749242822</c:v>
                </c:pt>
                <c:pt idx="79">
                  <c:v>190.972364813894</c:v>
                </c:pt>
                <c:pt idx="80">
                  <c:v>189.7307990558603</c:v>
                </c:pt>
                <c:pt idx="81">
                  <c:v>188.5284949224505</c:v>
                </c:pt>
                <c:pt idx="82">
                  <c:v>187.3455839430776</c:v>
                </c:pt>
                <c:pt idx="83">
                  <c:v>186.1996306729572</c:v>
                </c:pt>
                <c:pt idx="84">
                  <c:v>185.0803274788861</c:v>
                </c:pt>
                <c:pt idx="85">
                  <c:v>183.9778406418314</c:v>
                </c:pt>
                <c:pt idx="86">
                  <c:v>182.9092237707065</c:v>
                </c:pt>
                <c:pt idx="87">
                  <c:v>181.8559063424416</c:v>
                </c:pt>
                <c:pt idx="88">
                  <c:v>180.8346135606683</c:v>
                </c:pt>
                <c:pt idx="89">
                  <c:v>179.8272438803876</c:v>
                </c:pt>
                <c:pt idx="90">
                  <c:v>180.7416439522363</c:v>
                </c:pt>
                <c:pt idx="91">
                  <c:v>179.7569378092566</c:v>
                </c:pt>
                <c:pt idx="92">
                  <c:v>178.8014337472735</c:v>
                </c:pt>
                <c:pt idx="93">
                  <c:v>177.8660455602795</c:v>
                </c:pt>
                <c:pt idx="94">
                  <c:v>222.291386770372</c:v>
                </c:pt>
                <c:pt idx="95">
                  <c:v>220.9107457116218</c:v>
                </c:pt>
                <c:pt idx="96">
                  <c:v>219.5661298606262</c:v>
                </c:pt>
                <c:pt idx="97">
                  <c:v>218.2486779662163</c:v>
                </c:pt>
                <c:pt idx="98">
                  <c:v>216.9498832272701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1773096"/>
        <c:axId val="-2131802712"/>
      </c:lineChart>
      <c:catAx>
        <c:axId val="-2131773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mgd</a:t>
                </a:r>
                <a:r>
                  <a:rPr lang="en-US" baseline="0"/>
                  <a:t> Inflow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1802712"/>
        <c:crosses val="autoZero"/>
        <c:auto val="1"/>
        <c:lblAlgn val="ctr"/>
        <c:lblOffset val="100"/>
        <c:noMultiLvlLbl val="0"/>
      </c:catAx>
      <c:valAx>
        <c:axId val="-2131802712"/>
        <c:scaling>
          <c:orientation val="minMax"/>
          <c:max val="400.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$/Dry Ton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1773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Anaerobic Digestion</c:v>
          </c:tx>
          <c:marker>
            <c:symbol val="none"/>
          </c:marker>
          <c:cat>
            <c:numRef>
              <c:f>Inputs!$A$48:$A$146</c:f>
              <c:numCache>
                <c:formatCode>General</c:formatCode>
                <c:ptCount val="99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  <c:pt idx="17">
                  <c:v>9.5</c:v>
                </c:pt>
                <c:pt idx="18">
                  <c:v>10.0</c:v>
                </c:pt>
                <c:pt idx="19">
                  <c:v>10.5</c:v>
                </c:pt>
                <c:pt idx="20">
                  <c:v>11.0</c:v>
                </c:pt>
                <c:pt idx="21">
                  <c:v>11.5</c:v>
                </c:pt>
                <c:pt idx="22">
                  <c:v>12.0</c:v>
                </c:pt>
                <c:pt idx="23">
                  <c:v>12.5</c:v>
                </c:pt>
                <c:pt idx="24">
                  <c:v>13.0</c:v>
                </c:pt>
                <c:pt idx="25">
                  <c:v>13.5</c:v>
                </c:pt>
                <c:pt idx="26">
                  <c:v>14.0</c:v>
                </c:pt>
                <c:pt idx="27">
                  <c:v>14.5</c:v>
                </c:pt>
                <c:pt idx="28">
                  <c:v>15.0</c:v>
                </c:pt>
                <c:pt idx="29">
                  <c:v>15.5</c:v>
                </c:pt>
                <c:pt idx="30">
                  <c:v>16.0</c:v>
                </c:pt>
                <c:pt idx="31">
                  <c:v>16.5</c:v>
                </c:pt>
                <c:pt idx="32">
                  <c:v>17.0</c:v>
                </c:pt>
                <c:pt idx="33">
                  <c:v>17.5</c:v>
                </c:pt>
                <c:pt idx="34">
                  <c:v>18.0</c:v>
                </c:pt>
                <c:pt idx="35">
                  <c:v>18.5</c:v>
                </c:pt>
                <c:pt idx="36">
                  <c:v>19.0</c:v>
                </c:pt>
                <c:pt idx="37">
                  <c:v>19.5</c:v>
                </c:pt>
                <c:pt idx="38">
                  <c:v>20.0</c:v>
                </c:pt>
                <c:pt idx="39">
                  <c:v>20.5</c:v>
                </c:pt>
                <c:pt idx="40">
                  <c:v>21.0</c:v>
                </c:pt>
                <c:pt idx="41">
                  <c:v>21.5</c:v>
                </c:pt>
                <c:pt idx="42">
                  <c:v>22.0</c:v>
                </c:pt>
                <c:pt idx="43">
                  <c:v>22.5</c:v>
                </c:pt>
                <c:pt idx="44">
                  <c:v>23.0</c:v>
                </c:pt>
                <c:pt idx="45">
                  <c:v>23.5</c:v>
                </c:pt>
                <c:pt idx="46">
                  <c:v>24.0</c:v>
                </c:pt>
                <c:pt idx="47">
                  <c:v>24.5</c:v>
                </c:pt>
                <c:pt idx="48">
                  <c:v>25.0</c:v>
                </c:pt>
                <c:pt idx="49">
                  <c:v>25.5</c:v>
                </c:pt>
                <c:pt idx="50">
                  <c:v>26.0</c:v>
                </c:pt>
                <c:pt idx="51">
                  <c:v>26.5</c:v>
                </c:pt>
                <c:pt idx="52">
                  <c:v>27.0</c:v>
                </c:pt>
                <c:pt idx="53">
                  <c:v>27.5</c:v>
                </c:pt>
                <c:pt idx="54">
                  <c:v>28.0</c:v>
                </c:pt>
                <c:pt idx="55">
                  <c:v>28.5</c:v>
                </c:pt>
                <c:pt idx="56">
                  <c:v>29.0</c:v>
                </c:pt>
                <c:pt idx="57">
                  <c:v>29.5</c:v>
                </c:pt>
                <c:pt idx="58">
                  <c:v>30.0</c:v>
                </c:pt>
                <c:pt idx="59">
                  <c:v>30.5</c:v>
                </c:pt>
                <c:pt idx="60">
                  <c:v>31.0</c:v>
                </c:pt>
                <c:pt idx="61">
                  <c:v>31.5</c:v>
                </c:pt>
                <c:pt idx="62">
                  <c:v>32.0</c:v>
                </c:pt>
                <c:pt idx="63">
                  <c:v>32.5</c:v>
                </c:pt>
                <c:pt idx="64">
                  <c:v>33.0</c:v>
                </c:pt>
                <c:pt idx="65">
                  <c:v>33.5</c:v>
                </c:pt>
                <c:pt idx="66">
                  <c:v>34.0</c:v>
                </c:pt>
                <c:pt idx="67">
                  <c:v>34.5</c:v>
                </c:pt>
                <c:pt idx="68">
                  <c:v>35.0</c:v>
                </c:pt>
                <c:pt idx="69">
                  <c:v>35.5</c:v>
                </c:pt>
                <c:pt idx="70">
                  <c:v>36.0</c:v>
                </c:pt>
                <c:pt idx="71">
                  <c:v>36.5</c:v>
                </c:pt>
                <c:pt idx="72">
                  <c:v>37.0</c:v>
                </c:pt>
                <c:pt idx="73">
                  <c:v>37.5</c:v>
                </c:pt>
                <c:pt idx="74">
                  <c:v>38.0</c:v>
                </c:pt>
                <c:pt idx="75">
                  <c:v>38.5</c:v>
                </c:pt>
                <c:pt idx="76">
                  <c:v>39.0</c:v>
                </c:pt>
                <c:pt idx="77">
                  <c:v>39.5</c:v>
                </c:pt>
                <c:pt idx="78">
                  <c:v>40.0</c:v>
                </c:pt>
                <c:pt idx="79">
                  <c:v>40.5</c:v>
                </c:pt>
                <c:pt idx="80">
                  <c:v>41.0</c:v>
                </c:pt>
                <c:pt idx="81">
                  <c:v>41.5</c:v>
                </c:pt>
                <c:pt idx="82">
                  <c:v>42.0</c:v>
                </c:pt>
                <c:pt idx="83">
                  <c:v>42.5</c:v>
                </c:pt>
                <c:pt idx="84">
                  <c:v>43.0</c:v>
                </c:pt>
                <c:pt idx="85">
                  <c:v>43.5</c:v>
                </c:pt>
                <c:pt idx="86">
                  <c:v>44.0</c:v>
                </c:pt>
                <c:pt idx="87">
                  <c:v>44.5</c:v>
                </c:pt>
                <c:pt idx="88">
                  <c:v>45.0</c:v>
                </c:pt>
                <c:pt idx="89">
                  <c:v>45.5</c:v>
                </c:pt>
                <c:pt idx="90">
                  <c:v>46.0</c:v>
                </c:pt>
                <c:pt idx="91">
                  <c:v>46.5</c:v>
                </c:pt>
                <c:pt idx="92">
                  <c:v>47.0</c:v>
                </c:pt>
                <c:pt idx="93">
                  <c:v>47.5</c:v>
                </c:pt>
                <c:pt idx="94">
                  <c:v>48.0</c:v>
                </c:pt>
                <c:pt idx="95">
                  <c:v>48.5</c:v>
                </c:pt>
                <c:pt idx="96">
                  <c:v>49.0</c:v>
                </c:pt>
                <c:pt idx="97">
                  <c:v>49.5</c:v>
                </c:pt>
                <c:pt idx="98">
                  <c:v>50.0</c:v>
                </c:pt>
              </c:numCache>
            </c:numRef>
          </c:cat>
          <c:val>
            <c:numRef>
              <c:f>Inputs!$J$48:$J$146</c:f>
              <c:numCache>
                <c:formatCode>General</c:formatCode>
                <c:ptCount val="99"/>
                <c:pt idx="0">
                  <c:v>10.04482709200293</c:v>
                </c:pt>
                <c:pt idx="1">
                  <c:v>8.569032618149737</c:v>
                </c:pt>
                <c:pt idx="2">
                  <c:v>7.73599575195484</c:v>
                </c:pt>
                <c:pt idx="3">
                  <c:v>7.17995964041397</c:v>
                </c:pt>
                <c:pt idx="4">
                  <c:v>6.771015274476399</c:v>
                </c:pt>
                <c:pt idx="5">
                  <c:v>6.450576620949889</c:v>
                </c:pt>
                <c:pt idx="6">
                  <c:v>6.188057414080284</c:v>
                </c:pt>
                <c:pt idx="7">
                  <c:v>5.965810991361709</c:v>
                </c:pt>
                <c:pt idx="8">
                  <c:v>5.772886186887195</c:v>
                </c:pt>
                <c:pt idx="9">
                  <c:v>5.602097918090788</c:v>
                </c:pt>
                <c:pt idx="10">
                  <c:v>5.448520240188689</c:v>
                </c:pt>
                <c:pt idx="11">
                  <c:v>5.308653607285249</c:v>
                </c:pt>
                <c:pt idx="12">
                  <c:v>5.179937522593962</c:v>
                </c:pt>
                <c:pt idx="13">
                  <c:v>5.060451571594525</c:v>
                </c:pt>
                <c:pt idx="14">
                  <c:v>4.948724653694404</c:v>
                </c:pt>
                <c:pt idx="15">
                  <c:v>4.843609115226646</c:v>
                </c:pt>
                <c:pt idx="16">
                  <c:v>4.744195280249317</c:v>
                </c:pt>
                <c:pt idx="17">
                  <c:v>4.649751943114533</c:v>
                </c:pt>
                <c:pt idx="18">
                  <c:v>4.559684016884024</c:v>
                </c:pt>
                <c:pt idx="19">
                  <c:v>4.473501800047756</c:v>
                </c:pt>
                <c:pt idx="20">
                  <c:v>4.390798284523826</c:v>
                </c:pt>
                <c:pt idx="21">
                  <c:v>4.311232138490943</c:v>
                </c:pt>
                <c:pt idx="22">
                  <c:v>4.234514764649474</c:v>
                </c:pt>
                <c:pt idx="23">
                  <c:v>4.160400331907596</c:v>
                </c:pt>
                <c:pt idx="24">
                  <c:v>4.088678007844608</c:v>
                </c:pt>
                <c:pt idx="25">
                  <c:v>4.019165841559393</c:v>
                </c:pt>
                <c:pt idx="26">
                  <c:v>3.951705899107244</c:v>
                </c:pt>
                <c:pt idx="27">
                  <c:v>3.886160360165185</c:v>
                </c:pt>
                <c:pt idx="28">
                  <c:v>3.82240835989264</c:v>
                </c:pt>
                <c:pt idx="29">
                  <c:v>3.760343413982403</c:v>
                </c:pt>
                <c:pt idx="30">
                  <c:v>3.699871304131368</c:v>
                </c:pt>
                <c:pt idx="31">
                  <c:v>3.640908329981232</c:v>
                </c:pt>
                <c:pt idx="32">
                  <c:v>3.583379854978033</c:v>
                </c:pt>
                <c:pt idx="33">
                  <c:v>3.52721908964633</c:v>
                </c:pt>
                <c:pt idx="34">
                  <c:v>3.472366067920365</c:v>
                </c:pt>
                <c:pt idx="35">
                  <c:v>3.418766781449288</c:v>
                </c:pt>
                <c:pt idx="36">
                  <c:v>3.366372443933665</c:v>
                </c:pt>
                <c:pt idx="37">
                  <c:v>3.315138863090201</c:v>
                </c:pt>
                <c:pt idx="38">
                  <c:v>3.265025902170513</c:v>
                </c:pt>
                <c:pt idx="39">
                  <c:v>3.215997016366344</c:v>
                </c:pt>
                <c:pt idx="40">
                  <c:v>3.168018852131414</c:v>
                </c:pt>
                <c:pt idx="41">
                  <c:v>3.121060899600017</c:v>
                </c:pt>
                <c:pt idx="42">
                  <c:v>3.075095190005666</c:v>
                </c:pt>
                <c:pt idx="43">
                  <c:v>3.030096031392067</c:v>
                </c:pt>
                <c:pt idx="44">
                  <c:v>2.986039777034037</c:v>
                </c:pt>
                <c:pt idx="45">
                  <c:v>2.94290462190241</c:v>
                </c:pt>
                <c:pt idx="46">
                  <c:v>2.900670423256904</c:v>
                </c:pt>
                <c:pt idx="47">
                  <c:v>2.85931854206722</c:v>
                </c:pt>
                <c:pt idx="48">
                  <c:v>2.818831702471555</c:v>
                </c:pt>
                <c:pt idx="49">
                  <c:v>2.7791938669036</c:v>
                </c:pt>
                <c:pt idx="50">
                  <c:v>2.740390124870131</c:v>
                </c:pt>
                <c:pt idx="51">
                  <c:v>2.702406593654858</c:v>
                </c:pt>
                <c:pt idx="52">
                  <c:v>2.665230329470063</c:v>
                </c:pt>
                <c:pt idx="53">
                  <c:v>2.628849247784766</c:v>
                </c:pt>
                <c:pt idx="54">
                  <c:v>2.593252051732918</c:v>
                </c:pt>
                <c:pt idx="55">
                  <c:v>2.5584281676533</c:v>
                </c:pt>
                <c:pt idx="56">
                  <c:v>2.524367686938676</c:v>
                </c:pt>
                <c:pt idx="57">
                  <c:v>2.491061313479051</c:v>
                </c:pt>
                <c:pt idx="58">
                  <c:v>2.458500316075665</c:v>
                </c:pt>
                <c:pt idx="59">
                  <c:v>2.426676485280923</c:v>
                </c:pt>
                <c:pt idx="60">
                  <c:v>2.395582094187163</c:v>
                </c:pt>
                <c:pt idx="61">
                  <c:v>2.365209862745324</c:v>
                </c:pt>
                <c:pt idx="62">
                  <c:v>2.335552925245042</c:v>
                </c:pt>
                <c:pt idx="63">
                  <c:v>2.306604800631181</c:v>
                </c:pt>
                <c:pt idx="64">
                  <c:v>2.278359365369769</c:v>
                </c:pt>
                <c:pt idx="65">
                  <c:v>2.250810828609195</c:v>
                </c:pt>
                <c:pt idx="66">
                  <c:v>2.223953709411261</c:v>
                </c:pt>
                <c:pt idx="67">
                  <c:v>2.197782815851828</c:v>
                </c:pt>
                <c:pt idx="68">
                  <c:v>2.172293225812715</c:v>
                </c:pt>
                <c:pt idx="69">
                  <c:v>2.147480269305901</c:v>
                </c:pt>
                <c:pt idx="70">
                  <c:v>2.123339512187961</c:v>
                </c:pt>
                <c:pt idx="71">
                  <c:v>2.099866741137665</c:v>
                </c:pt>
                <c:pt idx="72">
                  <c:v>2.077057949782856</c:v>
                </c:pt>
                <c:pt idx="73">
                  <c:v>2.054909325874368</c:v>
                </c:pt>
                <c:pt idx="74">
                  <c:v>2.033417239415096</c:v>
                </c:pt>
                <c:pt idx="75">
                  <c:v>2.012578231661478</c:v>
                </c:pt>
                <c:pt idx="76">
                  <c:v>1.992389004922808</c:v>
                </c:pt>
                <c:pt idx="77">
                  <c:v>1.972846413091033</c:v>
                </c:pt>
                <c:pt idx="78">
                  <c:v>1.953947452840166</c:v>
                </c:pt>
                <c:pt idx="79">
                  <c:v>1.935689255440194</c:v>
                </c:pt>
                <c:pt idx="80">
                  <c:v>1.918069079135544</c:v>
                </c:pt>
                <c:pt idx="81">
                  <c:v>1.901084302042759</c:v>
                </c:pt>
                <c:pt idx="82">
                  <c:v>1.884732415526207</c:v>
                </c:pt>
                <c:pt idx="83">
                  <c:v>1.869011018014342</c:v>
                </c:pt>
                <c:pt idx="84">
                  <c:v>1.853917809222384</c:v>
                </c:pt>
                <c:pt idx="85">
                  <c:v>1.839450584750305</c:v>
                </c:pt>
                <c:pt idx="86">
                  <c:v>1.825607231027707</c:v>
                </c:pt>
                <c:pt idx="87">
                  <c:v>1.812385720579636</c:v>
                </c:pt>
                <c:pt idx="88">
                  <c:v>1.799784107589579</c:v>
                </c:pt>
                <c:pt idx="89">
                  <c:v>1.787800523737893</c:v>
                </c:pt>
                <c:pt idx="90">
                  <c:v>1.77643317429575</c:v>
                </c:pt>
                <c:pt idx="91">
                  <c:v>1.765680334456281</c:v>
                </c:pt>
                <c:pt idx="92">
                  <c:v>1.75554034588614</c:v>
                </c:pt>
                <c:pt idx="93">
                  <c:v>1.74601161348204</c:v>
                </c:pt>
                <c:pt idx="94">
                  <c:v>1.737092602318032</c:v>
                </c:pt>
                <c:pt idx="95">
                  <c:v>1.728781834770466</c:v>
                </c:pt>
                <c:pt idx="96">
                  <c:v>1.72107788780856</c:v>
                </c:pt>
                <c:pt idx="97">
                  <c:v>1.713979390439418</c:v>
                </c:pt>
                <c:pt idx="98">
                  <c:v>1.70748502129729</c:v>
                </c:pt>
              </c:numCache>
            </c:numRef>
          </c:val>
          <c:smooth val="0"/>
        </c:ser>
        <c:ser>
          <c:idx val="2"/>
          <c:order val="1"/>
          <c:tx>
            <c:v>Centrifuge Dewatering</c:v>
          </c:tx>
          <c:marker>
            <c:symbol val="none"/>
          </c:marker>
          <c:cat>
            <c:numRef>
              <c:f>Inputs!$A$48:$A$146</c:f>
              <c:numCache>
                <c:formatCode>General</c:formatCode>
                <c:ptCount val="99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  <c:pt idx="17">
                  <c:v>9.5</c:v>
                </c:pt>
                <c:pt idx="18">
                  <c:v>10.0</c:v>
                </c:pt>
                <c:pt idx="19">
                  <c:v>10.5</c:v>
                </c:pt>
                <c:pt idx="20">
                  <c:v>11.0</c:v>
                </c:pt>
                <c:pt idx="21">
                  <c:v>11.5</c:v>
                </c:pt>
                <c:pt idx="22">
                  <c:v>12.0</c:v>
                </c:pt>
                <c:pt idx="23">
                  <c:v>12.5</c:v>
                </c:pt>
                <c:pt idx="24">
                  <c:v>13.0</c:v>
                </c:pt>
                <c:pt idx="25">
                  <c:v>13.5</c:v>
                </c:pt>
                <c:pt idx="26">
                  <c:v>14.0</c:v>
                </c:pt>
                <c:pt idx="27">
                  <c:v>14.5</c:v>
                </c:pt>
                <c:pt idx="28">
                  <c:v>15.0</c:v>
                </c:pt>
                <c:pt idx="29">
                  <c:v>15.5</c:v>
                </c:pt>
                <c:pt idx="30">
                  <c:v>16.0</c:v>
                </c:pt>
                <c:pt idx="31">
                  <c:v>16.5</c:v>
                </c:pt>
                <c:pt idx="32">
                  <c:v>17.0</c:v>
                </c:pt>
                <c:pt idx="33">
                  <c:v>17.5</c:v>
                </c:pt>
                <c:pt idx="34">
                  <c:v>18.0</c:v>
                </c:pt>
                <c:pt idx="35">
                  <c:v>18.5</c:v>
                </c:pt>
                <c:pt idx="36">
                  <c:v>19.0</c:v>
                </c:pt>
                <c:pt idx="37">
                  <c:v>19.5</c:v>
                </c:pt>
                <c:pt idx="38">
                  <c:v>20.0</c:v>
                </c:pt>
                <c:pt idx="39">
                  <c:v>20.5</c:v>
                </c:pt>
                <c:pt idx="40">
                  <c:v>21.0</c:v>
                </c:pt>
                <c:pt idx="41">
                  <c:v>21.5</c:v>
                </c:pt>
                <c:pt idx="42">
                  <c:v>22.0</c:v>
                </c:pt>
                <c:pt idx="43">
                  <c:v>22.5</c:v>
                </c:pt>
                <c:pt idx="44">
                  <c:v>23.0</c:v>
                </c:pt>
                <c:pt idx="45">
                  <c:v>23.5</c:v>
                </c:pt>
                <c:pt idx="46">
                  <c:v>24.0</c:v>
                </c:pt>
                <c:pt idx="47">
                  <c:v>24.5</c:v>
                </c:pt>
                <c:pt idx="48">
                  <c:v>25.0</c:v>
                </c:pt>
                <c:pt idx="49">
                  <c:v>25.5</c:v>
                </c:pt>
                <c:pt idx="50">
                  <c:v>26.0</c:v>
                </c:pt>
                <c:pt idx="51">
                  <c:v>26.5</c:v>
                </c:pt>
                <c:pt idx="52">
                  <c:v>27.0</c:v>
                </c:pt>
                <c:pt idx="53">
                  <c:v>27.5</c:v>
                </c:pt>
                <c:pt idx="54">
                  <c:v>28.0</c:v>
                </c:pt>
                <c:pt idx="55">
                  <c:v>28.5</c:v>
                </c:pt>
                <c:pt idx="56">
                  <c:v>29.0</c:v>
                </c:pt>
                <c:pt idx="57">
                  <c:v>29.5</c:v>
                </c:pt>
                <c:pt idx="58">
                  <c:v>30.0</c:v>
                </c:pt>
                <c:pt idx="59">
                  <c:v>30.5</c:v>
                </c:pt>
                <c:pt idx="60">
                  <c:v>31.0</c:v>
                </c:pt>
                <c:pt idx="61">
                  <c:v>31.5</c:v>
                </c:pt>
                <c:pt idx="62">
                  <c:v>32.0</c:v>
                </c:pt>
                <c:pt idx="63">
                  <c:v>32.5</c:v>
                </c:pt>
                <c:pt idx="64">
                  <c:v>33.0</c:v>
                </c:pt>
                <c:pt idx="65">
                  <c:v>33.5</c:v>
                </c:pt>
                <c:pt idx="66">
                  <c:v>34.0</c:v>
                </c:pt>
                <c:pt idx="67">
                  <c:v>34.5</c:v>
                </c:pt>
                <c:pt idx="68">
                  <c:v>35.0</c:v>
                </c:pt>
                <c:pt idx="69">
                  <c:v>35.5</c:v>
                </c:pt>
                <c:pt idx="70">
                  <c:v>36.0</c:v>
                </c:pt>
                <c:pt idx="71">
                  <c:v>36.5</c:v>
                </c:pt>
                <c:pt idx="72">
                  <c:v>37.0</c:v>
                </c:pt>
                <c:pt idx="73">
                  <c:v>37.5</c:v>
                </c:pt>
                <c:pt idx="74">
                  <c:v>38.0</c:v>
                </c:pt>
                <c:pt idx="75">
                  <c:v>38.5</c:v>
                </c:pt>
                <c:pt idx="76">
                  <c:v>39.0</c:v>
                </c:pt>
                <c:pt idx="77">
                  <c:v>39.5</c:v>
                </c:pt>
                <c:pt idx="78">
                  <c:v>40.0</c:v>
                </c:pt>
                <c:pt idx="79">
                  <c:v>40.5</c:v>
                </c:pt>
                <c:pt idx="80">
                  <c:v>41.0</c:v>
                </c:pt>
                <c:pt idx="81">
                  <c:v>41.5</c:v>
                </c:pt>
                <c:pt idx="82">
                  <c:v>42.0</c:v>
                </c:pt>
                <c:pt idx="83">
                  <c:v>42.5</c:v>
                </c:pt>
                <c:pt idx="84">
                  <c:v>43.0</c:v>
                </c:pt>
                <c:pt idx="85">
                  <c:v>43.5</c:v>
                </c:pt>
                <c:pt idx="86">
                  <c:v>44.0</c:v>
                </c:pt>
                <c:pt idx="87">
                  <c:v>44.5</c:v>
                </c:pt>
                <c:pt idx="88">
                  <c:v>45.0</c:v>
                </c:pt>
                <c:pt idx="89">
                  <c:v>45.5</c:v>
                </c:pt>
                <c:pt idx="90">
                  <c:v>46.0</c:v>
                </c:pt>
                <c:pt idx="91">
                  <c:v>46.5</c:v>
                </c:pt>
                <c:pt idx="92">
                  <c:v>47.0</c:v>
                </c:pt>
                <c:pt idx="93">
                  <c:v>47.5</c:v>
                </c:pt>
                <c:pt idx="94">
                  <c:v>48.0</c:v>
                </c:pt>
                <c:pt idx="95">
                  <c:v>48.5</c:v>
                </c:pt>
                <c:pt idx="96">
                  <c:v>49.0</c:v>
                </c:pt>
                <c:pt idx="97">
                  <c:v>49.5</c:v>
                </c:pt>
                <c:pt idx="98">
                  <c:v>50.0</c:v>
                </c:pt>
              </c:numCache>
            </c:numRef>
          </c:cat>
          <c:val>
            <c:numRef>
              <c:f>Inputs!$L$48:$L$146</c:f>
              <c:numCache>
                <c:formatCode>General</c:formatCode>
                <c:ptCount val="99"/>
                <c:pt idx="0">
                  <c:v>64.13971382468335</c:v>
                </c:pt>
                <c:pt idx="1">
                  <c:v>43.37808044201082</c:v>
                </c:pt>
                <c:pt idx="2">
                  <c:v>32.99489766243362</c:v>
                </c:pt>
                <c:pt idx="3">
                  <c:v>26.76309515900468</c:v>
                </c:pt>
                <c:pt idx="4">
                  <c:v>22.60698282274166</c:v>
                </c:pt>
                <c:pt idx="5">
                  <c:v>19.63697917836637</c:v>
                </c:pt>
                <c:pt idx="6">
                  <c:v>17.40829348823976</c:v>
                </c:pt>
                <c:pt idx="7">
                  <c:v>15.67381978700678</c:v>
                </c:pt>
                <c:pt idx="8">
                  <c:v>14.28529449545439</c:v>
                </c:pt>
                <c:pt idx="9">
                  <c:v>13.14836806317433</c:v>
                </c:pt>
                <c:pt idx="10">
                  <c:v>12.20014078989438</c:v>
                </c:pt>
                <c:pt idx="11">
                  <c:v>11.39706672927226</c:v>
                </c:pt>
                <c:pt idx="12">
                  <c:v>10.70804163392063</c:v>
                </c:pt>
                <c:pt idx="13">
                  <c:v>10.11025572242209</c:v>
                </c:pt>
                <c:pt idx="14">
                  <c:v>9.586601658713604</c:v>
                </c:pt>
                <c:pt idx="15">
                  <c:v>9.123997362276381</c:v>
                </c:pt>
                <c:pt idx="16">
                  <c:v>8.712267881595793</c:v>
                </c:pt>
                <c:pt idx="17">
                  <c:v>8.343380360212938</c:v>
                </c:pt>
                <c:pt idx="18">
                  <c:v>8.010908512960677</c:v>
                </c:pt>
                <c:pt idx="19">
                  <c:v>7.70965010898944</c:v>
                </c:pt>
                <c:pt idx="20">
                  <c:v>7.435348777604112</c:v>
                </c:pt>
                <c:pt idx="21">
                  <c:v>7.184488386491342</c:v>
                </c:pt>
                <c:pt idx="22">
                  <c:v>6.954138825390002</c:v>
                </c:pt>
                <c:pt idx="23">
                  <c:v>6.741838801680743</c:v>
                </c:pt>
                <c:pt idx="24">
                  <c:v>6.5455056831472</c:v>
                </c:pt>
                <c:pt idx="25">
                  <c:v>6.363365375679125</c:v>
                </c:pt>
                <c:pt idx="26">
                  <c:v>6.193897227182036</c:v>
                </c:pt>
                <c:pt idx="27">
                  <c:v>6.035790330677913</c:v>
                </c:pt>
                <c:pt idx="28">
                  <c:v>5.887908566785814</c:v>
                </c:pt>
                <c:pt idx="29">
                  <c:v>5.749262412173953</c:v>
                </c:pt>
                <c:pt idx="30">
                  <c:v>5.618986033927013</c:v>
                </c:pt>
                <c:pt idx="31">
                  <c:v>5.496318548573963</c:v>
                </c:pt>
                <c:pt idx="32">
                  <c:v>5.380588588346239</c:v>
                </c:pt>
                <c:pt idx="33">
                  <c:v>5.27120151322026</c:v>
                </c:pt>
                <c:pt idx="34">
                  <c:v>5.167628754286175</c:v>
                </c:pt>
                <c:pt idx="35">
                  <c:v>5.069398885218985</c:v>
                </c:pt>
                <c:pt idx="36">
                  <c:v>4.976090103517373</c:v>
                </c:pt>
                <c:pt idx="37">
                  <c:v>4.887323868475025</c:v>
                </c:pt>
                <c:pt idx="38">
                  <c:v>4.802759493456263</c:v>
                </c:pt>
                <c:pt idx="39">
                  <c:v>4.722089529545965</c:v>
                </c:pt>
                <c:pt idx="40">
                  <c:v>4.645035808678059</c:v>
                </c:pt>
                <c:pt idx="41">
                  <c:v>4.571346038885654</c:v>
                </c:pt>
                <c:pt idx="42">
                  <c:v>4.500790863835205</c:v>
                </c:pt>
                <c:pt idx="43">
                  <c:v>4.433161314422817</c:v>
                </c:pt>
                <c:pt idx="44">
                  <c:v>4.368266592771023</c:v>
                </c:pt>
                <c:pt idx="45">
                  <c:v>4.305932139119585</c:v>
                </c:pt>
                <c:pt idx="46">
                  <c:v>4.245997940354953</c:v>
                </c:pt>
                <c:pt idx="47">
                  <c:v>4.188317045658557</c:v>
                </c:pt>
                <c:pt idx="48">
                  <c:v>4.132754260277316</c:v>
                </c:pt>
                <c:pt idx="49">
                  <c:v>4.079184992968196</c:v>
                </c:pt>
                <c:pt idx="50">
                  <c:v>4.027494236429932</c:v>
                </c:pt>
                <c:pt idx="51">
                  <c:v>3.977575663157582</c:v>
                </c:pt>
                <c:pt idx="52">
                  <c:v>3.929330821757679</c:v>
                </c:pt>
                <c:pt idx="53">
                  <c:v>3.882668420938103</c:v>
                </c:pt>
                <c:pt idx="54">
                  <c:v>3.83750369021331</c:v>
                </c:pt>
                <c:pt idx="55">
                  <c:v>3.793757807903762</c:v>
                </c:pt>
                <c:pt idx="56">
                  <c:v>3.75135738830782</c:v>
                </c:pt>
                <c:pt idx="57">
                  <c:v>3.710234021025649</c:v>
                </c:pt>
                <c:pt idx="58">
                  <c:v>3.670323856350737</c:v>
                </c:pt>
                <c:pt idx="59">
                  <c:v>3.631567231442575</c:v>
                </c:pt>
                <c:pt idx="60">
                  <c:v>3.593908332676167</c:v>
                </c:pt>
                <c:pt idx="61">
                  <c:v>3.557294890148743</c:v>
                </c:pt>
                <c:pt idx="62">
                  <c:v>3.521677900826453</c:v>
                </c:pt>
                <c:pt idx="63">
                  <c:v>3.487011377246762</c:v>
                </c:pt>
                <c:pt idx="64">
                  <c:v>3.453252119066078</c:v>
                </c:pt>
                <c:pt idx="65">
                  <c:v>3.420359505065796</c:v>
                </c:pt>
                <c:pt idx="66">
                  <c:v>3.38829530351076</c:v>
                </c:pt>
                <c:pt idx="67">
                  <c:v>3.357023498998289</c:v>
                </c:pt>
                <c:pt idx="68">
                  <c:v>3.326510134148711</c:v>
                </c:pt>
                <c:pt idx="69">
                  <c:v>3.296723164674162</c:v>
                </c:pt>
                <c:pt idx="70">
                  <c:v>3.267632326525002</c:v>
                </c:pt>
                <c:pt idx="71">
                  <c:v>3.239209013955672</c:v>
                </c:pt>
                <c:pt idx="72">
                  <c:v>3.211426167477135</c:v>
                </c:pt>
                <c:pt idx="73">
                  <c:v>3.1842581707731</c:v>
                </c:pt>
                <c:pt idx="74">
                  <c:v>3.157680755754452</c:v>
                </c:pt>
                <c:pt idx="75">
                  <c:v>3.131670915012025</c:v>
                </c:pt>
                <c:pt idx="76">
                  <c:v>3.106206821003796</c:v>
                </c:pt>
                <c:pt idx="77">
                  <c:v>3.081267751379737</c:v>
                </c:pt>
                <c:pt idx="78">
                  <c:v>3.056834019907326</c:v>
                </c:pt>
                <c:pt idx="79">
                  <c:v>3.032886912513672</c:v>
                </c:pt>
                <c:pt idx="80">
                  <c:v>3.009408628007483</c:v>
                </c:pt>
                <c:pt idx="81">
                  <c:v>2.986382223086211</c:v>
                </c:pt>
                <c:pt idx="82">
                  <c:v>2.963791561271232</c:v>
                </c:pt>
                <c:pt idx="83">
                  <c:v>2.941621265447629</c:v>
                </c:pt>
                <c:pt idx="84">
                  <c:v>2.919856673715126</c:v>
                </c:pt>
                <c:pt idx="85">
                  <c:v>2.898483798283808</c:v>
                </c:pt>
                <c:pt idx="86">
                  <c:v>2.877489287172392</c:v>
                </c:pt>
                <c:pt idx="87">
                  <c:v>2.856860388488641</c:v>
                </c:pt>
                <c:pt idx="88">
                  <c:v>2.836584917091083</c:v>
                </c:pt>
                <c:pt idx="89">
                  <c:v>2.816651223448864</c:v>
                </c:pt>
                <c:pt idx="90">
                  <c:v>2.797048164532467</c:v>
                </c:pt>
                <c:pt idx="91">
                  <c:v>2.846784865063296</c:v>
                </c:pt>
                <c:pt idx="92">
                  <c:v>2.829146153910647</c:v>
                </c:pt>
                <c:pt idx="93">
                  <c:v>2.811861625170207</c:v>
                </c:pt>
                <c:pt idx="94">
                  <c:v>2.794920239483054</c:v>
                </c:pt>
                <c:pt idx="95">
                  <c:v>2.778311412721566</c:v>
                </c:pt>
                <c:pt idx="96">
                  <c:v>2.762024992763328</c:v>
                </c:pt>
                <c:pt idx="97">
                  <c:v>2.746051237672685</c:v>
                </c:pt>
                <c:pt idx="98">
                  <c:v>2.730380795191416</c:v>
                </c:pt>
              </c:numCache>
            </c:numRef>
          </c:val>
          <c:smooth val="0"/>
        </c:ser>
        <c:ser>
          <c:idx val="3"/>
          <c:order val="2"/>
          <c:tx>
            <c:v>Belt Filter Press Dewatering</c:v>
          </c:tx>
          <c:marker>
            <c:symbol val="none"/>
          </c:marker>
          <c:cat>
            <c:numRef>
              <c:f>Inputs!$A$48:$A$146</c:f>
              <c:numCache>
                <c:formatCode>General</c:formatCode>
                <c:ptCount val="99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  <c:pt idx="17">
                  <c:v>9.5</c:v>
                </c:pt>
                <c:pt idx="18">
                  <c:v>10.0</c:v>
                </c:pt>
                <c:pt idx="19">
                  <c:v>10.5</c:v>
                </c:pt>
                <c:pt idx="20">
                  <c:v>11.0</c:v>
                </c:pt>
                <c:pt idx="21">
                  <c:v>11.5</c:v>
                </c:pt>
                <c:pt idx="22">
                  <c:v>12.0</c:v>
                </c:pt>
                <c:pt idx="23">
                  <c:v>12.5</c:v>
                </c:pt>
                <c:pt idx="24">
                  <c:v>13.0</c:v>
                </c:pt>
                <c:pt idx="25">
                  <c:v>13.5</c:v>
                </c:pt>
                <c:pt idx="26">
                  <c:v>14.0</c:v>
                </c:pt>
                <c:pt idx="27">
                  <c:v>14.5</c:v>
                </c:pt>
                <c:pt idx="28">
                  <c:v>15.0</c:v>
                </c:pt>
                <c:pt idx="29">
                  <c:v>15.5</c:v>
                </c:pt>
                <c:pt idx="30">
                  <c:v>16.0</c:v>
                </c:pt>
                <c:pt idx="31">
                  <c:v>16.5</c:v>
                </c:pt>
                <c:pt idx="32">
                  <c:v>17.0</c:v>
                </c:pt>
                <c:pt idx="33">
                  <c:v>17.5</c:v>
                </c:pt>
                <c:pt idx="34">
                  <c:v>18.0</c:v>
                </c:pt>
                <c:pt idx="35">
                  <c:v>18.5</c:v>
                </c:pt>
                <c:pt idx="36">
                  <c:v>19.0</c:v>
                </c:pt>
                <c:pt idx="37">
                  <c:v>19.5</c:v>
                </c:pt>
                <c:pt idx="38">
                  <c:v>20.0</c:v>
                </c:pt>
                <c:pt idx="39">
                  <c:v>20.5</c:v>
                </c:pt>
                <c:pt idx="40">
                  <c:v>21.0</c:v>
                </c:pt>
                <c:pt idx="41">
                  <c:v>21.5</c:v>
                </c:pt>
                <c:pt idx="42">
                  <c:v>22.0</c:v>
                </c:pt>
                <c:pt idx="43">
                  <c:v>22.5</c:v>
                </c:pt>
                <c:pt idx="44">
                  <c:v>23.0</c:v>
                </c:pt>
                <c:pt idx="45">
                  <c:v>23.5</c:v>
                </c:pt>
                <c:pt idx="46">
                  <c:v>24.0</c:v>
                </c:pt>
                <c:pt idx="47">
                  <c:v>24.5</c:v>
                </c:pt>
                <c:pt idx="48">
                  <c:v>25.0</c:v>
                </c:pt>
                <c:pt idx="49">
                  <c:v>25.5</c:v>
                </c:pt>
                <c:pt idx="50">
                  <c:v>26.0</c:v>
                </c:pt>
                <c:pt idx="51">
                  <c:v>26.5</c:v>
                </c:pt>
                <c:pt idx="52">
                  <c:v>27.0</c:v>
                </c:pt>
                <c:pt idx="53">
                  <c:v>27.5</c:v>
                </c:pt>
                <c:pt idx="54">
                  <c:v>28.0</c:v>
                </c:pt>
                <c:pt idx="55">
                  <c:v>28.5</c:v>
                </c:pt>
                <c:pt idx="56">
                  <c:v>29.0</c:v>
                </c:pt>
                <c:pt idx="57">
                  <c:v>29.5</c:v>
                </c:pt>
                <c:pt idx="58">
                  <c:v>30.0</c:v>
                </c:pt>
                <c:pt idx="59">
                  <c:v>30.5</c:v>
                </c:pt>
                <c:pt idx="60">
                  <c:v>31.0</c:v>
                </c:pt>
                <c:pt idx="61">
                  <c:v>31.5</c:v>
                </c:pt>
                <c:pt idx="62">
                  <c:v>32.0</c:v>
                </c:pt>
                <c:pt idx="63">
                  <c:v>32.5</c:v>
                </c:pt>
                <c:pt idx="64">
                  <c:v>33.0</c:v>
                </c:pt>
                <c:pt idx="65">
                  <c:v>33.5</c:v>
                </c:pt>
                <c:pt idx="66">
                  <c:v>34.0</c:v>
                </c:pt>
                <c:pt idx="67">
                  <c:v>34.5</c:v>
                </c:pt>
                <c:pt idx="68">
                  <c:v>35.0</c:v>
                </c:pt>
                <c:pt idx="69">
                  <c:v>35.5</c:v>
                </c:pt>
                <c:pt idx="70">
                  <c:v>36.0</c:v>
                </c:pt>
                <c:pt idx="71">
                  <c:v>36.5</c:v>
                </c:pt>
                <c:pt idx="72">
                  <c:v>37.0</c:v>
                </c:pt>
                <c:pt idx="73">
                  <c:v>37.5</c:v>
                </c:pt>
                <c:pt idx="74">
                  <c:v>38.0</c:v>
                </c:pt>
                <c:pt idx="75">
                  <c:v>38.5</c:v>
                </c:pt>
                <c:pt idx="76">
                  <c:v>39.0</c:v>
                </c:pt>
                <c:pt idx="77">
                  <c:v>39.5</c:v>
                </c:pt>
                <c:pt idx="78">
                  <c:v>40.0</c:v>
                </c:pt>
                <c:pt idx="79">
                  <c:v>40.5</c:v>
                </c:pt>
                <c:pt idx="80">
                  <c:v>41.0</c:v>
                </c:pt>
                <c:pt idx="81">
                  <c:v>41.5</c:v>
                </c:pt>
                <c:pt idx="82">
                  <c:v>42.0</c:v>
                </c:pt>
                <c:pt idx="83">
                  <c:v>42.5</c:v>
                </c:pt>
                <c:pt idx="84">
                  <c:v>43.0</c:v>
                </c:pt>
                <c:pt idx="85">
                  <c:v>43.5</c:v>
                </c:pt>
                <c:pt idx="86">
                  <c:v>44.0</c:v>
                </c:pt>
                <c:pt idx="87">
                  <c:v>44.5</c:v>
                </c:pt>
                <c:pt idx="88">
                  <c:v>45.0</c:v>
                </c:pt>
                <c:pt idx="89">
                  <c:v>45.5</c:v>
                </c:pt>
                <c:pt idx="90">
                  <c:v>46.0</c:v>
                </c:pt>
                <c:pt idx="91">
                  <c:v>46.5</c:v>
                </c:pt>
                <c:pt idx="92">
                  <c:v>47.0</c:v>
                </c:pt>
                <c:pt idx="93">
                  <c:v>47.5</c:v>
                </c:pt>
                <c:pt idx="94">
                  <c:v>48.0</c:v>
                </c:pt>
                <c:pt idx="95">
                  <c:v>48.5</c:v>
                </c:pt>
                <c:pt idx="96">
                  <c:v>49.0</c:v>
                </c:pt>
                <c:pt idx="97">
                  <c:v>49.5</c:v>
                </c:pt>
                <c:pt idx="98">
                  <c:v>50.0</c:v>
                </c:pt>
              </c:numCache>
            </c:numRef>
          </c:cat>
          <c:val>
            <c:numRef>
              <c:f>Inputs!$M$48:$M$146</c:f>
              <c:numCache>
                <c:formatCode>General</c:formatCode>
                <c:ptCount val="99"/>
                <c:pt idx="0">
                  <c:v>84.06600465444847</c:v>
                </c:pt>
                <c:pt idx="1">
                  <c:v>58.2973405912624</c:v>
                </c:pt>
                <c:pt idx="2">
                  <c:v>45.3992958144795</c:v>
                </c:pt>
                <c:pt idx="3">
                  <c:v>37.65607526449773</c:v>
                </c:pt>
                <c:pt idx="4">
                  <c:v>32.4920962301464</c:v>
                </c:pt>
                <c:pt idx="5">
                  <c:v>28.80264206093882</c:v>
                </c:pt>
                <c:pt idx="6">
                  <c:v>26.03506033870657</c:v>
                </c:pt>
                <c:pt idx="7">
                  <c:v>23.88220568864779</c:v>
                </c:pt>
                <c:pt idx="8">
                  <c:v>22.15973854947732</c:v>
                </c:pt>
                <c:pt idx="9">
                  <c:v>20.75032596733859</c:v>
                </c:pt>
                <c:pt idx="10">
                  <c:v>19.57573208791836</c:v>
                </c:pt>
                <c:pt idx="11">
                  <c:v>18.5817857384656</c:v>
                </c:pt>
                <c:pt idx="12">
                  <c:v>17.72978851411451</c:v>
                </c:pt>
                <c:pt idx="13">
                  <c:v>16.99135865352019</c:v>
                </c:pt>
                <c:pt idx="14">
                  <c:v>16.34520794625327</c:v>
                </c:pt>
                <c:pt idx="15">
                  <c:v>15.77505591718733</c:v>
                </c:pt>
                <c:pt idx="16">
                  <c:v>15.26823911818194</c:v>
                </c:pt>
                <c:pt idx="17">
                  <c:v>14.81475949232877</c:v>
                </c:pt>
                <c:pt idx="18">
                  <c:v>14.40661816810266</c:v>
                </c:pt>
                <c:pt idx="19">
                  <c:v>14.20918299232413</c:v>
                </c:pt>
                <c:pt idx="20">
                  <c:v>13.97366680404846</c:v>
                </c:pt>
                <c:pt idx="21">
                  <c:v>13.77144639411395</c:v>
                </c:pt>
                <c:pt idx="22">
                  <c:v>13.59836008083145</c:v>
                </c:pt>
                <c:pt idx="23">
                  <c:v>13.4509119380915</c:v>
                </c:pt>
                <c:pt idx="24">
                  <c:v>13.32614378642741</c:v>
                </c:pt>
                <c:pt idx="25">
                  <c:v>13.22153562601943</c:v>
                </c:pt>
                <c:pt idx="26">
                  <c:v>13.13492740223687</c:v>
                </c:pt>
                <c:pt idx="27">
                  <c:v>13.06445695524138</c:v>
                </c:pt>
                <c:pt idx="28">
                  <c:v>13.00851037790695</c:v>
                </c:pt>
                <c:pt idx="29">
                  <c:v>12.96568198056369</c:v>
                </c:pt>
                <c:pt idx="30">
                  <c:v>12.93474176135254</c:v>
                </c:pt>
                <c:pt idx="31">
                  <c:v>12.91460879029728</c:v>
                </c:pt>
                <c:pt idx="32">
                  <c:v>12.90432928971633</c:v>
                </c:pt>
                <c:pt idx="33">
                  <c:v>12.90305847182072</c:v>
                </c:pt>
                <c:pt idx="34">
                  <c:v>12.91004540302081</c:v>
                </c:pt>
                <c:pt idx="35">
                  <c:v>12.92462032238705</c:v>
                </c:pt>
                <c:pt idx="36">
                  <c:v>12.94618396223452</c:v>
                </c:pt>
                <c:pt idx="37">
                  <c:v>12.97419851151491</c:v>
                </c:pt>
                <c:pt idx="38">
                  <c:v>13.00817993455537</c:v>
                </c:pt>
                <c:pt idx="39">
                  <c:v>13.04769141376748</c:v>
                </c:pt>
                <c:pt idx="40">
                  <c:v>13.092337729017</c:v>
                </c:pt>
                <c:pt idx="41">
                  <c:v>13.14176042118997</c:v>
                </c:pt>
                <c:pt idx="42">
                  <c:v>13.19563361520864</c:v>
                </c:pt>
                <c:pt idx="43">
                  <c:v>13.25366039992578</c:v>
                </c:pt>
                <c:pt idx="44">
                  <c:v>13.31556968016305</c:v>
                </c:pt>
                <c:pt idx="45">
                  <c:v>13.38111343058032</c:v>
                </c:pt>
                <c:pt idx="46">
                  <c:v>13.45006429278088</c:v>
                </c:pt>
                <c:pt idx="47">
                  <c:v>13.52221346662307</c:v>
                </c:pt>
                <c:pt idx="48">
                  <c:v>13.59736885455288</c:v>
                </c:pt>
                <c:pt idx="49">
                  <c:v>13.67535342423229</c:v>
                </c:pt>
                <c:pt idx="50">
                  <c:v>13.7560037600794</c:v>
                </c:pt>
                <c:pt idx="51">
                  <c:v>13.83916877877218</c:v>
                </c:pt>
                <c:pt idx="52">
                  <c:v>13.92470858746261</c:v>
                </c:pt>
                <c:pt idx="53">
                  <c:v>14.0124934665397</c:v>
                </c:pt>
                <c:pt idx="54">
                  <c:v>14.10240296137389</c:v>
                </c:pt>
                <c:pt idx="55">
                  <c:v>14.19432506966008</c:v>
                </c:pt>
                <c:pt idx="56">
                  <c:v>14.28815551282261</c:v>
                </c:pt>
                <c:pt idx="57">
                  <c:v>14.38379708150909</c:v>
                </c:pt>
                <c:pt idx="58">
                  <c:v>14.48115904653038</c:v>
                </c:pt>
                <c:pt idx="59">
                  <c:v>14.58015662773669</c:v>
                </c:pt>
                <c:pt idx="60">
                  <c:v>14.68071051428943</c:v>
                </c:pt>
                <c:pt idx="61">
                  <c:v>14.78274643061815</c:v>
                </c:pt>
                <c:pt idx="62">
                  <c:v>14.88619474306644</c:v>
                </c:pt>
                <c:pt idx="63">
                  <c:v>14.9909901028451</c:v>
                </c:pt>
                <c:pt idx="64">
                  <c:v>15.09707112144181</c:v>
                </c:pt>
                <c:pt idx="65">
                  <c:v>15.20438007509701</c:v>
                </c:pt>
                <c:pt idx="66">
                  <c:v>15.31286263535362</c:v>
                </c:pt>
                <c:pt idx="67">
                  <c:v>15.42246762303576</c:v>
                </c:pt>
                <c:pt idx="68">
                  <c:v>15.5331467833139</c:v>
                </c:pt>
                <c:pt idx="69">
                  <c:v>15.64485457977728</c:v>
                </c:pt>
                <c:pt idx="70">
                  <c:v>15.75754800566598</c:v>
                </c:pt>
                <c:pt idx="71">
                  <c:v>15.87118641061734</c:v>
                </c:pt>
                <c:pt idx="72">
                  <c:v>15.98573134145903</c:v>
                </c:pt>
                <c:pt idx="73">
                  <c:v>16.10114639573806</c:v>
                </c:pt>
                <c:pt idx="74">
                  <c:v>16.2173970868126</c:v>
                </c:pt>
                <c:pt idx="75">
                  <c:v>16.33445071945552</c:v>
                </c:pt>
                <c:pt idx="76">
                  <c:v>16.45227627502641</c:v>
                </c:pt>
                <c:pt idx="77">
                  <c:v>16.5708443053642</c:v>
                </c:pt>
                <c:pt idx="78">
                  <c:v>16.69012683463744</c:v>
                </c:pt>
                <c:pt idx="79">
                  <c:v>16.81009726846454</c:v>
                </c:pt>
                <c:pt idx="80">
                  <c:v>16.93073030968342</c:v>
                </c:pt>
                <c:pt idx="81">
                  <c:v>17.05200188020969</c:v>
                </c:pt>
                <c:pt idx="82">
                  <c:v>17.1738890484763</c:v>
                </c:pt>
                <c:pt idx="83">
                  <c:v>17.29636996199464</c:v>
                </c:pt>
                <c:pt idx="84">
                  <c:v>17.41942378462054</c:v>
                </c:pt>
                <c:pt idx="85">
                  <c:v>17.54303063814657</c:v>
                </c:pt>
                <c:pt idx="86">
                  <c:v>17.6671715478764</c:v>
                </c:pt>
                <c:pt idx="87">
                  <c:v>17.79182839186825</c:v>
                </c:pt>
                <c:pt idx="88">
                  <c:v>17.91698385356178</c:v>
                </c:pt>
                <c:pt idx="89">
                  <c:v>18.04262137752853</c:v>
                </c:pt>
                <c:pt idx="90">
                  <c:v>18.16872512810794</c:v>
                </c:pt>
                <c:pt idx="91">
                  <c:v>18.29527995071192</c:v>
                </c:pt>
                <c:pt idx="92">
                  <c:v>18.42227133559918</c:v>
                </c:pt>
                <c:pt idx="93">
                  <c:v>18.54968538393756</c:v>
                </c:pt>
                <c:pt idx="94">
                  <c:v>18.6775087759872</c:v>
                </c:pt>
                <c:pt idx="95">
                  <c:v>18.80572874125169</c:v>
                </c:pt>
                <c:pt idx="96">
                  <c:v>18.93433303045673</c:v>
                </c:pt>
                <c:pt idx="97">
                  <c:v>19.06330988922689</c:v>
                </c:pt>
                <c:pt idx="98">
                  <c:v>19.19264803334172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1930744"/>
        <c:axId val="-2131950792"/>
      </c:lineChart>
      <c:catAx>
        <c:axId val="-2131930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MGD,</a:t>
                </a:r>
                <a:r>
                  <a:rPr lang="en-US" baseline="0"/>
                  <a:t> Plant Inflow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1950792"/>
        <c:crosses val="autoZero"/>
        <c:auto val="1"/>
        <c:lblAlgn val="ctr"/>
        <c:lblOffset val="100"/>
        <c:noMultiLvlLbl val="0"/>
      </c:catAx>
      <c:valAx>
        <c:axId val="-2131950792"/>
        <c:scaling>
          <c:orientation val="minMax"/>
          <c:max val="50.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$/Wet Ton</a:t>
                </a:r>
              </a:p>
            </c:rich>
          </c:tx>
          <c:layout/>
          <c:overlay val="0"/>
        </c:title>
        <c:numFmt formatCode="&quot;$&quot;#,##0" sourceLinked="0"/>
        <c:majorTickMark val="out"/>
        <c:minorTickMark val="none"/>
        <c:tickLblPos val="nextTo"/>
        <c:crossAx val="-21319307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Dewatered Sludge Hauling</c:v>
          </c:tx>
          <c:marker>
            <c:symbol val="none"/>
          </c:marker>
          <c:cat>
            <c:numRef>
              <c:f>Inputs!$A$48:$A$146</c:f>
              <c:numCache>
                <c:formatCode>General</c:formatCode>
                <c:ptCount val="99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  <c:pt idx="17">
                  <c:v>9.5</c:v>
                </c:pt>
                <c:pt idx="18">
                  <c:v>10.0</c:v>
                </c:pt>
                <c:pt idx="19">
                  <c:v>10.5</c:v>
                </c:pt>
                <c:pt idx="20">
                  <c:v>11.0</c:v>
                </c:pt>
                <c:pt idx="21">
                  <c:v>11.5</c:v>
                </c:pt>
                <c:pt idx="22">
                  <c:v>12.0</c:v>
                </c:pt>
                <c:pt idx="23">
                  <c:v>12.5</c:v>
                </c:pt>
                <c:pt idx="24">
                  <c:v>13.0</c:v>
                </c:pt>
                <c:pt idx="25">
                  <c:v>13.5</c:v>
                </c:pt>
                <c:pt idx="26">
                  <c:v>14.0</c:v>
                </c:pt>
                <c:pt idx="27">
                  <c:v>14.5</c:v>
                </c:pt>
                <c:pt idx="28">
                  <c:v>15.0</c:v>
                </c:pt>
                <c:pt idx="29">
                  <c:v>15.5</c:v>
                </c:pt>
                <c:pt idx="30">
                  <c:v>16.0</c:v>
                </c:pt>
                <c:pt idx="31">
                  <c:v>16.5</c:v>
                </c:pt>
                <c:pt idx="32">
                  <c:v>17.0</c:v>
                </c:pt>
                <c:pt idx="33">
                  <c:v>17.5</c:v>
                </c:pt>
                <c:pt idx="34">
                  <c:v>18.0</c:v>
                </c:pt>
                <c:pt idx="35">
                  <c:v>18.5</c:v>
                </c:pt>
                <c:pt idx="36">
                  <c:v>19.0</c:v>
                </c:pt>
                <c:pt idx="37">
                  <c:v>19.5</c:v>
                </c:pt>
                <c:pt idx="38">
                  <c:v>20.0</c:v>
                </c:pt>
                <c:pt idx="39">
                  <c:v>20.5</c:v>
                </c:pt>
                <c:pt idx="40">
                  <c:v>21.0</c:v>
                </c:pt>
                <c:pt idx="41">
                  <c:v>21.5</c:v>
                </c:pt>
                <c:pt idx="42">
                  <c:v>22.0</c:v>
                </c:pt>
                <c:pt idx="43">
                  <c:v>22.5</c:v>
                </c:pt>
                <c:pt idx="44">
                  <c:v>23.0</c:v>
                </c:pt>
                <c:pt idx="45">
                  <c:v>23.5</c:v>
                </c:pt>
                <c:pt idx="46">
                  <c:v>24.0</c:v>
                </c:pt>
                <c:pt idx="47">
                  <c:v>24.5</c:v>
                </c:pt>
                <c:pt idx="48">
                  <c:v>25.0</c:v>
                </c:pt>
                <c:pt idx="49">
                  <c:v>25.5</c:v>
                </c:pt>
                <c:pt idx="50">
                  <c:v>26.0</c:v>
                </c:pt>
                <c:pt idx="51">
                  <c:v>26.5</c:v>
                </c:pt>
                <c:pt idx="52">
                  <c:v>27.0</c:v>
                </c:pt>
                <c:pt idx="53">
                  <c:v>27.5</c:v>
                </c:pt>
                <c:pt idx="54">
                  <c:v>28.0</c:v>
                </c:pt>
                <c:pt idx="55">
                  <c:v>28.5</c:v>
                </c:pt>
                <c:pt idx="56">
                  <c:v>29.0</c:v>
                </c:pt>
                <c:pt idx="57">
                  <c:v>29.5</c:v>
                </c:pt>
                <c:pt idx="58">
                  <c:v>30.0</c:v>
                </c:pt>
                <c:pt idx="59">
                  <c:v>30.5</c:v>
                </c:pt>
                <c:pt idx="60">
                  <c:v>31.0</c:v>
                </c:pt>
                <c:pt idx="61">
                  <c:v>31.5</c:v>
                </c:pt>
                <c:pt idx="62">
                  <c:v>32.0</c:v>
                </c:pt>
                <c:pt idx="63">
                  <c:v>32.5</c:v>
                </c:pt>
                <c:pt idx="64">
                  <c:v>33.0</c:v>
                </c:pt>
                <c:pt idx="65">
                  <c:v>33.5</c:v>
                </c:pt>
                <c:pt idx="66">
                  <c:v>34.0</c:v>
                </c:pt>
                <c:pt idx="67">
                  <c:v>34.5</c:v>
                </c:pt>
                <c:pt idx="68">
                  <c:v>35.0</c:v>
                </c:pt>
                <c:pt idx="69">
                  <c:v>35.5</c:v>
                </c:pt>
                <c:pt idx="70">
                  <c:v>36.0</c:v>
                </c:pt>
                <c:pt idx="71">
                  <c:v>36.5</c:v>
                </c:pt>
                <c:pt idx="72">
                  <c:v>37.0</c:v>
                </c:pt>
                <c:pt idx="73">
                  <c:v>37.5</c:v>
                </c:pt>
                <c:pt idx="74">
                  <c:v>38.0</c:v>
                </c:pt>
                <c:pt idx="75">
                  <c:v>38.5</c:v>
                </c:pt>
                <c:pt idx="76">
                  <c:v>39.0</c:v>
                </c:pt>
                <c:pt idx="77">
                  <c:v>39.5</c:v>
                </c:pt>
                <c:pt idx="78">
                  <c:v>40.0</c:v>
                </c:pt>
                <c:pt idx="79">
                  <c:v>40.5</c:v>
                </c:pt>
                <c:pt idx="80">
                  <c:v>41.0</c:v>
                </c:pt>
                <c:pt idx="81">
                  <c:v>41.5</c:v>
                </c:pt>
                <c:pt idx="82">
                  <c:v>42.0</c:v>
                </c:pt>
                <c:pt idx="83">
                  <c:v>42.5</c:v>
                </c:pt>
                <c:pt idx="84">
                  <c:v>43.0</c:v>
                </c:pt>
                <c:pt idx="85">
                  <c:v>43.5</c:v>
                </c:pt>
                <c:pt idx="86">
                  <c:v>44.0</c:v>
                </c:pt>
                <c:pt idx="87">
                  <c:v>44.5</c:v>
                </c:pt>
                <c:pt idx="88">
                  <c:v>45.0</c:v>
                </c:pt>
                <c:pt idx="89">
                  <c:v>45.5</c:v>
                </c:pt>
                <c:pt idx="90">
                  <c:v>46.0</c:v>
                </c:pt>
                <c:pt idx="91">
                  <c:v>46.5</c:v>
                </c:pt>
                <c:pt idx="92">
                  <c:v>47.0</c:v>
                </c:pt>
                <c:pt idx="93">
                  <c:v>47.5</c:v>
                </c:pt>
                <c:pt idx="94">
                  <c:v>48.0</c:v>
                </c:pt>
                <c:pt idx="95">
                  <c:v>48.5</c:v>
                </c:pt>
                <c:pt idx="96">
                  <c:v>49.0</c:v>
                </c:pt>
                <c:pt idx="97">
                  <c:v>49.5</c:v>
                </c:pt>
                <c:pt idx="98">
                  <c:v>50.0</c:v>
                </c:pt>
              </c:numCache>
            </c:numRef>
          </c:cat>
          <c:val>
            <c:numRef>
              <c:f>Inputs!$N$48:$N$146</c:f>
              <c:numCache>
                <c:formatCode>General</c:formatCode>
                <c:ptCount val="99"/>
                <c:pt idx="0">
                  <c:v>37.99048991289924</c:v>
                </c:pt>
                <c:pt idx="1">
                  <c:v>29.61954222860132</c:v>
                </c:pt>
                <c:pt idx="2">
                  <c:v>26.02392535266294</c:v>
                </c:pt>
                <c:pt idx="3">
                  <c:v>22.73426286234368</c:v>
                </c:pt>
                <c:pt idx="4">
                  <c:v>19.7411010430994</c:v>
                </c:pt>
                <c:pt idx="5">
                  <c:v>17.87193355843109</c:v>
                </c:pt>
                <c:pt idx="6">
                  <c:v>16.84666281823837</c:v>
                </c:pt>
                <c:pt idx="7">
                  <c:v>15.11652173222986</c:v>
                </c:pt>
                <c:pt idx="8">
                  <c:v>14.02269121821987</c:v>
                </c:pt>
                <c:pt idx="9">
                  <c:v>13.14234812840796</c:v>
                </c:pt>
                <c:pt idx="10">
                  <c:v>12.39533716705145</c:v>
                </c:pt>
                <c:pt idx="11">
                  <c:v>11.76325096898056</c:v>
                </c:pt>
                <c:pt idx="12">
                  <c:v>11.34769934503704</c:v>
                </c:pt>
                <c:pt idx="13">
                  <c:v>10.79658040471774</c:v>
                </c:pt>
                <c:pt idx="14">
                  <c:v>11.45486357422584</c:v>
                </c:pt>
                <c:pt idx="15">
                  <c:v>10.96227837810947</c:v>
                </c:pt>
                <c:pt idx="16">
                  <c:v>10.52442487045046</c:v>
                </c:pt>
                <c:pt idx="17">
                  <c:v>10.13266120570294</c:v>
                </c:pt>
                <c:pt idx="18">
                  <c:v>17.99356685558462</c:v>
                </c:pt>
                <c:pt idx="19">
                  <c:v>17.23771276320316</c:v>
                </c:pt>
                <c:pt idx="20">
                  <c:v>16.54368751390971</c:v>
                </c:pt>
                <c:pt idx="21">
                  <c:v>15.91001228629395</c:v>
                </c:pt>
                <c:pt idx="22">
                  <c:v>15.32914332764617</c:v>
                </c:pt>
                <c:pt idx="23">
                  <c:v>14.79474388569021</c:v>
                </c:pt>
                <c:pt idx="24">
                  <c:v>14.30145209311548</c:v>
                </c:pt>
                <c:pt idx="25">
                  <c:v>15.85036524159095</c:v>
                </c:pt>
                <c:pt idx="26">
                  <c:v>15.33573812602473</c:v>
                </c:pt>
                <c:pt idx="27">
                  <c:v>14.85660253566997</c:v>
                </c:pt>
                <c:pt idx="28">
                  <c:v>14.40940931800553</c:v>
                </c:pt>
                <c:pt idx="29">
                  <c:v>14.18544398447867</c:v>
                </c:pt>
                <c:pt idx="30">
                  <c:v>13.79217684627401</c:v>
                </c:pt>
                <c:pt idx="31">
                  <c:v>13.41789288140924</c:v>
                </c:pt>
                <c:pt idx="32">
                  <c:v>13.06562562036005</c:v>
                </c:pt>
                <c:pt idx="33">
                  <c:v>12.7334879170851</c:v>
                </c:pt>
                <c:pt idx="34">
                  <c:v>12.41980230843653</c:v>
                </c:pt>
                <c:pt idx="35">
                  <c:v>12.12307267863383</c:v>
                </c:pt>
                <c:pt idx="36">
                  <c:v>11.84196039776812</c:v>
                </c:pt>
                <c:pt idx="37">
                  <c:v>21.9778339079196</c:v>
                </c:pt>
                <c:pt idx="38">
                  <c:v>21.45184787357063</c:v>
                </c:pt>
                <c:pt idx="39">
                  <c:v>20.95151969455576</c:v>
                </c:pt>
                <c:pt idx="40">
                  <c:v>20.47501666692254</c:v>
                </c:pt>
                <c:pt idx="41">
                  <c:v>20.02067657080715</c:v>
                </c:pt>
                <c:pt idx="42">
                  <c:v>19.58698829724246</c:v>
                </c:pt>
                <c:pt idx="43">
                  <c:v>19.17257505805841</c:v>
                </c:pt>
                <c:pt idx="44">
                  <c:v>18.77617978579542</c:v>
                </c:pt>
                <c:pt idx="45">
                  <c:v>18.39665239745851</c:v>
                </c:pt>
                <c:pt idx="46">
                  <c:v>18.03619695771189</c:v>
                </c:pt>
                <c:pt idx="47">
                  <c:v>17.68726217355371</c:v>
                </c:pt>
                <c:pt idx="48">
                  <c:v>17.35228478076185</c:v>
                </c:pt>
                <c:pt idx="49">
                  <c:v>17.03044375631476</c:v>
                </c:pt>
                <c:pt idx="50">
                  <c:v>16.72098123280795</c:v>
                </c:pt>
                <c:pt idx="51">
                  <c:v>16.42319654037688</c:v>
                </c:pt>
                <c:pt idx="52">
                  <c:v>16.13644091062842</c:v>
                </c:pt>
                <c:pt idx="53">
                  <c:v>15.86011275832538</c:v>
                </c:pt>
                <c:pt idx="54">
                  <c:v>15.59365346860458</c:v>
                </c:pt>
                <c:pt idx="55">
                  <c:v>15.33654362764591</c:v>
                </c:pt>
                <c:pt idx="56">
                  <c:v>25.11246233179905</c:v>
                </c:pt>
                <c:pt idx="57">
                  <c:v>24.69992511900531</c:v>
                </c:pt>
                <c:pt idx="58">
                  <c:v>24.29856325738147</c:v>
                </c:pt>
                <c:pt idx="59">
                  <c:v>23.9128944626206</c:v>
                </c:pt>
                <c:pt idx="60">
                  <c:v>23.63436215507044</c:v>
                </c:pt>
                <c:pt idx="61">
                  <c:v>23.27147968875136</c:v>
                </c:pt>
                <c:pt idx="62">
                  <c:v>22.91993729950476</c:v>
                </c:pt>
                <c:pt idx="63">
                  <c:v>22.57683385522891</c:v>
                </c:pt>
                <c:pt idx="64">
                  <c:v>22.24646920252799</c:v>
                </c:pt>
                <c:pt idx="65">
                  <c:v>21.92365941475257</c:v>
                </c:pt>
                <c:pt idx="66">
                  <c:v>21.61261687596163</c:v>
                </c:pt>
                <c:pt idx="67">
                  <c:v>21.30835015923138</c:v>
                </c:pt>
                <c:pt idx="68">
                  <c:v>21.01498468234191</c:v>
                </c:pt>
                <c:pt idx="69">
                  <c:v>20.7277062138804</c:v>
                </c:pt>
                <c:pt idx="70">
                  <c:v>20.45055427725663</c:v>
                </c:pt>
                <c:pt idx="71">
                  <c:v>20.178878375124</c:v>
                </c:pt>
                <c:pt idx="72">
                  <c:v>19.91663362379757</c:v>
                </c:pt>
                <c:pt idx="73">
                  <c:v>19.66138206583985</c:v>
                </c:pt>
                <c:pt idx="74">
                  <c:v>19.41081405736268</c:v>
                </c:pt>
                <c:pt idx="75">
                  <c:v>19.16876149527964</c:v>
                </c:pt>
                <c:pt idx="76">
                  <c:v>28.60465409847112</c:v>
                </c:pt>
                <c:pt idx="77">
                  <c:v>28.25033929293269</c:v>
                </c:pt>
                <c:pt idx="78">
                  <c:v>27.90488235753273</c:v>
                </c:pt>
                <c:pt idx="79">
                  <c:v>27.56606082652247</c:v>
                </c:pt>
                <c:pt idx="80">
                  <c:v>27.23737452938116</c:v>
                </c:pt>
                <c:pt idx="81">
                  <c:v>26.91475963560189</c:v>
                </c:pt>
                <c:pt idx="82">
                  <c:v>26.60165278828443</c:v>
                </c:pt>
                <c:pt idx="83">
                  <c:v>26.29591316090385</c:v>
                </c:pt>
                <c:pt idx="84">
                  <c:v>25.99549950026197</c:v>
                </c:pt>
                <c:pt idx="85">
                  <c:v>25.70375564923522</c:v>
                </c:pt>
                <c:pt idx="86">
                  <c:v>25.41864234027727</c:v>
                </c:pt>
                <c:pt idx="87">
                  <c:v>25.13821195831574</c:v>
                </c:pt>
                <c:pt idx="88">
                  <c:v>24.86571831945596</c:v>
                </c:pt>
                <c:pt idx="89">
                  <c:v>24.5992135517799</c:v>
                </c:pt>
                <c:pt idx="90">
                  <c:v>24.66431697198211</c:v>
                </c:pt>
                <c:pt idx="91">
                  <c:v>24.40570909551924</c:v>
                </c:pt>
                <c:pt idx="92">
                  <c:v>24.15097110881905</c:v>
                </c:pt>
                <c:pt idx="93">
                  <c:v>23.90321124936765</c:v>
                </c:pt>
                <c:pt idx="94">
                  <c:v>23.66061305365481</c:v>
                </c:pt>
                <c:pt idx="95">
                  <c:v>32.97717194433559</c:v>
                </c:pt>
                <c:pt idx="96">
                  <c:v>32.64534492312177</c:v>
                </c:pt>
                <c:pt idx="97">
                  <c:v>32.3202214780941</c:v>
                </c:pt>
                <c:pt idx="98">
                  <c:v>32.00160050196698</c:v>
                </c:pt>
              </c:numCache>
            </c:numRef>
          </c:val>
          <c:smooth val="0"/>
        </c:ser>
        <c:ser>
          <c:idx val="1"/>
          <c:order val="1"/>
          <c:tx>
            <c:v>Incineration</c:v>
          </c:tx>
          <c:marker>
            <c:symbol val="none"/>
          </c:marker>
          <c:val>
            <c:numRef>
              <c:f>Inputs!$O$48:$O$146</c:f>
              <c:numCache>
                <c:formatCode>General</c:formatCode>
                <c:ptCount val="99"/>
                <c:pt idx="0">
                  <c:v>487.4876483161582</c:v>
                </c:pt>
                <c:pt idx="1">
                  <c:v>346.1271056583233</c:v>
                </c:pt>
                <c:pt idx="2">
                  <c:v>275.3996656287944</c:v>
                </c:pt>
                <c:pt idx="3">
                  <c:v>232.9247966991267</c:v>
                </c:pt>
                <c:pt idx="4">
                  <c:v>204.5756550265055</c:v>
                </c:pt>
                <c:pt idx="5">
                  <c:v>184.2978789640103</c:v>
                </c:pt>
                <c:pt idx="6">
                  <c:v>169.0642876881806</c:v>
                </c:pt>
                <c:pt idx="7">
                  <c:v>157.193114074872</c:v>
                </c:pt>
                <c:pt idx="8">
                  <c:v>147.6752978495975</c:v>
                </c:pt>
                <c:pt idx="9">
                  <c:v>139.8687097467747</c:v>
                </c:pt>
                <c:pt idx="10">
                  <c:v>133.3452635893486</c:v>
                </c:pt>
                <c:pt idx="11">
                  <c:v>127.8085920239734</c:v>
                </c:pt>
                <c:pt idx="12">
                  <c:v>123.0470040839737</c:v>
                </c:pt>
                <c:pt idx="13">
                  <c:v>118.9052597271206</c:v>
                </c:pt>
                <c:pt idx="14">
                  <c:v>115.2669289217426</c:v>
                </c:pt>
                <c:pt idx="15">
                  <c:v>112.0429769377379</c:v>
                </c:pt>
                <c:pt idx="16">
                  <c:v>109.164154540583</c:v>
                </c:pt>
                <c:pt idx="17">
                  <c:v>106.5757912819697</c:v>
                </c:pt>
                <c:pt idx="18">
                  <c:v>104.2341508032515</c:v>
                </c:pt>
                <c:pt idx="19">
                  <c:v>102.1038274807623</c:v>
                </c:pt>
                <c:pt idx="20">
                  <c:v>100.1558530769569</c:v>
                </c:pt>
                <c:pt idx="21">
                  <c:v>98.36629730864601</c:v>
                </c:pt>
                <c:pt idx="22">
                  <c:v>96.7152182731717</c:v>
                </c:pt>
                <c:pt idx="23">
                  <c:v>95.1858647723014</c:v>
                </c:pt>
                <c:pt idx="24">
                  <c:v>93.76406271522294</c:v>
                </c:pt>
                <c:pt idx="25">
                  <c:v>92.43773787642968</c:v>
                </c:pt>
                <c:pt idx="26">
                  <c:v>91.19654091977295</c:v>
                </c:pt>
                <c:pt idx="27">
                  <c:v>90.0315500037454</c:v>
                </c:pt>
                <c:pt idx="28">
                  <c:v>88.9350328657073</c:v>
                </c:pt>
                <c:pt idx="29">
                  <c:v>87.90025495432723</c:v>
                </c:pt>
                <c:pt idx="30">
                  <c:v>86.92132353719023</c:v>
                </c:pt>
                <c:pt idx="31">
                  <c:v>85.99306015247708</c:v>
                </c:pt>
                <c:pt idx="32">
                  <c:v>85.11089556917082</c:v>
                </c:pt>
                <c:pt idx="33">
                  <c:v>84.27078275408506</c:v>
                </c:pt>
                <c:pt idx="34">
                  <c:v>83.46912434438735</c:v>
                </c:pt>
                <c:pt idx="35">
                  <c:v>82.70271188133527</c:v>
                </c:pt>
                <c:pt idx="36">
                  <c:v>81.9686746386857</c:v>
                </c:pt>
                <c:pt idx="37">
                  <c:v>81.26443632365614</c:v>
                </c:pt>
                <c:pt idx="38">
                  <c:v>80.58767827274264</c:v>
                </c:pt>
                <c:pt idx="39">
                  <c:v>79.93630803351446</c:v>
                </c:pt>
                <c:pt idx="40">
                  <c:v>79.30843243472501</c:v>
                </c:pt>
                <c:pt idx="41">
                  <c:v>78.70233441408084</c:v>
                </c:pt>
                <c:pt idx="42">
                  <c:v>78.11645300586044</c:v>
                </c:pt>
                <c:pt idx="43">
                  <c:v>77.54936599685107</c:v>
                </c:pt>
                <c:pt idx="44">
                  <c:v>76.99977484455407</c:v>
                </c:pt>
                <c:pt idx="45">
                  <c:v>76.46649152072598</c:v>
                </c:pt>
                <c:pt idx="46">
                  <c:v>75.94842699947703</c:v>
                </c:pt>
                <c:pt idx="47">
                  <c:v>75.44458115498996</c:v>
                </c:pt>
                <c:pt idx="48">
                  <c:v>74.95403387151301</c:v>
                </c:pt>
                <c:pt idx="49">
                  <c:v>74.47593719923564</c:v>
                </c:pt>
                <c:pt idx="50">
                  <c:v>74.00950841525595</c:v>
                </c:pt>
                <c:pt idx="51">
                  <c:v>73.55402387009841</c:v>
                </c:pt>
                <c:pt idx="52">
                  <c:v>73.1088135179525</c:v>
                </c:pt>
                <c:pt idx="53">
                  <c:v>72.673256043612</c:v>
                </c:pt>
                <c:pt idx="54">
                  <c:v>72.24677451152836</c:v>
                </c:pt>
                <c:pt idx="55">
                  <c:v>71.82883247285811</c:v>
                </c:pt>
                <c:pt idx="56">
                  <c:v>71.4189304752298</c:v>
                </c:pt>
                <c:pt idx="57">
                  <c:v>71.01660292744974</c:v>
                </c:pt>
                <c:pt idx="58">
                  <c:v>70.62141527773701</c:v>
                </c:pt>
                <c:pt idx="59">
                  <c:v>70.2329614695096</c:v>
                </c:pt>
                <c:pt idx="60">
                  <c:v>69.85086164338426</c:v>
                </c:pt>
                <c:pt idx="61">
                  <c:v>69.47476005803382</c:v>
                </c:pt>
                <c:pt idx="62">
                  <c:v>69.10432320596407</c:v>
                </c:pt>
                <c:pt idx="63">
                  <c:v>68.73923810321891</c:v>
                </c:pt>
                <c:pt idx="64">
                  <c:v>68.37921073456684</c:v>
                </c:pt>
                <c:pt idx="65">
                  <c:v>68.02396463792449</c:v>
                </c:pt>
                <c:pt idx="66">
                  <c:v>67.67323961368405</c:v>
                </c:pt>
                <c:pt idx="67">
                  <c:v>67.32679054627289</c:v>
                </c:pt>
                <c:pt idx="68">
                  <c:v>66.98438632672256</c:v>
                </c:pt>
                <c:pt idx="69">
                  <c:v>66.64580886628814</c:v>
                </c:pt>
                <c:pt idx="70">
                  <c:v>66.31085219226611</c:v>
                </c:pt>
                <c:pt idx="71">
                  <c:v>65.97932161812852</c:v>
                </c:pt>
                <c:pt idx="72">
                  <c:v>65.65103298094351</c:v>
                </c:pt>
                <c:pt idx="73">
                  <c:v>65.32581193980224</c:v>
                </c:pt>
                <c:pt idx="74">
                  <c:v>65.00349332963315</c:v>
                </c:pt>
                <c:pt idx="75">
                  <c:v>64.68392056536846</c:v>
                </c:pt>
                <c:pt idx="76">
                  <c:v>64.36694509194384</c:v>
                </c:pt>
                <c:pt idx="77">
                  <c:v>64.05242587607039</c:v>
                </c:pt>
                <c:pt idx="78">
                  <c:v>63.7402289361236</c:v>
                </c:pt>
                <c:pt idx="79">
                  <c:v>63.4302269068555</c:v>
                </c:pt>
                <c:pt idx="80">
                  <c:v>63.12229863595702</c:v>
                </c:pt>
                <c:pt idx="81">
                  <c:v>62.81632880978474</c:v>
                </c:pt>
                <c:pt idx="82">
                  <c:v>62.51220760582085</c:v>
                </c:pt>
                <c:pt idx="83">
                  <c:v>62.20983036966631</c:v>
                </c:pt>
                <c:pt idx="84">
                  <c:v>61.90909731456835</c:v>
                </c:pt>
                <c:pt idx="85">
                  <c:v>61.6099132416709</c:v>
                </c:pt>
                <c:pt idx="86">
                  <c:v>61.31218727933876</c:v>
                </c:pt>
                <c:pt idx="87">
                  <c:v>61.01583264005496</c:v>
                </c:pt>
                <c:pt idx="88">
                  <c:v>60.72076639352568</c:v>
                </c:pt>
                <c:pt idx="89">
                  <c:v>60.42690925474465</c:v>
                </c:pt>
                <c:pt idx="90">
                  <c:v>60.13418538587982</c:v>
                </c:pt>
                <c:pt idx="91">
                  <c:v>59.84252221094137</c:v>
                </c:pt>
                <c:pt idx="92">
                  <c:v>59.55185024227945</c:v>
                </c:pt>
                <c:pt idx="93">
                  <c:v>59.26210291804004</c:v>
                </c:pt>
                <c:pt idx="94">
                  <c:v>58.97321644977968</c:v>
                </c:pt>
                <c:pt idx="95">
                  <c:v>58.68512967950615</c:v>
                </c:pt>
                <c:pt idx="96">
                  <c:v>58.39778394547185</c:v>
                </c:pt>
                <c:pt idx="97">
                  <c:v>58.11112295610083</c:v>
                </c:pt>
                <c:pt idx="98">
                  <c:v>57.82509267148013</c:v>
                </c:pt>
              </c:numCache>
            </c:numRef>
          </c:val>
          <c:smooth val="0"/>
        </c:ser>
        <c:ser>
          <c:idx val="2"/>
          <c:order val="2"/>
          <c:tx>
            <c:v>Landfill</c:v>
          </c:tx>
          <c:marker>
            <c:symbol val="none"/>
          </c:marker>
          <c:val>
            <c:numRef>
              <c:f>Inputs!$P$48:$P$146</c:f>
              <c:numCache>
                <c:formatCode>General</c:formatCode>
                <c:ptCount val="99"/>
                <c:pt idx="0">
                  <c:v>123.5767012049582</c:v>
                </c:pt>
                <c:pt idx="1">
                  <c:v>114.8810729047661</c:v>
                </c:pt>
                <c:pt idx="2">
                  <c:v>111.347035885761</c:v>
                </c:pt>
                <c:pt idx="3">
                  <c:v>108.3143982716207</c:v>
                </c:pt>
                <c:pt idx="4">
                  <c:v>106.0113546883807</c:v>
                </c:pt>
                <c:pt idx="5">
                  <c:v>103.7205855422533</c:v>
                </c:pt>
                <c:pt idx="6">
                  <c:v>102.6539351161425</c:v>
                </c:pt>
                <c:pt idx="7">
                  <c:v>101.4611579828593</c:v>
                </c:pt>
                <c:pt idx="8">
                  <c:v>100.0878865172476</c:v>
                </c:pt>
                <c:pt idx="9">
                  <c:v>99.17112664252568</c:v>
                </c:pt>
                <c:pt idx="10">
                  <c:v>98.39499375756904</c:v>
                </c:pt>
                <c:pt idx="11">
                  <c:v>97.7382659318365</c:v>
                </c:pt>
                <c:pt idx="12">
                  <c:v>97.1753563669229</c:v>
                </c:pt>
                <c:pt idx="13">
                  <c:v>96.68750141066444</c:v>
                </c:pt>
                <c:pt idx="14">
                  <c:v>97.44433740388101</c:v>
                </c:pt>
                <c:pt idx="15">
                  <c:v>97.07404002922939</c:v>
                </c:pt>
                <c:pt idx="16">
                  <c:v>96.61911172039388</c:v>
                </c:pt>
                <c:pt idx="17">
                  <c:v>96.21207060196212</c:v>
                </c:pt>
                <c:pt idx="18">
                  <c:v>95.84573359537354</c:v>
                </c:pt>
                <c:pt idx="19">
                  <c:v>95.51428582750767</c:v>
                </c:pt>
                <c:pt idx="20">
                  <c:v>95.22010020804862</c:v>
                </c:pt>
                <c:pt idx="21">
                  <c:v>94.9446754368374</c:v>
                </c:pt>
                <c:pt idx="22">
                  <c:v>101.7216325582101</c:v>
                </c:pt>
                <c:pt idx="23">
                  <c:v>101.1661625167172</c:v>
                </c:pt>
                <c:pt idx="24">
                  <c:v>100.6534209399545</c:v>
                </c:pt>
                <c:pt idx="25">
                  <c:v>100.1786602207298</c:v>
                </c:pt>
                <c:pt idx="26">
                  <c:v>99.7378109814497</c:v>
                </c:pt>
                <c:pt idx="27">
                  <c:v>99.32736513798204</c:v>
                </c:pt>
                <c:pt idx="28">
                  <c:v>98.94428235074553</c:v>
                </c:pt>
                <c:pt idx="29">
                  <c:v>98.79239371257688</c:v>
                </c:pt>
                <c:pt idx="30">
                  <c:v>98.44997145658658</c:v>
                </c:pt>
                <c:pt idx="31">
                  <c:v>98.12830206459569</c:v>
                </c:pt>
                <c:pt idx="32">
                  <c:v>99.45286685519734</c:v>
                </c:pt>
                <c:pt idx="33">
                  <c:v>99.10763878864458</c:v>
                </c:pt>
                <c:pt idx="34">
                  <c:v>98.78159005912253</c:v>
                </c:pt>
                <c:pt idx="35">
                  <c:v>98.4731655852503</c:v>
                </c:pt>
                <c:pt idx="36">
                  <c:v>98.18097397842402</c:v>
                </c:pt>
                <c:pt idx="37">
                  <c:v>97.90376655656316</c:v>
                </c:pt>
                <c:pt idx="38">
                  <c:v>97.64041950579535</c:v>
                </c:pt>
                <c:pt idx="39">
                  <c:v>97.38991865262597</c:v>
                </c:pt>
                <c:pt idx="40">
                  <c:v>97.15134641151226</c:v>
                </c:pt>
                <c:pt idx="41">
                  <c:v>96.92725103221158</c:v>
                </c:pt>
                <c:pt idx="42">
                  <c:v>96.71003815706702</c:v>
                </c:pt>
                <c:pt idx="43">
                  <c:v>96.50247918748443</c:v>
                </c:pt>
                <c:pt idx="44">
                  <c:v>96.30394452092717</c:v>
                </c:pt>
                <c:pt idx="45">
                  <c:v>96.1138581380532</c:v>
                </c:pt>
                <c:pt idx="46">
                  <c:v>104.6843416757682</c:v>
                </c:pt>
                <c:pt idx="47">
                  <c:v>104.3216159373174</c:v>
                </c:pt>
                <c:pt idx="48">
                  <c:v>103.9733992284047</c:v>
                </c:pt>
                <c:pt idx="49">
                  <c:v>103.6388380767043</c:v>
                </c:pt>
                <c:pt idx="50">
                  <c:v>103.3171446616077</c:v>
                </c:pt>
                <c:pt idx="51">
                  <c:v>103.0075906206657</c:v>
                </c:pt>
                <c:pt idx="52">
                  <c:v>102.7095015442031</c:v>
                </c:pt>
                <c:pt idx="53">
                  <c:v>102.4222520705209</c:v>
                </c:pt>
                <c:pt idx="54">
                  <c:v>102.145261506613</c:v>
                </c:pt>
                <c:pt idx="55">
                  <c:v>101.8779899098599</c:v>
                </c:pt>
                <c:pt idx="56">
                  <c:v>101.6199345750637</c:v>
                </c:pt>
                <c:pt idx="57">
                  <c:v>101.3706268787352</c:v>
                </c:pt>
                <c:pt idx="58">
                  <c:v>101.129629438951</c:v>
                </c:pt>
                <c:pt idx="59">
                  <c:v>100.8965335545695</c:v>
                </c:pt>
                <c:pt idx="60">
                  <c:v>100.7719964052048</c:v>
                </c:pt>
                <c:pt idx="61">
                  <c:v>100.5519771049902</c:v>
                </c:pt>
                <c:pt idx="62">
                  <c:v>100.3410447129786</c:v>
                </c:pt>
                <c:pt idx="63">
                  <c:v>100.1344252634202</c:v>
                </c:pt>
                <c:pt idx="64">
                  <c:v>99.93406700930296</c:v>
                </c:pt>
                <c:pt idx="65">
                  <c:v>99.73968959859222</c:v>
                </c:pt>
                <c:pt idx="66">
                  <c:v>99.55102917054941</c:v>
                </c:pt>
                <c:pt idx="67">
                  <c:v>99.36783716071076</c:v>
                </c:pt>
                <c:pt idx="68">
                  <c:v>99.18987920829608</c:v>
                </c:pt>
                <c:pt idx="69">
                  <c:v>99.0169341559494</c:v>
                </c:pt>
                <c:pt idx="70">
                  <c:v>107.2265639607718</c:v>
                </c:pt>
                <c:pt idx="71">
                  <c:v>106.9442830755587</c:v>
                </c:pt>
                <c:pt idx="72">
                  <c:v>106.6715179574999</c:v>
                </c:pt>
                <c:pt idx="73">
                  <c:v>106.4060265759227</c:v>
                </c:pt>
                <c:pt idx="74">
                  <c:v>106.1456849017687</c:v>
                </c:pt>
                <c:pt idx="75">
                  <c:v>105.8939184009562</c:v>
                </c:pt>
                <c:pt idx="76">
                  <c:v>105.6468176437672</c:v>
                </c:pt>
                <c:pt idx="77">
                  <c:v>105.4077397538361</c:v>
                </c:pt>
                <c:pt idx="78">
                  <c:v>105.1728937486659</c:v>
                </c:pt>
                <c:pt idx="79">
                  <c:v>104.945569928796</c:v>
                </c:pt>
                <c:pt idx="80">
                  <c:v>104.7220880923499</c:v>
                </c:pt>
                <c:pt idx="81">
                  <c:v>104.5056733483362</c:v>
                </c:pt>
                <c:pt idx="82">
                  <c:v>104.292749372049</c:v>
                </c:pt>
                <c:pt idx="83">
                  <c:v>104.0864777834274</c:v>
                </c:pt>
                <c:pt idx="84">
                  <c:v>103.8850032084946</c:v>
                </c:pt>
                <c:pt idx="85">
                  <c:v>103.6865555778247</c:v>
                </c:pt>
                <c:pt idx="86">
                  <c:v>103.4942045410223</c:v>
                </c:pt>
                <c:pt idx="87">
                  <c:v>103.3046074039346</c:v>
                </c:pt>
                <c:pt idx="88">
                  <c:v>103.1207747032154</c:v>
                </c:pt>
                <c:pt idx="89">
                  <c:v>102.9394481607649</c:v>
                </c:pt>
                <c:pt idx="90">
                  <c:v>103.1040401736976</c:v>
                </c:pt>
                <c:pt idx="91">
                  <c:v>102.9267930679613</c:v>
                </c:pt>
                <c:pt idx="92">
                  <c:v>102.7548023368043</c:v>
                </c:pt>
                <c:pt idx="93">
                  <c:v>102.5864324631454</c:v>
                </c:pt>
                <c:pt idx="94">
                  <c:v>110.5829938809621</c:v>
                </c:pt>
                <c:pt idx="95">
                  <c:v>110.334478490387</c:v>
                </c:pt>
                <c:pt idx="96">
                  <c:v>110.0924476372078</c:v>
                </c:pt>
                <c:pt idx="97">
                  <c:v>109.855306296214</c:v>
                </c:pt>
                <c:pt idx="98">
                  <c:v>109.6215232432037</c:v>
                </c:pt>
              </c:numCache>
            </c:numRef>
          </c:val>
          <c:smooth val="0"/>
        </c:ser>
        <c:ser>
          <c:idx val="3"/>
          <c:order val="3"/>
          <c:tx>
            <c:v>Land Applicaiton</c:v>
          </c:tx>
          <c:marker>
            <c:symbol val="none"/>
          </c:marker>
          <c:val>
            <c:numRef>
              <c:f>Inputs!$K$48:$K$146</c:f>
              <c:numCache>
                <c:formatCode>General</c:formatCode>
                <c:ptCount val="99"/>
                <c:pt idx="0">
                  <c:v>32.30089086820156</c:v>
                </c:pt>
                <c:pt idx="1">
                  <c:v>22.26586460959583</c:v>
                </c:pt>
                <c:pt idx="2">
                  <c:v>17.24841653189129</c:v>
                </c:pt>
                <c:pt idx="3">
                  <c:v>14.23796850178003</c:v>
                </c:pt>
                <c:pt idx="4">
                  <c:v>12.23101182191897</c:v>
                </c:pt>
                <c:pt idx="5">
                  <c:v>10.79747558457158</c:v>
                </c:pt>
                <c:pt idx="6">
                  <c:v>9.722325729832399</c:v>
                </c:pt>
                <c:pt idx="7">
                  <c:v>8.88609944178866</c:v>
                </c:pt>
                <c:pt idx="8">
                  <c:v>8.21711927870832</c:v>
                </c:pt>
                <c:pt idx="9">
                  <c:v>7.669772446009293</c:v>
                </c:pt>
                <c:pt idx="10">
                  <c:v>7.213650479678882</c:v>
                </c:pt>
                <c:pt idx="11">
                  <c:v>6.827701403495474</c:v>
                </c:pt>
                <c:pt idx="12">
                  <c:v>6.49688811386762</c:v>
                </c:pt>
                <c:pt idx="13">
                  <c:v>6.210183415358728</c:v>
                </c:pt>
                <c:pt idx="14">
                  <c:v>5.959316920327018</c:v>
                </c:pt>
                <c:pt idx="15">
                  <c:v>5.737964220629969</c:v>
                </c:pt>
                <c:pt idx="16">
                  <c:v>5.54120633620601</c:v>
                </c:pt>
                <c:pt idx="17">
                  <c:v>5.365159864570017</c:v>
                </c:pt>
                <c:pt idx="18">
                  <c:v>5.206718085747866</c:v>
                </c:pt>
                <c:pt idx="19">
                  <c:v>5.06336603741238</c:v>
                </c:pt>
                <c:pt idx="20">
                  <c:v>7.669753091814748</c:v>
                </c:pt>
                <c:pt idx="21">
                  <c:v>7.431778015399688</c:v>
                </c:pt>
                <c:pt idx="22">
                  <c:v>7.213634216779298</c:v>
                </c:pt>
                <c:pt idx="23">
                  <c:v>7.01294194014985</c:v>
                </c:pt>
                <c:pt idx="24">
                  <c:v>6.827687546350266</c:v>
                </c:pt>
                <c:pt idx="25">
                  <c:v>6.65615571341872</c:v>
                </c:pt>
                <c:pt idx="26">
                  <c:v>6.496876165614866</c:v>
                </c:pt>
                <c:pt idx="27">
                  <c:v>6.348581424033537</c:v>
                </c:pt>
                <c:pt idx="28">
                  <c:v>6.210173007102996</c:v>
                </c:pt>
                <c:pt idx="29">
                  <c:v>6.080694172927711</c:v>
                </c:pt>
                <c:pt idx="30">
                  <c:v>5.959307772446003</c:v>
                </c:pt>
                <c:pt idx="31">
                  <c:v>5.845278129289461</c:v>
                </c:pt>
                <c:pt idx="32">
                  <c:v>5.737956117316681</c:v>
                </c:pt>
                <c:pt idx="33">
                  <c:v>5.636766796285948</c:v>
                </c:pt>
                <c:pt idx="34">
                  <c:v>5.54119910825064</c:v>
                </c:pt>
                <c:pt idx="35">
                  <c:v>5.450797244810603</c:v>
                </c:pt>
                <c:pt idx="36">
                  <c:v>5.365153377430017</c:v>
                </c:pt>
                <c:pt idx="37">
                  <c:v>5.283901506168648</c:v>
                </c:pt>
                <c:pt idx="38">
                  <c:v>5.206712231104016</c:v>
                </c:pt>
                <c:pt idx="39">
                  <c:v>5.133288288911766</c:v>
                </c:pt>
                <c:pt idx="40">
                  <c:v>5.063360727077821</c:v>
                </c:pt>
                <c:pt idx="41">
                  <c:v>4.996685611941707</c:v>
                </c:pt>
                <c:pt idx="42">
                  <c:v>6.301394719454722</c:v>
                </c:pt>
                <c:pt idx="43">
                  <c:v>6.210171079648229</c:v>
                </c:pt>
                <c:pt idx="44">
                  <c:v>6.122913686541272</c:v>
                </c:pt>
                <c:pt idx="45">
                  <c:v>6.03936937535778</c:v>
                </c:pt>
                <c:pt idx="46">
                  <c:v>5.959306078393963</c:v>
                </c:pt>
                <c:pt idx="47">
                  <c:v>5.882510672255052</c:v>
                </c:pt>
                <c:pt idx="48">
                  <c:v>5.808787083423765</c:v>
                </c:pt>
                <c:pt idx="49">
                  <c:v>5.737954616703108</c:v>
                </c:pt>
                <c:pt idx="50">
                  <c:v>5.669846476531251</c:v>
                </c:pt>
                <c:pt idx="51">
                  <c:v>5.604308455694755</c:v>
                </c:pt>
                <c:pt idx="52">
                  <c:v>5.541197769740385</c:v>
                </c:pt>
                <c:pt idx="53">
                  <c:v>5.480382018542054</c:v>
                </c:pt>
                <c:pt idx="54">
                  <c:v>5.421738259128442</c:v>
                </c:pt>
                <c:pt idx="55">
                  <c:v>5.365152176107794</c:v>
                </c:pt>
                <c:pt idx="56">
                  <c:v>5.310517337910819</c:v>
                </c:pt>
                <c:pt idx="57">
                  <c:v>5.257734528669954</c:v>
                </c:pt>
                <c:pt idx="58">
                  <c:v>5.20671114691071</c:v>
                </c:pt>
                <c:pt idx="59">
                  <c:v>5.157360663388164</c:v>
                </c:pt>
                <c:pt idx="60">
                  <c:v>5.109602131390865</c:v>
                </c:pt>
                <c:pt idx="61">
                  <c:v>5.063359743682531</c:v>
                </c:pt>
                <c:pt idx="62">
                  <c:v>5.018562430980419</c:v>
                </c:pt>
                <c:pt idx="63">
                  <c:v>4.975143497497267</c:v>
                </c:pt>
                <c:pt idx="64">
                  <c:v>5.8452759788234</c:v>
                </c:pt>
                <c:pt idx="65">
                  <c:v>5.790814125393915</c:v>
                </c:pt>
                <c:pt idx="66">
                  <c:v>5.73795409148836</c:v>
                </c:pt>
                <c:pt idx="67">
                  <c:v>5.68662623276652</c:v>
                </c:pt>
                <c:pt idx="68">
                  <c:v>5.636764884565507</c:v>
                </c:pt>
                <c:pt idx="69">
                  <c:v>5.588308081640726</c:v>
                </c:pt>
                <c:pt idx="70">
                  <c:v>5.541197301261796</c:v>
                </c:pt>
                <c:pt idx="71">
                  <c:v>5.495377227423863</c:v>
                </c:pt>
                <c:pt idx="72">
                  <c:v>5.4507955341769</c:v>
                </c:pt>
                <c:pt idx="73">
                  <c:v>5.407402686288709</c:v>
                </c:pt>
                <c:pt idx="74">
                  <c:v>5.365151755645017</c:v>
                </c:pt>
                <c:pt idx="75">
                  <c:v>5.323998251956078</c:v>
                </c:pt>
                <c:pt idx="76">
                  <c:v>5.283899966485848</c:v>
                </c:pt>
                <c:pt idx="77">
                  <c:v>5.244816827649824</c:v>
                </c:pt>
                <c:pt idx="78">
                  <c:v>5.206710767443054</c:v>
                </c:pt>
                <c:pt idx="79">
                  <c:v>5.169545597762366</c:v>
                </c:pt>
                <c:pt idx="80">
                  <c:v>5.133286895778191</c:v>
                </c:pt>
                <c:pt idx="81">
                  <c:v>5.097901897592768</c:v>
                </c:pt>
                <c:pt idx="82">
                  <c:v>5.063359399494181</c:v>
                </c:pt>
                <c:pt idx="83">
                  <c:v>5.029629666180713</c:v>
                </c:pt>
                <c:pt idx="84">
                  <c:v>4.996684345388142</c:v>
                </c:pt>
                <c:pt idx="85">
                  <c:v>4.964496388404821</c:v>
                </c:pt>
                <c:pt idx="86">
                  <c:v>5.617216742911869</c:v>
                </c:pt>
                <c:pt idx="87">
                  <c:v>5.578779836884646</c:v>
                </c:pt>
                <c:pt idx="88">
                  <c:v>5.541197084423137</c:v>
                </c:pt>
                <c:pt idx="89">
                  <c:v>5.504440326615367</c:v>
                </c:pt>
                <c:pt idx="90">
                  <c:v>5.468482628850031</c:v>
                </c:pt>
                <c:pt idx="91">
                  <c:v>5.43329821499385</c:v>
                </c:pt>
                <c:pt idx="92">
                  <c:v>5.398862405770403</c:v>
                </c:pt>
                <c:pt idx="93">
                  <c:v>5.365151561030817</c:v>
                </c:pt>
                <c:pt idx="94">
                  <c:v>5.332143025632518</c:v>
                </c:pt>
                <c:pt idx="95">
                  <c:v>5.299815078665724</c:v>
                </c:pt>
                <c:pt idx="96">
                  <c:v>5.268146885788489</c:v>
                </c:pt>
                <c:pt idx="97">
                  <c:v>5.23711845445055</c:v>
                </c:pt>
                <c:pt idx="98">
                  <c:v>5.206710591803738</c:v>
                </c:pt>
              </c:numCache>
            </c:numRef>
          </c:val>
          <c:smooth val="0"/>
        </c:ser>
        <c:ser>
          <c:idx val="4"/>
          <c:order val="4"/>
          <c:tx>
            <c:v>Land Application and Haul Costs</c:v>
          </c:tx>
          <c:marker>
            <c:symbol val="none"/>
          </c:marker>
          <c:val>
            <c:numRef>
              <c:f>Inputs!$Q$48:$Q$146</c:f>
              <c:numCache>
                <c:formatCode>General</c:formatCode>
                <c:ptCount val="99"/>
                <c:pt idx="0">
                  <c:v>70.2913807811008</c:v>
                </c:pt>
                <c:pt idx="1">
                  <c:v>51.88540683819715</c:v>
                </c:pt>
                <c:pt idx="2">
                  <c:v>43.27234188455422</c:v>
                </c:pt>
                <c:pt idx="3">
                  <c:v>36.9722313641237</c:v>
                </c:pt>
                <c:pt idx="4">
                  <c:v>31.97211286501837</c:v>
                </c:pt>
                <c:pt idx="5">
                  <c:v>28.66940914300267</c:v>
                </c:pt>
                <c:pt idx="6">
                  <c:v>26.56898854807077</c:v>
                </c:pt>
                <c:pt idx="7">
                  <c:v>24.00262117401853</c:v>
                </c:pt>
                <c:pt idx="8">
                  <c:v>22.23981049692819</c:v>
                </c:pt>
                <c:pt idx="9">
                  <c:v>20.81212057441725</c:v>
                </c:pt>
                <c:pt idx="10">
                  <c:v>19.60898764673033</c:v>
                </c:pt>
                <c:pt idx="11">
                  <c:v>18.59095237247604</c:v>
                </c:pt>
                <c:pt idx="12">
                  <c:v>17.84458745890466</c:v>
                </c:pt>
                <c:pt idx="13">
                  <c:v>17.00676382007646</c:v>
                </c:pt>
                <c:pt idx="14">
                  <c:v>17.41418049455286</c:v>
                </c:pt>
                <c:pt idx="15">
                  <c:v>16.70024259873944</c:v>
                </c:pt>
                <c:pt idx="16">
                  <c:v>16.06563120665647</c:v>
                </c:pt>
                <c:pt idx="17">
                  <c:v>15.49782107027296</c:v>
                </c:pt>
                <c:pt idx="18">
                  <c:v>23.20028494133248</c:v>
                </c:pt>
                <c:pt idx="19">
                  <c:v>22.30107880061554</c:v>
                </c:pt>
                <c:pt idx="20">
                  <c:v>24.21344060572446</c:v>
                </c:pt>
                <c:pt idx="21">
                  <c:v>23.34179030169364</c:v>
                </c:pt>
                <c:pt idx="22">
                  <c:v>22.54277754442547</c:v>
                </c:pt>
                <c:pt idx="23">
                  <c:v>21.80768582584006</c:v>
                </c:pt>
                <c:pt idx="24">
                  <c:v>21.12913963946575</c:v>
                </c:pt>
                <c:pt idx="25">
                  <c:v>22.50652095500967</c:v>
                </c:pt>
                <c:pt idx="26">
                  <c:v>21.83261429163959</c:v>
                </c:pt>
                <c:pt idx="27">
                  <c:v>21.20518395970351</c:v>
                </c:pt>
                <c:pt idx="28">
                  <c:v>20.61958232510852</c:v>
                </c:pt>
                <c:pt idx="29">
                  <c:v>20.26613815740637</c:v>
                </c:pt>
                <c:pt idx="30">
                  <c:v>19.75148461872001</c:v>
                </c:pt>
                <c:pt idx="31">
                  <c:v>19.2631710106987</c:v>
                </c:pt>
                <c:pt idx="32">
                  <c:v>18.80358173767673</c:v>
                </c:pt>
                <c:pt idx="33">
                  <c:v>18.37025471337105</c:v>
                </c:pt>
                <c:pt idx="34">
                  <c:v>17.96100141668717</c:v>
                </c:pt>
                <c:pt idx="35">
                  <c:v>17.57386992344443</c:v>
                </c:pt>
                <c:pt idx="36">
                  <c:v>17.20711377519814</c:v>
                </c:pt>
                <c:pt idx="37">
                  <c:v>27.26173541408825</c:v>
                </c:pt>
                <c:pt idx="38">
                  <c:v>26.65856010467465</c:v>
                </c:pt>
                <c:pt idx="39">
                  <c:v>26.08480798346753</c:v>
                </c:pt>
                <c:pt idx="40">
                  <c:v>25.53837739400036</c:v>
                </c:pt>
                <c:pt idx="41">
                  <c:v>25.01736218274886</c:v>
                </c:pt>
                <c:pt idx="42">
                  <c:v>25.88838301669718</c:v>
                </c:pt>
                <c:pt idx="43">
                  <c:v>25.38274613770665</c:v>
                </c:pt>
                <c:pt idx="44">
                  <c:v>24.89909347233669</c:v>
                </c:pt>
                <c:pt idx="45">
                  <c:v>24.43602177281629</c:v>
                </c:pt>
                <c:pt idx="46">
                  <c:v>23.99550303610586</c:v>
                </c:pt>
                <c:pt idx="47">
                  <c:v>23.56977284580876</c:v>
                </c:pt>
                <c:pt idx="48">
                  <c:v>23.16107186418561</c:v>
                </c:pt>
                <c:pt idx="49">
                  <c:v>22.76839837301787</c:v>
                </c:pt>
                <c:pt idx="50">
                  <c:v>22.39082770933921</c:v>
                </c:pt>
                <c:pt idx="51">
                  <c:v>22.02750499607163</c:v>
                </c:pt>
                <c:pt idx="52">
                  <c:v>21.67763868036881</c:v>
                </c:pt>
                <c:pt idx="53">
                  <c:v>21.34049477686743</c:v>
                </c:pt>
                <c:pt idx="54">
                  <c:v>21.01539172773302</c:v>
                </c:pt>
                <c:pt idx="55">
                  <c:v>20.70169580375371</c:v>
                </c:pt>
                <c:pt idx="56">
                  <c:v>30.42297966970987</c:v>
                </c:pt>
                <c:pt idx="57">
                  <c:v>29.95765964767527</c:v>
                </c:pt>
                <c:pt idx="58">
                  <c:v>29.50527440429218</c:v>
                </c:pt>
                <c:pt idx="59">
                  <c:v>29.07025512600876</c:v>
                </c:pt>
                <c:pt idx="60">
                  <c:v>28.74396428646131</c:v>
                </c:pt>
                <c:pt idx="61">
                  <c:v>28.3348394324339</c:v>
                </c:pt>
                <c:pt idx="62">
                  <c:v>27.93849973048518</c:v>
                </c:pt>
                <c:pt idx="63">
                  <c:v>27.55197735272617</c:v>
                </c:pt>
                <c:pt idx="64">
                  <c:v>28.09174518135138</c:v>
                </c:pt>
                <c:pt idx="65">
                  <c:v>27.71447354014649</c:v>
                </c:pt>
                <c:pt idx="66">
                  <c:v>27.35057096744999</c:v>
                </c:pt>
                <c:pt idx="67">
                  <c:v>26.9949763919979</c:v>
                </c:pt>
                <c:pt idx="68">
                  <c:v>26.65174956690742</c:v>
                </c:pt>
                <c:pt idx="69">
                  <c:v>26.31601429552113</c:v>
                </c:pt>
                <c:pt idx="70">
                  <c:v>25.99175157851842</c:v>
                </c:pt>
                <c:pt idx="71">
                  <c:v>25.67425560254786</c:v>
                </c:pt>
                <c:pt idx="72">
                  <c:v>25.36742915797447</c:v>
                </c:pt>
                <c:pt idx="73">
                  <c:v>25.06878475212856</c:v>
                </c:pt>
                <c:pt idx="74">
                  <c:v>24.7759658130077</c:v>
                </c:pt>
                <c:pt idx="75">
                  <c:v>24.49275974723572</c:v>
                </c:pt>
                <c:pt idx="76">
                  <c:v>33.88855406495697</c:v>
                </c:pt>
                <c:pt idx="77">
                  <c:v>33.49515612058252</c:v>
                </c:pt>
                <c:pt idx="78">
                  <c:v>33.11159312497578</c:v>
                </c:pt>
                <c:pt idx="79">
                  <c:v>32.73560642428483</c:v>
                </c:pt>
                <c:pt idx="80">
                  <c:v>32.37066142515935</c:v>
                </c:pt>
                <c:pt idx="81">
                  <c:v>32.01266153319465</c:v>
                </c:pt>
                <c:pt idx="82">
                  <c:v>31.66501218777861</c:v>
                </c:pt>
                <c:pt idx="83">
                  <c:v>31.32554282708457</c:v>
                </c:pt>
                <c:pt idx="84">
                  <c:v>30.99218384565011</c:v>
                </c:pt>
                <c:pt idx="85">
                  <c:v>30.66825203764004</c:v>
                </c:pt>
                <c:pt idx="86">
                  <c:v>31.03585908318914</c:v>
                </c:pt>
                <c:pt idx="87">
                  <c:v>30.71699179520038</c:v>
                </c:pt>
                <c:pt idx="88">
                  <c:v>30.4069154038791</c:v>
                </c:pt>
                <c:pt idx="89">
                  <c:v>30.10365387839527</c:v>
                </c:pt>
                <c:pt idx="90">
                  <c:v>30.13279960083214</c:v>
                </c:pt>
                <c:pt idx="91">
                  <c:v>29.83900731051309</c:v>
                </c:pt>
                <c:pt idx="92">
                  <c:v>29.54983351458945</c:v>
                </c:pt>
                <c:pt idx="93">
                  <c:v>29.26836281039846</c:v>
                </c:pt>
                <c:pt idx="94">
                  <c:v>28.99275607928733</c:v>
                </c:pt>
                <c:pt idx="95">
                  <c:v>38.27698702300131</c:v>
                </c:pt>
                <c:pt idx="96">
                  <c:v>37.91349180891027</c:v>
                </c:pt>
                <c:pt idx="97">
                  <c:v>37.55733993254466</c:v>
                </c:pt>
                <c:pt idx="98">
                  <c:v>37.20831109377071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2191720"/>
        <c:axId val="-2132207032"/>
      </c:lineChart>
      <c:catAx>
        <c:axId val="-2132191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MGD,</a:t>
                </a:r>
                <a:r>
                  <a:rPr lang="en-US" baseline="0"/>
                  <a:t> plant inflow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2207032"/>
        <c:crosses val="autoZero"/>
        <c:auto val="1"/>
        <c:lblAlgn val="ctr"/>
        <c:lblOffset val="100"/>
        <c:noMultiLvlLbl val="0"/>
      </c:catAx>
      <c:valAx>
        <c:axId val="-2132207032"/>
        <c:scaling>
          <c:orientation val="minMax"/>
          <c:max val="200.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$/Wet Ton</a:t>
                </a:r>
              </a:p>
            </c:rich>
          </c:tx>
          <c:layout/>
          <c:overlay val="0"/>
        </c:title>
        <c:numFmt formatCode="&quot;$&quot;#,##0" sourceLinked="0"/>
        <c:majorTickMark val="out"/>
        <c:minorTickMark val="none"/>
        <c:tickLblPos val="nextTo"/>
        <c:crossAx val="-21321917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Sewage Sludge</a:t>
            </a:r>
            <a:r>
              <a:rPr lang="en-US" baseline="0"/>
              <a:t> Supply Curves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Primary Sludge</c:v>
          </c:tx>
          <c:marker>
            <c:symbol val="none"/>
          </c:marker>
          <c:xVal>
            <c:numRef>
              <c:f>'Supply Curves'!$K$2:$K$52</c:f>
              <c:numCache>
                <c:formatCode>_-* #,##0.00_-;\-* #,##0.00_-;_-* "-"??_-;_-@_-</c:formatCode>
                <c:ptCount val="51"/>
                <c:pt idx="0">
                  <c:v>143.2451882463166</c:v>
                </c:pt>
                <c:pt idx="1">
                  <c:v>1125.561718505236</c:v>
                </c:pt>
                <c:pt idx="2">
                  <c:v>1823.942003592882</c:v>
                </c:pt>
                <c:pt idx="3">
                  <c:v>2837.782454197663</c:v>
                </c:pt>
                <c:pt idx="4">
                  <c:v>11277.06000847121</c:v>
                </c:pt>
                <c:pt idx="5">
                  <c:v>12315.86441981416</c:v>
                </c:pt>
                <c:pt idx="6">
                  <c:v>13241.33667857211</c:v>
                </c:pt>
                <c:pt idx="7">
                  <c:v>14120.43304034251</c:v>
                </c:pt>
                <c:pt idx="8">
                  <c:v>14367.79174905579</c:v>
                </c:pt>
                <c:pt idx="9">
                  <c:v>18231.3133419116</c:v>
                </c:pt>
                <c:pt idx="10">
                  <c:v>20144.71409202713</c:v>
                </c:pt>
                <c:pt idx="11">
                  <c:v>20471.84723166691</c:v>
                </c:pt>
                <c:pt idx="12">
                  <c:v>21352.67565086361</c:v>
                </c:pt>
                <c:pt idx="13">
                  <c:v>21677.99832718536</c:v>
                </c:pt>
                <c:pt idx="14">
                  <c:v>27170.47359872116</c:v>
                </c:pt>
                <c:pt idx="15">
                  <c:v>29465.91774798153</c:v>
                </c:pt>
                <c:pt idx="16">
                  <c:v>30192.52177815423</c:v>
                </c:pt>
                <c:pt idx="17">
                  <c:v>31195.07890815888</c:v>
                </c:pt>
                <c:pt idx="18">
                  <c:v>32422.10497836521</c:v>
                </c:pt>
                <c:pt idx="19">
                  <c:v>34198.78961267265</c:v>
                </c:pt>
                <c:pt idx="20">
                  <c:v>35288.50320710655</c:v>
                </c:pt>
                <c:pt idx="21">
                  <c:v>35611.60675909886</c:v>
                </c:pt>
                <c:pt idx="22">
                  <c:v>38853.04175138812</c:v>
                </c:pt>
                <c:pt idx="23">
                  <c:v>40045.61437202139</c:v>
                </c:pt>
                <c:pt idx="24">
                  <c:v>41964.26594094641</c:v>
                </c:pt>
                <c:pt idx="25">
                  <c:v>42584.059763164</c:v>
                </c:pt>
                <c:pt idx="26">
                  <c:v>42773.48839757273</c:v>
                </c:pt>
                <c:pt idx="27">
                  <c:v>44324.9295365057</c:v>
                </c:pt>
                <c:pt idx="28">
                  <c:v>44466.83944865657</c:v>
                </c:pt>
                <c:pt idx="29">
                  <c:v>44924.54215738037</c:v>
                </c:pt>
                <c:pt idx="30">
                  <c:v>45157.20807717153</c:v>
                </c:pt>
                <c:pt idx="31">
                  <c:v>47994.64364469671</c:v>
                </c:pt>
                <c:pt idx="32">
                  <c:v>48432.08437024977</c:v>
                </c:pt>
                <c:pt idx="33">
                  <c:v>49094.89689172741</c:v>
                </c:pt>
                <c:pt idx="34">
                  <c:v>55659.39928927274</c:v>
                </c:pt>
                <c:pt idx="35">
                  <c:v>60119.34737267582</c:v>
                </c:pt>
                <c:pt idx="36">
                  <c:v>60997.94953973474</c:v>
                </c:pt>
                <c:pt idx="37">
                  <c:v>61986.3365867621</c:v>
                </c:pt>
                <c:pt idx="38">
                  <c:v>65856.80066493975</c:v>
                </c:pt>
                <c:pt idx="39">
                  <c:v>66170.8994190642</c:v>
                </c:pt>
                <c:pt idx="40">
                  <c:v>67368.97470773494</c:v>
                </c:pt>
                <c:pt idx="41">
                  <c:v>67513.9947202576</c:v>
                </c:pt>
                <c:pt idx="42">
                  <c:v>69275.8226260511</c:v>
                </c:pt>
                <c:pt idx="43">
                  <c:v>75276.1780010789</c:v>
                </c:pt>
                <c:pt idx="44">
                  <c:v>75861.1809907954</c:v>
                </c:pt>
                <c:pt idx="45">
                  <c:v>77623.27737736967</c:v>
                </c:pt>
                <c:pt idx="46">
                  <c:v>77732.40887490707</c:v>
                </c:pt>
                <c:pt idx="47">
                  <c:v>79301.18246778358</c:v>
                </c:pt>
                <c:pt idx="48">
                  <c:v>80843.82076341827</c:v>
                </c:pt>
                <c:pt idx="49">
                  <c:v>81236.07831191245</c:v>
                </c:pt>
                <c:pt idx="50">
                  <c:v>81359.58422293285</c:v>
                </c:pt>
              </c:numCache>
            </c:numRef>
          </c:xVal>
          <c:yVal>
            <c:numRef>
              <c:f>'Supply Curves'!$E$2:$E$52</c:f>
              <c:numCache>
                <c:formatCode>General</c:formatCode>
                <c:ptCount val="51"/>
                <c:pt idx="0">
                  <c:v>-36.56682</c:v>
                </c:pt>
                <c:pt idx="1">
                  <c:v>-72.41202</c:v>
                </c:pt>
                <c:pt idx="2">
                  <c:v>-107.76582</c:v>
                </c:pt>
                <c:pt idx="3">
                  <c:v>-143.94582</c:v>
                </c:pt>
                <c:pt idx="4">
                  <c:v>-181.38582</c:v>
                </c:pt>
                <c:pt idx="5">
                  <c:v>-217.82142</c:v>
                </c:pt>
                <c:pt idx="6">
                  <c:v>-254.69262</c:v>
                </c:pt>
                <c:pt idx="7">
                  <c:v>-291.18042</c:v>
                </c:pt>
                <c:pt idx="8">
                  <c:v>-327.2722199999999</c:v>
                </c:pt>
                <c:pt idx="9">
                  <c:v>-363.3928199999999</c:v>
                </c:pt>
                <c:pt idx="10">
                  <c:v>-398.8726199999999</c:v>
                </c:pt>
                <c:pt idx="11">
                  <c:v>-434.5180199999999</c:v>
                </c:pt>
                <c:pt idx="12">
                  <c:v>-470.4442199999999</c:v>
                </c:pt>
                <c:pt idx="13">
                  <c:v>-506.3452199999999</c:v>
                </c:pt>
                <c:pt idx="14">
                  <c:v>-542.92302</c:v>
                </c:pt>
                <c:pt idx="15">
                  <c:v>-578.69442</c:v>
                </c:pt>
                <c:pt idx="16">
                  <c:v>-614.1670199999999</c:v>
                </c:pt>
                <c:pt idx="17">
                  <c:v>-649.6558199999998</c:v>
                </c:pt>
                <c:pt idx="18">
                  <c:v>-685.0204199999998</c:v>
                </c:pt>
                <c:pt idx="19">
                  <c:v>-721.3426199999998</c:v>
                </c:pt>
                <c:pt idx="20">
                  <c:v>-757.3354199999998</c:v>
                </c:pt>
                <c:pt idx="21">
                  <c:v>-793.5010199999998</c:v>
                </c:pt>
                <c:pt idx="22">
                  <c:v>-829.5946199999998</c:v>
                </c:pt>
                <c:pt idx="23">
                  <c:v>-865.9258199999998</c:v>
                </c:pt>
                <c:pt idx="24">
                  <c:v>-901.8574199999998</c:v>
                </c:pt>
                <c:pt idx="25">
                  <c:v>-937.2004199999998</c:v>
                </c:pt>
                <c:pt idx="26">
                  <c:v>-973.1608199999998</c:v>
                </c:pt>
                <c:pt idx="27">
                  <c:v>-1008.96822</c:v>
                </c:pt>
                <c:pt idx="28">
                  <c:v>-1044.85842</c:v>
                </c:pt>
                <c:pt idx="29">
                  <c:v>-1080.65682</c:v>
                </c:pt>
                <c:pt idx="30">
                  <c:v>-1116.84222</c:v>
                </c:pt>
                <c:pt idx="31">
                  <c:v>-1153.70442</c:v>
                </c:pt>
                <c:pt idx="32">
                  <c:v>-1189.18962</c:v>
                </c:pt>
                <c:pt idx="33">
                  <c:v>-1226.52342</c:v>
                </c:pt>
                <c:pt idx="34">
                  <c:v>-1262.94282</c:v>
                </c:pt>
                <c:pt idx="35">
                  <c:v>-1299.00222</c:v>
                </c:pt>
                <c:pt idx="36">
                  <c:v>-1334.34522</c:v>
                </c:pt>
                <c:pt idx="37">
                  <c:v>-1371.04542</c:v>
                </c:pt>
                <c:pt idx="38">
                  <c:v>-1407.35502</c:v>
                </c:pt>
                <c:pt idx="39">
                  <c:v>-1443.46482</c:v>
                </c:pt>
                <c:pt idx="40">
                  <c:v>-1479.31722</c:v>
                </c:pt>
                <c:pt idx="41">
                  <c:v>-1515.02742</c:v>
                </c:pt>
                <c:pt idx="42">
                  <c:v>-1550.65302</c:v>
                </c:pt>
                <c:pt idx="43">
                  <c:v>-1586.22444</c:v>
                </c:pt>
                <c:pt idx="44">
                  <c:v>-1622.37024</c:v>
                </c:pt>
                <c:pt idx="45">
                  <c:v>-1658.39904</c:v>
                </c:pt>
                <c:pt idx="46">
                  <c:v>-1694.31624</c:v>
                </c:pt>
                <c:pt idx="47">
                  <c:v>-1731.50244</c:v>
                </c:pt>
                <c:pt idx="48">
                  <c:v>-1767.57444</c:v>
                </c:pt>
                <c:pt idx="49">
                  <c:v>-1802.94264</c:v>
                </c:pt>
                <c:pt idx="50">
                  <c:v>-1839.30264</c:v>
                </c:pt>
              </c:numCache>
            </c:numRef>
          </c:yVal>
          <c:smooth val="1"/>
        </c:ser>
        <c:ser>
          <c:idx val="1"/>
          <c:order val="1"/>
          <c:tx>
            <c:v>Secondary Sludge</c:v>
          </c:tx>
          <c:marker>
            <c:symbol val="none"/>
          </c:marker>
          <c:xVal>
            <c:numRef>
              <c:f>'Supply Curves'!$N$2:$N$52</c:f>
              <c:numCache>
                <c:formatCode>_-* #,##0.00_-;\-* #,##0.00_-;_-* "-"??_-;_-@_-</c:formatCode>
                <c:ptCount val="51"/>
                <c:pt idx="0">
                  <c:v>98.80245035451068</c:v>
                </c:pt>
                <c:pt idx="1">
                  <c:v>776.3489801997638</c:v>
                </c:pt>
                <c:pt idx="2">
                  <c:v>1258.052305042266</c:v>
                </c:pt>
                <c:pt idx="3">
                  <c:v>1957.342256869667</c:v>
                </c:pt>
                <c:pt idx="4">
                  <c:v>7778.279851996766</c:v>
                </c:pt>
                <c:pt idx="5">
                  <c:v>8494.788535717927</c:v>
                </c:pt>
                <c:pt idx="6">
                  <c:v>9133.127093681745</c:v>
                </c:pt>
                <c:pt idx="7">
                  <c:v>9739.478173979787</c:v>
                </c:pt>
                <c:pt idx="8">
                  <c:v>9910.092257682028</c:v>
                </c:pt>
                <c:pt idx="9">
                  <c:v>12574.93151019025</c:v>
                </c:pt>
                <c:pt idx="10">
                  <c:v>13894.68741219301</c:v>
                </c:pt>
                <c:pt idx="11">
                  <c:v>14120.32539825224</c:v>
                </c:pt>
                <c:pt idx="12">
                  <c:v>14727.87115405714</c:v>
                </c:pt>
                <c:pt idx="13">
                  <c:v>14952.2603846483</c:v>
                </c:pt>
                <c:pt idx="14">
                  <c:v>18740.65999501526</c:v>
                </c:pt>
                <c:pt idx="15">
                  <c:v>20323.92788258201</c:v>
                </c:pt>
                <c:pt idx="16">
                  <c:v>20825.09835467549</c:v>
                </c:pt>
                <c:pt idx="17">
                  <c:v>21516.60570844793</c:v>
                </c:pt>
                <c:pt idx="18">
                  <c:v>22362.93907482101</c:v>
                </c:pt>
                <c:pt idx="19">
                  <c:v>23588.3959123305</c:v>
                </c:pt>
                <c:pt idx="20">
                  <c:v>24340.01887874773</c:v>
                </c:pt>
                <c:pt idx="21">
                  <c:v>24562.87748255782</c:v>
                </c:pt>
                <c:pt idx="22">
                  <c:v>26798.63649005989</c:v>
                </c:pt>
                <c:pt idx="23">
                  <c:v>27621.20581044539</c:v>
                </c:pt>
                <c:pt idx="24">
                  <c:v>28944.5834310629</c:v>
                </c:pt>
                <c:pt idx="25">
                  <c:v>29372.08224690016</c:v>
                </c:pt>
                <c:pt idx="26">
                  <c:v>29502.73943319746</c:v>
                </c:pt>
                <c:pt idx="27">
                  <c:v>30572.83601364097</c:v>
                </c:pt>
                <c:pt idx="28">
                  <c:v>30670.71746586811</c:v>
                </c:pt>
                <c:pt idx="29">
                  <c:v>30986.41497521863</c:v>
                </c:pt>
                <c:pt idx="30">
                  <c:v>31146.89480194638</c:v>
                </c:pt>
                <c:pt idx="31">
                  <c:v>33103.99779595734</c:v>
                </c:pt>
                <c:pt idx="32">
                  <c:v>33405.71973230035</c:v>
                </c:pt>
                <c:pt idx="33">
                  <c:v>33862.89042019133</c:v>
                </c:pt>
                <c:pt idx="34">
                  <c:v>38390.71386875462</c:v>
                </c:pt>
                <c:pt idx="35">
                  <c:v>41466.93446987109</c:v>
                </c:pt>
                <c:pt idx="36">
                  <c:v>42072.94468253481</c:v>
                </c:pt>
                <c:pt idx="37">
                  <c:v>42754.67831240752</c:v>
                </c:pt>
                <c:pt idx="38">
                  <c:v>45424.30609966336</c:v>
                </c:pt>
                <c:pt idx="39">
                  <c:v>45640.95370186715</c:v>
                </c:pt>
                <c:pt idx="40">
                  <c:v>46467.318452258</c:v>
                </c:pt>
                <c:pt idx="41">
                  <c:v>46567.34507628002</c:v>
                </c:pt>
                <c:pt idx="42">
                  <c:v>47782.55458053247</c:v>
                </c:pt>
                <c:pt idx="43">
                  <c:v>51921.26123664135</c:v>
                </c:pt>
                <c:pt idx="44">
                  <c:v>52324.76329877914</c:v>
                </c:pt>
                <c:pt idx="45">
                  <c:v>53540.15798592909</c:v>
                </c:pt>
                <c:pt idx="46">
                  <c:v>53615.43073679463</c:v>
                </c:pt>
                <c:pt idx="47">
                  <c:v>54697.48226624022</c:v>
                </c:pt>
                <c:pt idx="48">
                  <c:v>55761.50714194723</c:v>
                </c:pt>
                <c:pt idx="49">
                  <c:v>56032.06427154962</c:v>
                </c:pt>
                <c:pt idx="50">
                  <c:v>56117.25168197139</c:v>
                </c:pt>
              </c:numCache>
            </c:numRef>
          </c:xVal>
          <c:yVal>
            <c:numRef>
              <c:f>'Supply Curves'!$E$2:$E$52</c:f>
              <c:numCache>
                <c:formatCode>General</c:formatCode>
                <c:ptCount val="51"/>
                <c:pt idx="0">
                  <c:v>-36.56682</c:v>
                </c:pt>
                <c:pt idx="1">
                  <c:v>-72.41202</c:v>
                </c:pt>
                <c:pt idx="2">
                  <c:v>-107.76582</c:v>
                </c:pt>
                <c:pt idx="3">
                  <c:v>-143.94582</c:v>
                </c:pt>
                <c:pt idx="4">
                  <c:v>-181.38582</c:v>
                </c:pt>
                <c:pt idx="5">
                  <c:v>-217.82142</c:v>
                </c:pt>
                <c:pt idx="6">
                  <c:v>-254.69262</c:v>
                </c:pt>
                <c:pt idx="7">
                  <c:v>-291.18042</c:v>
                </c:pt>
                <c:pt idx="8">
                  <c:v>-327.2722199999999</c:v>
                </c:pt>
                <c:pt idx="9">
                  <c:v>-363.3928199999999</c:v>
                </c:pt>
                <c:pt idx="10">
                  <c:v>-398.8726199999999</c:v>
                </c:pt>
                <c:pt idx="11">
                  <c:v>-434.5180199999999</c:v>
                </c:pt>
                <c:pt idx="12">
                  <c:v>-470.4442199999999</c:v>
                </c:pt>
                <c:pt idx="13">
                  <c:v>-506.3452199999999</c:v>
                </c:pt>
                <c:pt idx="14">
                  <c:v>-542.92302</c:v>
                </c:pt>
                <c:pt idx="15">
                  <c:v>-578.69442</c:v>
                </c:pt>
                <c:pt idx="16">
                  <c:v>-614.1670199999999</c:v>
                </c:pt>
                <c:pt idx="17">
                  <c:v>-649.6558199999998</c:v>
                </c:pt>
                <c:pt idx="18">
                  <c:v>-685.0204199999998</c:v>
                </c:pt>
                <c:pt idx="19">
                  <c:v>-721.3426199999998</c:v>
                </c:pt>
                <c:pt idx="20">
                  <c:v>-757.3354199999998</c:v>
                </c:pt>
                <c:pt idx="21">
                  <c:v>-793.5010199999998</c:v>
                </c:pt>
                <c:pt idx="22">
                  <c:v>-829.5946199999998</c:v>
                </c:pt>
                <c:pt idx="23">
                  <c:v>-865.9258199999998</c:v>
                </c:pt>
                <c:pt idx="24">
                  <c:v>-901.8574199999998</c:v>
                </c:pt>
                <c:pt idx="25">
                  <c:v>-937.2004199999998</c:v>
                </c:pt>
                <c:pt idx="26">
                  <c:v>-973.1608199999998</c:v>
                </c:pt>
                <c:pt idx="27">
                  <c:v>-1008.96822</c:v>
                </c:pt>
                <c:pt idx="28">
                  <c:v>-1044.85842</c:v>
                </c:pt>
                <c:pt idx="29">
                  <c:v>-1080.65682</c:v>
                </c:pt>
                <c:pt idx="30">
                  <c:v>-1116.84222</c:v>
                </c:pt>
                <c:pt idx="31">
                  <c:v>-1153.70442</c:v>
                </c:pt>
                <c:pt idx="32">
                  <c:v>-1189.18962</c:v>
                </c:pt>
                <c:pt idx="33">
                  <c:v>-1226.52342</c:v>
                </c:pt>
                <c:pt idx="34">
                  <c:v>-1262.94282</c:v>
                </c:pt>
                <c:pt idx="35">
                  <c:v>-1299.00222</c:v>
                </c:pt>
                <c:pt idx="36">
                  <c:v>-1334.34522</c:v>
                </c:pt>
                <c:pt idx="37">
                  <c:v>-1371.04542</c:v>
                </c:pt>
                <c:pt idx="38">
                  <c:v>-1407.35502</c:v>
                </c:pt>
                <c:pt idx="39">
                  <c:v>-1443.46482</c:v>
                </c:pt>
                <c:pt idx="40">
                  <c:v>-1479.31722</c:v>
                </c:pt>
                <c:pt idx="41">
                  <c:v>-1515.02742</c:v>
                </c:pt>
                <c:pt idx="42">
                  <c:v>-1550.65302</c:v>
                </c:pt>
                <c:pt idx="43">
                  <c:v>-1586.22444</c:v>
                </c:pt>
                <c:pt idx="44">
                  <c:v>-1622.37024</c:v>
                </c:pt>
                <c:pt idx="45">
                  <c:v>-1658.39904</c:v>
                </c:pt>
                <c:pt idx="46">
                  <c:v>-1694.31624</c:v>
                </c:pt>
                <c:pt idx="47">
                  <c:v>-1731.50244</c:v>
                </c:pt>
                <c:pt idx="48">
                  <c:v>-1767.57444</c:v>
                </c:pt>
                <c:pt idx="49">
                  <c:v>-1802.94264</c:v>
                </c:pt>
                <c:pt idx="50">
                  <c:v>-1839.30264</c:v>
                </c:pt>
              </c:numCache>
            </c:numRef>
          </c:yVal>
          <c:smooth val="1"/>
        </c:ser>
        <c:ser>
          <c:idx val="2"/>
          <c:order val="2"/>
          <c:tx>
            <c:v>Literature Cost Data</c:v>
          </c:tx>
          <c:marker>
            <c:symbol val="none"/>
          </c:marker>
          <c:xVal>
            <c:numRef>
              <c:f>'Supply Curves'!$T$16:$T$31</c:f>
              <c:numCache>
                <c:formatCode>_-* #,##0.00_-;\-* #,##0.00_-;_-* "-"??_-;_-@_-</c:formatCode>
                <c:ptCount val="16"/>
                <c:pt idx="0">
                  <c:v>3870.464078177657</c:v>
                </c:pt>
                <c:pt idx="1">
                  <c:v>4909.268489520605</c:v>
                </c:pt>
                <c:pt idx="2">
                  <c:v>10909.62386454838</c:v>
                </c:pt>
                <c:pt idx="3">
                  <c:v>19348.90141882193</c:v>
                </c:pt>
                <c:pt idx="4">
                  <c:v>19581.56733861309</c:v>
                </c:pt>
                <c:pt idx="5">
                  <c:v>19690.69883615049</c:v>
                </c:pt>
                <c:pt idx="6">
                  <c:v>22932.13382843975</c:v>
                </c:pt>
                <c:pt idx="7">
                  <c:v>23075.37901668607</c:v>
                </c:pt>
                <c:pt idx="8">
                  <c:v>24063.76606371342</c:v>
                </c:pt>
                <c:pt idx="9">
                  <c:v>27927.28765656923</c:v>
                </c:pt>
                <c:pt idx="10">
                  <c:v>28941.12810717402</c:v>
                </c:pt>
                <c:pt idx="11">
                  <c:v>30854.52885728954</c:v>
                </c:pt>
                <c:pt idx="12">
                  <c:v>32423.30245016605</c:v>
                </c:pt>
                <c:pt idx="13">
                  <c:v>33513.01604459995</c:v>
                </c:pt>
                <c:pt idx="14">
                  <c:v>34175.8285660776</c:v>
                </c:pt>
                <c:pt idx="15">
                  <c:v>34498.93211806991</c:v>
                </c:pt>
              </c:numCache>
            </c:numRef>
          </c:xVal>
          <c:yVal>
            <c:numRef>
              <c:f>'Supply Curves'!$U$16:$U$31</c:f>
              <c:numCache>
                <c:formatCode>General</c:formatCode>
                <c:ptCount val="16"/>
                <c:pt idx="0">
                  <c:v>-46.8576</c:v>
                </c:pt>
                <c:pt idx="1">
                  <c:v>-96.7176</c:v>
                </c:pt>
                <c:pt idx="2">
                  <c:v>-125.7786</c:v>
                </c:pt>
                <c:pt idx="3">
                  <c:v>-180.369</c:v>
                </c:pt>
                <c:pt idx="4">
                  <c:v>-220.369</c:v>
                </c:pt>
                <c:pt idx="5">
                  <c:v>-313.369</c:v>
                </c:pt>
                <c:pt idx="6">
                  <c:v>-369.369</c:v>
                </c:pt>
                <c:pt idx="7">
                  <c:v>-457.369</c:v>
                </c:pt>
                <c:pt idx="8">
                  <c:v>-597.369</c:v>
                </c:pt>
                <c:pt idx="9">
                  <c:v>-613.679</c:v>
                </c:pt>
                <c:pt idx="10">
                  <c:v>-643.679</c:v>
                </c:pt>
                <c:pt idx="11">
                  <c:v>-675.679</c:v>
                </c:pt>
                <c:pt idx="12">
                  <c:v>-712.279</c:v>
                </c:pt>
                <c:pt idx="13">
                  <c:v>-750.179</c:v>
                </c:pt>
                <c:pt idx="14">
                  <c:v>-761.179</c:v>
                </c:pt>
                <c:pt idx="15">
                  <c:v>-793.679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337208"/>
        <c:axId val="-2132340744"/>
      </c:scatterChart>
      <c:valAx>
        <c:axId val="-2132337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Thousands of</a:t>
                </a:r>
                <a:r>
                  <a:rPr lang="en-US" baseline="0"/>
                  <a:t> Wet Tons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789071447352033"/>
              <c:y val="0.131313131313131"/>
            </c:manualLayout>
          </c:layout>
          <c:overlay val="0"/>
        </c:title>
        <c:numFmt formatCode="_-* #,##0_-;\-* #,##0_-;_-* &quot;-&quot;_-;_-@_-" sourceLinked="0"/>
        <c:majorTickMark val="out"/>
        <c:minorTickMark val="none"/>
        <c:tickLblPos val="high"/>
        <c:crossAx val="-2132340744"/>
        <c:crosses val="autoZero"/>
        <c:crossBetween val="midCat"/>
      </c:valAx>
      <c:valAx>
        <c:axId val="-2132340744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Cost per wet ton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2337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Land Application Sensitivity</a:t>
            </a:r>
            <a:r>
              <a:rPr lang="en-US" baseline="0"/>
              <a:t> Analysis</a:t>
            </a:r>
            <a:endParaRPr lang="en-US"/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Analysis'!$E$6</c:f>
              <c:strCache>
                <c:ptCount val="1"/>
                <c:pt idx="0">
                  <c:v>0.5</c:v>
                </c:pt>
              </c:strCache>
            </c:strRef>
          </c:tx>
          <c:invertIfNegative val="0"/>
          <c:cat>
            <c:strRef>
              <c:f>'Sensitivity Analysis'!$D$7:$D$13</c:f>
              <c:strCache>
                <c:ptCount val="7"/>
                <c:pt idx="0">
                  <c:v>MGD Plant Flow +/- 50%</c:v>
                </c:pt>
                <c:pt idx="1">
                  <c:v>Haul Distance +/- 50%</c:v>
                </c:pt>
                <c:pt idx="2">
                  <c:v>Type of Land Applied (Forest, Ag, etc.)</c:v>
                </c:pt>
                <c:pt idx="3">
                  <c:v>Travel Type (Urban, Rural, Hghwy)</c:v>
                </c:pt>
                <c:pt idx="4">
                  <c:v>Suspended Solids +/- 50%</c:v>
                </c:pt>
                <c:pt idx="5">
                  <c:v>Wage +/- 50%</c:v>
                </c:pt>
                <c:pt idx="6">
                  <c:v>Interest Rate +/- 50%</c:v>
                </c:pt>
              </c:strCache>
            </c:strRef>
          </c:cat>
          <c:val>
            <c:numRef>
              <c:f>'Sensitivity Analysis'!$E$7:$E$13</c:f>
              <c:numCache>
                <c:formatCode>General</c:formatCode>
                <c:ptCount val="7"/>
                <c:pt idx="0">
                  <c:v>21.12731970028305</c:v>
                </c:pt>
                <c:pt idx="1">
                  <c:v>22.45318403774413</c:v>
                </c:pt>
                <c:pt idx="2">
                  <c:v>14.40094168877868</c:v>
                </c:pt>
                <c:pt idx="3">
                  <c:v>70.2913807811008</c:v>
                </c:pt>
                <c:pt idx="4">
                  <c:v>22.21025261855412</c:v>
                </c:pt>
                <c:pt idx="5">
                  <c:v>20.78749854749461</c:v>
                </c:pt>
                <c:pt idx="6">
                  <c:v>17.5933850972159</c:v>
                </c:pt>
              </c:numCache>
            </c:numRef>
          </c:val>
        </c:ser>
        <c:ser>
          <c:idx val="1"/>
          <c:order val="1"/>
          <c:tx>
            <c:strRef>
              <c:f>'Sensitivity Analysis'!$F$6</c:f>
              <c:strCache>
                <c:ptCount val="1"/>
                <c:pt idx="0">
                  <c:v>1.5</c:v>
                </c:pt>
              </c:strCache>
            </c:strRef>
          </c:tx>
          <c:invertIfNegative val="0"/>
          <c:cat>
            <c:strRef>
              <c:f>'Sensitivity Analysis'!$D$7:$D$13</c:f>
              <c:strCache>
                <c:ptCount val="7"/>
                <c:pt idx="0">
                  <c:v>MGD Plant Flow +/- 50%</c:v>
                </c:pt>
                <c:pt idx="1">
                  <c:v>Haul Distance +/- 50%</c:v>
                </c:pt>
                <c:pt idx="2">
                  <c:v>Type of Land Applied (Forest, Ag, etc.)</c:v>
                </c:pt>
                <c:pt idx="3">
                  <c:v>Travel Type (Urban, Rural, Hghwy)</c:v>
                </c:pt>
                <c:pt idx="4">
                  <c:v>Suspended Solids +/- 50%</c:v>
                </c:pt>
                <c:pt idx="5">
                  <c:v>Wage +/- 50%</c:v>
                </c:pt>
                <c:pt idx="6">
                  <c:v>Interest Rate +/- 50%</c:v>
                </c:pt>
              </c:strCache>
            </c:strRef>
          </c:cat>
          <c:val>
            <c:numRef>
              <c:f>'Sensitivity Analysis'!$F$7:$F$13</c:f>
              <c:numCache>
                <c:formatCode>General</c:formatCode>
                <c:ptCount val="7"/>
                <c:pt idx="0">
                  <c:v>24.65491512486103</c:v>
                </c:pt>
                <c:pt idx="1">
                  <c:v>22.9219247186287</c:v>
                </c:pt>
                <c:pt idx="2">
                  <c:v>34.47537359663932</c:v>
                </c:pt>
                <c:pt idx="3">
                  <c:v>34.4638837251279</c:v>
                </c:pt>
                <c:pt idx="4">
                  <c:v>23.16485613781871</c:v>
                </c:pt>
                <c:pt idx="5">
                  <c:v>24.58761020887822</c:v>
                </c:pt>
                <c:pt idx="6">
                  <c:v>28.47771868342011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2479096"/>
        <c:axId val="-2132495160"/>
      </c:barChart>
      <c:catAx>
        <c:axId val="-2132479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32495160"/>
        <c:crossesAt val="22.6875544"/>
        <c:auto val="1"/>
        <c:lblAlgn val="ctr"/>
        <c:lblOffset val="100"/>
        <c:noMultiLvlLbl val="0"/>
      </c:catAx>
      <c:valAx>
        <c:axId val="-2132495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Cost/Wet</a:t>
                </a:r>
                <a:r>
                  <a:rPr lang="en-US" baseline="0"/>
                  <a:t> Ton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2479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Anaerobic Digestion Sensitivity</a:t>
            </a:r>
            <a:r>
              <a:rPr lang="en-US" baseline="0"/>
              <a:t> Analysis</a:t>
            </a:r>
            <a:endParaRPr lang="en-US"/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Analysis'!$I$6</c:f>
              <c:strCache>
                <c:ptCount val="1"/>
                <c:pt idx="0">
                  <c:v>0.5</c:v>
                </c:pt>
              </c:strCache>
            </c:strRef>
          </c:tx>
          <c:invertIfNegative val="0"/>
          <c:cat>
            <c:strRef>
              <c:f>'Sensitivity Analysis'!$H$7:$H$10</c:f>
              <c:strCache>
                <c:ptCount val="4"/>
                <c:pt idx="0">
                  <c:v>MGD Plant Flow +/- 50%</c:v>
                </c:pt>
                <c:pt idx="1">
                  <c:v>Suspended Solids +/- 50%</c:v>
                </c:pt>
                <c:pt idx="2">
                  <c:v>Interest Rate +/- 50%</c:v>
                </c:pt>
                <c:pt idx="3">
                  <c:v>Wage +/- 50%</c:v>
                </c:pt>
              </c:strCache>
            </c:strRef>
          </c:cat>
          <c:val>
            <c:numRef>
              <c:f>'Sensitivity Analysis'!$I$7:$I$10</c:f>
              <c:numCache>
                <c:formatCode>General</c:formatCode>
                <c:ptCount val="4"/>
                <c:pt idx="0">
                  <c:v>4.003233143381567</c:v>
                </c:pt>
                <c:pt idx="1">
                  <c:v>2.469326645052223</c:v>
                </c:pt>
                <c:pt idx="2">
                  <c:v>1.845246443725965</c:v>
                </c:pt>
                <c:pt idx="3">
                  <c:v>2.461908423636044</c:v>
                </c:pt>
              </c:numCache>
            </c:numRef>
          </c:val>
        </c:ser>
        <c:ser>
          <c:idx val="3"/>
          <c:order val="1"/>
          <c:tx>
            <c:strRef>
              <c:f>'Sensitivity Analysis'!$J$6</c:f>
              <c:strCache>
                <c:ptCount val="1"/>
                <c:pt idx="0">
                  <c:v>1.5</c:v>
                </c:pt>
              </c:strCache>
            </c:strRef>
          </c:tx>
          <c:invertIfNegative val="0"/>
          <c:cat>
            <c:strRef>
              <c:f>'Sensitivity Analysis'!$H$7:$H$10</c:f>
              <c:strCache>
                <c:ptCount val="4"/>
                <c:pt idx="0">
                  <c:v>MGD Plant Flow +/- 50%</c:v>
                </c:pt>
                <c:pt idx="1">
                  <c:v>Suspended Solids +/- 50%</c:v>
                </c:pt>
                <c:pt idx="2">
                  <c:v>Interest Rate +/- 50%</c:v>
                </c:pt>
                <c:pt idx="3">
                  <c:v>Wage +/- 50%</c:v>
                </c:pt>
              </c:strCache>
            </c:strRef>
          </c:cat>
          <c:val>
            <c:numRef>
              <c:f>'Sensitivity Analysis'!$J$7:$J$10</c:f>
              <c:numCache>
                <c:formatCode>General</c:formatCode>
                <c:ptCount val="4"/>
                <c:pt idx="0">
                  <c:v>1.961806215284863</c:v>
                </c:pt>
                <c:pt idx="1">
                  <c:v>2.853368145209927</c:v>
                </c:pt>
                <c:pt idx="2">
                  <c:v>3.16282234846538</c:v>
                </c:pt>
                <c:pt idx="3">
                  <c:v>2.950015006901321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2714136"/>
        <c:axId val="-2132740712"/>
      </c:barChart>
      <c:catAx>
        <c:axId val="-2132714136"/>
        <c:scaling>
          <c:orientation val="minMax"/>
        </c:scaling>
        <c:delete val="0"/>
        <c:axPos val="l"/>
        <c:majorTickMark val="out"/>
        <c:minorTickMark val="none"/>
        <c:tickLblPos val="nextTo"/>
        <c:crossAx val="-2132740712"/>
        <c:crossesAt val="2.70596172"/>
        <c:auto val="1"/>
        <c:lblAlgn val="ctr"/>
        <c:lblOffset val="100"/>
        <c:noMultiLvlLbl val="0"/>
      </c:catAx>
      <c:valAx>
        <c:axId val="-2132740712"/>
        <c:scaling>
          <c:orientation val="minMax"/>
          <c:min val="1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Cost/Wet Ton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2714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Landfill Sensitivity</a:t>
            </a:r>
            <a:r>
              <a:rPr lang="en-US" baseline="0"/>
              <a:t> Analysis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Analysis'!$M$6</c:f>
              <c:strCache>
                <c:ptCount val="1"/>
                <c:pt idx="0">
                  <c:v>0.5</c:v>
                </c:pt>
              </c:strCache>
            </c:strRef>
          </c:tx>
          <c:invertIfNegative val="0"/>
          <c:cat>
            <c:strRef>
              <c:f>'Sensitivity Analysis'!$L$7:$L$12</c:f>
              <c:strCache>
                <c:ptCount val="6"/>
                <c:pt idx="0">
                  <c:v>Tipping Fee +/- 50%</c:v>
                </c:pt>
                <c:pt idx="1">
                  <c:v>Haul Distance +/- 50%</c:v>
                </c:pt>
                <c:pt idx="2">
                  <c:v>Travel Type (Urban, Rural, Hghwy)</c:v>
                </c:pt>
                <c:pt idx="3">
                  <c:v>Wage +/- 50%</c:v>
                </c:pt>
                <c:pt idx="4">
                  <c:v>Interest Rate +/- 50%</c:v>
                </c:pt>
                <c:pt idx="5">
                  <c:v>MGD Plant Flow +/- 50%</c:v>
                </c:pt>
              </c:strCache>
            </c:strRef>
          </c:cat>
          <c:val>
            <c:numRef>
              <c:f>'Sensitivity Analysis'!$M$7:$M$12</c:f>
              <c:numCache>
                <c:formatCode>General</c:formatCode>
                <c:ptCount val="6"/>
                <c:pt idx="0">
                  <c:v>43.95396410365434</c:v>
                </c:pt>
                <c:pt idx="1">
                  <c:v>61.22813448220482</c:v>
                </c:pt>
                <c:pt idx="2">
                  <c:v>70.06946949773056</c:v>
                </c:pt>
                <c:pt idx="3">
                  <c:v>69.7866534735468</c:v>
                </c:pt>
                <c:pt idx="4">
                  <c:v>64.7279436008759</c:v>
                </c:pt>
                <c:pt idx="5">
                  <c:v>67.14865383447894</c:v>
                </c:pt>
              </c:numCache>
            </c:numRef>
          </c:val>
        </c:ser>
        <c:ser>
          <c:idx val="1"/>
          <c:order val="1"/>
          <c:tx>
            <c:strRef>
              <c:f>'Sensitivity Analysis'!$N$6</c:f>
              <c:strCache>
                <c:ptCount val="1"/>
                <c:pt idx="0">
                  <c:v>1.5</c:v>
                </c:pt>
              </c:strCache>
            </c:strRef>
          </c:tx>
          <c:invertIfNegative val="0"/>
          <c:cat>
            <c:strRef>
              <c:f>'Sensitivity Analysis'!$L$7:$L$12</c:f>
              <c:strCache>
                <c:ptCount val="6"/>
                <c:pt idx="0">
                  <c:v>Tipping Fee +/- 50%</c:v>
                </c:pt>
                <c:pt idx="1">
                  <c:v>Haul Distance +/- 50%</c:v>
                </c:pt>
                <c:pt idx="2">
                  <c:v>Travel Type (Urban, Rural, Hghwy)</c:v>
                </c:pt>
                <c:pt idx="3">
                  <c:v>Wage +/- 50%</c:v>
                </c:pt>
                <c:pt idx="4">
                  <c:v>Interest Rate +/- 50%</c:v>
                </c:pt>
                <c:pt idx="5">
                  <c:v>MGD Plant Flow +/- 50%</c:v>
                </c:pt>
              </c:strCache>
            </c:strRef>
          </c:cat>
          <c:val>
            <c:numRef>
              <c:f>'Sensitivity Analysis'!$N$7:$N$12</c:f>
              <c:numCache>
                <c:formatCode>General</c:formatCode>
                <c:ptCount val="6"/>
                <c:pt idx="0">
                  <c:v>96.10396410365433</c:v>
                </c:pt>
                <c:pt idx="1">
                  <c:v>70.26762153762888</c:v>
                </c:pt>
                <c:pt idx="2">
                  <c:v>70.15137920706778</c:v>
                </c:pt>
                <c:pt idx="3">
                  <c:v>70.26127473376188</c:v>
                </c:pt>
                <c:pt idx="4">
                  <c:v>76.04355771816637</c:v>
                </c:pt>
                <c:pt idx="5">
                  <c:v>72.4714408308345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3394808"/>
        <c:axId val="-2143454456"/>
      </c:barChart>
      <c:catAx>
        <c:axId val="-2143394808"/>
        <c:scaling>
          <c:orientation val="minMax"/>
        </c:scaling>
        <c:delete val="0"/>
        <c:axPos val="l"/>
        <c:majorTickMark val="out"/>
        <c:minorTickMark val="none"/>
        <c:tickLblPos val="nextTo"/>
        <c:crossAx val="-2143454456"/>
        <c:crossesAt val="70.0239641"/>
        <c:auto val="1"/>
        <c:lblAlgn val="ctr"/>
        <c:lblOffset val="100"/>
        <c:noMultiLvlLbl val="0"/>
      </c:catAx>
      <c:valAx>
        <c:axId val="-2143454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Cost/Wet Ton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43394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Incineration Sensitivity</a:t>
            </a:r>
            <a:r>
              <a:rPr lang="en-US" baseline="0"/>
              <a:t> Analysis</a:t>
            </a:r>
            <a:endParaRPr lang="en-US"/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Analysis'!$Q$6</c:f>
              <c:strCache>
                <c:ptCount val="1"/>
                <c:pt idx="0">
                  <c:v>0.5</c:v>
                </c:pt>
              </c:strCache>
            </c:strRef>
          </c:tx>
          <c:invertIfNegative val="0"/>
          <c:cat>
            <c:strRef>
              <c:f>'Sensitivity Analysis'!$P$7:$P$11</c:f>
              <c:strCache>
                <c:ptCount val="5"/>
                <c:pt idx="0">
                  <c:v>Interest Rate +/- 50%</c:v>
                </c:pt>
                <c:pt idx="1">
                  <c:v>MGD Plant Flow +/- 50%</c:v>
                </c:pt>
                <c:pt idx="2">
                  <c:v>Cost Electricty +/- 50%</c:v>
                </c:pt>
                <c:pt idx="3">
                  <c:v>Wage +/- 50%</c:v>
                </c:pt>
                <c:pt idx="4">
                  <c:v>Cost Fuel Oil +/- 50%</c:v>
                </c:pt>
              </c:strCache>
            </c:strRef>
          </c:cat>
          <c:val>
            <c:numRef>
              <c:f>'Sensitivity Analysis'!$Q$7:$Q$11</c:f>
              <c:numCache>
                <c:formatCode>General</c:formatCode>
                <c:ptCount val="5"/>
                <c:pt idx="0">
                  <c:v>73.06269582578082</c:v>
                </c:pt>
                <c:pt idx="1">
                  <c:v>106.0971212094687</c:v>
                </c:pt>
                <c:pt idx="2">
                  <c:v>84.30147592597704</c:v>
                </c:pt>
                <c:pt idx="3">
                  <c:v>82.82219167682639</c:v>
                </c:pt>
                <c:pt idx="4">
                  <c:v>69.61465403274821</c:v>
                </c:pt>
              </c:numCache>
            </c:numRef>
          </c:val>
        </c:ser>
        <c:ser>
          <c:idx val="1"/>
          <c:order val="1"/>
          <c:tx>
            <c:strRef>
              <c:f>'Sensitivity Analysis'!$R$6</c:f>
              <c:strCache>
                <c:ptCount val="1"/>
                <c:pt idx="0">
                  <c:v>1.5</c:v>
                </c:pt>
              </c:strCache>
            </c:strRef>
          </c:tx>
          <c:invertIfNegative val="0"/>
          <c:val>
            <c:numRef>
              <c:f>'Sensitivity Analysis'!$R$7:$R$11</c:f>
              <c:numCache>
                <c:formatCode>General</c:formatCode>
                <c:ptCount val="5"/>
                <c:pt idx="0">
                  <c:v>100.9890867003989</c:v>
                </c:pt>
                <c:pt idx="1">
                  <c:v>76.6268701414503</c:v>
                </c:pt>
                <c:pt idx="2">
                  <c:v>87.9645629953761</c:v>
                </c:pt>
                <c:pt idx="3">
                  <c:v>89.44384724452678</c:v>
                </c:pt>
                <c:pt idx="4">
                  <c:v>102.651384888605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3309816"/>
        <c:axId val="-2143313288"/>
      </c:barChart>
      <c:catAx>
        <c:axId val="-2143309816"/>
        <c:scaling>
          <c:orientation val="minMax"/>
        </c:scaling>
        <c:delete val="0"/>
        <c:axPos val="l"/>
        <c:majorTickMark val="out"/>
        <c:minorTickMark val="none"/>
        <c:tickLblPos val="nextTo"/>
        <c:crossAx val="-2143313288"/>
        <c:crossesAt val="86.1330195"/>
        <c:auto val="1"/>
        <c:lblAlgn val="ctr"/>
        <c:lblOffset val="100"/>
        <c:noMultiLvlLbl val="0"/>
      </c:catAx>
      <c:valAx>
        <c:axId val="-2143313288"/>
        <c:scaling>
          <c:orientation val="minMax"/>
          <c:min val="6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Cost/Wet Ton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43309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'Cost Index Estimation'!$B$2</c:f>
              <c:strCache>
                <c:ptCount val="1"/>
                <c:pt idx="0">
                  <c:v>CE Plant Cost Index</c:v>
                </c:pt>
              </c:strCache>
            </c:strRef>
          </c:tx>
          <c:spPr>
            <a:ln w="47625">
              <a:noFill/>
            </a:ln>
          </c:spPr>
          <c:xVal>
            <c:numRef>
              <c:f>'Cost Index Estimation'!$A$3:$A$22</c:f>
              <c:numCache>
                <c:formatCode>General</c:formatCode>
                <c:ptCount val="20"/>
                <c:pt idx="0">
                  <c:v>1980.0</c:v>
                </c:pt>
                <c:pt idx="1">
                  <c:v>1981.0</c:v>
                </c:pt>
                <c:pt idx="2">
                  <c:v>1982.0</c:v>
                </c:pt>
                <c:pt idx="3">
                  <c:v>1983.0</c:v>
                </c:pt>
                <c:pt idx="4">
                  <c:v>1984.0</c:v>
                </c:pt>
                <c:pt idx="5">
                  <c:v>1985.0</c:v>
                </c:pt>
                <c:pt idx="6">
                  <c:v>1986.0</c:v>
                </c:pt>
                <c:pt idx="7">
                  <c:v>1987.0</c:v>
                </c:pt>
                <c:pt idx="8">
                  <c:v>1988.0</c:v>
                </c:pt>
                <c:pt idx="9">
                  <c:v>1989.0</c:v>
                </c:pt>
                <c:pt idx="10">
                  <c:v>1990.0</c:v>
                </c:pt>
                <c:pt idx="11">
                  <c:v>1991.0</c:v>
                </c:pt>
                <c:pt idx="12">
                  <c:v>1992.0</c:v>
                </c:pt>
                <c:pt idx="13">
                  <c:v>1993.0</c:v>
                </c:pt>
                <c:pt idx="14">
                  <c:v>1994.0</c:v>
                </c:pt>
                <c:pt idx="15">
                  <c:v>1995.0</c:v>
                </c:pt>
                <c:pt idx="16">
                  <c:v>1996.0</c:v>
                </c:pt>
                <c:pt idx="17">
                  <c:v>1997.0</c:v>
                </c:pt>
                <c:pt idx="18">
                  <c:v>1998.0</c:v>
                </c:pt>
                <c:pt idx="19">
                  <c:v>1999.0</c:v>
                </c:pt>
              </c:numCache>
            </c:numRef>
          </c:xVal>
          <c:yVal>
            <c:numRef>
              <c:f>'Cost Index Estimation'!$B$3:$B$22</c:f>
              <c:numCache>
                <c:formatCode>General</c:formatCode>
                <c:ptCount val="20"/>
                <c:pt idx="0">
                  <c:v>261.2</c:v>
                </c:pt>
                <c:pt idx="1">
                  <c:v>297.0</c:v>
                </c:pt>
                <c:pt idx="2">
                  <c:v>314.0</c:v>
                </c:pt>
                <c:pt idx="3">
                  <c:v>316.9</c:v>
                </c:pt>
                <c:pt idx="4">
                  <c:v>322.7</c:v>
                </c:pt>
                <c:pt idx="5">
                  <c:v>325.3</c:v>
                </c:pt>
                <c:pt idx="6">
                  <c:v>318.4</c:v>
                </c:pt>
                <c:pt idx="7">
                  <c:v>323.8</c:v>
                </c:pt>
                <c:pt idx="8">
                  <c:v>342.5</c:v>
                </c:pt>
                <c:pt idx="9">
                  <c:v>355.4</c:v>
                </c:pt>
                <c:pt idx="10">
                  <c:v>357.6</c:v>
                </c:pt>
                <c:pt idx="11">
                  <c:v>361.3</c:v>
                </c:pt>
                <c:pt idx="12">
                  <c:v>358.2</c:v>
                </c:pt>
                <c:pt idx="13">
                  <c:v>359.2</c:v>
                </c:pt>
                <c:pt idx="14">
                  <c:v>368.1</c:v>
                </c:pt>
                <c:pt idx="15">
                  <c:v>381.1</c:v>
                </c:pt>
                <c:pt idx="16">
                  <c:v>381.8</c:v>
                </c:pt>
                <c:pt idx="17">
                  <c:v>386.5</c:v>
                </c:pt>
                <c:pt idx="18">
                  <c:v>389.5</c:v>
                </c:pt>
                <c:pt idx="19">
                  <c:v>390.6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'Cost Index Estimation'!$C$2</c:f>
              <c:strCache>
                <c:ptCount val="1"/>
                <c:pt idx="0">
                  <c:v>ENR Construction Cost Index</c:v>
                </c:pt>
              </c:strCache>
            </c:strRef>
          </c:tx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154198215052248"/>
                  <c:y val="0.0716742457754578"/>
                </c:manualLayout>
              </c:layout>
              <c:numFmt formatCode="General" sourceLinked="0"/>
            </c:trendlineLbl>
          </c:trendline>
          <c:xVal>
            <c:numRef>
              <c:f>'Cost Index Estimation'!$A$3:$A$22</c:f>
              <c:numCache>
                <c:formatCode>General</c:formatCode>
                <c:ptCount val="20"/>
                <c:pt idx="0">
                  <c:v>1980.0</c:v>
                </c:pt>
                <c:pt idx="1">
                  <c:v>1981.0</c:v>
                </c:pt>
                <c:pt idx="2">
                  <c:v>1982.0</c:v>
                </c:pt>
                <c:pt idx="3">
                  <c:v>1983.0</c:v>
                </c:pt>
                <c:pt idx="4">
                  <c:v>1984.0</c:v>
                </c:pt>
                <c:pt idx="5">
                  <c:v>1985.0</c:v>
                </c:pt>
                <c:pt idx="6">
                  <c:v>1986.0</c:v>
                </c:pt>
                <c:pt idx="7">
                  <c:v>1987.0</c:v>
                </c:pt>
                <c:pt idx="8">
                  <c:v>1988.0</c:v>
                </c:pt>
                <c:pt idx="9">
                  <c:v>1989.0</c:v>
                </c:pt>
                <c:pt idx="10">
                  <c:v>1990.0</c:v>
                </c:pt>
                <c:pt idx="11">
                  <c:v>1991.0</c:v>
                </c:pt>
                <c:pt idx="12">
                  <c:v>1992.0</c:v>
                </c:pt>
                <c:pt idx="13">
                  <c:v>1993.0</c:v>
                </c:pt>
                <c:pt idx="14">
                  <c:v>1994.0</c:v>
                </c:pt>
                <c:pt idx="15">
                  <c:v>1995.0</c:v>
                </c:pt>
                <c:pt idx="16">
                  <c:v>1996.0</c:v>
                </c:pt>
                <c:pt idx="17">
                  <c:v>1997.0</c:v>
                </c:pt>
                <c:pt idx="18">
                  <c:v>1998.0</c:v>
                </c:pt>
                <c:pt idx="19">
                  <c:v>1999.0</c:v>
                </c:pt>
              </c:numCache>
            </c:numRef>
          </c:xVal>
          <c:yVal>
            <c:numRef>
              <c:f>'Cost Index Estimation'!$C$3:$C$22</c:f>
              <c:numCache>
                <c:formatCode>General</c:formatCode>
                <c:ptCount val="20"/>
                <c:pt idx="0">
                  <c:v>3378.17</c:v>
                </c:pt>
                <c:pt idx="1">
                  <c:v>3725.55</c:v>
                </c:pt>
                <c:pt idx="2">
                  <c:v>3939.25</c:v>
                </c:pt>
                <c:pt idx="3">
                  <c:v>4108.74</c:v>
                </c:pt>
                <c:pt idx="4">
                  <c:v>4172.27</c:v>
                </c:pt>
                <c:pt idx="5">
                  <c:v>4207.84</c:v>
                </c:pt>
                <c:pt idx="6">
                  <c:v>4348.19</c:v>
                </c:pt>
                <c:pt idx="7">
                  <c:v>4456.53</c:v>
                </c:pt>
                <c:pt idx="8">
                  <c:v>4573.29</c:v>
                </c:pt>
                <c:pt idx="9">
                  <c:v>4672.66</c:v>
                </c:pt>
                <c:pt idx="10">
                  <c:v>4770.03</c:v>
                </c:pt>
                <c:pt idx="11">
                  <c:v>4886.52</c:v>
                </c:pt>
                <c:pt idx="12">
                  <c:v>5070.66</c:v>
                </c:pt>
                <c:pt idx="13">
                  <c:v>5335.81</c:v>
                </c:pt>
                <c:pt idx="14">
                  <c:v>5443.14</c:v>
                </c:pt>
                <c:pt idx="15">
                  <c:v>5523.13</c:v>
                </c:pt>
                <c:pt idx="16">
                  <c:v>5618.08</c:v>
                </c:pt>
                <c:pt idx="17">
                  <c:v>5851.8</c:v>
                </c:pt>
                <c:pt idx="18">
                  <c:v>5920.44</c:v>
                </c:pt>
                <c:pt idx="19">
                  <c:v>6059.47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'Cost Index Estimation'!$D$2</c:f>
              <c:strCache>
                <c:ptCount val="1"/>
                <c:pt idx="0">
                  <c:v>M&amp;S Equipment Cost Index</c:v>
                </c:pt>
              </c:strCache>
            </c:strRef>
          </c:tx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0956140002434602"/>
                  <c:y val="-0.0417827125541891"/>
                </c:manualLayout>
              </c:layout>
              <c:numFmt formatCode="General" sourceLinked="0"/>
            </c:trendlineLbl>
          </c:trendline>
          <c:xVal>
            <c:numRef>
              <c:f>'Cost Index Estimation'!$A$3:$A$22</c:f>
              <c:numCache>
                <c:formatCode>General</c:formatCode>
                <c:ptCount val="20"/>
                <c:pt idx="0">
                  <c:v>1980.0</c:v>
                </c:pt>
                <c:pt idx="1">
                  <c:v>1981.0</c:v>
                </c:pt>
                <c:pt idx="2">
                  <c:v>1982.0</c:v>
                </c:pt>
                <c:pt idx="3">
                  <c:v>1983.0</c:v>
                </c:pt>
                <c:pt idx="4">
                  <c:v>1984.0</c:v>
                </c:pt>
                <c:pt idx="5">
                  <c:v>1985.0</c:v>
                </c:pt>
                <c:pt idx="6">
                  <c:v>1986.0</c:v>
                </c:pt>
                <c:pt idx="7">
                  <c:v>1987.0</c:v>
                </c:pt>
                <c:pt idx="8">
                  <c:v>1988.0</c:v>
                </c:pt>
                <c:pt idx="9">
                  <c:v>1989.0</c:v>
                </c:pt>
                <c:pt idx="10">
                  <c:v>1990.0</c:v>
                </c:pt>
                <c:pt idx="11">
                  <c:v>1991.0</c:v>
                </c:pt>
                <c:pt idx="12">
                  <c:v>1992.0</c:v>
                </c:pt>
                <c:pt idx="13">
                  <c:v>1993.0</c:v>
                </c:pt>
                <c:pt idx="14">
                  <c:v>1994.0</c:v>
                </c:pt>
                <c:pt idx="15">
                  <c:v>1995.0</c:v>
                </c:pt>
                <c:pt idx="16">
                  <c:v>1996.0</c:v>
                </c:pt>
                <c:pt idx="17">
                  <c:v>1997.0</c:v>
                </c:pt>
                <c:pt idx="18">
                  <c:v>1998.0</c:v>
                </c:pt>
                <c:pt idx="19">
                  <c:v>1999.0</c:v>
                </c:pt>
              </c:numCache>
            </c:numRef>
          </c:xVal>
          <c:yVal>
            <c:numRef>
              <c:f>'Cost Index Estimation'!$D$3:$D$22</c:f>
              <c:numCache>
                <c:formatCode>General</c:formatCode>
                <c:ptCount val="20"/>
                <c:pt idx="0">
                  <c:v>659.6</c:v>
                </c:pt>
                <c:pt idx="1">
                  <c:v>721.3</c:v>
                </c:pt>
                <c:pt idx="2">
                  <c:v>745.6</c:v>
                </c:pt>
                <c:pt idx="3">
                  <c:v>760.8</c:v>
                </c:pt>
                <c:pt idx="4">
                  <c:v>780.4</c:v>
                </c:pt>
                <c:pt idx="5">
                  <c:v>789.6</c:v>
                </c:pt>
                <c:pt idx="6">
                  <c:v>797.6</c:v>
                </c:pt>
                <c:pt idx="7">
                  <c:v>813.6</c:v>
                </c:pt>
                <c:pt idx="8">
                  <c:v>852.0</c:v>
                </c:pt>
                <c:pt idx="9">
                  <c:v>895.1</c:v>
                </c:pt>
                <c:pt idx="10">
                  <c:v>915.1</c:v>
                </c:pt>
                <c:pt idx="11">
                  <c:v>930.6</c:v>
                </c:pt>
                <c:pt idx="12">
                  <c:v>943.1</c:v>
                </c:pt>
                <c:pt idx="13">
                  <c:v>964.2</c:v>
                </c:pt>
                <c:pt idx="14">
                  <c:v>993.4</c:v>
                </c:pt>
                <c:pt idx="15">
                  <c:v>1027.5</c:v>
                </c:pt>
                <c:pt idx="16">
                  <c:v>1039.2</c:v>
                </c:pt>
                <c:pt idx="17">
                  <c:v>1056.8</c:v>
                </c:pt>
                <c:pt idx="18">
                  <c:v>1061.9</c:v>
                </c:pt>
                <c:pt idx="19">
                  <c:v>1068.3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186792"/>
        <c:axId val="-2108324200"/>
      </c:scatterChart>
      <c:valAx>
        <c:axId val="-210818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8324200"/>
        <c:crosses val="autoZero"/>
        <c:crossBetween val="midCat"/>
      </c:valAx>
      <c:valAx>
        <c:axId val="-2108324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186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Miles</c:v>
          </c:tx>
          <c:spPr>
            <a:ln w="47625">
              <a:noFill/>
            </a:ln>
          </c:spPr>
          <c:xVal>
            <c:numRef>
              <c:f>Calibration!$B$2:$B$71</c:f>
              <c:numCache>
                <c:formatCode>General</c:formatCode>
                <c:ptCount val="70"/>
                <c:pt idx="0">
                  <c:v>1296.0</c:v>
                </c:pt>
                <c:pt idx="1">
                  <c:v>612.0</c:v>
                </c:pt>
                <c:pt idx="2">
                  <c:v>4444.0</c:v>
                </c:pt>
                <c:pt idx="3">
                  <c:v>11338.0</c:v>
                </c:pt>
                <c:pt idx="4">
                  <c:v>196827.0</c:v>
                </c:pt>
                <c:pt idx="5">
                  <c:v>2716.0</c:v>
                </c:pt>
                <c:pt idx="6">
                  <c:v>22100.0</c:v>
                </c:pt>
                <c:pt idx="7">
                  <c:v>22136.0</c:v>
                </c:pt>
                <c:pt idx="8">
                  <c:v>1679.0</c:v>
                </c:pt>
                <c:pt idx="9">
                  <c:v>7007.0</c:v>
                </c:pt>
                <c:pt idx="10">
                  <c:v>19151.0</c:v>
                </c:pt>
                <c:pt idx="11">
                  <c:v>8207.0</c:v>
                </c:pt>
                <c:pt idx="12">
                  <c:v>12345.0</c:v>
                </c:pt>
                <c:pt idx="13">
                  <c:v>16302.0</c:v>
                </c:pt>
                <c:pt idx="14">
                  <c:v>7383.0</c:v>
                </c:pt>
                <c:pt idx="15">
                  <c:v>170783.0</c:v>
                </c:pt>
                <c:pt idx="16">
                  <c:v>1544.0</c:v>
                </c:pt>
                <c:pt idx="17">
                  <c:v>4215.0</c:v>
                </c:pt>
                <c:pt idx="18">
                  <c:v>6195.0</c:v>
                </c:pt>
                <c:pt idx="19">
                  <c:v>11782.0</c:v>
                </c:pt>
                <c:pt idx="20">
                  <c:v>21647.0</c:v>
                </c:pt>
                <c:pt idx="21">
                  <c:v>500.0</c:v>
                </c:pt>
                <c:pt idx="22">
                  <c:v>11082.0</c:v>
                </c:pt>
                <c:pt idx="23">
                  <c:v>6007.0</c:v>
                </c:pt>
                <c:pt idx="24">
                  <c:v>14854.0</c:v>
                </c:pt>
                <c:pt idx="25">
                  <c:v>41329.0</c:v>
                </c:pt>
                <c:pt idx="26">
                  <c:v>15500.0</c:v>
                </c:pt>
                <c:pt idx="27">
                  <c:v>3240.0</c:v>
                </c:pt>
                <c:pt idx="28">
                  <c:v>371.0</c:v>
                </c:pt>
                <c:pt idx="29">
                  <c:v>10.0</c:v>
                </c:pt>
                <c:pt idx="30">
                  <c:v>281.0</c:v>
                </c:pt>
                <c:pt idx="31">
                  <c:v>296.0</c:v>
                </c:pt>
                <c:pt idx="32">
                  <c:v>6620.0</c:v>
                </c:pt>
                <c:pt idx="33">
                  <c:v>116044.0</c:v>
                </c:pt>
                <c:pt idx="34">
                  <c:v>880.0</c:v>
                </c:pt>
                <c:pt idx="35">
                  <c:v>22.0</c:v>
                </c:pt>
                <c:pt idx="36">
                  <c:v>110732.0</c:v>
                </c:pt>
                <c:pt idx="37">
                  <c:v>50552.0</c:v>
                </c:pt>
                <c:pt idx="38">
                  <c:v>83000.0</c:v>
                </c:pt>
                <c:pt idx="39">
                  <c:v>87065.0</c:v>
                </c:pt>
                <c:pt idx="40">
                  <c:v>66870.0</c:v>
                </c:pt>
                <c:pt idx="41">
                  <c:v>44482.0</c:v>
                </c:pt>
                <c:pt idx="42">
                  <c:v>9703.0</c:v>
                </c:pt>
                <c:pt idx="43">
                  <c:v>4881.0</c:v>
                </c:pt>
                <c:pt idx="44">
                  <c:v>27233.0</c:v>
                </c:pt>
                <c:pt idx="45">
                  <c:v>1432.0</c:v>
                </c:pt>
                <c:pt idx="46">
                  <c:v>146761.0</c:v>
                </c:pt>
                <c:pt idx="47">
                  <c:v>60080.0</c:v>
                </c:pt>
                <c:pt idx="48">
                  <c:v>216394.0</c:v>
                </c:pt>
                <c:pt idx="49">
                  <c:v>20490.0</c:v>
                </c:pt>
                <c:pt idx="50">
                  <c:v>2920.0</c:v>
                </c:pt>
                <c:pt idx="51">
                  <c:v>1322.0</c:v>
                </c:pt>
                <c:pt idx="52">
                  <c:v>843.0</c:v>
                </c:pt>
                <c:pt idx="53">
                  <c:v>996.0</c:v>
                </c:pt>
                <c:pt idx="54">
                  <c:v>310.0</c:v>
                </c:pt>
                <c:pt idx="55">
                  <c:v>2322.0</c:v>
                </c:pt>
                <c:pt idx="56">
                  <c:v>2446.0</c:v>
                </c:pt>
                <c:pt idx="57">
                  <c:v>3315.0</c:v>
                </c:pt>
                <c:pt idx="58">
                  <c:v>1470.0</c:v>
                </c:pt>
                <c:pt idx="59">
                  <c:v>1820.0</c:v>
                </c:pt>
                <c:pt idx="60">
                  <c:v>2022.0</c:v>
                </c:pt>
                <c:pt idx="61">
                  <c:v>5653.0</c:v>
                </c:pt>
                <c:pt idx="62">
                  <c:v>2897.0</c:v>
                </c:pt>
                <c:pt idx="63">
                  <c:v>1887.0</c:v>
                </c:pt>
                <c:pt idx="64">
                  <c:v>2629.0</c:v>
                </c:pt>
                <c:pt idx="65">
                  <c:v>9185.0</c:v>
                </c:pt>
                <c:pt idx="66">
                  <c:v>390.0</c:v>
                </c:pt>
                <c:pt idx="67">
                  <c:v>5706.0</c:v>
                </c:pt>
                <c:pt idx="68">
                  <c:v>6000.0</c:v>
                </c:pt>
                <c:pt idx="69">
                  <c:v>681.0</c:v>
                </c:pt>
              </c:numCache>
            </c:numRef>
          </c:xVal>
          <c:yVal>
            <c:numRef>
              <c:f>Calibration!$C$2:$C$71</c:f>
              <c:numCache>
                <c:formatCode>General</c:formatCode>
                <c:ptCount val="70"/>
                <c:pt idx="0">
                  <c:v>87.0</c:v>
                </c:pt>
                <c:pt idx="1">
                  <c:v>87.0</c:v>
                </c:pt>
                <c:pt idx="2">
                  <c:v>160.0</c:v>
                </c:pt>
                <c:pt idx="3">
                  <c:v>200.0</c:v>
                </c:pt>
                <c:pt idx="4">
                  <c:v>236.0</c:v>
                </c:pt>
                <c:pt idx="5">
                  <c:v>248.0</c:v>
                </c:pt>
                <c:pt idx="6">
                  <c:v>578.0</c:v>
                </c:pt>
                <c:pt idx="7">
                  <c:v>256.0</c:v>
                </c:pt>
                <c:pt idx="8">
                  <c:v>44.0</c:v>
                </c:pt>
                <c:pt idx="9">
                  <c:v>560.0</c:v>
                </c:pt>
                <c:pt idx="12">
                  <c:v>225.0</c:v>
                </c:pt>
                <c:pt idx="13">
                  <c:v>80.0</c:v>
                </c:pt>
                <c:pt idx="14">
                  <c:v>220.0</c:v>
                </c:pt>
                <c:pt idx="15">
                  <c:v>30.0</c:v>
                </c:pt>
                <c:pt idx="16">
                  <c:v>8.0</c:v>
                </c:pt>
                <c:pt idx="17">
                  <c:v>0.0</c:v>
                </c:pt>
                <c:pt idx="18">
                  <c:v>30.0</c:v>
                </c:pt>
                <c:pt idx="19">
                  <c:v>152.0</c:v>
                </c:pt>
                <c:pt idx="20">
                  <c:v>69.0</c:v>
                </c:pt>
                <c:pt idx="21">
                  <c:v>29.0</c:v>
                </c:pt>
                <c:pt idx="22">
                  <c:v>225.0</c:v>
                </c:pt>
                <c:pt idx="23">
                  <c:v>225.0</c:v>
                </c:pt>
                <c:pt idx="24">
                  <c:v>225.0</c:v>
                </c:pt>
                <c:pt idx="25">
                  <c:v>225.0</c:v>
                </c:pt>
                <c:pt idx="26">
                  <c:v>200.0</c:v>
                </c:pt>
                <c:pt idx="30">
                  <c:v>30.0</c:v>
                </c:pt>
                <c:pt idx="31">
                  <c:v>243.0</c:v>
                </c:pt>
                <c:pt idx="32">
                  <c:v>164.0</c:v>
                </c:pt>
                <c:pt idx="33">
                  <c:v>9.0</c:v>
                </c:pt>
                <c:pt idx="35">
                  <c:v>34.0</c:v>
                </c:pt>
                <c:pt idx="36">
                  <c:v>172.0</c:v>
                </c:pt>
                <c:pt idx="37">
                  <c:v>144.0</c:v>
                </c:pt>
                <c:pt idx="38">
                  <c:v>61.0</c:v>
                </c:pt>
                <c:pt idx="39">
                  <c:v>144.0</c:v>
                </c:pt>
                <c:pt idx="40">
                  <c:v>168.0</c:v>
                </c:pt>
                <c:pt idx="41">
                  <c:v>310.0</c:v>
                </c:pt>
                <c:pt idx="42">
                  <c:v>71.0</c:v>
                </c:pt>
                <c:pt idx="43">
                  <c:v>88.0</c:v>
                </c:pt>
                <c:pt idx="44">
                  <c:v>118.0</c:v>
                </c:pt>
                <c:pt idx="45">
                  <c:v>185.0</c:v>
                </c:pt>
                <c:pt idx="46">
                  <c:v>155.0</c:v>
                </c:pt>
                <c:pt idx="47">
                  <c:v>272.0</c:v>
                </c:pt>
                <c:pt idx="48">
                  <c:v>253.0</c:v>
                </c:pt>
                <c:pt idx="49">
                  <c:v>25.0</c:v>
                </c:pt>
                <c:pt idx="50">
                  <c:v>47.0</c:v>
                </c:pt>
                <c:pt idx="52">
                  <c:v>44.0</c:v>
                </c:pt>
                <c:pt idx="53">
                  <c:v>30.0</c:v>
                </c:pt>
                <c:pt idx="54">
                  <c:v>48.0</c:v>
                </c:pt>
                <c:pt idx="55">
                  <c:v>500.0</c:v>
                </c:pt>
                <c:pt idx="56">
                  <c:v>400.0</c:v>
                </c:pt>
                <c:pt idx="57">
                  <c:v>14.0</c:v>
                </c:pt>
                <c:pt idx="58">
                  <c:v>500.0</c:v>
                </c:pt>
                <c:pt idx="59">
                  <c:v>400.0</c:v>
                </c:pt>
                <c:pt idx="60">
                  <c:v>14.0</c:v>
                </c:pt>
                <c:pt idx="61">
                  <c:v>134.0</c:v>
                </c:pt>
                <c:pt idx="62">
                  <c:v>18.0</c:v>
                </c:pt>
                <c:pt idx="63">
                  <c:v>131.0</c:v>
                </c:pt>
                <c:pt idx="64">
                  <c:v>22.0</c:v>
                </c:pt>
                <c:pt idx="65">
                  <c:v>174.0</c:v>
                </c:pt>
                <c:pt idx="66">
                  <c:v>60.0</c:v>
                </c:pt>
                <c:pt idx="67">
                  <c:v>30.0</c:v>
                </c:pt>
                <c:pt idx="68">
                  <c:v>125.0</c:v>
                </c:pt>
                <c:pt idx="69">
                  <c:v>30.0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3379896"/>
        <c:axId val="-2143396712"/>
      </c:scatterChart>
      <c:valAx>
        <c:axId val="-2143379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Wet Tons</a:t>
                </a:r>
                <a:r>
                  <a:rPr lang="en-US" baseline="0"/>
                  <a:t> of Biosolids Produced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43396712"/>
        <c:crosses val="autoZero"/>
        <c:crossBetween val="midCat"/>
      </c:valAx>
      <c:valAx>
        <c:axId val="-214339671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Miles Traveled to</a:t>
                </a:r>
              </a:p>
              <a:p>
                <a:pPr>
                  <a:defRPr/>
                </a:pPr>
                <a:r>
                  <a:rPr lang="en-US"/>
                  <a:t> Disposal Site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43379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MODEL</c:v>
          </c:tx>
          <c:spPr>
            <a:ln w="47625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Calibration!$M$39:$M$137</c:f>
              <c:numCache>
                <c:formatCode>General</c:formatCode>
                <c:ptCount val="99"/>
                <c:pt idx="0">
                  <c:v>1164.155751149764</c:v>
                </c:pt>
                <c:pt idx="1">
                  <c:v>1746.233626724646</c:v>
                </c:pt>
                <c:pt idx="2">
                  <c:v>2328.311502299528</c:v>
                </c:pt>
                <c:pt idx="3">
                  <c:v>2910.38937787441</c:v>
                </c:pt>
                <c:pt idx="4">
                  <c:v>3492.467253449292</c:v>
                </c:pt>
                <c:pt idx="5">
                  <c:v>4074.545129024174</c:v>
                </c:pt>
                <c:pt idx="6">
                  <c:v>4656.623004599056</c:v>
                </c:pt>
                <c:pt idx="7">
                  <c:v>5238.70088017394</c:v>
                </c:pt>
                <c:pt idx="8">
                  <c:v>5820.778755748821</c:v>
                </c:pt>
                <c:pt idx="9">
                  <c:v>6402.8566313237</c:v>
                </c:pt>
                <c:pt idx="10">
                  <c:v>6984.934506898584</c:v>
                </c:pt>
                <c:pt idx="11">
                  <c:v>7567.012382473467</c:v>
                </c:pt>
                <c:pt idx="12">
                  <c:v>8149.090258048349</c:v>
                </c:pt>
                <c:pt idx="13">
                  <c:v>8731.16813362323</c:v>
                </c:pt>
                <c:pt idx="14">
                  <c:v>9313.246009198112</c:v>
                </c:pt>
                <c:pt idx="15">
                  <c:v>9895.323884772995</c:v>
                </c:pt>
                <c:pt idx="16">
                  <c:v>10477.40176034788</c:v>
                </c:pt>
                <c:pt idx="17">
                  <c:v>11059.47963592276</c:v>
                </c:pt>
                <c:pt idx="18">
                  <c:v>11641.55751149764</c:v>
                </c:pt>
                <c:pt idx="19">
                  <c:v>12223.63538707252</c:v>
                </c:pt>
                <c:pt idx="20">
                  <c:v>12805.7132626474</c:v>
                </c:pt>
                <c:pt idx="21">
                  <c:v>13387.79113822229</c:v>
                </c:pt>
                <c:pt idx="22">
                  <c:v>13969.86901379717</c:v>
                </c:pt>
                <c:pt idx="23">
                  <c:v>14551.94688937205</c:v>
                </c:pt>
                <c:pt idx="24">
                  <c:v>15134.02476494693</c:v>
                </c:pt>
                <c:pt idx="25">
                  <c:v>15716.10264052182</c:v>
                </c:pt>
                <c:pt idx="26">
                  <c:v>16298.1805160967</c:v>
                </c:pt>
                <c:pt idx="27">
                  <c:v>16880.25839167158</c:v>
                </c:pt>
                <c:pt idx="28">
                  <c:v>17462.33626724646</c:v>
                </c:pt>
                <c:pt idx="29">
                  <c:v>18044.41414282134</c:v>
                </c:pt>
                <c:pt idx="30">
                  <c:v>18626.49201839622</c:v>
                </c:pt>
                <c:pt idx="31">
                  <c:v>19208.56989397111</c:v>
                </c:pt>
                <c:pt idx="32">
                  <c:v>19790.64776954599</c:v>
                </c:pt>
                <c:pt idx="33">
                  <c:v>20372.72564512087</c:v>
                </c:pt>
                <c:pt idx="34">
                  <c:v>20954.80352069576</c:v>
                </c:pt>
                <c:pt idx="35">
                  <c:v>21536.88139627064</c:v>
                </c:pt>
                <c:pt idx="36">
                  <c:v>22118.95927184551</c:v>
                </c:pt>
                <c:pt idx="37">
                  <c:v>22701.0371474204</c:v>
                </c:pt>
                <c:pt idx="38">
                  <c:v>23283.11502299528</c:v>
                </c:pt>
                <c:pt idx="39">
                  <c:v>23865.19289857016</c:v>
                </c:pt>
                <c:pt idx="40">
                  <c:v>24447.27077414505</c:v>
                </c:pt>
                <c:pt idx="41">
                  <c:v>25029.34864971992</c:v>
                </c:pt>
                <c:pt idx="42">
                  <c:v>25611.4265252948</c:v>
                </c:pt>
                <c:pt idx="43">
                  <c:v>26193.50440086969</c:v>
                </c:pt>
                <c:pt idx="44">
                  <c:v>26775.58227644457</c:v>
                </c:pt>
                <c:pt idx="45">
                  <c:v>27357.66015201946</c:v>
                </c:pt>
                <c:pt idx="46">
                  <c:v>27939.73802759434</c:v>
                </c:pt>
                <c:pt idx="47">
                  <c:v>28521.81590316922</c:v>
                </c:pt>
                <c:pt idx="48">
                  <c:v>29103.8937787441</c:v>
                </c:pt>
                <c:pt idx="49">
                  <c:v>29685.97165431899</c:v>
                </c:pt>
                <c:pt idx="50">
                  <c:v>30268.04952989387</c:v>
                </c:pt>
                <c:pt idx="51">
                  <c:v>30850.12740546874</c:v>
                </c:pt>
                <c:pt idx="52">
                  <c:v>31432.20528104364</c:v>
                </c:pt>
                <c:pt idx="53">
                  <c:v>32014.28315661851</c:v>
                </c:pt>
                <c:pt idx="54">
                  <c:v>32596.3610321934</c:v>
                </c:pt>
                <c:pt idx="55">
                  <c:v>33178.43890776828</c:v>
                </c:pt>
                <c:pt idx="56">
                  <c:v>33760.51678334315</c:v>
                </c:pt>
                <c:pt idx="57">
                  <c:v>34342.59465891804</c:v>
                </c:pt>
                <c:pt idx="58">
                  <c:v>34924.67253449292</c:v>
                </c:pt>
                <c:pt idx="59">
                  <c:v>35506.75041006781</c:v>
                </c:pt>
                <c:pt idx="60">
                  <c:v>36088.82828564269</c:v>
                </c:pt>
                <c:pt idx="61">
                  <c:v>36670.90616121757</c:v>
                </c:pt>
                <c:pt idx="62">
                  <c:v>37252.98403679244</c:v>
                </c:pt>
                <c:pt idx="63">
                  <c:v>37835.06191236734</c:v>
                </c:pt>
                <c:pt idx="64">
                  <c:v>38417.13978794222</c:v>
                </c:pt>
                <c:pt idx="65">
                  <c:v>38999.21766351709</c:v>
                </c:pt>
                <c:pt idx="66">
                  <c:v>39581.29553909198</c:v>
                </c:pt>
                <c:pt idx="67">
                  <c:v>40163.37341466687</c:v>
                </c:pt>
                <c:pt idx="68">
                  <c:v>40745.45129024174</c:v>
                </c:pt>
                <c:pt idx="69">
                  <c:v>41327.52916581662</c:v>
                </c:pt>
                <c:pt idx="70">
                  <c:v>41909.60704139151</c:v>
                </c:pt>
                <c:pt idx="71">
                  <c:v>42491.68491696638</c:v>
                </c:pt>
                <c:pt idx="72">
                  <c:v>43073.76279254127</c:v>
                </c:pt>
                <c:pt idx="73">
                  <c:v>43655.84066811615</c:v>
                </c:pt>
                <c:pt idx="74">
                  <c:v>44237.91854369102</c:v>
                </c:pt>
                <c:pt idx="75">
                  <c:v>44819.99641926591</c:v>
                </c:pt>
                <c:pt idx="76">
                  <c:v>45402.0742948408</c:v>
                </c:pt>
                <c:pt idx="77">
                  <c:v>45984.15217041568</c:v>
                </c:pt>
                <c:pt idx="78">
                  <c:v>46566.23004599057</c:v>
                </c:pt>
                <c:pt idx="79">
                  <c:v>47148.30792156544</c:v>
                </c:pt>
                <c:pt idx="80">
                  <c:v>47730.38579714032</c:v>
                </c:pt>
                <c:pt idx="81">
                  <c:v>48312.46367271521</c:v>
                </c:pt>
                <c:pt idx="82">
                  <c:v>48894.5415482901</c:v>
                </c:pt>
                <c:pt idx="83">
                  <c:v>49476.61942386497</c:v>
                </c:pt>
                <c:pt idx="84">
                  <c:v>50058.69729943985</c:v>
                </c:pt>
                <c:pt idx="85">
                  <c:v>50640.77517501474</c:v>
                </c:pt>
                <c:pt idx="86">
                  <c:v>51222.85305058961</c:v>
                </c:pt>
                <c:pt idx="87">
                  <c:v>51804.9309261645</c:v>
                </c:pt>
                <c:pt idx="88">
                  <c:v>52387.00880173938</c:v>
                </c:pt>
                <c:pt idx="89">
                  <c:v>52969.08667731427</c:v>
                </c:pt>
                <c:pt idx="90">
                  <c:v>53551.16455288915</c:v>
                </c:pt>
                <c:pt idx="91">
                  <c:v>54133.24242846403</c:v>
                </c:pt>
                <c:pt idx="92">
                  <c:v>54715.32030403892</c:v>
                </c:pt>
                <c:pt idx="93">
                  <c:v>55297.39817961379</c:v>
                </c:pt>
                <c:pt idx="94">
                  <c:v>55879.47605518867</c:v>
                </c:pt>
                <c:pt idx="95">
                  <c:v>56461.55393076356</c:v>
                </c:pt>
                <c:pt idx="96">
                  <c:v>57043.63180633844</c:v>
                </c:pt>
                <c:pt idx="97">
                  <c:v>57625.70968191331</c:v>
                </c:pt>
                <c:pt idx="98">
                  <c:v>58207.7875574882</c:v>
                </c:pt>
              </c:numCache>
            </c:numRef>
          </c:xVal>
          <c:yVal>
            <c:numRef>
              <c:f>Calibration!$N$39:$N$137</c:f>
              <c:numCache>
                <c:formatCode>General</c:formatCode>
                <c:ptCount val="99"/>
                <c:pt idx="0">
                  <c:v>87.61750019988453</c:v>
                </c:pt>
                <c:pt idx="1">
                  <c:v>78.92920367863145</c:v>
                </c:pt>
                <c:pt idx="2">
                  <c:v>75.39333371489165</c:v>
                </c:pt>
                <c:pt idx="3">
                  <c:v>72.88578667861267</c:v>
                </c:pt>
                <c:pt idx="4">
                  <c:v>70.58508604087383</c:v>
                </c:pt>
                <c:pt idx="5">
                  <c:v>68.95691873447176</c:v>
                </c:pt>
                <c:pt idx="6">
                  <c:v>67.67748442141231</c:v>
                </c:pt>
                <c:pt idx="7">
                  <c:v>66.48677359546336</c:v>
                </c:pt>
                <c:pt idx="8">
                  <c:v>65.54534699746669</c:v>
                </c:pt>
                <c:pt idx="9">
                  <c:v>64.57401310614288</c:v>
                </c:pt>
                <c:pt idx="10">
                  <c:v>63.79849049297873</c:v>
                </c:pt>
                <c:pt idx="11">
                  <c:v>63.14227905107062</c:v>
                </c:pt>
                <c:pt idx="12">
                  <c:v>62.57981210086366</c:v>
                </c:pt>
                <c:pt idx="13">
                  <c:v>62.09234074401762</c:v>
                </c:pt>
                <c:pt idx="14">
                  <c:v>62.84783413929069</c:v>
                </c:pt>
                <c:pt idx="15">
                  <c:v>62.4019463515779</c:v>
                </c:pt>
                <c:pt idx="16">
                  <c:v>62.19597327482041</c:v>
                </c:pt>
                <c:pt idx="17">
                  <c:v>61.78927329830221</c:v>
                </c:pt>
                <c:pt idx="18">
                  <c:v>61.42324331943581</c:v>
                </c:pt>
                <c:pt idx="19">
                  <c:v>61.0920733385567</c:v>
                </c:pt>
                <c:pt idx="20">
                  <c:v>60.7968144511943</c:v>
                </c:pt>
                <c:pt idx="21">
                  <c:v>60.52167789770647</c:v>
                </c:pt>
                <c:pt idx="22">
                  <c:v>60.26946939034264</c:v>
                </c:pt>
                <c:pt idx="23">
                  <c:v>60.03743756356791</c:v>
                </c:pt>
                <c:pt idx="24">
                  <c:v>66.43937691693364</c:v>
                </c:pt>
                <c:pt idx="25">
                  <c:v>65.96472124973848</c:v>
                </c:pt>
                <c:pt idx="26">
                  <c:v>65.52396955877158</c:v>
                </c:pt>
                <c:pt idx="27">
                  <c:v>65.1136145361472</c:v>
                </c:pt>
                <c:pt idx="28">
                  <c:v>64.73061651503113</c:v>
                </c:pt>
                <c:pt idx="29">
                  <c:v>64.5780142008164</c:v>
                </c:pt>
                <c:pt idx="30">
                  <c:v>64.23569106649916</c:v>
                </c:pt>
                <c:pt idx="31">
                  <c:v>63.91411478880721</c:v>
                </c:pt>
                <c:pt idx="32">
                  <c:v>63.61145476274419</c:v>
                </c:pt>
                <c:pt idx="33">
                  <c:v>63.32608959531336</c:v>
                </c:pt>
                <c:pt idx="34">
                  <c:v>64.64901746872058</c:v>
                </c:pt>
                <c:pt idx="35">
                  <c:v>64.34067240593807</c:v>
                </c:pt>
                <c:pt idx="36">
                  <c:v>64.04855603067043</c:v>
                </c:pt>
                <c:pt idx="37">
                  <c:v>63.77141998233959</c:v>
                </c:pt>
                <c:pt idx="38">
                  <c:v>63.50814073642528</c:v>
                </c:pt>
                <c:pt idx="39">
                  <c:v>63.25770438055559</c:v>
                </c:pt>
                <c:pt idx="40">
                  <c:v>63.01919356544158</c:v>
                </c:pt>
                <c:pt idx="41">
                  <c:v>62.79454178086458</c:v>
                </c:pt>
                <c:pt idx="42">
                  <c:v>62.57739878915783</c:v>
                </c:pt>
                <c:pt idx="43">
                  <c:v>62.36990659708249</c:v>
                </c:pt>
                <c:pt idx="44">
                  <c:v>62.1714358046626</c:v>
                </c:pt>
                <c:pt idx="45">
                  <c:v>61.9814105778776</c:v>
                </c:pt>
                <c:pt idx="46">
                  <c:v>61.7993030688753</c:v>
                </c:pt>
                <c:pt idx="47">
                  <c:v>61.62462851942412</c:v>
                </c:pt>
                <c:pt idx="48">
                  <c:v>61.456940951951</c:v>
                </c:pt>
                <c:pt idx="49">
                  <c:v>61.29582936751602</c:v>
                </c:pt>
                <c:pt idx="50">
                  <c:v>69.27032513551146</c:v>
                </c:pt>
                <c:pt idx="51">
                  <c:v>68.9608081569487</c:v>
                </c:pt>
                <c:pt idx="52">
                  <c:v>68.66275477018456</c:v>
                </c:pt>
                <c:pt idx="53">
                  <c:v>68.37553968839367</c:v>
                </c:pt>
                <c:pt idx="54">
                  <c:v>68.0985822880953</c:v>
                </c:pt>
                <c:pt idx="55">
                  <c:v>67.83134269131616</c:v>
                </c:pt>
                <c:pt idx="56">
                  <c:v>67.57331825304666</c:v>
                </c:pt>
                <c:pt idx="57">
                  <c:v>67.32404040590495</c:v>
                </c:pt>
                <c:pt idx="58">
                  <c:v>67.08307182033461</c:v>
                </c:pt>
                <c:pt idx="59">
                  <c:v>66.85000384412724</c:v>
                </c:pt>
                <c:pt idx="60">
                  <c:v>66.72549370267292</c:v>
                </c:pt>
                <c:pt idx="61">
                  <c:v>66.50550055297469</c:v>
                </c:pt>
                <c:pt idx="62">
                  <c:v>66.29419449459956</c:v>
                </c:pt>
                <c:pt idx="63">
                  <c:v>66.08760573732395</c:v>
                </c:pt>
                <c:pt idx="64">
                  <c:v>65.88727724542034</c:v>
                </c:pt>
                <c:pt idx="65">
                  <c:v>65.69292870849891</c:v>
                </c:pt>
                <c:pt idx="66">
                  <c:v>65.50429630501635</c:v>
                </c:pt>
                <c:pt idx="67">
                  <c:v>65.32113150743184</c:v>
                </c:pt>
                <c:pt idx="68">
                  <c:v>65.1431999897783</c:v>
                </c:pt>
                <c:pt idx="69">
                  <c:v>64.97028062755166</c:v>
                </c:pt>
                <c:pt idx="70">
                  <c:v>64.8021645809424</c:v>
                </c:pt>
                <c:pt idx="71">
                  <c:v>64.63865445341833</c:v>
                </c:pt>
                <c:pt idx="72">
                  <c:v>64.47956351853004</c:v>
                </c:pt>
                <c:pt idx="73">
                  <c:v>64.3247150085721</c:v>
                </c:pt>
                <c:pt idx="74">
                  <c:v>64.17394145940254</c:v>
                </c:pt>
                <c:pt idx="75">
                  <c:v>71.88794412296373</c:v>
                </c:pt>
                <c:pt idx="76">
                  <c:v>71.64102294069444</c:v>
                </c:pt>
                <c:pt idx="77">
                  <c:v>71.40180258552678</c:v>
                </c:pt>
                <c:pt idx="78">
                  <c:v>71.16713120203218</c:v>
                </c:pt>
                <c:pt idx="79">
                  <c:v>70.93966803759288</c:v>
                </c:pt>
                <c:pt idx="80">
                  <c:v>70.71635613354856</c:v>
                </c:pt>
                <c:pt idx="81">
                  <c:v>70.49980503413772</c:v>
                </c:pt>
                <c:pt idx="82">
                  <c:v>70.28704654451654</c:v>
                </c:pt>
                <c:pt idx="83">
                  <c:v>70.08064146613927</c:v>
                </c:pt>
                <c:pt idx="84">
                  <c:v>69.87903650586381</c:v>
                </c:pt>
                <c:pt idx="85">
                  <c:v>69.68074978632467</c:v>
                </c:pt>
                <c:pt idx="86">
                  <c:v>69.4882709805988</c:v>
                </c:pt>
                <c:pt idx="87">
                  <c:v>69.298830766277</c:v>
                </c:pt>
                <c:pt idx="88">
                  <c:v>69.11487281201225</c:v>
                </c:pt>
                <c:pt idx="89">
                  <c:v>68.9336993954622</c:v>
                </c:pt>
                <c:pt idx="90">
                  <c:v>69.09816857479218</c:v>
                </c:pt>
                <c:pt idx="91">
                  <c:v>68.92107097620257</c:v>
                </c:pt>
                <c:pt idx="92">
                  <c:v>68.74895974116265</c:v>
                </c:pt>
                <c:pt idx="93">
                  <c:v>68.58047190054461</c:v>
                </c:pt>
                <c:pt idx="94">
                  <c:v>68.414301275601</c:v>
                </c:pt>
                <c:pt idx="95">
                  <c:v>68.252737498352</c:v>
                </c:pt>
                <c:pt idx="96">
                  <c:v>68.09330233924595</c:v>
                </c:pt>
                <c:pt idx="97">
                  <c:v>67.9382448901874</c:v>
                </c:pt>
                <c:pt idx="98">
                  <c:v>67.7851433603451</c:v>
                </c:pt>
              </c:numCache>
            </c:numRef>
          </c:yVal>
          <c:smooth val="0"/>
        </c:ser>
        <c:ser>
          <c:idx val="1"/>
          <c:order val="1"/>
          <c:tx>
            <c:v>Transporation Cost</c:v>
          </c:tx>
          <c:spPr>
            <a:ln w="47625">
              <a:noFill/>
            </a:ln>
          </c:spPr>
          <c:xVal>
            <c:numRef>
              <c:f>Calibration!$B$2:$B$71</c:f>
              <c:numCache>
                <c:formatCode>General</c:formatCode>
                <c:ptCount val="70"/>
                <c:pt idx="0">
                  <c:v>1296.0</c:v>
                </c:pt>
                <c:pt idx="1">
                  <c:v>612.0</c:v>
                </c:pt>
                <c:pt idx="2">
                  <c:v>4444.0</c:v>
                </c:pt>
                <c:pt idx="3">
                  <c:v>11338.0</c:v>
                </c:pt>
                <c:pt idx="4">
                  <c:v>196827.0</c:v>
                </c:pt>
                <c:pt idx="5">
                  <c:v>2716.0</c:v>
                </c:pt>
                <c:pt idx="6">
                  <c:v>22100.0</c:v>
                </c:pt>
                <c:pt idx="7">
                  <c:v>22136.0</c:v>
                </c:pt>
                <c:pt idx="8">
                  <c:v>1679.0</c:v>
                </c:pt>
                <c:pt idx="9">
                  <c:v>7007.0</c:v>
                </c:pt>
                <c:pt idx="10">
                  <c:v>19151.0</c:v>
                </c:pt>
                <c:pt idx="11">
                  <c:v>8207.0</c:v>
                </c:pt>
                <c:pt idx="12">
                  <c:v>12345.0</c:v>
                </c:pt>
                <c:pt idx="13">
                  <c:v>16302.0</c:v>
                </c:pt>
                <c:pt idx="14">
                  <c:v>7383.0</c:v>
                </c:pt>
                <c:pt idx="15">
                  <c:v>170783.0</c:v>
                </c:pt>
                <c:pt idx="16">
                  <c:v>1544.0</c:v>
                </c:pt>
                <c:pt idx="17">
                  <c:v>4215.0</c:v>
                </c:pt>
                <c:pt idx="18">
                  <c:v>6195.0</c:v>
                </c:pt>
                <c:pt idx="19">
                  <c:v>11782.0</c:v>
                </c:pt>
                <c:pt idx="20">
                  <c:v>21647.0</c:v>
                </c:pt>
                <c:pt idx="21">
                  <c:v>500.0</c:v>
                </c:pt>
                <c:pt idx="22">
                  <c:v>11082.0</c:v>
                </c:pt>
                <c:pt idx="23">
                  <c:v>6007.0</c:v>
                </c:pt>
                <c:pt idx="24">
                  <c:v>14854.0</c:v>
                </c:pt>
                <c:pt idx="25">
                  <c:v>41329.0</c:v>
                </c:pt>
                <c:pt idx="26">
                  <c:v>15500.0</c:v>
                </c:pt>
                <c:pt idx="27">
                  <c:v>3240.0</c:v>
                </c:pt>
                <c:pt idx="28">
                  <c:v>371.0</c:v>
                </c:pt>
                <c:pt idx="29">
                  <c:v>10.0</c:v>
                </c:pt>
                <c:pt idx="30">
                  <c:v>281.0</c:v>
                </c:pt>
                <c:pt idx="31">
                  <c:v>296.0</c:v>
                </c:pt>
                <c:pt idx="32">
                  <c:v>6620.0</c:v>
                </c:pt>
                <c:pt idx="33">
                  <c:v>116044.0</c:v>
                </c:pt>
                <c:pt idx="34">
                  <c:v>880.0</c:v>
                </c:pt>
                <c:pt idx="35">
                  <c:v>22.0</c:v>
                </c:pt>
                <c:pt idx="36">
                  <c:v>110732.0</c:v>
                </c:pt>
                <c:pt idx="37">
                  <c:v>50552.0</c:v>
                </c:pt>
                <c:pt idx="38">
                  <c:v>83000.0</c:v>
                </c:pt>
                <c:pt idx="39">
                  <c:v>87065.0</c:v>
                </c:pt>
                <c:pt idx="40">
                  <c:v>66870.0</c:v>
                </c:pt>
                <c:pt idx="41">
                  <c:v>44482.0</c:v>
                </c:pt>
                <c:pt idx="42">
                  <c:v>9703.0</c:v>
                </c:pt>
                <c:pt idx="43">
                  <c:v>4881.0</c:v>
                </c:pt>
                <c:pt idx="44">
                  <c:v>27233.0</c:v>
                </c:pt>
                <c:pt idx="45">
                  <c:v>1432.0</c:v>
                </c:pt>
                <c:pt idx="46">
                  <c:v>146761.0</c:v>
                </c:pt>
                <c:pt idx="47">
                  <c:v>60080.0</c:v>
                </c:pt>
                <c:pt idx="48">
                  <c:v>216394.0</c:v>
                </c:pt>
                <c:pt idx="49">
                  <c:v>20490.0</c:v>
                </c:pt>
                <c:pt idx="50">
                  <c:v>2920.0</c:v>
                </c:pt>
                <c:pt idx="51">
                  <c:v>1322.0</c:v>
                </c:pt>
                <c:pt idx="52">
                  <c:v>843.0</c:v>
                </c:pt>
                <c:pt idx="53">
                  <c:v>996.0</c:v>
                </c:pt>
                <c:pt idx="54">
                  <c:v>310.0</c:v>
                </c:pt>
                <c:pt idx="55">
                  <c:v>2322.0</c:v>
                </c:pt>
                <c:pt idx="56">
                  <c:v>2446.0</c:v>
                </c:pt>
                <c:pt idx="57">
                  <c:v>3315.0</c:v>
                </c:pt>
                <c:pt idx="58">
                  <c:v>1470.0</c:v>
                </c:pt>
                <c:pt idx="59">
                  <c:v>1820.0</c:v>
                </c:pt>
                <c:pt idx="60">
                  <c:v>2022.0</c:v>
                </c:pt>
                <c:pt idx="61">
                  <c:v>5653.0</c:v>
                </c:pt>
                <c:pt idx="62">
                  <c:v>2897.0</c:v>
                </c:pt>
                <c:pt idx="63">
                  <c:v>1887.0</c:v>
                </c:pt>
                <c:pt idx="64">
                  <c:v>2629.0</c:v>
                </c:pt>
                <c:pt idx="65">
                  <c:v>9185.0</c:v>
                </c:pt>
                <c:pt idx="66">
                  <c:v>390.0</c:v>
                </c:pt>
                <c:pt idx="67">
                  <c:v>5706.0</c:v>
                </c:pt>
                <c:pt idx="68">
                  <c:v>6000.0</c:v>
                </c:pt>
                <c:pt idx="69">
                  <c:v>681.0</c:v>
                </c:pt>
              </c:numCache>
            </c:numRef>
          </c:xVal>
          <c:yVal>
            <c:numRef>
              <c:f>Calibration!$E$2:$E$71</c:f>
              <c:numCache>
                <c:formatCode>General</c:formatCode>
                <c:ptCount val="70"/>
                <c:pt idx="2">
                  <c:v>49.0</c:v>
                </c:pt>
                <c:pt idx="3">
                  <c:v>36.0</c:v>
                </c:pt>
                <c:pt idx="4">
                  <c:v>38.68</c:v>
                </c:pt>
                <c:pt idx="5">
                  <c:v>73.0</c:v>
                </c:pt>
                <c:pt idx="6">
                  <c:v>51.16</c:v>
                </c:pt>
                <c:pt idx="7">
                  <c:v>58.82</c:v>
                </c:pt>
                <c:pt idx="12">
                  <c:v>40.0</c:v>
                </c:pt>
                <c:pt idx="13">
                  <c:v>40.0</c:v>
                </c:pt>
                <c:pt idx="16">
                  <c:v>8.0</c:v>
                </c:pt>
                <c:pt idx="17">
                  <c:v>2.85</c:v>
                </c:pt>
                <c:pt idx="21">
                  <c:v>20.0</c:v>
                </c:pt>
                <c:pt idx="27">
                  <c:v>52.01</c:v>
                </c:pt>
                <c:pt idx="28">
                  <c:v>52.01</c:v>
                </c:pt>
                <c:pt idx="29">
                  <c:v>65.26</c:v>
                </c:pt>
                <c:pt idx="30">
                  <c:v>269.18</c:v>
                </c:pt>
                <c:pt idx="31">
                  <c:v>53.0</c:v>
                </c:pt>
                <c:pt idx="32">
                  <c:v>25.0</c:v>
                </c:pt>
                <c:pt idx="33">
                  <c:v>5.8</c:v>
                </c:pt>
                <c:pt idx="34">
                  <c:v>15.0</c:v>
                </c:pt>
                <c:pt idx="38">
                  <c:v>12.83</c:v>
                </c:pt>
                <c:pt idx="45">
                  <c:v>53.0</c:v>
                </c:pt>
                <c:pt idx="49">
                  <c:v>12.5</c:v>
                </c:pt>
                <c:pt idx="50">
                  <c:v>13.5</c:v>
                </c:pt>
                <c:pt idx="51">
                  <c:v>47.94</c:v>
                </c:pt>
                <c:pt idx="53">
                  <c:v>269.18</c:v>
                </c:pt>
                <c:pt idx="57">
                  <c:v>5.0</c:v>
                </c:pt>
                <c:pt idx="60">
                  <c:v>5.0</c:v>
                </c:pt>
                <c:pt idx="66">
                  <c:v>305.0</c:v>
                </c:pt>
                <c:pt idx="69">
                  <c:v>269.18</c:v>
                </c:pt>
              </c:numCache>
            </c:numRef>
          </c:yVal>
          <c:smooth val="0"/>
        </c:ser>
        <c:ser>
          <c:idx val="0"/>
          <c:order val="2"/>
          <c:tx>
            <c:v>Tipping Fee</c:v>
          </c:tx>
          <c:spPr>
            <a:ln w="47625">
              <a:noFill/>
            </a:ln>
          </c:spPr>
          <c:xVal>
            <c:numRef>
              <c:f>Calibration!$B$2:$B$71</c:f>
              <c:numCache>
                <c:formatCode>General</c:formatCode>
                <c:ptCount val="70"/>
                <c:pt idx="0">
                  <c:v>1296.0</c:v>
                </c:pt>
                <c:pt idx="1">
                  <c:v>612.0</c:v>
                </c:pt>
                <c:pt idx="2">
                  <c:v>4444.0</c:v>
                </c:pt>
                <c:pt idx="3">
                  <c:v>11338.0</c:v>
                </c:pt>
                <c:pt idx="4">
                  <c:v>196827.0</c:v>
                </c:pt>
                <c:pt idx="5">
                  <c:v>2716.0</c:v>
                </c:pt>
                <c:pt idx="6">
                  <c:v>22100.0</c:v>
                </c:pt>
                <c:pt idx="7">
                  <c:v>22136.0</c:v>
                </c:pt>
                <c:pt idx="8">
                  <c:v>1679.0</c:v>
                </c:pt>
                <c:pt idx="9">
                  <c:v>7007.0</c:v>
                </c:pt>
                <c:pt idx="10">
                  <c:v>19151.0</c:v>
                </c:pt>
                <c:pt idx="11">
                  <c:v>8207.0</c:v>
                </c:pt>
                <c:pt idx="12">
                  <c:v>12345.0</c:v>
                </c:pt>
                <c:pt idx="13">
                  <c:v>16302.0</c:v>
                </c:pt>
                <c:pt idx="14">
                  <c:v>7383.0</c:v>
                </c:pt>
                <c:pt idx="15">
                  <c:v>170783.0</c:v>
                </c:pt>
                <c:pt idx="16">
                  <c:v>1544.0</c:v>
                </c:pt>
                <c:pt idx="17">
                  <c:v>4215.0</c:v>
                </c:pt>
                <c:pt idx="18">
                  <c:v>6195.0</c:v>
                </c:pt>
                <c:pt idx="19">
                  <c:v>11782.0</c:v>
                </c:pt>
                <c:pt idx="20">
                  <c:v>21647.0</c:v>
                </c:pt>
                <c:pt idx="21">
                  <c:v>500.0</c:v>
                </c:pt>
                <c:pt idx="22">
                  <c:v>11082.0</c:v>
                </c:pt>
                <c:pt idx="23">
                  <c:v>6007.0</c:v>
                </c:pt>
                <c:pt idx="24">
                  <c:v>14854.0</c:v>
                </c:pt>
                <c:pt idx="25">
                  <c:v>41329.0</c:v>
                </c:pt>
                <c:pt idx="26">
                  <c:v>15500.0</c:v>
                </c:pt>
                <c:pt idx="27">
                  <c:v>3240.0</c:v>
                </c:pt>
                <c:pt idx="28">
                  <c:v>371.0</c:v>
                </c:pt>
                <c:pt idx="29">
                  <c:v>10.0</c:v>
                </c:pt>
                <c:pt idx="30">
                  <c:v>281.0</c:v>
                </c:pt>
                <c:pt idx="31">
                  <c:v>296.0</c:v>
                </c:pt>
                <c:pt idx="32">
                  <c:v>6620.0</c:v>
                </c:pt>
                <c:pt idx="33">
                  <c:v>116044.0</c:v>
                </c:pt>
                <c:pt idx="34">
                  <c:v>880.0</c:v>
                </c:pt>
                <c:pt idx="35">
                  <c:v>22.0</c:v>
                </c:pt>
                <c:pt idx="36">
                  <c:v>110732.0</c:v>
                </c:pt>
                <c:pt idx="37">
                  <c:v>50552.0</c:v>
                </c:pt>
                <c:pt idx="38">
                  <c:v>83000.0</c:v>
                </c:pt>
                <c:pt idx="39">
                  <c:v>87065.0</c:v>
                </c:pt>
                <c:pt idx="40">
                  <c:v>66870.0</c:v>
                </c:pt>
                <c:pt idx="41">
                  <c:v>44482.0</c:v>
                </c:pt>
                <c:pt idx="42">
                  <c:v>9703.0</c:v>
                </c:pt>
                <c:pt idx="43">
                  <c:v>4881.0</c:v>
                </c:pt>
                <c:pt idx="44">
                  <c:v>27233.0</c:v>
                </c:pt>
                <c:pt idx="45">
                  <c:v>1432.0</c:v>
                </c:pt>
                <c:pt idx="46">
                  <c:v>146761.0</c:v>
                </c:pt>
                <c:pt idx="47">
                  <c:v>60080.0</c:v>
                </c:pt>
                <c:pt idx="48">
                  <c:v>216394.0</c:v>
                </c:pt>
                <c:pt idx="49">
                  <c:v>20490.0</c:v>
                </c:pt>
                <c:pt idx="50">
                  <c:v>2920.0</c:v>
                </c:pt>
                <c:pt idx="51">
                  <c:v>1322.0</c:v>
                </c:pt>
                <c:pt idx="52">
                  <c:v>843.0</c:v>
                </c:pt>
                <c:pt idx="53">
                  <c:v>996.0</c:v>
                </c:pt>
                <c:pt idx="54">
                  <c:v>310.0</c:v>
                </c:pt>
                <c:pt idx="55">
                  <c:v>2322.0</c:v>
                </c:pt>
                <c:pt idx="56">
                  <c:v>2446.0</c:v>
                </c:pt>
                <c:pt idx="57">
                  <c:v>3315.0</c:v>
                </c:pt>
                <c:pt idx="58">
                  <c:v>1470.0</c:v>
                </c:pt>
                <c:pt idx="59">
                  <c:v>1820.0</c:v>
                </c:pt>
                <c:pt idx="60">
                  <c:v>2022.0</c:v>
                </c:pt>
                <c:pt idx="61">
                  <c:v>5653.0</c:v>
                </c:pt>
                <c:pt idx="62">
                  <c:v>2897.0</c:v>
                </c:pt>
                <c:pt idx="63">
                  <c:v>1887.0</c:v>
                </c:pt>
                <c:pt idx="64">
                  <c:v>2629.0</c:v>
                </c:pt>
                <c:pt idx="65">
                  <c:v>9185.0</c:v>
                </c:pt>
                <c:pt idx="66">
                  <c:v>390.0</c:v>
                </c:pt>
                <c:pt idx="67">
                  <c:v>5706.0</c:v>
                </c:pt>
                <c:pt idx="68">
                  <c:v>6000.0</c:v>
                </c:pt>
                <c:pt idx="69">
                  <c:v>681.0</c:v>
                </c:pt>
              </c:numCache>
            </c:numRef>
          </c:xVal>
          <c:yVal>
            <c:numRef>
              <c:f>Calibration!$D$2:$D$71</c:f>
              <c:numCache>
                <c:formatCode>General</c:formatCode>
                <c:ptCount val="70"/>
                <c:pt idx="0">
                  <c:v>56.0</c:v>
                </c:pt>
                <c:pt idx="1">
                  <c:v>56.0</c:v>
                </c:pt>
                <c:pt idx="8">
                  <c:v>76.0</c:v>
                </c:pt>
                <c:pt idx="14">
                  <c:v>46.65</c:v>
                </c:pt>
                <c:pt idx="15">
                  <c:v>47.6</c:v>
                </c:pt>
                <c:pt idx="17">
                  <c:v>29.41</c:v>
                </c:pt>
                <c:pt idx="18">
                  <c:v>61.76</c:v>
                </c:pt>
                <c:pt idx="19">
                  <c:v>48.0</c:v>
                </c:pt>
                <c:pt idx="20">
                  <c:v>42.0</c:v>
                </c:pt>
                <c:pt idx="21">
                  <c:v>55.0</c:v>
                </c:pt>
                <c:pt idx="26">
                  <c:v>83.0</c:v>
                </c:pt>
                <c:pt idx="30">
                  <c:v>45.41</c:v>
                </c:pt>
                <c:pt idx="32">
                  <c:v>30.0</c:v>
                </c:pt>
                <c:pt idx="33">
                  <c:v>52.0</c:v>
                </c:pt>
                <c:pt idx="34">
                  <c:v>35.0</c:v>
                </c:pt>
                <c:pt idx="35">
                  <c:v>61.0</c:v>
                </c:pt>
                <c:pt idx="36">
                  <c:v>53.34</c:v>
                </c:pt>
                <c:pt idx="37">
                  <c:v>68.84</c:v>
                </c:pt>
                <c:pt idx="38">
                  <c:v>54.0</c:v>
                </c:pt>
                <c:pt idx="39">
                  <c:v>49.63</c:v>
                </c:pt>
                <c:pt idx="40">
                  <c:v>48.32</c:v>
                </c:pt>
                <c:pt idx="41">
                  <c:v>47.99</c:v>
                </c:pt>
                <c:pt idx="42">
                  <c:v>44.34</c:v>
                </c:pt>
                <c:pt idx="43">
                  <c:v>44.34</c:v>
                </c:pt>
                <c:pt idx="44">
                  <c:v>45.29</c:v>
                </c:pt>
                <c:pt idx="45">
                  <c:v>12.0</c:v>
                </c:pt>
                <c:pt idx="46">
                  <c:v>75.0</c:v>
                </c:pt>
                <c:pt idx="47">
                  <c:v>58.13</c:v>
                </c:pt>
                <c:pt idx="48">
                  <c:v>54.5</c:v>
                </c:pt>
                <c:pt idx="49">
                  <c:v>41.5</c:v>
                </c:pt>
                <c:pt idx="50">
                  <c:v>56.5</c:v>
                </c:pt>
                <c:pt idx="53">
                  <c:v>45.41</c:v>
                </c:pt>
                <c:pt idx="55">
                  <c:v>86.0</c:v>
                </c:pt>
                <c:pt idx="56">
                  <c:v>67.0</c:v>
                </c:pt>
                <c:pt idx="57">
                  <c:v>37.96</c:v>
                </c:pt>
                <c:pt idx="58">
                  <c:v>86.0</c:v>
                </c:pt>
                <c:pt idx="59">
                  <c:v>67.0</c:v>
                </c:pt>
                <c:pt idx="60">
                  <c:v>37.96</c:v>
                </c:pt>
                <c:pt idx="66">
                  <c:v>45.0</c:v>
                </c:pt>
                <c:pt idx="69">
                  <c:v>45.41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3474424"/>
        <c:axId val="-2143490552"/>
      </c:scatterChart>
      <c:valAx>
        <c:axId val="-2143474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Wet Tons of Biosolids Produced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43490552"/>
        <c:crosses val="autoZero"/>
        <c:crossBetween val="midCat"/>
      </c:valAx>
      <c:valAx>
        <c:axId val="-2143490552"/>
        <c:scaling>
          <c:logBase val="10.0"/>
          <c:orientation val="minMax"/>
          <c:max val="100.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$/Wet Ton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43474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Calibration!$C$2:$C$71</c:f>
              <c:numCache>
                <c:formatCode>General</c:formatCode>
                <c:ptCount val="70"/>
                <c:pt idx="0">
                  <c:v>87.0</c:v>
                </c:pt>
                <c:pt idx="1">
                  <c:v>87.0</c:v>
                </c:pt>
                <c:pt idx="2">
                  <c:v>160.0</c:v>
                </c:pt>
                <c:pt idx="3">
                  <c:v>200.0</c:v>
                </c:pt>
                <c:pt idx="4">
                  <c:v>236.0</c:v>
                </c:pt>
                <c:pt idx="5">
                  <c:v>248.0</c:v>
                </c:pt>
                <c:pt idx="6">
                  <c:v>578.0</c:v>
                </c:pt>
                <c:pt idx="7">
                  <c:v>256.0</c:v>
                </c:pt>
                <c:pt idx="8">
                  <c:v>44.0</c:v>
                </c:pt>
                <c:pt idx="9">
                  <c:v>560.0</c:v>
                </c:pt>
                <c:pt idx="12">
                  <c:v>225.0</c:v>
                </c:pt>
                <c:pt idx="13">
                  <c:v>80.0</c:v>
                </c:pt>
                <c:pt idx="14">
                  <c:v>220.0</c:v>
                </c:pt>
                <c:pt idx="15">
                  <c:v>30.0</c:v>
                </c:pt>
                <c:pt idx="16">
                  <c:v>8.0</c:v>
                </c:pt>
                <c:pt idx="17">
                  <c:v>0.0</c:v>
                </c:pt>
                <c:pt idx="18">
                  <c:v>30.0</c:v>
                </c:pt>
                <c:pt idx="19">
                  <c:v>152.0</c:v>
                </c:pt>
                <c:pt idx="20">
                  <c:v>69.0</c:v>
                </c:pt>
                <c:pt idx="21">
                  <c:v>29.0</c:v>
                </c:pt>
                <c:pt idx="22">
                  <c:v>225.0</c:v>
                </c:pt>
                <c:pt idx="23">
                  <c:v>225.0</c:v>
                </c:pt>
                <c:pt idx="24">
                  <c:v>225.0</c:v>
                </c:pt>
                <c:pt idx="25">
                  <c:v>225.0</c:v>
                </c:pt>
                <c:pt idx="26">
                  <c:v>200.0</c:v>
                </c:pt>
                <c:pt idx="30">
                  <c:v>30.0</c:v>
                </c:pt>
                <c:pt idx="31">
                  <c:v>243.0</c:v>
                </c:pt>
                <c:pt idx="32">
                  <c:v>164.0</c:v>
                </c:pt>
                <c:pt idx="33">
                  <c:v>9.0</c:v>
                </c:pt>
                <c:pt idx="35">
                  <c:v>34.0</c:v>
                </c:pt>
                <c:pt idx="36">
                  <c:v>172.0</c:v>
                </c:pt>
                <c:pt idx="37">
                  <c:v>144.0</c:v>
                </c:pt>
                <c:pt idx="38">
                  <c:v>61.0</c:v>
                </c:pt>
                <c:pt idx="39">
                  <c:v>144.0</c:v>
                </c:pt>
                <c:pt idx="40">
                  <c:v>168.0</c:v>
                </c:pt>
                <c:pt idx="41">
                  <c:v>310.0</c:v>
                </c:pt>
                <c:pt idx="42">
                  <c:v>71.0</c:v>
                </c:pt>
                <c:pt idx="43">
                  <c:v>88.0</c:v>
                </c:pt>
                <c:pt idx="44">
                  <c:v>118.0</c:v>
                </c:pt>
                <c:pt idx="45">
                  <c:v>185.0</c:v>
                </c:pt>
                <c:pt idx="46">
                  <c:v>155.0</c:v>
                </c:pt>
                <c:pt idx="47">
                  <c:v>272.0</c:v>
                </c:pt>
                <c:pt idx="48">
                  <c:v>253.0</c:v>
                </c:pt>
                <c:pt idx="49">
                  <c:v>25.0</c:v>
                </c:pt>
                <c:pt idx="50">
                  <c:v>47.0</c:v>
                </c:pt>
                <c:pt idx="52">
                  <c:v>44.0</c:v>
                </c:pt>
                <c:pt idx="53">
                  <c:v>30.0</c:v>
                </c:pt>
                <c:pt idx="54">
                  <c:v>48.0</c:v>
                </c:pt>
                <c:pt idx="55">
                  <c:v>500.0</c:v>
                </c:pt>
                <c:pt idx="56">
                  <c:v>400.0</c:v>
                </c:pt>
                <c:pt idx="57">
                  <c:v>14.0</c:v>
                </c:pt>
                <c:pt idx="58">
                  <c:v>500.0</c:v>
                </c:pt>
                <c:pt idx="59">
                  <c:v>400.0</c:v>
                </c:pt>
                <c:pt idx="60">
                  <c:v>14.0</c:v>
                </c:pt>
                <c:pt idx="61">
                  <c:v>134.0</c:v>
                </c:pt>
                <c:pt idx="62">
                  <c:v>18.0</c:v>
                </c:pt>
                <c:pt idx="63">
                  <c:v>131.0</c:v>
                </c:pt>
                <c:pt idx="64">
                  <c:v>22.0</c:v>
                </c:pt>
                <c:pt idx="65">
                  <c:v>174.0</c:v>
                </c:pt>
                <c:pt idx="66">
                  <c:v>60.0</c:v>
                </c:pt>
                <c:pt idx="67">
                  <c:v>30.0</c:v>
                </c:pt>
                <c:pt idx="68">
                  <c:v>125.0</c:v>
                </c:pt>
                <c:pt idx="69">
                  <c:v>30.0</c:v>
                </c:pt>
              </c:numCache>
            </c:numRef>
          </c:xVal>
          <c:yVal>
            <c:numRef>
              <c:f>Calibration!$E$2:$E$71</c:f>
              <c:numCache>
                <c:formatCode>General</c:formatCode>
                <c:ptCount val="70"/>
                <c:pt idx="2">
                  <c:v>49.0</c:v>
                </c:pt>
                <c:pt idx="3">
                  <c:v>36.0</c:v>
                </c:pt>
                <c:pt idx="4">
                  <c:v>38.68</c:v>
                </c:pt>
                <c:pt idx="5">
                  <c:v>73.0</c:v>
                </c:pt>
                <c:pt idx="6">
                  <c:v>51.16</c:v>
                </c:pt>
                <c:pt idx="7">
                  <c:v>58.82</c:v>
                </c:pt>
                <c:pt idx="12">
                  <c:v>40.0</c:v>
                </c:pt>
                <c:pt idx="13">
                  <c:v>40.0</c:v>
                </c:pt>
                <c:pt idx="16">
                  <c:v>8.0</c:v>
                </c:pt>
                <c:pt idx="17">
                  <c:v>2.85</c:v>
                </c:pt>
                <c:pt idx="21">
                  <c:v>20.0</c:v>
                </c:pt>
                <c:pt idx="27">
                  <c:v>52.01</c:v>
                </c:pt>
                <c:pt idx="28">
                  <c:v>52.01</c:v>
                </c:pt>
                <c:pt idx="29">
                  <c:v>65.26</c:v>
                </c:pt>
                <c:pt idx="30">
                  <c:v>269.18</c:v>
                </c:pt>
                <c:pt idx="31">
                  <c:v>53.0</c:v>
                </c:pt>
                <c:pt idx="32">
                  <c:v>25.0</c:v>
                </c:pt>
                <c:pt idx="33">
                  <c:v>5.8</c:v>
                </c:pt>
                <c:pt idx="34">
                  <c:v>15.0</c:v>
                </c:pt>
                <c:pt idx="38">
                  <c:v>12.83</c:v>
                </c:pt>
                <c:pt idx="45">
                  <c:v>53.0</c:v>
                </c:pt>
                <c:pt idx="49">
                  <c:v>12.5</c:v>
                </c:pt>
                <c:pt idx="50">
                  <c:v>13.5</c:v>
                </c:pt>
                <c:pt idx="51">
                  <c:v>47.94</c:v>
                </c:pt>
                <c:pt idx="53">
                  <c:v>269.18</c:v>
                </c:pt>
                <c:pt idx="57">
                  <c:v>5.0</c:v>
                </c:pt>
                <c:pt idx="60">
                  <c:v>5.0</c:v>
                </c:pt>
                <c:pt idx="66">
                  <c:v>305.0</c:v>
                </c:pt>
                <c:pt idx="69">
                  <c:v>269.18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7698872"/>
        <c:axId val="-2107717672"/>
      </c:scatterChart>
      <c:valAx>
        <c:axId val="-2107698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Miles Traveled to </a:t>
                </a:r>
              </a:p>
              <a:p>
                <a:pPr>
                  <a:defRPr/>
                </a:pPr>
                <a:r>
                  <a:rPr lang="en-US"/>
                  <a:t>Disposal</a:t>
                </a:r>
                <a:r>
                  <a:rPr lang="en-US" baseline="0"/>
                  <a:t> Site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7717672"/>
        <c:crosses val="autoZero"/>
        <c:crossBetween val="midCat"/>
      </c:valAx>
      <c:valAx>
        <c:axId val="-2107717672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Transportation Cost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7698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Cost Per Dry Ton</c:v>
          </c:tx>
          <c:marker>
            <c:symbol val="none"/>
          </c:marker>
          <c:cat>
            <c:numRef>
              <c:f>'Dewatered Sludge Hauling'!$G$3:$G$70</c:f>
              <c:numCache>
                <c:formatCode>General</c:formatCode>
                <c:ptCount val="68"/>
                <c:pt idx="0">
                  <c:v>725.0</c:v>
                </c:pt>
                <c:pt idx="1">
                  <c:v>825.0</c:v>
                </c:pt>
                <c:pt idx="2">
                  <c:v>925.0</c:v>
                </c:pt>
                <c:pt idx="3">
                  <c:v>1025.0</c:v>
                </c:pt>
                <c:pt idx="4">
                  <c:v>1125.0</c:v>
                </c:pt>
                <c:pt idx="5">
                  <c:v>1225.0</c:v>
                </c:pt>
                <c:pt idx="6">
                  <c:v>1325.0</c:v>
                </c:pt>
                <c:pt idx="7">
                  <c:v>1425.0</c:v>
                </c:pt>
                <c:pt idx="8">
                  <c:v>1525.0</c:v>
                </c:pt>
                <c:pt idx="9">
                  <c:v>1625.0</c:v>
                </c:pt>
                <c:pt idx="10">
                  <c:v>1725.0</c:v>
                </c:pt>
                <c:pt idx="11">
                  <c:v>1825.0</c:v>
                </c:pt>
                <c:pt idx="12">
                  <c:v>1925.0</c:v>
                </c:pt>
                <c:pt idx="13">
                  <c:v>2025.0</c:v>
                </c:pt>
                <c:pt idx="14">
                  <c:v>2125.0</c:v>
                </c:pt>
                <c:pt idx="15">
                  <c:v>2225.0</c:v>
                </c:pt>
                <c:pt idx="16">
                  <c:v>2325.0</c:v>
                </c:pt>
                <c:pt idx="17">
                  <c:v>2425.0</c:v>
                </c:pt>
                <c:pt idx="18">
                  <c:v>2525.0</c:v>
                </c:pt>
                <c:pt idx="19">
                  <c:v>2625.0</c:v>
                </c:pt>
                <c:pt idx="20">
                  <c:v>2725.0</c:v>
                </c:pt>
                <c:pt idx="21">
                  <c:v>2825.0</c:v>
                </c:pt>
                <c:pt idx="22">
                  <c:v>2925.0</c:v>
                </c:pt>
                <c:pt idx="23">
                  <c:v>3025.0</c:v>
                </c:pt>
                <c:pt idx="24">
                  <c:v>3125.0</c:v>
                </c:pt>
                <c:pt idx="25">
                  <c:v>3225.0</c:v>
                </c:pt>
                <c:pt idx="26">
                  <c:v>3325.0</c:v>
                </c:pt>
                <c:pt idx="27">
                  <c:v>3425.0</c:v>
                </c:pt>
                <c:pt idx="28">
                  <c:v>3525.0</c:v>
                </c:pt>
                <c:pt idx="29">
                  <c:v>3625.0</c:v>
                </c:pt>
                <c:pt idx="30">
                  <c:v>3725.0</c:v>
                </c:pt>
                <c:pt idx="31">
                  <c:v>3825.0</c:v>
                </c:pt>
                <c:pt idx="32">
                  <c:v>3925.0</c:v>
                </c:pt>
                <c:pt idx="33">
                  <c:v>4025.0</c:v>
                </c:pt>
                <c:pt idx="34">
                  <c:v>4125.0</c:v>
                </c:pt>
                <c:pt idx="35">
                  <c:v>4225.0</c:v>
                </c:pt>
                <c:pt idx="36">
                  <c:v>4325.0</c:v>
                </c:pt>
                <c:pt idx="37">
                  <c:v>4425.0</c:v>
                </c:pt>
                <c:pt idx="38">
                  <c:v>4525.0</c:v>
                </c:pt>
                <c:pt idx="39">
                  <c:v>4625.0</c:v>
                </c:pt>
                <c:pt idx="40">
                  <c:v>4725.0</c:v>
                </c:pt>
                <c:pt idx="41">
                  <c:v>4825.0</c:v>
                </c:pt>
                <c:pt idx="42">
                  <c:v>4925.0</c:v>
                </c:pt>
                <c:pt idx="43">
                  <c:v>5025.0</c:v>
                </c:pt>
                <c:pt idx="44">
                  <c:v>5125.0</c:v>
                </c:pt>
                <c:pt idx="45">
                  <c:v>5225.0</c:v>
                </c:pt>
                <c:pt idx="46">
                  <c:v>5325.0</c:v>
                </c:pt>
                <c:pt idx="47">
                  <c:v>5425.0</c:v>
                </c:pt>
                <c:pt idx="48">
                  <c:v>5525.0</c:v>
                </c:pt>
                <c:pt idx="49">
                  <c:v>5625.0</c:v>
                </c:pt>
                <c:pt idx="50">
                  <c:v>5725.0</c:v>
                </c:pt>
                <c:pt idx="51">
                  <c:v>5825.0</c:v>
                </c:pt>
                <c:pt idx="52">
                  <c:v>5925.0</c:v>
                </c:pt>
                <c:pt idx="53">
                  <c:v>6025.0</c:v>
                </c:pt>
                <c:pt idx="54">
                  <c:v>6125.0</c:v>
                </c:pt>
                <c:pt idx="55">
                  <c:v>6225.0</c:v>
                </c:pt>
                <c:pt idx="56">
                  <c:v>6325.0</c:v>
                </c:pt>
                <c:pt idx="57">
                  <c:v>6425.0</c:v>
                </c:pt>
                <c:pt idx="58">
                  <c:v>6525.0</c:v>
                </c:pt>
                <c:pt idx="59">
                  <c:v>6625.0</c:v>
                </c:pt>
                <c:pt idx="60">
                  <c:v>6725.0</c:v>
                </c:pt>
                <c:pt idx="61">
                  <c:v>6825.0</c:v>
                </c:pt>
                <c:pt idx="62">
                  <c:v>6925.0</c:v>
                </c:pt>
                <c:pt idx="63">
                  <c:v>7025.0</c:v>
                </c:pt>
                <c:pt idx="64">
                  <c:v>7125.0</c:v>
                </c:pt>
                <c:pt idx="65">
                  <c:v>7225.0</c:v>
                </c:pt>
                <c:pt idx="66">
                  <c:v>7325.0</c:v>
                </c:pt>
                <c:pt idx="67">
                  <c:v>7425.0</c:v>
                </c:pt>
              </c:numCache>
            </c:numRef>
          </c:cat>
          <c:val>
            <c:numRef>
              <c:f>'Dewatered Sludge Hauling'!$H$3:$H$70</c:f>
              <c:numCache>
                <c:formatCode>General</c:formatCode>
                <c:ptCount val="68"/>
                <c:pt idx="0">
                  <c:v>211.0582772938847</c:v>
                </c:pt>
                <c:pt idx="1">
                  <c:v>193.8796112628973</c:v>
                </c:pt>
                <c:pt idx="2">
                  <c:v>180.75606419927</c:v>
                </c:pt>
                <c:pt idx="3">
                  <c:v>170.1932092456188</c:v>
                </c:pt>
                <c:pt idx="4">
                  <c:v>161.5081951726167</c:v>
                </c:pt>
                <c:pt idx="5">
                  <c:v>154.2411425809211</c:v>
                </c:pt>
                <c:pt idx="6">
                  <c:v>148.071003587972</c:v>
                </c:pt>
                <c:pt idx="7">
                  <c:v>146.2587846260884</c:v>
                </c:pt>
                <c:pt idx="8">
                  <c:v>140.1159658337105</c:v>
                </c:pt>
                <c:pt idx="9">
                  <c:v>134.7291862773175</c:v>
                </c:pt>
                <c:pt idx="10">
                  <c:v>129.9669608723904</c:v>
                </c:pt>
                <c:pt idx="11">
                  <c:v>125.7266231830718</c:v>
                </c:pt>
                <c:pt idx="12">
                  <c:v>121.9268400588771</c:v>
                </c:pt>
                <c:pt idx="13">
                  <c:v>115.0609272078186</c:v>
                </c:pt>
                <c:pt idx="14">
                  <c:v>111.3664819378242</c:v>
                </c:pt>
                <c:pt idx="15">
                  <c:v>108.1410278726999</c:v>
                </c:pt>
                <c:pt idx="16">
                  <c:v>105.0620144252908</c:v>
                </c:pt>
                <c:pt idx="17">
                  <c:v>102.2369402312762</c:v>
                </c:pt>
                <c:pt idx="18">
                  <c:v>99.63563429025289</c:v>
                </c:pt>
                <c:pt idx="19">
                  <c:v>97.2325230875933</c:v>
                </c:pt>
                <c:pt idx="20">
                  <c:v>95.00578701907382</c:v>
                </c:pt>
                <c:pt idx="21">
                  <c:v>95.08398000600016</c:v>
                </c:pt>
                <c:pt idx="22">
                  <c:v>90.99361773362648</c:v>
                </c:pt>
                <c:pt idx="23">
                  <c:v>88.7342891694475</c:v>
                </c:pt>
                <c:pt idx="24">
                  <c:v>86.61955763337603</c:v>
                </c:pt>
                <c:pt idx="25">
                  <c:v>84.73629971932986</c:v>
                </c:pt>
                <c:pt idx="26">
                  <c:v>82.86901036437897</c:v>
                </c:pt>
                <c:pt idx="27">
                  <c:v>81.1107598038778</c:v>
                </c:pt>
                <c:pt idx="28">
                  <c:v>79.45226814042631</c:v>
                </c:pt>
                <c:pt idx="29">
                  <c:v>77.97453632704591</c:v>
                </c:pt>
                <c:pt idx="30">
                  <c:v>76.48928511470143</c:v>
                </c:pt>
                <c:pt idx="31">
                  <c:v>75.08169409646644</c:v>
                </c:pt>
                <c:pt idx="32">
                  <c:v>73.74582746132622</c:v>
                </c:pt>
                <c:pt idx="33">
                  <c:v>72.47633929252841</c:v>
                </c:pt>
                <c:pt idx="34">
                  <c:v>71.34683991344619</c:v>
                </c:pt>
                <c:pt idx="35">
                  <c:v>70.19422662951168</c:v>
                </c:pt>
                <c:pt idx="36">
                  <c:v>69.09491338182847</c:v>
                </c:pt>
                <c:pt idx="37">
                  <c:v>68.04528660861683</c:v>
                </c:pt>
                <c:pt idx="38">
                  <c:v>67.1135562947333</c:v>
                </c:pt>
                <c:pt idx="39">
                  <c:v>66.15215894062477</c:v>
                </c:pt>
                <c:pt idx="40">
                  <c:v>65.231455654415</c:v>
                </c:pt>
                <c:pt idx="41">
                  <c:v>64.34891623499114</c:v>
                </c:pt>
                <c:pt idx="42">
                  <c:v>64.45756732761063</c:v>
                </c:pt>
                <c:pt idx="43">
                  <c:v>63.5177341865046</c:v>
                </c:pt>
                <c:pt idx="44">
                  <c:v>62.61457746066126</c:v>
                </c:pt>
                <c:pt idx="45">
                  <c:v>61.7459913271947</c:v>
                </c:pt>
                <c:pt idx="46">
                  <c:v>60.91002814709776</c:v>
                </c:pt>
                <c:pt idx="47">
                  <c:v>60.10488388608275</c:v>
                </c:pt>
                <c:pt idx="48">
                  <c:v>59.32888511867912</c:v>
                </c:pt>
                <c:pt idx="49">
                  <c:v>65.05095994435357</c:v>
                </c:pt>
                <c:pt idx="50">
                  <c:v>64.21567596256629</c:v>
                </c:pt>
                <c:pt idx="51">
                  <c:v>63.40907125912367</c:v>
                </c:pt>
                <c:pt idx="52">
                  <c:v>62.62969371866645</c:v>
                </c:pt>
                <c:pt idx="53">
                  <c:v>61.87618763183436</c:v>
                </c:pt>
                <c:pt idx="54">
                  <c:v>61.14728582538862</c:v>
                </c:pt>
                <c:pt idx="55">
                  <c:v>60.44180255087689</c:v>
                </c:pt>
                <c:pt idx="56">
                  <c:v>59.75862704789122</c:v>
                </c:pt>
                <c:pt idx="57">
                  <c:v>59.0967177084226</c:v>
                </c:pt>
                <c:pt idx="58">
                  <c:v>58.4550967778266</c:v>
                </c:pt>
                <c:pt idx="59">
                  <c:v>57.83284553570141</c:v>
                </c:pt>
                <c:pt idx="60">
                  <c:v>57.22909990672491</c:v>
                </c:pt>
                <c:pt idx="61">
                  <c:v>56.64304645735216</c:v>
                </c:pt>
                <c:pt idx="62">
                  <c:v>56.0739187393692</c:v>
                </c:pt>
                <c:pt idx="63">
                  <c:v>102.7940768868098</c:v>
                </c:pt>
                <c:pt idx="64">
                  <c:v>101.5225689420497</c:v>
                </c:pt>
                <c:pt idx="65">
                  <c:v>100.2862584490477</c:v>
                </c:pt>
                <c:pt idx="66">
                  <c:v>99.04206859809805</c:v>
                </c:pt>
                <c:pt idx="67">
                  <c:v>97.87246680987658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7918168"/>
        <c:axId val="-2107928968"/>
      </c:lineChart>
      <c:catAx>
        <c:axId val="-2107918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Gallons Per Day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7928968"/>
        <c:crosses val="autoZero"/>
        <c:auto val="1"/>
        <c:lblAlgn val="ctr"/>
        <c:lblOffset val="100"/>
        <c:noMultiLvlLbl val="0"/>
      </c:catAx>
      <c:valAx>
        <c:axId val="-210792896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$/ton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791816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Cost Per Dry Ton</c:v>
          </c:tx>
          <c:marker>
            <c:symbol val="none"/>
          </c:marker>
          <c:cat>
            <c:numRef>
              <c:f>Landfill!$G$3:$G$70</c:f>
              <c:numCache>
                <c:formatCode>General</c:formatCode>
                <c:ptCount val="68"/>
                <c:pt idx="0">
                  <c:v>725.0</c:v>
                </c:pt>
                <c:pt idx="1">
                  <c:v>825.0</c:v>
                </c:pt>
                <c:pt idx="2">
                  <c:v>925.0</c:v>
                </c:pt>
                <c:pt idx="3">
                  <c:v>1025.0</c:v>
                </c:pt>
                <c:pt idx="4">
                  <c:v>1125.0</c:v>
                </c:pt>
                <c:pt idx="5">
                  <c:v>1225.0</c:v>
                </c:pt>
                <c:pt idx="6">
                  <c:v>1325.0</c:v>
                </c:pt>
                <c:pt idx="7">
                  <c:v>1425.0</c:v>
                </c:pt>
                <c:pt idx="8">
                  <c:v>1525.0</c:v>
                </c:pt>
                <c:pt idx="9">
                  <c:v>1625.0</c:v>
                </c:pt>
                <c:pt idx="10">
                  <c:v>1725.0</c:v>
                </c:pt>
                <c:pt idx="11">
                  <c:v>1825.0</c:v>
                </c:pt>
                <c:pt idx="12">
                  <c:v>1925.0</c:v>
                </c:pt>
                <c:pt idx="13">
                  <c:v>2025.0</c:v>
                </c:pt>
                <c:pt idx="14">
                  <c:v>2125.0</c:v>
                </c:pt>
                <c:pt idx="15">
                  <c:v>2225.0</c:v>
                </c:pt>
                <c:pt idx="16">
                  <c:v>2325.0</c:v>
                </c:pt>
                <c:pt idx="17">
                  <c:v>2425.0</c:v>
                </c:pt>
                <c:pt idx="18">
                  <c:v>2525.0</c:v>
                </c:pt>
                <c:pt idx="19">
                  <c:v>2625.0</c:v>
                </c:pt>
                <c:pt idx="20">
                  <c:v>2725.0</c:v>
                </c:pt>
                <c:pt idx="21">
                  <c:v>2825.0</c:v>
                </c:pt>
                <c:pt idx="22">
                  <c:v>2925.0</c:v>
                </c:pt>
                <c:pt idx="23">
                  <c:v>3025.0</c:v>
                </c:pt>
                <c:pt idx="24">
                  <c:v>3125.0</c:v>
                </c:pt>
                <c:pt idx="25">
                  <c:v>3225.0</c:v>
                </c:pt>
                <c:pt idx="26">
                  <c:v>3325.0</c:v>
                </c:pt>
                <c:pt idx="27">
                  <c:v>3425.0</c:v>
                </c:pt>
                <c:pt idx="28">
                  <c:v>3525.0</c:v>
                </c:pt>
                <c:pt idx="29">
                  <c:v>3625.0</c:v>
                </c:pt>
                <c:pt idx="30">
                  <c:v>3725.0</c:v>
                </c:pt>
                <c:pt idx="31">
                  <c:v>3825.0</c:v>
                </c:pt>
                <c:pt idx="32">
                  <c:v>3925.0</c:v>
                </c:pt>
                <c:pt idx="33">
                  <c:v>4025.0</c:v>
                </c:pt>
                <c:pt idx="34">
                  <c:v>4125.0</c:v>
                </c:pt>
                <c:pt idx="35">
                  <c:v>4225.0</c:v>
                </c:pt>
                <c:pt idx="36">
                  <c:v>4325.0</c:v>
                </c:pt>
                <c:pt idx="37">
                  <c:v>4425.0</c:v>
                </c:pt>
                <c:pt idx="38">
                  <c:v>4525.0</c:v>
                </c:pt>
                <c:pt idx="39">
                  <c:v>4625.0</c:v>
                </c:pt>
                <c:pt idx="40">
                  <c:v>4725.0</c:v>
                </c:pt>
                <c:pt idx="41">
                  <c:v>4825.0</c:v>
                </c:pt>
                <c:pt idx="42">
                  <c:v>4925.0</c:v>
                </c:pt>
                <c:pt idx="43">
                  <c:v>5025.0</c:v>
                </c:pt>
                <c:pt idx="44">
                  <c:v>5125.0</c:v>
                </c:pt>
                <c:pt idx="45">
                  <c:v>5225.0</c:v>
                </c:pt>
                <c:pt idx="46">
                  <c:v>5325.0</c:v>
                </c:pt>
                <c:pt idx="47">
                  <c:v>5425.0</c:v>
                </c:pt>
                <c:pt idx="48">
                  <c:v>5525.0</c:v>
                </c:pt>
                <c:pt idx="49">
                  <c:v>5625.0</c:v>
                </c:pt>
                <c:pt idx="50">
                  <c:v>5725.0</c:v>
                </c:pt>
                <c:pt idx="51">
                  <c:v>5825.0</c:v>
                </c:pt>
                <c:pt idx="52">
                  <c:v>5925.0</c:v>
                </c:pt>
                <c:pt idx="53">
                  <c:v>6025.0</c:v>
                </c:pt>
                <c:pt idx="54">
                  <c:v>6125.0</c:v>
                </c:pt>
                <c:pt idx="55">
                  <c:v>6225.0</c:v>
                </c:pt>
                <c:pt idx="56">
                  <c:v>6325.0</c:v>
                </c:pt>
                <c:pt idx="57">
                  <c:v>6425.0</c:v>
                </c:pt>
                <c:pt idx="58">
                  <c:v>6525.0</c:v>
                </c:pt>
                <c:pt idx="59">
                  <c:v>6625.0</c:v>
                </c:pt>
                <c:pt idx="60">
                  <c:v>6725.0</c:v>
                </c:pt>
                <c:pt idx="61">
                  <c:v>6825.0</c:v>
                </c:pt>
                <c:pt idx="62">
                  <c:v>6925.0</c:v>
                </c:pt>
                <c:pt idx="63">
                  <c:v>7025.0</c:v>
                </c:pt>
                <c:pt idx="64">
                  <c:v>7125.0</c:v>
                </c:pt>
                <c:pt idx="65">
                  <c:v>7225.0</c:v>
                </c:pt>
                <c:pt idx="66">
                  <c:v>7325.0</c:v>
                </c:pt>
                <c:pt idx="67">
                  <c:v>7425.0</c:v>
                </c:pt>
              </c:numCache>
            </c:numRef>
          </c:cat>
          <c:val>
            <c:numRef>
              <c:f>Landfill!$H$3:$H$70</c:f>
              <c:numCache>
                <c:formatCode>General</c:formatCode>
                <c:ptCount val="68"/>
                <c:pt idx="0">
                  <c:v>208.4170103371994</c:v>
                </c:pt>
                <c:pt idx="1">
                  <c:v>190.6081301092616</c:v>
                </c:pt>
                <c:pt idx="2">
                  <c:v>176.9562134144902</c:v>
                </c:pt>
                <c:pt idx="3">
                  <c:v>165.9680853430888</c:v>
                </c:pt>
                <c:pt idx="4">
                  <c:v>156.9334022621588</c:v>
                </c:pt>
                <c:pt idx="5">
                  <c:v>149.3737694801561</c:v>
                </c:pt>
                <c:pt idx="6">
                  <c:v>142.9552133444935</c:v>
                </c:pt>
                <c:pt idx="7">
                  <c:v>141.6894616136714</c:v>
                </c:pt>
                <c:pt idx="8">
                  <c:v>136.6165723722914</c:v>
                </c:pt>
                <c:pt idx="9">
                  <c:v>132.1680387298505</c:v>
                </c:pt>
                <c:pt idx="10">
                  <c:v>127.4430878668412</c:v>
                </c:pt>
                <c:pt idx="11">
                  <c:v>123.0367453200154</c:v>
                </c:pt>
                <c:pt idx="12">
                  <c:v>119.0882045962365</c:v>
                </c:pt>
                <c:pt idx="13">
                  <c:v>115.5296432032012</c:v>
                </c:pt>
                <c:pt idx="14">
                  <c:v>112.3060052353927</c:v>
                </c:pt>
                <c:pt idx="15">
                  <c:v>109.4895540421869</c:v>
                </c:pt>
                <c:pt idx="16">
                  <c:v>106.8030070462766</c:v>
                </c:pt>
                <c:pt idx="17">
                  <c:v>101.1618181436405</c:v>
                </c:pt>
                <c:pt idx="18">
                  <c:v>98.45881940479038</c:v>
                </c:pt>
                <c:pt idx="19">
                  <c:v>95.9617634269955</c:v>
                </c:pt>
                <c:pt idx="20">
                  <c:v>93.64797761270849</c:v>
                </c:pt>
                <c:pt idx="21">
                  <c:v>93.73037134364199</c:v>
                </c:pt>
                <c:pt idx="22">
                  <c:v>91.65108001523284</c:v>
                </c:pt>
                <c:pt idx="23">
                  <c:v>89.70926249366067</c:v>
                </c:pt>
                <c:pt idx="24">
                  <c:v>87.8917212934691</c:v>
                </c:pt>
                <c:pt idx="25">
                  <c:v>86.18689582662276</c:v>
                </c:pt>
                <c:pt idx="26">
                  <c:v>84.58461625251903</c:v>
                </c:pt>
                <c:pt idx="27">
                  <c:v>83.07590044916588</c:v>
                </c:pt>
                <c:pt idx="28">
                  <c:v>81.65278554245691</c:v>
                </c:pt>
                <c:pt idx="29">
                  <c:v>77.98611955654144</c:v>
                </c:pt>
                <c:pt idx="30">
                  <c:v>76.44492061612714</c:v>
                </c:pt>
                <c:pt idx="31">
                  <c:v>74.9843072412247</c:v>
                </c:pt>
                <c:pt idx="32">
                  <c:v>73.59812002555295</c:v>
                </c:pt>
                <c:pt idx="33">
                  <c:v>72.28081167774071</c:v>
                </c:pt>
                <c:pt idx="34">
                  <c:v>71.09863328973962</c:v>
                </c:pt>
                <c:pt idx="35">
                  <c:v>69.90284218290815</c:v>
                </c:pt>
                <c:pt idx="36">
                  <c:v>68.76234777465845</c:v>
                </c:pt>
                <c:pt idx="37">
                  <c:v>67.67340113627316</c:v>
                </c:pt>
                <c:pt idx="38">
                  <c:v>66.6975459326582</c:v>
                </c:pt>
                <c:pt idx="39">
                  <c:v>65.70033324278687</c:v>
                </c:pt>
                <c:pt idx="40">
                  <c:v>64.74533061386248</c:v>
                </c:pt>
                <c:pt idx="41">
                  <c:v>63.82991358613701</c:v>
                </c:pt>
                <c:pt idx="42">
                  <c:v>62.95167085395371</c:v>
                </c:pt>
                <c:pt idx="43">
                  <c:v>62.16688045233665</c:v>
                </c:pt>
                <c:pt idx="44">
                  <c:v>61.35536003426392</c:v>
                </c:pt>
                <c:pt idx="45">
                  <c:v>60.57490259870115</c:v>
                </c:pt>
                <c:pt idx="46">
                  <c:v>59.82375811846469</c:v>
                </c:pt>
                <c:pt idx="47">
                  <c:v>59.15448982453346</c:v>
                </c:pt>
                <c:pt idx="48">
                  <c:v>58.45624492320452</c:v>
                </c:pt>
                <c:pt idx="49">
                  <c:v>64.50970656313947</c:v>
                </c:pt>
                <c:pt idx="50">
                  <c:v>63.74231359306035</c:v>
                </c:pt>
                <c:pt idx="51">
                  <c:v>63.05173229829015</c:v>
                </c:pt>
                <c:pt idx="52">
                  <c:v>62.33485004897064</c:v>
                </c:pt>
                <c:pt idx="53">
                  <c:v>62.19436000727501</c:v>
                </c:pt>
                <c:pt idx="54">
                  <c:v>61.43677614086634</c:v>
                </c:pt>
                <c:pt idx="55">
                  <c:v>60.70353231835834</c:v>
                </c:pt>
                <c:pt idx="56">
                  <c:v>59.99347407126563</c:v>
                </c:pt>
                <c:pt idx="57">
                  <c:v>59.30551880462717</c:v>
                </c:pt>
                <c:pt idx="58">
                  <c:v>58.63865028945656</c:v>
                </c:pt>
                <c:pt idx="59">
                  <c:v>57.99191365398922</c:v>
                </c:pt>
                <c:pt idx="60">
                  <c:v>57.36441082180714</c:v>
                </c:pt>
                <c:pt idx="61">
                  <c:v>56.75529635100767</c:v>
                </c:pt>
                <c:pt idx="62">
                  <c:v>56.16377363387752</c:v>
                </c:pt>
                <c:pt idx="63">
                  <c:v>55.58909142114965</c:v>
                </c:pt>
                <c:pt idx="64">
                  <c:v>55.0305406389545</c:v>
                </c:pt>
                <c:pt idx="65">
                  <c:v>54.4874514701073</c:v>
                </c:pt>
                <c:pt idx="66">
                  <c:v>53.95919067447093</c:v>
                </c:pt>
                <c:pt idx="67">
                  <c:v>53.4451591258551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641720"/>
        <c:axId val="-2143657976"/>
      </c:lineChart>
      <c:catAx>
        <c:axId val="-2143641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Gallons Per 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43657976"/>
        <c:crosses val="autoZero"/>
        <c:auto val="1"/>
        <c:lblAlgn val="ctr"/>
        <c:lblOffset val="100"/>
        <c:noMultiLvlLbl val="0"/>
      </c:catAx>
      <c:valAx>
        <c:axId val="-214365797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$/ton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4364172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Relationship Id="rId6" Type="http://schemas.openxmlformats.org/officeDocument/2006/relationships/image" Target="../media/image16.png"/><Relationship Id="rId7" Type="http://schemas.openxmlformats.org/officeDocument/2006/relationships/image" Target="../media/image17.png"/><Relationship Id="rId8" Type="http://schemas.openxmlformats.org/officeDocument/2006/relationships/image" Target="../media/image18.png"/><Relationship Id="rId9" Type="http://schemas.openxmlformats.org/officeDocument/2006/relationships/image" Target="../media/image19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3</xdr:row>
      <xdr:rowOff>114300</xdr:rowOff>
    </xdr:from>
    <xdr:to>
      <xdr:col>3</xdr:col>
      <xdr:colOff>812800</xdr:colOff>
      <xdr:row>9</xdr:row>
      <xdr:rowOff>114300</xdr:rowOff>
    </xdr:to>
    <xdr:cxnSp macro="">
      <xdr:nvCxnSpPr>
        <xdr:cNvPr id="3" name="Straight Arrow Connector 2"/>
        <xdr:cNvCxnSpPr/>
      </xdr:nvCxnSpPr>
      <xdr:spPr>
        <a:xfrm>
          <a:off x="1676400" y="685800"/>
          <a:ext cx="1612900" cy="1143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3</xdr:row>
      <xdr:rowOff>101600</xdr:rowOff>
    </xdr:from>
    <xdr:to>
      <xdr:col>5</xdr:col>
      <xdr:colOff>698500</xdr:colOff>
      <xdr:row>3</xdr:row>
      <xdr:rowOff>114300</xdr:rowOff>
    </xdr:to>
    <xdr:cxnSp macro="">
      <xdr:nvCxnSpPr>
        <xdr:cNvPr id="5" name="Straight Arrow Connector 4"/>
        <xdr:cNvCxnSpPr/>
      </xdr:nvCxnSpPr>
      <xdr:spPr>
        <a:xfrm flipV="1">
          <a:off x="5054600" y="673100"/>
          <a:ext cx="62230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50800</xdr:colOff>
      <xdr:row>9</xdr:row>
      <xdr:rowOff>114300</xdr:rowOff>
    </xdr:from>
    <xdr:to>
      <xdr:col>5</xdr:col>
      <xdr:colOff>800100</xdr:colOff>
      <xdr:row>10</xdr:row>
      <xdr:rowOff>114300</xdr:rowOff>
    </xdr:to>
    <xdr:cxnSp macro="">
      <xdr:nvCxnSpPr>
        <xdr:cNvPr id="6" name="Straight Arrow Connector 5"/>
        <xdr:cNvCxnSpPr/>
      </xdr:nvCxnSpPr>
      <xdr:spPr>
        <a:xfrm>
          <a:off x="5029200" y="1828800"/>
          <a:ext cx="749300" cy="1905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50800</xdr:colOff>
      <xdr:row>7</xdr:row>
      <xdr:rowOff>88900</xdr:rowOff>
    </xdr:from>
    <xdr:to>
      <xdr:col>7</xdr:col>
      <xdr:colOff>787400</xdr:colOff>
      <xdr:row>10</xdr:row>
      <xdr:rowOff>114300</xdr:rowOff>
    </xdr:to>
    <xdr:cxnSp macro="">
      <xdr:nvCxnSpPr>
        <xdr:cNvPr id="7" name="Straight Arrow Connector 6"/>
        <xdr:cNvCxnSpPr/>
      </xdr:nvCxnSpPr>
      <xdr:spPr>
        <a:xfrm flipV="1">
          <a:off x="7581900" y="1422400"/>
          <a:ext cx="736600" cy="5969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50800</xdr:colOff>
      <xdr:row>3</xdr:row>
      <xdr:rowOff>114300</xdr:rowOff>
    </xdr:from>
    <xdr:to>
      <xdr:col>7</xdr:col>
      <xdr:colOff>812800</xdr:colOff>
      <xdr:row>7</xdr:row>
      <xdr:rowOff>88900</xdr:rowOff>
    </xdr:to>
    <xdr:cxnSp macro="">
      <xdr:nvCxnSpPr>
        <xdr:cNvPr id="8" name="Straight Arrow Connector 7"/>
        <xdr:cNvCxnSpPr/>
      </xdr:nvCxnSpPr>
      <xdr:spPr>
        <a:xfrm>
          <a:off x="7581900" y="685800"/>
          <a:ext cx="762000" cy="736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368300</xdr:colOff>
      <xdr:row>10</xdr:row>
      <xdr:rowOff>63500</xdr:rowOff>
    </xdr:from>
    <xdr:to>
      <xdr:col>8</xdr:col>
      <xdr:colOff>381000</xdr:colOff>
      <xdr:row>12</xdr:row>
      <xdr:rowOff>165100</xdr:rowOff>
    </xdr:to>
    <xdr:cxnSp macro="">
      <xdr:nvCxnSpPr>
        <xdr:cNvPr id="9" name="Straight Arrow Connector 8"/>
        <xdr:cNvCxnSpPr/>
      </xdr:nvCxnSpPr>
      <xdr:spPr>
        <a:xfrm>
          <a:off x="8724900" y="1968500"/>
          <a:ext cx="12700" cy="482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50800</xdr:colOff>
      <xdr:row>5</xdr:row>
      <xdr:rowOff>88900</xdr:rowOff>
    </xdr:from>
    <xdr:to>
      <xdr:col>10</xdr:col>
      <xdr:colOff>25400</xdr:colOff>
      <xdr:row>7</xdr:row>
      <xdr:rowOff>127000</xdr:rowOff>
    </xdr:to>
    <xdr:cxnSp macro="">
      <xdr:nvCxnSpPr>
        <xdr:cNvPr id="10" name="Straight Arrow Connector 9"/>
        <xdr:cNvCxnSpPr/>
      </xdr:nvCxnSpPr>
      <xdr:spPr>
        <a:xfrm flipV="1">
          <a:off x="9232900" y="1041400"/>
          <a:ext cx="800100" cy="419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5</xdr:row>
      <xdr:rowOff>139700</xdr:rowOff>
    </xdr:from>
    <xdr:to>
      <xdr:col>11</xdr:col>
      <xdr:colOff>749300</xdr:colOff>
      <xdr:row>6</xdr:row>
      <xdr:rowOff>50800</xdr:rowOff>
    </xdr:to>
    <xdr:cxnSp macro="">
      <xdr:nvCxnSpPr>
        <xdr:cNvPr id="11" name="Straight Arrow Connector 10"/>
        <xdr:cNvCxnSpPr/>
      </xdr:nvCxnSpPr>
      <xdr:spPr>
        <a:xfrm>
          <a:off x="10896600" y="1092200"/>
          <a:ext cx="685800" cy="101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</xdr:row>
      <xdr:rowOff>76200</xdr:rowOff>
    </xdr:from>
    <xdr:to>
      <xdr:col>3</xdr:col>
      <xdr:colOff>774700</xdr:colOff>
      <xdr:row>3</xdr:row>
      <xdr:rowOff>101600</xdr:rowOff>
    </xdr:to>
    <xdr:cxnSp macro="">
      <xdr:nvCxnSpPr>
        <xdr:cNvPr id="12" name="Straight Arrow Connector 11"/>
        <xdr:cNvCxnSpPr/>
      </xdr:nvCxnSpPr>
      <xdr:spPr>
        <a:xfrm>
          <a:off x="1651000" y="647700"/>
          <a:ext cx="1600200" cy="25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406400</xdr:colOff>
      <xdr:row>7</xdr:row>
      <xdr:rowOff>50800</xdr:rowOff>
    </xdr:from>
    <xdr:to>
      <xdr:col>12</xdr:col>
      <xdr:colOff>431800</xdr:colOff>
      <xdr:row>10</xdr:row>
      <xdr:rowOff>127000</xdr:rowOff>
    </xdr:to>
    <xdr:cxnSp macro="">
      <xdr:nvCxnSpPr>
        <xdr:cNvPr id="23" name="Straight Arrow Connector 22"/>
        <xdr:cNvCxnSpPr/>
      </xdr:nvCxnSpPr>
      <xdr:spPr>
        <a:xfrm flipV="1">
          <a:off x="12065000" y="1384300"/>
          <a:ext cx="25400" cy="647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5</xdr:row>
      <xdr:rowOff>127000</xdr:rowOff>
    </xdr:from>
    <xdr:to>
      <xdr:col>13</xdr:col>
      <xdr:colOff>749300</xdr:colOff>
      <xdr:row>6</xdr:row>
      <xdr:rowOff>127000</xdr:rowOff>
    </xdr:to>
    <xdr:cxnSp macro="">
      <xdr:nvCxnSpPr>
        <xdr:cNvPr id="24" name="Straight Arrow Connector 23"/>
        <xdr:cNvCxnSpPr/>
      </xdr:nvCxnSpPr>
      <xdr:spPr>
        <a:xfrm flipV="1">
          <a:off x="12636500" y="1079500"/>
          <a:ext cx="673100" cy="1905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5</xdr:row>
      <xdr:rowOff>88900</xdr:rowOff>
    </xdr:from>
    <xdr:to>
      <xdr:col>15</xdr:col>
      <xdr:colOff>292100</xdr:colOff>
      <xdr:row>9</xdr:row>
      <xdr:rowOff>165100</xdr:rowOff>
    </xdr:to>
    <xdr:cxnSp macro="">
      <xdr:nvCxnSpPr>
        <xdr:cNvPr id="25" name="Straight Arrow Connector 24"/>
        <xdr:cNvCxnSpPr/>
      </xdr:nvCxnSpPr>
      <xdr:spPr>
        <a:xfrm>
          <a:off x="14287500" y="1041400"/>
          <a:ext cx="215900" cy="838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622300</xdr:colOff>
      <xdr:row>56</xdr:row>
      <xdr:rowOff>152400</xdr:rowOff>
    </xdr:from>
    <xdr:to>
      <xdr:col>7</xdr:col>
      <xdr:colOff>279400</xdr:colOff>
      <xdr:row>78</xdr:row>
      <xdr:rowOff>50800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76200</xdr:colOff>
      <xdr:row>58</xdr:row>
      <xdr:rowOff>114300</xdr:rowOff>
    </xdr:from>
    <xdr:to>
      <xdr:col>6</xdr:col>
      <xdr:colOff>76200</xdr:colOff>
      <xdr:row>69</xdr:row>
      <xdr:rowOff>114300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342900</xdr:colOff>
      <xdr:row>27</xdr:row>
      <xdr:rowOff>139700</xdr:rowOff>
    </xdr:from>
    <xdr:to>
      <xdr:col>2</xdr:col>
      <xdr:colOff>584200</xdr:colOff>
      <xdr:row>36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203200</xdr:colOff>
      <xdr:row>32</xdr:row>
      <xdr:rowOff>25400</xdr:rowOff>
    </xdr:from>
    <xdr:to>
      <xdr:col>5</xdr:col>
      <xdr:colOff>101600</xdr:colOff>
      <xdr:row>44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8</xdr:row>
      <xdr:rowOff>152400</xdr:rowOff>
    </xdr:from>
    <xdr:to>
      <xdr:col>14</xdr:col>
      <xdr:colOff>749300</xdr:colOff>
      <xdr:row>28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13</xdr:row>
      <xdr:rowOff>184150</xdr:rowOff>
    </xdr:from>
    <xdr:to>
      <xdr:col>7</xdr:col>
      <xdr:colOff>82550</xdr:colOff>
      <xdr:row>32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241300</xdr:colOff>
      <xdr:row>14</xdr:row>
      <xdr:rowOff>88900</xdr:rowOff>
    </xdr:from>
    <xdr:to>
      <xdr:col>13</xdr:col>
      <xdr:colOff>317500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685800</xdr:colOff>
      <xdr:row>33</xdr:row>
      <xdr:rowOff>63500</xdr:rowOff>
    </xdr:from>
    <xdr:to>
      <xdr:col>7</xdr:col>
      <xdr:colOff>101600</xdr:colOff>
      <xdr:row>47</xdr:row>
      <xdr:rowOff>139700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304800</xdr:colOff>
      <xdr:row>33</xdr:row>
      <xdr:rowOff>38100</xdr:rowOff>
    </xdr:from>
    <xdr:to>
      <xdr:col>12</xdr:col>
      <xdr:colOff>749300</xdr:colOff>
      <xdr:row>47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3</xdr:row>
      <xdr:rowOff>177800</xdr:rowOff>
    </xdr:from>
    <xdr:to>
      <xdr:col>16</xdr:col>
      <xdr:colOff>330200</xdr:colOff>
      <xdr:row>33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0</xdr:row>
      <xdr:rowOff>152400</xdr:rowOff>
    </xdr:from>
    <xdr:to>
      <xdr:col>15</xdr:col>
      <xdr:colOff>127000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635000</xdr:colOff>
      <xdr:row>16</xdr:row>
      <xdr:rowOff>38100</xdr:rowOff>
    </xdr:from>
    <xdr:to>
      <xdr:col>15</xdr:col>
      <xdr:colOff>127000</xdr:colOff>
      <xdr:row>46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69850</xdr:colOff>
      <xdr:row>20</xdr:row>
      <xdr:rowOff>38100</xdr:rowOff>
    </xdr:from>
    <xdr:to>
      <xdr:col>3</xdr:col>
      <xdr:colOff>463550</xdr:colOff>
      <xdr:row>34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11</xdr:row>
      <xdr:rowOff>76200</xdr:rowOff>
    </xdr:from>
    <xdr:to>
      <xdr:col>14</xdr:col>
      <xdr:colOff>247650</xdr:colOff>
      <xdr:row>31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11</xdr:row>
      <xdr:rowOff>76200</xdr:rowOff>
    </xdr:from>
    <xdr:to>
      <xdr:col>14</xdr:col>
      <xdr:colOff>247650</xdr:colOff>
      <xdr:row>31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7</xdr:row>
      <xdr:rowOff>76200</xdr:rowOff>
    </xdr:from>
    <xdr:to>
      <xdr:col>7</xdr:col>
      <xdr:colOff>249784</xdr:colOff>
      <xdr:row>33</xdr:row>
      <xdr:rowOff>76200</xdr:rowOff>
    </xdr:to>
    <xdr:pic>
      <xdr:nvPicPr>
        <xdr:cNvPr id="2" name="Picture 1" descr="Screen Shot 2017-06-19 at 4.27.55 PM.png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9" t="5000" r="3857" b="4630"/>
        <a:stretch/>
      </xdr:blipFill>
      <xdr:spPr>
        <a:xfrm>
          <a:off x="38100" y="1409700"/>
          <a:ext cx="6587084" cy="4953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37</xdr:row>
      <xdr:rowOff>63500</xdr:rowOff>
    </xdr:from>
    <xdr:to>
      <xdr:col>3</xdr:col>
      <xdr:colOff>571500</xdr:colOff>
      <xdr:row>46</xdr:row>
      <xdr:rowOff>50800</xdr:rowOff>
    </xdr:to>
    <xdr:pic>
      <xdr:nvPicPr>
        <xdr:cNvPr id="3" name="Picture 2" descr="Screen Shot 2017-06-19 at 4.35.32 PM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12000"/>
          <a:ext cx="3619500" cy="170180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698500</xdr:colOff>
      <xdr:row>37</xdr:row>
      <xdr:rowOff>38100</xdr:rowOff>
    </xdr:from>
    <xdr:to>
      <xdr:col>9</xdr:col>
      <xdr:colOff>63500</xdr:colOff>
      <xdr:row>52</xdr:row>
      <xdr:rowOff>76200</xdr:rowOff>
    </xdr:to>
    <xdr:pic>
      <xdr:nvPicPr>
        <xdr:cNvPr id="4" name="Picture 3" descr="Screen Shot 2017-06-19 at 4.36.06 PM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1900" y="7086600"/>
          <a:ext cx="4318000" cy="289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25400</xdr:rowOff>
    </xdr:from>
    <xdr:to>
      <xdr:col>10</xdr:col>
      <xdr:colOff>279400</xdr:colOff>
      <xdr:row>82</xdr:row>
      <xdr:rowOff>50800</xdr:rowOff>
    </xdr:to>
    <xdr:pic>
      <xdr:nvPicPr>
        <xdr:cNvPr id="5" name="Picture 4" descr="Screen Shot 2017-06-19 at 4.40.07 PM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12400"/>
          <a:ext cx="9131300" cy="535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114300</xdr:rowOff>
    </xdr:from>
    <xdr:to>
      <xdr:col>7</xdr:col>
      <xdr:colOff>584200</xdr:colOff>
      <xdr:row>118</xdr:row>
      <xdr:rowOff>12700</xdr:rowOff>
    </xdr:to>
    <xdr:pic>
      <xdr:nvPicPr>
        <xdr:cNvPr id="6" name="Picture 5" descr="Screen Shot 2017-06-19 at 4.46.49 PM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97300"/>
          <a:ext cx="6959600" cy="599440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122</xdr:row>
      <xdr:rowOff>177800</xdr:rowOff>
    </xdr:from>
    <xdr:to>
      <xdr:col>4</xdr:col>
      <xdr:colOff>533400</xdr:colOff>
      <xdr:row>179</xdr:row>
      <xdr:rowOff>12700</xdr:rowOff>
    </xdr:to>
    <xdr:sp macro="" textlink="">
      <xdr:nvSpPr>
        <xdr:cNvPr id="7" name="TextBox 6"/>
        <xdr:cNvSpPr txBox="1"/>
      </xdr:nvSpPr>
      <xdr:spPr>
        <a:xfrm>
          <a:off x="342900" y="23418800"/>
          <a:ext cx="4089400" cy="1069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Economic Comparisons for Sludge Disposal Methods</a:t>
          </a:r>
        </a:p>
        <a:p>
          <a:r>
            <a:rPr lang="en-US" sz="1100"/>
            <a:t>A number of researchers have investigated the costs of</a:t>
          </a:r>
        </a:p>
        <a:p>
          <a:r>
            <a:rPr lang="en-US" sz="1100"/>
            <a:t>alternative sludge disposal ~ethods. Burd reviewed data avaiJable</a:t>
          </a:r>
        </a:p>
        <a:p>
          <a:r>
            <a:rPr lang="en-US" sz="1100"/>
            <a:t>ln the late 1960s and drew some generalizations about</a:t>
          </a:r>
        </a:p>
        <a:p>
          <a:r>
            <a:rPr lang="en-US" sz="1100"/>
            <a:t>relative costs of alternative sludge disposal methods. Estimates</a:t>
          </a:r>
        </a:p>
        <a:p>
          <a:r>
            <a:rPr lang="en-US" sz="1100"/>
            <a:t>were that capital and operating costs were $15 per dry ton for</a:t>
          </a:r>
        </a:p>
        <a:p>
          <a:r>
            <a:rPr lang="en-US" sz="1100"/>
            <a:t>landspreading liquid sludge and $25 per dry ton for landspreading</a:t>
          </a:r>
        </a:p>
        <a:p>
          <a:r>
            <a:rPr lang="en-US" sz="1100"/>
            <a:t>dewatered sludge. Landfilling dewatered sludge was estimated at</a:t>
          </a:r>
        </a:p>
        <a:p>
          <a:r>
            <a:rPr lang="en-US" sz="1100"/>
            <a:t>$25 per dry ton, and incineration at $30 to $42 per dry ton. Due</a:t>
          </a:r>
        </a:p>
        <a:p>
          <a:r>
            <a:rPr lang="en-US" sz="1100"/>
            <a:t>to a lack of data, Burd was unable to relate these costs to volume</a:t>
          </a:r>
        </a:p>
        <a:p>
          <a:r>
            <a:rPr lang="en-US" sz="1100"/>
            <a:t>of sludge produced by the plant. A weakness of Burd's</a:t>
          </a:r>
        </a:p>
        <a:p>
          <a:r>
            <a:rPr lang="en-US" sz="1100"/>
            <a:t>analysis was that no economic benefits were attributed to the</a:t>
          </a:r>
        </a:p>
        <a:p>
          <a:r>
            <a:rPr lang="en-US" sz="1100"/>
            <a:t>plant nutrient value of landspread sludge.</a:t>
          </a:r>
        </a:p>
        <a:p>
          <a:r>
            <a:rPr lang="en-US" sz="1100"/>
            <a:t>Ewing and Dick compared the relative costs of the principle</a:t>
          </a:r>
        </a:p>
        <a:p>
          <a:r>
            <a:rPr lang="en-US" sz="1100"/>
            <a:t>disposal methods in 1970. Their estimates showed landspreading</a:t>
          </a:r>
        </a:p>
        <a:p>
          <a:r>
            <a:rPr lang="en-US" sz="1100"/>
            <a:t>liquid sludge costing $15 per dry ton, landspreading dewatered</a:t>
          </a:r>
        </a:p>
        <a:p>
          <a:r>
            <a:rPr lang="en-US" sz="1100"/>
            <a:t>sludge $25 per dry ton, lagooning $18 per dry ton, and incineration</a:t>
          </a:r>
        </a:p>
        <a:p>
          <a:r>
            <a:rPr lang="en-US" sz="1100"/>
            <a:t>$50 per dry ton. Again, no benefits were attributed to</a:t>
          </a:r>
        </a:p>
        <a:p>
          <a:r>
            <a:rPr lang="en-US" sz="1100"/>
            <a:t>lan(1spreading. However, landspreading and incineration costs</a:t>
          </a:r>
        </a:p>
        <a:p>
          <a:r>
            <a:rPr lang="en-US" sz="1100"/>
            <a:t>were compared for a range of community sizes, and landspreading</a:t>
          </a:r>
        </a:p>
        <a:p>
          <a:r>
            <a:rPr lang="en-US" sz="1100"/>
            <a:t>costs were approximately $40 per dry ton less than incineration</a:t>
          </a:r>
        </a:p>
        <a:p>
          <a:r>
            <a:rPr lang="en-US" sz="1100"/>
            <a:t>costs over a wide range of community size.</a:t>
          </a:r>
        </a:p>
        <a:p>
          <a:r>
            <a:rPr lang="en-US" sz="1100"/>
            <a:t>More recent estimates by Shea and Stockton again found</a:t>
          </a:r>
        </a:p>
        <a:p>
          <a:r>
            <a:rPr lang="en-US" sz="1100"/>
            <a:t>landspreading as the least expensive method of sludge disposal.</a:t>
          </a:r>
        </a:p>
        <a:p>
          <a:r>
            <a:rPr lang="en-US" sz="1100"/>
            <a:t>Their estimates included the costs of thickening and digestion</a:t>
          </a:r>
        </a:p>
        <a:p>
          <a:r>
            <a:rPr lang="en-US" sz="1100"/>
            <a:t>as well as costs for ultimate disposal (i.e. landfilling, landspreading,</a:t>
          </a:r>
        </a:p>
        <a:p>
          <a:r>
            <a:rPr lang="en-US" sz="1100"/>
            <a:t>and incineration). Table 1 shows the relative advantage</a:t>
          </a:r>
        </a:p>
        <a:p>
          <a:r>
            <a:rPr lang="en-US" sz="1100"/>
            <a:t>of landspreading over a range of treatment plant size.</a:t>
          </a:r>
        </a:p>
        <a:p>
          <a:r>
            <a:rPr lang="en-US" sz="1100"/>
            <a:t>Shea and Stockton's landspreading costs were based on the</a:t>
          </a:r>
        </a:p>
        <a:p>
          <a:r>
            <a:rPr lang="en-US" sz="1100"/>
            <a:t>assumption that land was purchased for spreading sites. This</a:t>
          </a:r>
        </a:p>
        <a:p>
          <a:r>
            <a:rPr lang="en-US" sz="1100"/>
            <a:t>assumption biased landspreading costs upward since most landspreading</a:t>
          </a:r>
        </a:p>
        <a:p>
          <a:r>
            <a:rPr lang="en-US" sz="1100"/>
            <a:t>communities spread sludge on land owned by individuals.</a:t>
          </a:r>
        </a:p>
        <a:p>
          <a:r>
            <a:rPr lang="en-US" sz="1100"/>
            <a:t>They pay no rent for the land nor do they pay any land ownership</a:t>
          </a:r>
        </a:p>
        <a:p>
          <a:r>
            <a:rPr lang="en-US" sz="1100"/>
            <a:t>costs as Shea and Stockton's analysis assumed. Also, their analysis</a:t>
          </a:r>
        </a:p>
        <a:p>
          <a:r>
            <a:rPr lang="en-US" sz="1100"/>
            <a:t>attributed no benefits to the plant nutrients provided by</a:t>
          </a:r>
        </a:p>
        <a:p>
          <a:r>
            <a:rPr lang="en-US" sz="1100"/>
            <a:t>landspreading. </a:t>
          </a:r>
        </a:p>
        <a:p>
          <a:r>
            <a:rPr lang="en-US" sz="1100"/>
            <a:t>-5-</a:t>
          </a:r>
        </a:p>
        <a:p>
          <a:r>
            <a:rPr lang="en-US" sz="1100"/>
            <a:t>Colacicco et al. provided estimates of sludge disposal</a:t>
          </a:r>
        </a:p>
        <a:p>
          <a:r>
            <a:rPr lang="en-US" sz="1100"/>
            <a:t>costs and a summary is shown in Table 2. Again, landspreading</a:t>
          </a:r>
        </a:p>
        <a:p>
          <a:r>
            <a:rPr lang="en-US" sz="1100"/>
            <a:t>was shown to be an economically advantageous method of sludge</a:t>
          </a:r>
        </a:p>
        <a:p>
          <a:r>
            <a:rPr lang="en-US" sz="1100"/>
            <a:t>disposal.</a:t>
          </a:r>
        </a:p>
        <a:p>
          <a:r>
            <a:rPr lang="en-US" sz="1100"/>
            <a:t>Land treatment of wastewater appears to be a promising</a:t>
          </a:r>
        </a:p>
        <a:p>
          <a:r>
            <a:rPr lang="en-US" sz="1100"/>
            <a:t>treatment technology for small communities, for areas where</a:t>
          </a:r>
        </a:p>
        <a:p>
          <a:r>
            <a:rPr lang="en-US" sz="1100"/>
            <a:t>water is in short supply, or for those communities where removal</a:t>
          </a:r>
        </a:p>
        <a:p>
          <a:r>
            <a:rPr lang="en-US" sz="1100"/>
            <a:t>of nearly all pollutants from the effluent is required. Capital</a:t>
          </a:r>
        </a:p>
        <a:p>
          <a:r>
            <a:rPr lang="en-US" sz="1100"/>
            <a:t>and operating costs may be lower than with conventional treatment</a:t>
          </a:r>
        </a:p>
        <a:p>
          <a:r>
            <a:rPr lang="en-US" sz="1100"/>
            <a:t>and sludge disposal systems. Young and Carlson found that</a:t>
          </a:r>
        </a:p>
        <a:p>
          <a:r>
            <a:rPr lang="en-US" sz="1100"/>
            <a:t>land treatment reduced costs compared to conventional treatment</a:t>
          </a:r>
        </a:p>
        <a:p>
          <a:r>
            <a:rPr lang="en-US" sz="1100"/>
            <a:t>and sludge disposal systems. They projected savings of $0.40</a:t>
          </a:r>
        </a:p>
        <a:p>
          <a:r>
            <a:rPr lang="en-US" sz="1100"/>
            <a:t>per 1000 gallons of wastewater for the 0.5 MGD plant and $0.14</a:t>
          </a:r>
        </a:p>
        <a:p>
          <a:r>
            <a:rPr lang="en-US" sz="1100"/>
            <a:t>per 1000 gallons for the 10 MGD plant. Williams et al. compared</a:t>
          </a:r>
        </a:p>
        <a:p>
          <a:r>
            <a:rPr lang="en-US" sz="1100"/>
            <a:t>land treatment and conventional treatment systems in a number</a:t>
          </a:r>
        </a:p>
        <a:p>
          <a:r>
            <a:rPr lang="en-US" sz="1100"/>
            <a:t>of small ~ichigan communities. Land treatment systems had lower</a:t>
          </a:r>
        </a:p>
        <a:p>
          <a:r>
            <a:rPr lang="en-US" sz="1100"/>
            <a:t>initial capital outlays and annual operating costs than did the</a:t>
          </a:r>
        </a:p>
        <a:p>
          <a:r>
            <a:rPr lang="en-US" sz="1100"/>
            <a:t>conventional treatment systems. However, it is concluded in</a:t>
          </a:r>
        </a:p>
        <a:p>
          <a:r>
            <a:rPr lang="en-US" sz="1100"/>
            <a:t>Young and Epp that acreage requirements for wastewater treatment</a:t>
          </a:r>
        </a:p>
        <a:p>
          <a:r>
            <a:rPr lang="en-US" sz="1100"/>
            <a:t>suggest that land application is most applicable to smaller</a:t>
          </a:r>
        </a:p>
        <a:p>
          <a:r>
            <a:rPr lang="en-US" sz="1100"/>
            <a:t>communities or for treatment of only part of the total wastewater</a:t>
          </a:r>
        </a:p>
        <a:p>
          <a:r>
            <a:rPr lang="en-US" sz="1100"/>
            <a:t>from a large community. </a:t>
          </a:r>
        </a:p>
        <a:p>
          <a:endParaRPr lang="en-US" sz="1100"/>
        </a:p>
        <a:p>
          <a:r>
            <a:rPr lang="en-US" sz="1100"/>
            <a:t>Source: https://kb.osu.edu/dspace/bitstream/handle/1811/70268/1/CFAES_ESS_582.pdf</a:t>
          </a:r>
        </a:p>
        <a:p>
          <a:endParaRPr lang="en-US" sz="1100"/>
        </a:p>
      </xdr:txBody>
    </xdr:sp>
    <xdr:clientData/>
  </xdr:twoCellAnchor>
  <xdr:twoCellAnchor editAs="oneCell">
    <xdr:from>
      <xdr:col>0</xdr:col>
      <xdr:colOff>584200</xdr:colOff>
      <xdr:row>179</xdr:row>
      <xdr:rowOff>177800</xdr:rowOff>
    </xdr:from>
    <xdr:to>
      <xdr:col>9</xdr:col>
      <xdr:colOff>181877</xdr:colOff>
      <xdr:row>213</xdr:row>
      <xdr:rowOff>63500</xdr:rowOff>
    </xdr:to>
    <xdr:pic>
      <xdr:nvPicPr>
        <xdr:cNvPr id="8" name="Picture 7" descr="Screen Shot 2017-06-19 at 4.54.02 PM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0" y="34277300"/>
          <a:ext cx="7624077" cy="636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101600</xdr:rowOff>
    </xdr:from>
    <xdr:to>
      <xdr:col>9</xdr:col>
      <xdr:colOff>419100</xdr:colOff>
      <xdr:row>263</xdr:row>
      <xdr:rowOff>152400</xdr:rowOff>
    </xdr:to>
    <xdr:pic>
      <xdr:nvPicPr>
        <xdr:cNvPr id="9" name="Picture 8" descr="Screen Shot 2017-06-20 at 7.59.41 AM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373800"/>
          <a:ext cx="8445500" cy="5956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266</xdr:row>
      <xdr:rowOff>101600</xdr:rowOff>
    </xdr:from>
    <xdr:to>
      <xdr:col>9</xdr:col>
      <xdr:colOff>711200</xdr:colOff>
      <xdr:row>288</xdr:row>
      <xdr:rowOff>101600</xdr:rowOff>
    </xdr:to>
    <xdr:pic>
      <xdr:nvPicPr>
        <xdr:cNvPr id="10" name="Picture 9" descr="Screen Shot 2017-06-20 at 8.02.47 AM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0850800"/>
          <a:ext cx="8661400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76200</xdr:rowOff>
    </xdr:from>
    <xdr:to>
      <xdr:col>7</xdr:col>
      <xdr:colOff>190500</xdr:colOff>
      <xdr:row>324</xdr:row>
      <xdr:rowOff>165100</xdr:rowOff>
    </xdr:to>
    <xdr:pic>
      <xdr:nvPicPr>
        <xdr:cNvPr id="11" name="Picture 10" descr="Screen Shot 2017-06-20 at 8.08.13 AM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778400"/>
          <a:ext cx="6565900" cy="618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6</xdr:col>
      <xdr:colOff>723900</xdr:colOff>
      <xdr:row>357</xdr:row>
      <xdr:rowOff>177800</xdr:rowOff>
    </xdr:to>
    <xdr:pic>
      <xdr:nvPicPr>
        <xdr:cNvPr id="12" name="Picture 11" descr="Screen Shot 2017-06-20 at 8.37.56 AM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369700"/>
          <a:ext cx="6273800" cy="5892800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359</xdr:row>
      <xdr:rowOff>139700</xdr:rowOff>
    </xdr:from>
    <xdr:to>
      <xdr:col>3</xdr:col>
      <xdr:colOff>749300</xdr:colOff>
      <xdr:row>389</xdr:row>
      <xdr:rowOff>101600</xdr:rowOff>
    </xdr:to>
    <xdr:sp macro="" textlink="">
      <xdr:nvSpPr>
        <xdr:cNvPr id="13" name="TextBox 12"/>
        <xdr:cNvSpPr txBox="1"/>
      </xdr:nvSpPr>
      <xdr:spPr>
        <a:xfrm>
          <a:off x="495300" y="68605400"/>
          <a:ext cx="3327400" cy="5676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1994, the municipalities of Las Vegas,</a:t>
          </a:r>
        </a:p>
        <a:p>
          <a:r>
            <a:rPr lang="en-US" sz="1100"/>
            <a:t>Henderson, and the Clark County Sanitation</a:t>
          </a:r>
        </a:p>
        <a:p>
          <a:r>
            <a:rPr lang="en-US" sz="1100"/>
            <a:t>District in Nevada were disposing all biosolids in a</a:t>
          </a:r>
        </a:p>
        <a:p>
          <a:r>
            <a:rPr lang="en-US" sz="1100"/>
            <a:t>privately owned and operated facility 25 miles from</a:t>
          </a:r>
        </a:p>
        <a:p>
          <a:r>
            <a:rPr lang="en-US" sz="1100"/>
            <a:t>the municipalities. The total solids production of</a:t>
          </a:r>
        </a:p>
        <a:p>
          <a:r>
            <a:rPr lang="en-US" sz="1100"/>
            <a:t>545 wet Mg/day (600 wet tons/day) was</a:t>
          </a:r>
        </a:p>
        <a:p>
          <a:r>
            <a:rPr lang="en-US" sz="1100"/>
            <a:t>mechanically dewatered to a range of 10 to 33</a:t>
          </a:r>
        </a:p>
        <a:p>
          <a:r>
            <a:rPr lang="en-US" sz="1100"/>
            <a:t>percent solids. The cost for disposing of these</a:t>
          </a:r>
        </a:p>
        <a:p>
          <a:r>
            <a:rPr lang="en-US" sz="1100"/>
            <a:t>solids was approximately $10/ wet Mg ($11/ wet</a:t>
          </a:r>
        </a:p>
        <a:p>
          <a:r>
            <a:rPr lang="en-US" sz="1100"/>
            <a:t>ton), including transportation by a contract hauler</a:t>
          </a:r>
        </a:p>
        <a:p>
          <a:r>
            <a:rPr lang="en-US" sz="1100"/>
            <a:t>and landfill tipping fee.</a:t>
          </a:r>
        </a:p>
        <a:p>
          <a:r>
            <a:rPr lang="en-US" sz="1100"/>
            <a:t>As part of a regional biosolids management plan</a:t>
          </a:r>
        </a:p>
        <a:p>
          <a:r>
            <a:rPr lang="en-US" sz="1100"/>
            <a:t>developed in 1994, the municipalities evaluated the</a:t>
          </a:r>
        </a:p>
        <a:p>
          <a:r>
            <a:rPr lang="en-US" sz="1100"/>
            <a:t>option of building their own biosolids monofill.</a:t>
          </a:r>
        </a:p>
        <a:p>
          <a:r>
            <a:rPr lang="en-US" sz="1100"/>
            <a:t>Potential sites, ranging from less than 16 km (10</a:t>
          </a:r>
        </a:p>
        <a:p>
          <a:r>
            <a:rPr lang="en-US" sz="1100"/>
            <a:t>mi) to up to 80 km (50 mi) away, were selected</a:t>
          </a:r>
        </a:p>
        <a:p>
          <a:r>
            <a:rPr lang="en-US" sz="1100"/>
            <a:t>based primarily on their distance from the</a:t>
          </a:r>
        </a:p>
        <a:p>
          <a:r>
            <a:rPr lang="en-US" sz="1100"/>
            <a:t>municipalities. Other site evaluation criteria</a:t>
          </a:r>
        </a:p>
        <a:p>
          <a:r>
            <a:rPr lang="en-US" sz="1100"/>
            <a:t>included topography, hydrology, land use,</a:t>
          </a:r>
        </a:p>
        <a:p>
          <a:r>
            <a:rPr lang="en-US" sz="1100"/>
            <a:t>availability of utilities, and other</a:t>
          </a:r>
        </a:p>
        <a:p>
          <a:r>
            <a:rPr lang="en-US" sz="1100"/>
            <a:t>social/environmental concerns. The monofill</a:t>
          </a:r>
        </a:p>
        <a:p>
          <a:r>
            <a:rPr lang="en-US" sz="1100"/>
            <a:t>capacity was estimated at 31 million m3</a:t>
          </a:r>
        </a:p>
        <a:p>
          <a:r>
            <a:rPr lang="en-US" sz="1100"/>
            <a:t> (40 million</a:t>
          </a:r>
        </a:p>
        <a:p>
          <a:r>
            <a:rPr lang="en-US" sz="1100"/>
            <a:t>yd3</a:t>
          </a:r>
        </a:p>
        <a:p>
          <a:r>
            <a:rPr lang="en-US" sz="1100"/>
            <a:t>), based on accommodating the total annual</a:t>
          </a:r>
        </a:p>
        <a:p>
          <a:r>
            <a:rPr lang="en-US" sz="1100"/>
            <a:t>solids production for a period of 30 years. The</a:t>
          </a:r>
        </a:p>
        <a:p>
          <a:r>
            <a:rPr lang="en-US" sz="1100"/>
            <a:t>amount of land required for the monofill and space</a:t>
          </a:r>
        </a:p>
        <a:p>
          <a:r>
            <a:rPr lang="en-US" sz="1100"/>
            <a:t>for solids processing was estimated to be</a:t>
          </a:r>
        </a:p>
        <a:p>
          <a:r>
            <a:rPr lang="en-US" sz="1100"/>
            <a:t>approximately 200 ha (500 acres). The estimated</a:t>
          </a:r>
        </a:p>
        <a:p>
          <a:r>
            <a:rPr lang="en-US" sz="1100"/>
            <a:t>cost for this alternative ranged from $25.71/wet Mg</a:t>
          </a:r>
        </a:p>
        <a:p>
          <a:r>
            <a:rPr lang="en-US" sz="1100"/>
            <a:t>($28.32/wet ton) for the closest site to $28.32/wet</a:t>
          </a:r>
        </a:p>
        <a:p>
          <a:r>
            <a:rPr lang="en-US" sz="1100"/>
            <a:t>Mg ($31.20/wet ton) for the most remote site. 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596900</xdr:colOff>
      <xdr:row>23</xdr:row>
      <xdr:rowOff>114300</xdr:rowOff>
    </xdr:to>
    <xdr:pic>
      <xdr:nvPicPr>
        <xdr:cNvPr id="2" name="Picture 1" descr="Screen Shot 2017-06-20 at 8.19.57 AM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75400" cy="411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7</xdr:col>
      <xdr:colOff>508000</xdr:colOff>
      <xdr:row>40</xdr:row>
      <xdr:rowOff>63500</xdr:rowOff>
    </xdr:to>
    <xdr:pic>
      <xdr:nvPicPr>
        <xdr:cNvPr id="3" name="Picture 2" descr="Screen Shot 2017-06-20 at 8.21.03 AM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91000"/>
          <a:ext cx="6286500" cy="311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38100</xdr:rowOff>
    </xdr:from>
    <xdr:to>
      <xdr:col>8</xdr:col>
      <xdr:colOff>0</xdr:colOff>
      <xdr:row>53</xdr:row>
      <xdr:rowOff>50800</xdr:rowOff>
    </xdr:to>
    <xdr:pic>
      <xdr:nvPicPr>
        <xdr:cNvPr id="4" name="Picture 3" descr="Screen Shot 2017-06-20 at 8.27.28 AM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02600"/>
          <a:ext cx="6604000" cy="2108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419100</xdr:colOff>
      <xdr:row>74</xdr:row>
      <xdr:rowOff>50800</xdr:rowOff>
    </xdr:to>
    <xdr:pic>
      <xdr:nvPicPr>
        <xdr:cNvPr id="5" name="Picture 4" descr="Screen Shot 2017-06-20 at 8.29.05 AM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41000"/>
          <a:ext cx="6197600" cy="367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25400</xdr:rowOff>
    </xdr:from>
    <xdr:to>
      <xdr:col>7</xdr:col>
      <xdr:colOff>698500</xdr:colOff>
      <xdr:row>94</xdr:row>
      <xdr:rowOff>63500</xdr:rowOff>
    </xdr:to>
    <xdr:pic>
      <xdr:nvPicPr>
        <xdr:cNvPr id="6" name="Picture 5" descr="Screen Shot 2017-06-20 at 8.35.06 AM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757400"/>
          <a:ext cx="6477000" cy="3276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50800</xdr:rowOff>
    </xdr:from>
    <xdr:to>
      <xdr:col>7</xdr:col>
      <xdr:colOff>546100</xdr:colOff>
      <xdr:row>127</xdr:row>
      <xdr:rowOff>165100</xdr:rowOff>
    </xdr:to>
    <xdr:pic>
      <xdr:nvPicPr>
        <xdr:cNvPr id="7" name="Picture 6" descr="Screen Shot 2017-06-20 at 8.36.05 AM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21300"/>
          <a:ext cx="63246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7</xdr:col>
      <xdr:colOff>393700</xdr:colOff>
      <xdr:row>136</xdr:row>
      <xdr:rowOff>101600</xdr:rowOff>
    </xdr:to>
    <xdr:pic>
      <xdr:nvPicPr>
        <xdr:cNvPr id="8" name="Picture 7" descr="Screen Shot 2017-06-20 at 8.36.39 AM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447500"/>
          <a:ext cx="6172200" cy="162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7</xdr:col>
      <xdr:colOff>508000</xdr:colOff>
      <xdr:row>171</xdr:row>
      <xdr:rowOff>38100</xdr:rowOff>
    </xdr:to>
    <xdr:pic>
      <xdr:nvPicPr>
        <xdr:cNvPr id="9" name="Picture 8" descr="Screen Shot 2017-06-20 at 8.40.21 AM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924000"/>
          <a:ext cx="6286500" cy="5753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25400</xdr:rowOff>
    </xdr:from>
    <xdr:to>
      <xdr:col>8</xdr:col>
      <xdr:colOff>165100</xdr:colOff>
      <xdr:row>196</xdr:row>
      <xdr:rowOff>76200</xdr:rowOff>
    </xdr:to>
    <xdr:pic>
      <xdr:nvPicPr>
        <xdr:cNvPr id="10" name="Picture 9" descr="Screen Shot 2017-06-20 at 8.41.27 AM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664400"/>
          <a:ext cx="6769100" cy="481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50800</xdr:rowOff>
    </xdr:from>
    <xdr:to>
      <xdr:col>7</xdr:col>
      <xdr:colOff>495300</xdr:colOff>
      <xdr:row>221</xdr:row>
      <xdr:rowOff>76200</xdr:rowOff>
    </xdr:to>
    <xdr:pic>
      <xdr:nvPicPr>
        <xdr:cNvPr id="11" name="Picture 10" descr="Screen Shot 2017-06-20 at 8.42.10 AM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452300"/>
          <a:ext cx="6273800" cy="4787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2:W146"/>
  <sheetViews>
    <sheetView topLeftCell="A3" workbookViewId="0">
      <selection activeCell="B18" sqref="B18"/>
    </sheetView>
  </sheetViews>
  <sheetFormatPr baseColWidth="10" defaultRowHeight="15" x14ac:dyDescent="0"/>
  <cols>
    <col min="1" max="1" width="18.6640625" customWidth="1"/>
    <col min="5" max="5" width="22" customWidth="1"/>
    <col min="7" max="7" width="22.6640625" customWidth="1"/>
    <col min="13" max="13" width="11.83203125" customWidth="1"/>
    <col min="28" max="28" width="19" customWidth="1"/>
  </cols>
  <sheetData>
    <row r="2" spans="1:23" ht="17" customHeight="1">
      <c r="A2" s="32" t="s">
        <v>488</v>
      </c>
      <c r="B2" s="17" t="s">
        <v>453</v>
      </c>
      <c r="E2" s="17" t="s">
        <v>455</v>
      </c>
      <c r="G2" s="17" t="s">
        <v>460</v>
      </c>
    </row>
    <row r="3" spans="1:23" ht="17" customHeight="1">
      <c r="A3" s="32"/>
      <c r="B3" t="s">
        <v>454</v>
      </c>
      <c r="E3" t="s">
        <v>456</v>
      </c>
      <c r="G3" t="s">
        <v>456</v>
      </c>
    </row>
    <row r="4" spans="1:23">
      <c r="B4" s="18">
        <v>1</v>
      </c>
      <c r="E4" s="18">
        <f>B4*1000000*0.0078</f>
        <v>7800</v>
      </c>
      <c r="G4" s="18">
        <f>E4*0.4493</f>
        <v>3504.54</v>
      </c>
      <c r="K4" s="17" t="s">
        <v>462</v>
      </c>
      <c r="M4" s="35" t="s">
        <v>165</v>
      </c>
      <c r="O4" s="17" t="s">
        <v>166</v>
      </c>
      <c r="W4" t="s">
        <v>222</v>
      </c>
    </row>
    <row r="5" spans="1:23">
      <c r="B5" t="s">
        <v>457</v>
      </c>
      <c r="E5" t="s">
        <v>457</v>
      </c>
      <c r="G5" t="s">
        <v>457</v>
      </c>
      <c r="I5" s="35" t="s">
        <v>459</v>
      </c>
      <c r="K5" t="s">
        <v>456</v>
      </c>
      <c r="M5" s="35"/>
      <c r="O5" t="s">
        <v>456</v>
      </c>
      <c r="W5" t="s">
        <v>223</v>
      </c>
    </row>
    <row r="6" spans="1:23">
      <c r="B6">
        <v>1</v>
      </c>
      <c r="E6">
        <v>2</v>
      </c>
      <c r="G6">
        <v>4</v>
      </c>
      <c r="I6" s="35"/>
      <c r="K6" s="18">
        <f>I8*0.4746</f>
        <v>2564.9946840000002</v>
      </c>
      <c r="M6" t="s">
        <v>456</v>
      </c>
      <c r="O6" s="18">
        <f>M7*0.2804</f>
        <v>724.82726832177605</v>
      </c>
      <c r="W6" t="s">
        <v>224</v>
      </c>
    </row>
    <row r="7" spans="1:23">
      <c r="I7" t="s">
        <v>456</v>
      </c>
      <c r="K7" t="s">
        <v>457</v>
      </c>
      <c r="M7" s="18">
        <f>K6*1.00779</f>
        <v>2584.97599258836</v>
      </c>
      <c r="O7" t="s">
        <v>457</v>
      </c>
      <c r="W7" t="s">
        <v>225</v>
      </c>
    </row>
    <row r="8" spans="1:23">
      <c r="A8" t="s">
        <v>466</v>
      </c>
      <c r="E8" s="17" t="s">
        <v>458</v>
      </c>
      <c r="G8" s="35" t="s">
        <v>461</v>
      </c>
      <c r="I8" s="18">
        <f>G4+G11</f>
        <v>5404.54</v>
      </c>
      <c r="K8">
        <v>5</v>
      </c>
      <c r="O8">
        <v>18</v>
      </c>
      <c r="W8" t="s">
        <v>226</v>
      </c>
    </row>
    <row r="9" spans="1:23">
      <c r="A9" s="11" t="s">
        <v>224</v>
      </c>
      <c r="E9" t="s">
        <v>456</v>
      </c>
      <c r="G9" s="35"/>
      <c r="I9" t="s">
        <v>457</v>
      </c>
      <c r="W9" t="s">
        <v>227</v>
      </c>
    </row>
    <row r="10" spans="1:23">
      <c r="E10" s="18">
        <f>B4*1000000*0.0125</f>
        <v>12500</v>
      </c>
      <c r="G10" t="s">
        <v>456</v>
      </c>
      <c r="I10">
        <v>3.6</v>
      </c>
    </row>
    <row r="11" spans="1:23">
      <c r="A11" t="s">
        <v>467</v>
      </c>
      <c r="E11" t="s">
        <v>457</v>
      </c>
      <c r="G11" s="18">
        <f>E10*0.152</f>
        <v>1900</v>
      </c>
      <c r="P11" s="17" t="s">
        <v>465</v>
      </c>
      <c r="W11" t="s">
        <v>236</v>
      </c>
    </row>
    <row r="12" spans="1:23">
      <c r="A12" s="11" t="s">
        <v>238</v>
      </c>
      <c r="E12">
        <v>0.5</v>
      </c>
      <c r="G12" t="s">
        <v>457</v>
      </c>
      <c r="M12" s="17" t="s">
        <v>464</v>
      </c>
      <c r="P12" t="s">
        <v>456</v>
      </c>
      <c r="W12" t="s">
        <v>237</v>
      </c>
    </row>
    <row r="13" spans="1:23">
      <c r="G13">
        <v>3</v>
      </c>
      <c r="M13" t="s">
        <v>456</v>
      </c>
      <c r="P13" s="18">
        <f>SV_DW_I</f>
        <v>724.82726832177605</v>
      </c>
      <c r="W13" t="s">
        <v>238</v>
      </c>
    </row>
    <row r="14" spans="1:23">
      <c r="A14" t="s">
        <v>473</v>
      </c>
      <c r="I14" s="17" t="s">
        <v>463</v>
      </c>
      <c r="M14" s="18">
        <f>M7-K6</f>
        <v>19.981308588359752</v>
      </c>
      <c r="P14" t="s">
        <v>457</v>
      </c>
    </row>
    <row r="15" spans="1:23">
      <c r="A15" s="11">
        <v>25</v>
      </c>
      <c r="I15" s="18">
        <f>I8-K6</f>
        <v>2839.5453159999997</v>
      </c>
      <c r="P15">
        <v>18</v>
      </c>
    </row>
    <row r="17" spans="1:6">
      <c r="A17" s="36" t="s">
        <v>481</v>
      </c>
      <c r="B17" s="36"/>
    </row>
    <row r="18" spans="1:6">
      <c r="A18" t="s">
        <v>43</v>
      </c>
      <c r="B18" s="11">
        <f>21.402*2017-41688</f>
        <v>1479.8340000000026</v>
      </c>
      <c r="C18" t="s">
        <v>44</v>
      </c>
    </row>
    <row r="19" spans="1:6">
      <c r="A19" t="s">
        <v>54</v>
      </c>
      <c r="B19" s="11">
        <f>(130.5*2017)-254828</f>
        <v>8390.5</v>
      </c>
      <c r="C19" t="s">
        <v>44</v>
      </c>
    </row>
    <row r="20" spans="1:6">
      <c r="A20" t="s">
        <v>439</v>
      </c>
    </row>
    <row r="21" spans="1:6">
      <c r="A21" t="s">
        <v>477</v>
      </c>
      <c r="C21" t="s">
        <v>490</v>
      </c>
      <c r="D21" t="s">
        <v>490</v>
      </c>
      <c r="E21" t="s">
        <v>491</v>
      </c>
      <c r="F21" t="s">
        <v>492</v>
      </c>
    </row>
    <row r="22" spans="1:6">
      <c r="A22" t="s">
        <v>478</v>
      </c>
      <c r="D22" s="1"/>
      <c r="E22" s="1"/>
    </row>
    <row r="23" spans="1:6">
      <c r="A23" t="s">
        <v>480</v>
      </c>
      <c r="D23" s="1"/>
      <c r="E23" s="1"/>
    </row>
    <row r="24" spans="1:6">
      <c r="A24" t="s">
        <v>482</v>
      </c>
      <c r="D24" s="1"/>
    </row>
    <row r="25" spans="1:6">
      <c r="A25" t="s">
        <v>479</v>
      </c>
      <c r="B25" s="11">
        <v>0.1</v>
      </c>
      <c r="C25" t="s">
        <v>5</v>
      </c>
      <c r="D25" s="1"/>
    </row>
    <row r="40" spans="1:20">
      <c r="K40" s="24" t="s">
        <v>525</v>
      </c>
      <c r="L40" s="22" t="s">
        <v>526</v>
      </c>
      <c r="M40" s="3" t="s">
        <v>527</v>
      </c>
      <c r="N40" t="s">
        <v>528</v>
      </c>
      <c r="O40" t="s">
        <v>529</v>
      </c>
    </row>
    <row r="41" spans="1:20">
      <c r="K41" s="24" t="s">
        <v>489</v>
      </c>
      <c r="L41" s="22" t="s">
        <v>530</v>
      </c>
      <c r="M41" s="3" t="s">
        <v>490</v>
      </c>
      <c r="N41" t="s">
        <v>491</v>
      </c>
      <c r="O41" t="s">
        <v>492</v>
      </c>
    </row>
    <row r="42" spans="1:20">
      <c r="K42" s="24">
        <v>24.58</v>
      </c>
      <c r="L42" s="22">
        <v>2.5779999999999998</v>
      </c>
      <c r="M42" s="20">
        <v>1.546</v>
      </c>
      <c r="N42">
        <v>0.14480000000000001</v>
      </c>
      <c r="O42">
        <v>86.061639344262289</v>
      </c>
    </row>
    <row r="46" spans="1:20">
      <c r="B46" s="33" t="s">
        <v>499</v>
      </c>
      <c r="C46" s="33"/>
      <c r="D46" s="33"/>
      <c r="E46" s="33"/>
      <c r="F46" s="33"/>
      <c r="G46" s="33"/>
      <c r="H46" s="33"/>
      <c r="I46" s="33"/>
      <c r="J46" s="34" t="s">
        <v>500</v>
      </c>
      <c r="K46" s="34"/>
      <c r="L46" s="34"/>
      <c r="M46" s="34"/>
      <c r="N46" s="34"/>
      <c r="O46" s="34"/>
      <c r="P46" s="34"/>
      <c r="Q46" s="34"/>
    </row>
    <row r="47" spans="1:20">
      <c r="A47" t="s">
        <v>578</v>
      </c>
      <c r="B47" t="s">
        <v>468</v>
      </c>
      <c r="C47" t="s">
        <v>469</v>
      </c>
      <c r="D47" t="s">
        <v>470</v>
      </c>
      <c r="E47" t="s">
        <v>471</v>
      </c>
      <c r="F47" t="s">
        <v>472</v>
      </c>
      <c r="G47" t="s">
        <v>474</v>
      </c>
      <c r="H47" t="s">
        <v>475</v>
      </c>
      <c r="I47" t="s">
        <v>476</v>
      </c>
      <c r="J47" t="s">
        <v>459</v>
      </c>
      <c r="K47" t="s">
        <v>167</v>
      </c>
      <c r="L47" t="s">
        <v>579</v>
      </c>
      <c r="M47" t="s">
        <v>580</v>
      </c>
      <c r="N47" t="s">
        <v>581</v>
      </c>
      <c r="O47" t="s">
        <v>63</v>
      </c>
      <c r="P47" t="s">
        <v>222</v>
      </c>
      <c r="Q47" t="s">
        <v>582</v>
      </c>
      <c r="S47">
        <v>1</v>
      </c>
      <c r="T47" s="18">
        <f>SV_DW_I</f>
        <v>724.82726832177605</v>
      </c>
    </row>
    <row r="48" spans="1:20">
      <c r="A48">
        <v>1</v>
      </c>
      <c r="B48">
        <f>COSTDTAD</f>
        <v>277.85514899082102</v>
      </c>
      <c r="C48">
        <f>CPDT</f>
        <v>179.44939371223091</v>
      </c>
      <c r="D48">
        <f>CPDT_C</f>
        <v>1282.7942764936674</v>
      </c>
      <c r="E48">
        <f>CPDT_BF</f>
        <v>1090.9010466864597</v>
      </c>
      <c r="F48">
        <f>CPDT_DW</f>
        <v>211.05827729388466</v>
      </c>
      <c r="G48">
        <f>CPDTI</f>
        <v>2708.2647128675453</v>
      </c>
      <c r="H48">
        <f>Landfill!CPDT_DW+TIPP</f>
        <v>294.47864968146172</v>
      </c>
      <c r="I48">
        <f>C48+F48</f>
        <v>390.50767100611557</v>
      </c>
      <c r="J48">
        <f>(ACCAD+COSTOMAD)/(SVAD*8.34*SSG_AD*365/2000)</f>
        <v>10.044827092002926</v>
      </c>
      <c r="K48">
        <f>(ACC+COSTOM)/(SV_LA_1*8.34*365*SSG/2000)</f>
        <v>32.300890868201563</v>
      </c>
      <c r="L48">
        <f>(ACC_C+COSTOM_C)/(SV_C*8.34*365*SSG_C/2000)</f>
        <v>64.139713824683355</v>
      </c>
      <c r="M48">
        <f>(ACC_BF+COSTOM_BF)/(SV_BF+8.34*365*SSG_BF/2000)</f>
        <v>84.066004654448477</v>
      </c>
      <c r="N48">
        <f>(ACC_DW+COSTOM_DW)/(SV_DW*8.34*365*SSG_DW/2000)</f>
        <v>37.990489912899235</v>
      </c>
      <c r="O48">
        <f>(ACCI+COSTOMI)/(SVI*8.34*365*SSG/2000)</f>
        <v>487.48764831615819</v>
      </c>
      <c r="P48">
        <f>Landfill!CPWT_DW+TIPP</f>
        <v>123.57670120495818</v>
      </c>
      <c r="Q48">
        <f>K48+N48</f>
        <v>70.291380781100798</v>
      </c>
      <c r="S48">
        <v>1.5</v>
      </c>
      <c r="T48">
        <f t="dataTable" ref="T48:T145" dt2D="0" dtr="0" r1="B4"/>
        <v>1087.2409024826641</v>
      </c>
    </row>
    <row r="49" spans="1:20">
      <c r="A49">
        <v>1.5</v>
      </c>
      <c r="B49">
        <f t="dataTable" ref="B49:P146" dt2D="0" dtr="0" r1="B4" ca="1"/>
        <v>237.03243600069203</v>
      </c>
      <c r="C49">
        <v>123.69924783108792</v>
      </c>
      <c r="D49">
        <v>867.56160884021631</v>
      </c>
      <c r="E49">
        <v>755.97210000658799</v>
      </c>
      <c r="F49">
        <v>164.55301238111846</v>
      </c>
      <c r="G49">
        <v>1922.9283647684629</v>
      </c>
      <c r="H49">
        <v>246.16960356928323</v>
      </c>
      <c r="I49">
        <v>288.25226021220635</v>
      </c>
      <c r="J49">
        <v>8.5690326181497376</v>
      </c>
      <c r="K49">
        <v>22.265864609595827</v>
      </c>
      <c r="L49">
        <v>43.37808044201082</v>
      </c>
      <c r="M49">
        <v>58.297340591262397</v>
      </c>
      <c r="N49">
        <v>29.619542228601322</v>
      </c>
      <c r="O49">
        <v>346.12710565832333</v>
      </c>
      <c r="P49">
        <v>114.88107290476606</v>
      </c>
      <c r="Q49">
        <f t="shared" ref="Q49:Q112" si="0">K49+N49</f>
        <v>51.885406838197149</v>
      </c>
      <c r="S49">
        <v>2</v>
      </c>
      <c r="T49">
        <v>1449.6545366435521</v>
      </c>
    </row>
    <row r="50" spans="1:20">
      <c r="A50">
        <v>2</v>
      </c>
      <c r="B50">
        <v>213.98937309364536</v>
      </c>
      <c r="C50">
        <v>95.824536288284918</v>
      </c>
      <c r="D50">
        <v>659.89795324867248</v>
      </c>
      <c r="E50">
        <v>588.50762666665253</v>
      </c>
      <c r="F50">
        <v>144.57736307034966</v>
      </c>
      <c r="G50">
        <v>1529.9981423821907</v>
      </c>
      <c r="H50">
        <v>226.53606457481081</v>
      </c>
      <c r="I50">
        <v>240.40189935863458</v>
      </c>
      <c r="J50">
        <v>7.7359957519548397</v>
      </c>
      <c r="K50">
        <v>17.248416531891287</v>
      </c>
      <c r="L50">
        <v>32.994897662433615</v>
      </c>
      <c r="M50">
        <v>45.399295814479501</v>
      </c>
      <c r="N50">
        <v>26.023925352662939</v>
      </c>
      <c r="O50">
        <v>275.39966562879437</v>
      </c>
      <c r="P50">
        <v>111.34703588576102</v>
      </c>
      <c r="Q50">
        <f t="shared" si="0"/>
        <v>43.272341884554223</v>
      </c>
      <c r="S50">
        <v>2.5</v>
      </c>
      <c r="T50">
        <v>1812.0681708044401</v>
      </c>
    </row>
    <row r="51" spans="1:20">
      <c r="A51">
        <v>2.5</v>
      </c>
      <c r="B51">
        <v>198.60857109462776</v>
      </c>
      <c r="C51">
        <v>79.099825009889059</v>
      </c>
      <c r="D51">
        <v>535.26190318009378</v>
      </c>
      <c r="E51">
        <v>488.02894266269107</v>
      </c>
      <c r="F51">
        <v>126.30146034635376</v>
      </c>
      <c r="G51">
        <v>1294.0266483284818</v>
      </c>
      <c r="H51">
        <v>209.68807782958675</v>
      </c>
      <c r="I51">
        <v>205.40128535624282</v>
      </c>
      <c r="J51">
        <v>7.1799596404139701</v>
      </c>
      <c r="K51">
        <v>14.237968501780031</v>
      </c>
      <c r="L51">
        <v>26.763095159004681</v>
      </c>
      <c r="M51">
        <v>37.65607526449773</v>
      </c>
      <c r="N51">
        <v>22.734262862343677</v>
      </c>
      <c r="O51">
        <v>232.92479669912669</v>
      </c>
      <c r="P51">
        <v>108.31439827162069</v>
      </c>
      <c r="Q51">
        <f t="shared" si="0"/>
        <v>36.972231364123708</v>
      </c>
      <c r="S51">
        <v>3</v>
      </c>
      <c r="T51">
        <v>2174.4818049653281</v>
      </c>
    </row>
    <row r="52" spans="1:20">
      <c r="A52">
        <v>3</v>
      </c>
      <c r="B52">
        <v>187.29654982379833</v>
      </c>
      <c r="C52">
        <v>67.950065677327629</v>
      </c>
      <c r="D52">
        <v>452.13965645483307</v>
      </c>
      <c r="E52">
        <v>421.04315332671666</v>
      </c>
      <c r="F52">
        <v>109.67278357277443</v>
      </c>
      <c r="G52">
        <v>1136.5314168139193</v>
      </c>
      <c r="H52">
        <v>196.89339125603135</v>
      </c>
      <c r="I52">
        <v>177.62284925010206</v>
      </c>
      <c r="J52">
        <v>6.7710152744763992</v>
      </c>
      <c r="K52">
        <v>12.231011821918974</v>
      </c>
      <c r="L52">
        <v>22.606982822741656</v>
      </c>
      <c r="M52">
        <v>32.492096230146402</v>
      </c>
      <c r="N52">
        <v>19.741101043099398</v>
      </c>
      <c r="O52">
        <v>204.5756550265055</v>
      </c>
      <c r="P52">
        <v>106.01135468838072</v>
      </c>
      <c r="Q52">
        <f t="shared" si="0"/>
        <v>31.972112865018374</v>
      </c>
      <c r="S52">
        <v>3.5</v>
      </c>
      <c r="T52">
        <v>2536.8954391262164</v>
      </c>
    </row>
    <row r="53" spans="1:20">
      <c r="A53">
        <v>3.5</v>
      </c>
      <c r="B53">
        <v>178.4327307652392</v>
      </c>
      <c r="C53">
        <v>59.985975469842103</v>
      </c>
      <c r="D53">
        <v>392.73958356732749</v>
      </c>
      <c r="E53">
        <v>373.19616094387794</v>
      </c>
      <c r="F53">
        <v>99.288519769061594</v>
      </c>
      <c r="G53">
        <v>1023.8771053556127</v>
      </c>
      <c r="H53">
        <v>184.16689599976814</v>
      </c>
      <c r="I53">
        <v>159.27449523890368</v>
      </c>
      <c r="J53">
        <v>6.4505766209498887</v>
      </c>
      <c r="K53">
        <v>10.797475584571577</v>
      </c>
      <c r="L53">
        <v>19.636979178366371</v>
      </c>
      <c r="M53">
        <v>28.802642060938815</v>
      </c>
      <c r="N53">
        <v>17.871933558431088</v>
      </c>
      <c r="O53">
        <v>184.29787896401027</v>
      </c>
      <c r="P53">
        <v>103.72058554225335</v>
      </c>
      <c r="Q53">
        <f t="shared" si="0"/>
        <v>28.669409143002667</v>
      </c>
      <c r="S53">
        <v>4</v>
      </c>
      <c r="T53">
        <v>2899.3090732871042</v>
      </c>
    </row>
    <row r="54" spans="1:20">
      <c r="A54">
        <v>4</v>
      </c>
      <c r="B54">
        <v>171.17105142824207</v>
      </c>
      <c r="C54">
        <v>54.012920721291103</v>
      </c>
      <c r="D54">
        <v>348.16586976479522</v>
      </c>
      <c r="E54">
        <v>337.31091665674887</v>
      </c>
      <c r="F54">
        <v>93.592571212435402</v>
      </c>
      <c r="G54">
        <v>939.24604271211467</v>
      </c>
      <c r="H54">
        <v>178.24106029915237</v>
      </c>
      <c r="I54">
        <v>147.60549193372651</v>
      </c>
      <c r="J54">
        <v>6.1880574140802844</v>
      </c>
      <c r="K54">
        <v>9.7223257298323986</v>
      </c>
      <c r="L54">
        <v>17.408293488239757</v>
      </c>
      <c r="M54">
        <v>26.035060338706572</v>
      </c>
      <c r="N54">
        <v>16.846662818238372</v>
      </c>
      <c r="O54">
        <v>169.06428768818063</v>
      </c>
      <c r="P54">
        <v>102.65393511614251</v>
      </c>
      <c r="Q54">
        <f t="shared" si="0"/>
        <v>26.56898854807077</v>
      </c>
      <c r="S54">
        <v>4.5</v>
      </c>
      <c r="T54">
        <v>3261.7227074479929</v>
      </c>
    </row>
    <row r="55" spans="1:20">
      <c r="A55">
        <v>4.5</v>
      </c>
      <c r="B55">
        <v>165.02337836911002</v>
      </c>
      <c r="C55">
        <v>49.367219121048123</v>
      </c>
      <c r="D55">
        <v>313.4763957401355</v>
      </c>
      <c r="E55">
        <v>309.40017110009285</v>
      </c>
      <c r="F55">
        <v>83.980676290165917</v>
      </c>
      <c r="G55">
        <v>873.29507819373305</v>
      </c>
      <c r="H55">
        <v>171.61452066980138</v>
      </c>
      <c r="I55">
        <v>133.34789541121404</v>
      </c>
      <c r="J55">
        <v>5.9658109913617094</v>
      </c>
      <c r="K55">
        <v>8.8860994417886623</v>
      </c>
      <c r="L55">
        <v>15.673819787006778</v>
      </c>
      <c r="M55">
        <v>23.88220568864779</v>
      </c>
      <c r="N55">
        <v>15.116521732229865</v>
      </c>
      <c r="O55">
        <v>157.19311407487197</v>
      </c>
      <c r="P55">
        <v>101.46115798285933</v>
      </c>
      <c r="Q55">
        <f t="shared" si="0"/>
        <v>24.002621174018529</v>
      </c>
      <c r="S55">
        <v>5</v>
      </c>
      <c r="T55">
        <v>3624.1363416088802</v>
      </c>
    </row>
    <row r="56" spans="1:20">
      <c r="A56">
        <v>5</v>
      </c>
      <c r="B56">
        <v>159.68678573288952</v>
      </c>
      <c r="C56">
        <v>45.650662659490663</v>
      </c>
      <c r="D56">
        <v>285.70588990908794</v>
      </c>
      <c r="E56">
        <v>287.0715746547682</v>
      </c>
      <c r="F56">
        <v>77.903840101221519</v>
      </c>
      <c r="G56">
        <v>820.41832138665268</v>
      </c>
      <c r="H56">
        <v>163.98523474973598</v>
      </c>
      <c r="I56">
        <v>123.55450276071218</v>
      </c>
      <c r="J56">
        <v>5.7728861868871952</v>
      </c>
      <c r="K56">
        <v>8.2171192787083207</v>
      </c>
      <c r="L56">
        <v>14.285294495454394</v>
      </c>
      <c r="M56">
        <v>22.159738549477318</v>
      </c>
      <c r="N56">
        <v>14.022691218219874</v>
      </c>
      <c r="O56">
        <v>147.67529784959748</v>
      </c>
      <c r="P56">
        <v>100.08788651724755</v>
      </c>
      <c r="Q56">
        <f t="shared" si="0"/>
        <v>22.239810496928193</v>
      </c>
      <c r="S56">
        <v>5.5</v>
      </c>
      <c r="T56">
        <v>3986.549975769768</v>
      </c>
    </row>
    <row r="57" spans="1:20">
      <c r="A57">
        <v>5.5</v>
      </c>
      <c r="B57">
        <v>154.96252324059731</v>
      </c>
      <c r="C57">
        <v>42.609846922273846</v>
      </c>
      <c r="D57">
        <v>262.96736126348657</v>
      </c>
      <c r="E57">
        <v>268.80272301768429</v>
      </c>
      <c r="F57">
        <v>73.013045157821963</v>
      </c>
      <c r="G57">
        <v>777.04838748208147</v>
      </c>
      <c r="H57">
        <v>158.89212433461446</v>
      </c>
      <c r="I57">
        <v>115.62289208009581</v>
      </c>
      <c r="J57">
        <v>5.6020979180907879</v>
      </c>
      <c r="K57">
        <v>7.6697724460092935</v>
      </c>
      <c r="L57">
        <v>13.148368063174328</v>
      </c>
      <c r="M57">
        <v>20.750325967338593</v>
      </c>
      <c r="N57">
        <v>13.142348128407956</v>
      </c>
      <c r="O57">
        <v>139.8687097467747</v>
      </c>
      <c r="P57">
        <v>99.171126642525678</v>
      </c>
      <c r="Q57">
        <f t="shared" si="0"/>
        <v>20.81212057441725</v>
      </c>
      <c r="S57">
        <v>6</v>
      </c>
      <c r="T57">
        <v>4348.9636099306563</v>
      </c>
    </row>
    <row r="58" spans="1:20">
      <c r="A58">
        <v>6</v>
      </c>
      <c r="B58">
        <v>150.71433178998234</v>
      </c>
      <c r="C58">
        <v>40.075835998216007</v>
      </c>
      <c r="D58">
        <v>244.00281579788756</v>
      </c>
      <c r="E58">
        <v>253.578679986781</v>
      </c>
      <c r="F58">
        <v>68.862984261396946</v>
      </c>
      <c r="G58">
        <v>740.8070199408254</v>
      </c>
      <c r="H58">
        <v>154.58027497374428</v>
      </c>
      <c r="I58">
        <v>108.93882025961295</v>
      </c>
      <c r="J58">
        <v>5.4485202401886887</v>
      </c>
      <c r="K58">
        <v>7.2136504796788818</v>
      </c>
      <c r="L58">
        <v>12.20014078989438</v>
      </c>
      <c r="M58">
        <v>19.575732087918364</v>
      </c>
      <c r="N58">
        <v>12.395337167051451</v>
      </c>
      <c r="O58">
        <v>133.34526358934858</v>
      </c>
      <c r="P58">
        <v>98.39499375756904</v>
      </c>
      <c r="Q58">
        <f t="shared" si="0"/>
        <v>19.608987646730334</v>
      </c>
      <c r="S58">
        <v>6.5</v>
      </c>
      <c r="T58">
        <v>4711.3772440915445</v>
      </c>
    </row>
    <row r="59" spans="1:20">
      <c r="A59">
        <v>6.5</v>
      </c>
      <c r="B59">
        <v>146.84540863498151</v>
      </c>
      <c r="C59">
        <v>37.931674463863743</v>
      </c>
      <c r="D59">
        <v>227.94133458544516</v>
      </c>
      <c r="E59">
        <v>240.69679742217053</v>
      </c>
      <c r="F59">
        <v>65.35139427211422</v>
      </c>
      <c r="G59">
        <v>710.04773346651882</v>
      </c>
      <c r="H59">
        <v>150.93178705300795</v>
      </c>
      <c r="I59">
        <v>103.28306873597796</v>
      </c>
      <c r="J59">
        <v>5.3086536072852493</v>
      </c>
      <c r="K59">
        <v>6.8277014034954737</v>
      </c>
      <c r="L59">
        <v>11.397066729272259</v>
      </c>
      <c r="M59">
        <v>18.581785738465602</v>
      </c>
      <c r="N59">
        <v>11.763250968980561</v>
      </c>
      <c r="O59">
        <v>127.8085920239734</v>
      </c>
      <c r="P59">
        <v>97.738265931836509</v>
      </c>
      <c r="Q59">
        <f t="shared" si="0"/>
        <v>18.590952372476035</v>
      </c>
      <c r="S59">
        <v>7</v>
      </c>
      <c r="T59">
        <v>5073.7908782524328</v>
      </c>
    </row>
    <row r="60" spans="1:20">
      <c r="A60">
        <v>7</v>
      </c>
      <c r="B60">
        <v>143.28492655183189</v>
      </c>
      <c r="C60">
        <v>36.093822854820118</v>
      </c>
      <c r="D60">
        <v>214.16083267841259</v>
      </c>
      <c r="E60">
        <v>229.65518379536164</v>
      </c>
      <c r="F60">
        <v>63.042774139094675</v>
      </c>
      <c r="G60">
        <v>683.59446713318721</v>
      </c>
      <c r="H60">
        <v>147.80451169237682</v>
      </c>
      <c r="I60">
        <v>99.136596993914793</v>
      </c>
      <c r="J60">
        <v>5.1799375225939617</v>
      </c>
      <c r="K60">
        <v>6.4968881138676213</v>
      </c>
      <c r="L60">
        <v>10.708041633920628</v>
      </c>
      <c r="M60">
        <v>17.729788514114514</v>
      </c>
      <c r="N60">
        <v>11.347699345037043</v>
      </c>
      <c r="O60">
        <v>123.04700408397369</v>
      </c>
      <c r="P60">
        <v>97.175356366922898</v>
      </c>
      <c r="Q60">
        <f t="shared" si="0"/>
        <v>17.844587458904662</v>
      </c>
      <c r="S60">
        <v>7.5</v>
      </c>
      <c r="T60">
        <v>5436.204512413321</v>
      </c>
    </row>
    <row r="61" spans="1:20">
      <c r="A61">
        <v>7.5</v>
      </c>
      <c r="B61">
        <v>139.97976396285208</v>
      </c>
      <c r="C61">
        <v>34.501018974215157</v>
      </c>
      <c r="D61">
        <v>202.2051144484418</v>
      </c>
      <c r="E61">
        <v>220.08578531879388</v>
      </c>
      <c r="F61">
        <v>59.981002248431878</v>
      </c>
      <c r="G61">
        <v>660.58477626178092</v>
      </c>
      <c r="H61">
        <v>145.09420637982981</v>
      </c>
      <c r="I61">
        <v>94.482021222647035</v>
      </c>
      <c r="J61">
        <v>5.0604515715945251</v>
      </c>
      <c r="K61">
        <v>6.2101834153587285</v>
      </c>
      <c r="L61">
        <v>10.110255722422089</v>
      </c>
      <c r="M61">
        <v>16.991358653520187</v>
      </c>
      <c r="N61">
        <v>10.796580404717737</v>
      </c>
      <c r="O61">
        <v>118.90525972712055</v>
      </c>
      <c r="P61">
        <v>96.687501410664439</v>
      </c>
      <c r="Q61">
        <f t="shared" si="0"/>
        <v>17.006763820076465</v>
      </c>
      <c r="S61">
        <v>8</v>
      </c>
      <c r="T61">
        <v>5798.6181465742084</v>
      </c>
    </row>
    <row r="62" spans="1:20">
      <c r="A62">
        <v>8</v>
      </c>
      <c r="B62">
        <v>136.88922799492698</v>
      </c>
      <c r="C62">
        <v>33.107316224038989</v>
      </c>
      <c r="D62">
        <v>191.73203317427215</v>
      </c>
      <c r="E62">
        <v>211.71256165179713</v>
      </c>
      <c r="F62">
        <v>63.638130967921335</v>
      </c>
      <c r="G62">
        <v>640.37182734301427</v>
      </c>
      <c r="H62">
        <v>149.29885078658847</v>
      </c>
      <c r="I62">
        <v>96.745447191960324</v>
      </c>
      <c r="J62">
        <v>4.9487246536944047</v>
      </c>
      <c r="K62">
        <v>5.9593169203270184</v>
      </c>
      <c r="L62">
        <v>9.5866016587136045</v>
      </c>
      <c r="M62">
        <v>16.345207946253272</v>
      </c>
      <c r="N62">
        <v>11.45486357422584</v>
      </c>
      <c r="O62">
        <v>115.26692892174258</v>
      </c>
      <c r="P62">
        <v>97.444337403881008</v>
      </c>
      <c r="Q62">
        <f t="shared" si="0"/>
        <v>17.414180494552859</v>
      </c>
      <c r="S62">
        <v>8.5</v>
      </c>
      <c r="T62">
        <v>6161.0317807350975</v>
      </c>
    </row>
    <row r="63" spans="1:20">
      <c r="A63">
        <v>8.5</v>
      </c>
      <c r="B63">
        <v>133.98157280736663</v>
      </c>
      <c r="C63">
        <v>31.877579003499825</v>
      </c>
      <c r="D63">
        <v>182.4799472455276</v>
      </c>
      <c r="E63">
        <v>204.324423122094</v>
      </c>
      <c r="F63">
        <v>60.901546545052575</v>
      </c>
      <c r="G63">
        <v>622.46098298743266</v>
      </c>
      <c r="H63">
        <v>147.24164314963508</v>
      </c>
      <c r="I63">
        <v>92.7791255485524</v>
      </c>
      <c r="J63">
        <v>4.8436091152266467</v>
      </c>
      <c r="K63">
        <v>5.7379642206299692</v>
      </c>
      <c r="L63">
        <v>9.1239973622763806</v>
      </c>
      <c r="M63">
        <v>15.775055917187329</v>
      </c>
      <c r="N63">
        <v>10.962278378109465</v>
      </c>
      <c r="O63">
        <v>112.04297693773789</v>
      </c>
      <c r="P63">
        <v>97.074040029229394</v>
      </c>
      <c r="Q63">
        <f t="shared" si="0"/>
        <v>16.700242598739436</v>
      </c>
      <c r="S63">
        <v>9</v>
      </c>
      <c r="T63">
        <v>6523.4454148959858</v>
      </c>
    </row>
    <row r="64" spans="1:20">
      <c r="A64">
        <v>9</v>
      </c>
      <c r="B64">
        <v>131.23163538421616</v>
      </c>
      <c r="C64">
        <v>30.784479645588942</v>
      </c>
      <c r="D64">
        <v>174.24535763191585</v>
      </c>
      <c r="E64">
        <v>197.75718887346909</v>
      </c>
      <c r="F64">
        <v>58.46902705805811</v>
      </c>
      <c r="G64">
        <v>606.46752522546092</v>
      </c>
      <c r="H64">
        <v>144.71426365610452</v>
      </c>
      <c r="I64">
        <v>89.253506703647048</v>
      </c>
      <c r="J64">
        <v>4.7441952802493166</v>
      </c>
      <c r="K64">
        <v>5.5412063362060096</v>
      </c>
      <c r="L64">
        <v>8.7122678815957926</v>
      </c>
      <c r="M64">
        <v>15.268239118181942</v>
      </c>
      <c r="N64">
        <v>10.52442487045046</v>
      </c>
      <c r="O64">
        <v>109.16415454058297</v>
      </c>
      <c r="P64">
        <v>96.619111720393889</v>
      </c>
      <c r="Q64">
        <f t="shared" si="0"/>
        <v>16.065631206656469</v>
      </c>
      <c r="S64">
        <v>9.5</v>
      </c>
      <c r="T64">
        <v>6885.8590490568722</v>
      </c>
    </row>
    <row r="65" spans="1:20">
      <c r="A65">
        <v>9.5</v>
      </c>
      <c r="B65">
        <v>128.61918946848033</v>
      </c>
      <c r="C65">
        <v>29.806443692055648</v>
      </c>
      <c r="D65">
        <v>166.86760720425875</v>
      </c>
      <c r="E65">
        <v>191.88124244048896</v>
      </c>
      <c r="F65">
        <v>56.292562253905196</v>
      </c>
      <c r="G65">
        <v>592.08772934427589</v>
      </c>
      <c r="H65">
        <v>142.4529241092614</v>
      </c>
      <c r="I65">
        <v>86.09900594596084</v>
      </c>
      <c r="J65">
        <v>4.6497519431145333</v>
      </c>
      <c r="K65">
        <v>5.3651598645700167</v>
      </c>
      <c r="L65">
        <v>8.3433803602129384</v>
      </c>
      <c r="M65">
        <v>14.814759492328767</v>
      </c>
      <c r="N65">
        <v>10.132661205702938</v>
      </c>
      <c r="O65">
        <v>106.57579128196966</v>
      </c>
      <c r="P65">
        <v>96.212070601962125</v>
      </c>
      <c r="Q65">
        <f t="shared" si="0"/>
        <v>15.497821070272956</v>
      </c>
      <c r="S65">
        <v>10</v>
      </c>
      <c r="T65">
        <v>7248.2726832177605</v>
      </c>
    </row>
    <row r="66" spans="1:20">
      <c r="A66">
        <v>10</v>
      </c>
      <c r="B66">
        <v>126.12777405307746</v>
      </c>
      <c r="C66">
        <v>28.926211587488144</v>
      </c>
      <c r="D66">
        <v>160.21817025921359</v>
      </c>
      <c r="E66">
        <v>186.59289065080677</v>
      </c>
      <c r="F66">
        <v>99.964260308803432</v>
      </c>
      <c r="G66">
        <v>579.07861557361957</v>
      </c>
      <c r="H66">
        <v>140.41771851710257</v>
      </c>
      <c r="I66">
        <v>128.89047189629159</v>
      </c>
      <c r="J66">
        <v>4.5596840168840238</v>
      </c>
      <c r="K66">
        <v>5.206718085747867</v>
      </c>
      <c r="L66">
        <v>8.0109085129606772</v>
      </c>
      <c r="M66">
        <v>14.406618168102659</v>
      </c>
      <c r="N66">
        <v>17.993566855584618</v>
      </c>
      <c r="O66">
        <v>104.23415080325151</v>
      </c>
      <c r="P66">
        <v>95.845733595373545</v>
      </c>
      <c r="Q66">
        <f t="shared" si="0"/>
        <v>23.200284941332484</v>
      </c>
      <c r="S66">
        <v>10.5</v>
      </c>
      <c r="T66">
        <v>7610.6863173786487</v>
      </c>
    </row>
    <row r="67" spans="1:20">
      <c r="A67">
        <v>10.5</v>
      </c>
      <c r="B67">
        <v>123.74384325167372</v>
      </c>
      <c r="C67">
        <v>28.129811318957664</v>
      </c>
      <c r="D67">
        <v>154.19300217978881</v>
      </c>
      <c r="E67">
        <v>184.03386555897083</v>
      </c>
      <c r="F67">
        <v>95.765070906684201</v>
      </c>
      <c r="G67">
        <v>567.24348600423491</v>
      </c>
      <c r="H67">
        <v>138.57634202895886</v>
      </c>
      <c r="I67">
        <v>123.89488222564187</v>
      </c>
      <c r="J67">
        <v>4.4735018000477558</v>
      </c>
      <c r="K67">
        <v>5.0633660374123792</v>
      </c>
      <c r="L67">
        <v>7.7096501089894396</v>
      </c>
      <c r="M67">
        <v>14.209182992324132</v>
      </c>
      <c r="N67">
        <v>17.237712763203159</v>
      </c>
      <c r="O67">
        <v>102.10382748076226</v>
      </c>
      <c r="P67">
        <v>95.514285827507678</v>
      </c>
      <c r="Q67">
        <f t="shared" si="0"/>
        <v>22.301078800615539</v>
      </c>
      <c r="S67">
        <v>11</v>
      </c>
      <c r="T67">
        <v>7973.0999515395361</v>
      </c>
    </row>
    <row r="68" spans="1:20">
      <c r="A68">
        <v>11</v>
      </c>
      <c r="B68">
        <v>121.45613860355083</v>
      </c>
      <c r="C68">
        <v>42.609739398970817</v>
      </c>
      <c r="D68">
        <v>148.70697555208224</v>
      </c>
      <c r="E68">
        <v>180.98184830154733</v>
      </c>
      <c r="F68">
        <v>91.909375077276152</v>
      </c>
      <c r="G68">
        <v>556.4214059830939</v>
      </c>
      <c r="H68">
        <v>136.9419774764086</v>
      </c>
      <c r="I68">
        <v>134.51911447624695</v>
      </c>
      <c r="J68">
        <v>4.3907982845238269</v>
      </c>
      <c r="K68">
        <v>7.6697530918147487</v>
      </c>
      <c r="L68">
        <v>7.4353487776041121</v>
      </c>
      <c r="M68">
        <v>13.973666804048456</v>
      </c>
      <c r="N68">
        <v>16.54368751390971</v>
      </c>
      <c r="O68">
        <v>100.15585307695692</v>
      </c>
      <c r="P68">
        <v>95.220100208048621</v>
      </c>
      <c r="Q68">
        <f t="shared" si="0"/>
        <v>24.213440605724458</v>
      </c>
      <c r="S68">
        <v>11.5</v>
      </c>
      <c r="T68">
        <v>8335.5135857004243</v>
      </c>
    </row>
    <row r="69" spans="1:20">
      <c r="A69">
        <v>11.5</v>
      </c>
      <c r="B69">
        <v>119.25521835294805</v>
      </c>
      <c r="C69">
        <v>41.287655641109374</v>
      </c>
      <c r="D69">
        <v>143.68976772982683</v>
      </c>
      <c r="E69">
        <v>178.3612611807992</v>
      </c>
      <c r="F69">
        <v>88.388957146077516</v>
      </c>
      <c r="G69">
        <v>546.47942949247772</v>
      </c>
      <c r="H69">
        <v>135.41183985856844</v>
      </c>
      <c r="I69">
        <v>129.67661278718688</v>
      </c>
      <c r="J69">
        <v>4.3112321384909427</v>
      </c>
      <c r="K69">
        <v>7.4317780153996882</v>
      </c>
      <c r="L69">
        <v>7.184488386491342</v>
      </c>
      <c r="M69">
        <v>13.771446394113948</v>
      </c>
      <c r="N69">
        <v>15.910012286293952</v>
      </c>
      <c r="O69">
        <v>98.366297308646011</v>
      </c>
      <c r="P69">
        <v>94.9446754368374</v>
      </c>
      <c r="Q69">
        <f t="shared" si="0"/>
        <v>23.341790301693642</v>
      </c>
      <c r="S69">
        <v>12</v>
      </c>
      <c r="T69">
        <v>8697.9272198613126</v>
      </c>
    </row>
    <row r="70" spans="1:20">
      <c r="A70">
        <v>12</v>
      </c>
      <c r="B70">
        <v>117.13309946093881</v>
      </c>
      <c r="C70">
        <v>40.075745648773882</v>
      </c>
      <c r="D70">
        <v>139.08277650780002</v>
      </c>
      <c r="E70">
        <v>176.11816962333947</v>
      </c>
      <c r="F70">
        <v>85.161907375812063</v>
      </c>
      <c r="G70">
        <v>537.30676818428719</v>
      </c>
      <c r="H70">
        <v>173.06160164397255</v>
      </c>
      <c r="I70">
        <v>125.23765302458594</v>
      </c>
      <c r="J70">
        <v>4.2345147646494743</v>
      </c>
      <c r="K70">
        <v>7.2136342167792984</v>
      </c>
      <c r="L70">
        <v>6.9541388253900021</v>
      </c>
      <c r="M70">
        <v>13.598360080831453</v>
      </c>
      <c r="N70">
        <v>15.329143327646172</v>
      </c>
      <c r="O70">
        <v>96.715218273171701</v>
      </c>
      <c r="P70">
        <v>101.72163255821013</v>
      </c>
      <c r="Q70">
        <f t="shared" si="0"/>
        <v>22.542777544425469</v>
      </c>
      <c r="S70">
        <v>12.5</v>
      </c>
      <c r="T70">
        <v>9060.3408540222008</v>
      </c>
    </row>
    <row r="71" spans="1:20">
      <c r="A71">
        <v>12.5</v>
      </c>
      <c r="B71">
        <v>115.08298186675347</v>
      </c>
      <c r="C71">
        <v>38.96078855638806</v>
      </c>
      <c r="D71">
        <v>134.83677603361485</v>
      </c>
      <c r="E71">
        <v>174.207268587523</v>
      </c>
      <c r="F71">
        <v>82.193021587167848</v>
      </c>
      <c r="G71">
        <v>528.8103598461189</v>
      </c>
      <c r="H71">
        <v>169.97565696901188</v>
      </c>
      <c r="I71">
        <v>121.15381014355592</v>
      </c>
      <c r="J71">
        <v>4.1604003319075957</v>
      </c>
      <c r="K71">
        <v>7.0129419401498501</v>
      </c>
      <c r="L71">
        <v>6.7418388016807436</v>
      </c>
      <c r="M71">
        <v>13.450911938091503</v>
      </c>
      <c r="N71">
        <v>14.794743885690213</v>
      </c>
      <c r="O71">
        <v>95.1858647723014</v>
      </c>
      <c r="P71">
        <v>101.16616251671721</v>
      </c>
      <c r="Q71">
        <f t="shared" si="0"/>
        <v>21.807685825840064</v>
      </c>
      <c r="S71">
        <v>13</v>
      </c>
      <c r="T71">
        <v>9422.7544881830891</v>
      </c>
    </row>
    <row r="72" spans="1:20">
      <c r="A72">
        <v>13</v>
      </c>
      <c r="B72">
        <v>113.09903362593654</v>
      </c>
      <c r="C72">
        <v>37.931597479723706</v>
      </c>
      <c r="D72">
        <v>130.91011366294398</v>
      </c>
      <c r="E72">
        <v>172.59022303811159</v>
      </c>
      <c r="F72">
        <v>79.452511628419344</v>
      </c>
      <c r="G72">
        <v>520.91145952901638</v>
      </c>
      <c r="H72">
        <v>167.1270926536636</v>
      </c>
      <c r="I72">
        <v>117.38410910814305</v>
      </c>
      <c r="J72">
        <v>4.0886780078446083</v>
      </c>
      <c r="K72">
        <v>6.8276875463502664</v>
      </c>
      <c r="L72">
        <v>6.5455056831471996</v>
      </c>
      <c r="M72">
        <v>13.32614378642741</v>
      </c>
      <c r="N72">
        <v>14.301452093115483</v>
      </c>
      <c r="O72">
        <v>93.764062715222948</v>
      </c>
      <c r="P72">
        <v>100.65342093995453</v>
      </c>
      <c r="Q72">
        <f t="shared" si="0"/>
        <v>21.129139639465748</v>
      </c>
      <c r="S72">
        <v>13.5</v>
      </c>
      <c r="T72">
        <v>9785.1681223439791</v>
      </c>
    </row>
    <row r="73" spans="1:20">
      <c r="A73">
        <v>13.5</v>
      </c>
      <c r="B73">
        <v>111.17622170065908</v>
      </c>
      <c r="C73">
        <v>36.978642852326217</v>
      </c>
      <c r="D73">
        <v>127.26730751358254</v>
      </c>
      <c r="E73">
        <v>171.23437720434688</v>
      </c>
      <c r="F73">
        <v>88.057584675505268</v>
      </c>
      <c r="G73">
        <v>513.54298820238705</v>
      </c>
      <c r="H73">
        <v>164.48953310241515</v>
      </c>
      <c r="I73">
        <v>125.03622752783149</v>
      </c>
      <c r="J73">
        <v>4.0191658415593929</v>
      </c>
      <c r="K73">
        <v>6.6561557134187197</v>
      </c>
      <c r="L73">
        <v>6.363365375679126</v>
      </c>
      <c r="M73">
        <v>13.221535626019431</v>
      </c>
      <c r="N73">
        <v>15.850365241590948</v>
      </c>
      <c r="O73">
        <v>92.437737876429679</v>
      </c>
      <c r="P73">
        <v>100.17866022072981</v>
      </c>
      <c r="Q73">
        <f t="shared" si="0"/>
        <v>22.50652095500967</v>
      </c>
      <c r="S73">
        <v>14</v>
      </c>
      <c r="T73">
        <v>10147.581756504866</v>
      </c>
    </row>
    <row r="74" spans="1:20">
      <c r="A74">
        <v>14</v>
      </c>
      <c r="B74">
        <v>109.31017739852501</v>
      </c>
      <c r="C74">
        <v>36.093756475638145</v>
      </c>
      <c r="D74">
        <v>123.87794454364072</v>
      </c>
      <c r="E74">
        <v>170.11174042557872</v>
      </c>
      <c r="F74">
        <v>85.198545144581814</v>
      </c>
      <c r="G74">
        <v>506.64744955429421</v>
      </c>
      <c r="H74">
        <v>162.0403706619702</v>
      </c>
      <c r="I74">
        <v>121.29230162021996</v>
      </c>
      <c r="J74">
        <v>3.9517058991072438</v>
      </c>
      <c r="K74">
        <v>6.4968761656148661</v>
      </c>
      <c r="L74">
        <v>6.1938972271820356</v>
      </c>
      <c r="M74">
        <v>13.134927402236867</v>
      </c>
      <c r="N74">
        <v>15.335738126024728</v>
      </c>
      <c r="O74">
        <v>91.196540919772957</v>
      </c>
      <c r="P74">
        <v>99.737810981449712</v>
      </c>
      <c r="Q74">
        <f t="shared" si="0"/>
        <v>21.832614291639594</v>
      </c>
      <c r="S74">
        <v>14.5</v>
      </c>
      <c r="T74">
        <v>10509.995390665752</v>
      </c>
    </row>
    <row r="75" spans="1:20">
      <c r="A75">
        <v>14.5</v>
      </c>
      <c r="B75">
        <v>107.49708840041484</v>
      </c>
      <c r="C75">
        <v>35.269896800186324</v>
      </c>
      <c r="D75">
        <v>120.71580661355827</v>
      </c>
      <c r="E75">
        <v>169.19818282193631</v>
      </c>
      <c r="F75">
        <v>82.536680753722067</v>
      </c>
      <c r="G75">
        <v>500.17527779858557</v>
      </c>
      <c r="H75">
        <v>159.76011597603869</v>
      </c>
      <c r="I75">
        <v>117.8065775539084</v>
      </c>
      <c r="J75">
        <v>3.8861603601651851</v>
      </c>
      <c r="K75">
        <v>6.3485814240335374</v>
      </c>
      <c r="L75">
        <v>6.035790330677913</v>
      </c>
      <c r="M75">
        <v>13.064456955241379</v>
      </c>
      <c r="N75">
        <v>14.856602535669971</v>
      </c>
      <c r="O75">
        <v>90.031550003745409</v>
      </c>
      <c r="P75">
        <v>99.327365137982042</v>
      </c>
      <c r="Q75">
        <f t="shared" si="0"/>
        <v>21.205183959703508</v>
      </c>
      <c r="S75">
        <v>15</v>
      </c>
      <c r="T75">
        <v>10872.409024826642</v>
      </c>
    </row>
    <row r="76" spans="1:20">
      <c r="A76">
        <v>15</v>
      </c>
      <c r="B76">
        <v>105.733611401563</v>
      </c>
      <c r="C76">
        <v>34.500961150572195</v>
      </c>
      <c r="D76">
        <v>117.7581713357163</v>
      </c>
      <c r="E76">
        <v>168.47279183086505</v>
      </c>
      <c r="F76">
        <v>80.052273988919595</v>
      </c>
      <c r="G76">
        <v>494.08351592059614</v>
      </c>
      <c r="H76">
        <v>157.63187826916925</v>
      </c>
      <c r="I76">
        <v>114.55323513949179</v>
      </c>
      <c r="J76">
        <v>3.8224083598926399</v>
      </c>
      <c r="K76">
        <v>6.2101730071029957</v>
      </c>
      <c r="L76">
        <v>5.8879085667858142</v>
      </c>
      <c r="M76">
        <v>13.008510377906953</v>
      </c>
      <c r="N76">
        <v>14.409409318005528</v>
      </c>
      <c r="O76">
        <v>88.935032865707299</v>
      </c>
      <c r="P76">
        <v>98.944282350745539</v>
      </c>
      <c r="Q76">
        <f t="shared" si="0"/>
        <v>20.619582325108524</v>
      </c>
      <c r="S76">
        <v>15.5</v>
      </c>
      <c r="T76">
        <v>11234.82265898753</v>
      </c>
    </row>
    <row r="77" spans="1:20">
      <c r="A77">
        <v>15.5</v>
      </c>
      <c r="B77">
        <v>104.01680088456311</v>
      </c>
      <c r="C77">
        <v>33.781634294042831</v>
      </c>
      <c r="D77">
        <v>114.98524824347908</v>
      </c>
      <c r="E77">
        <v>167.91735328497865</v>
      </c>
      <c r="F77">
        <v>78.808022135992573</v>
      </c>
      <c r="G77">
        <v>488.3347497462625</v>
      </c>
      <c r="H77">
        <v>156.78805250156557</v>
      </c>
      <c r="I77">
        <v>112.5896564300354</v>
      </c>
      <c r="J77">
        <v>3.7603434139824032</v>
      </c>
      <c r="K77">
        <v>6.0806941729277106</v>
      </c>
      <c r="L77">
        <v>5.7492624121739535</v>
      </c>
      <c r="M77">
        <v>12.965681980563694</v>
      </c>
      <c r="N77">
        <v>14.185443984478665</v>
      </c>
      <c r="O77">
        <v>87.900254954327238</v>
      </c>
      <c r="P77">
        <v>98.792393712576882</v>
      </c>
      <c r="Q77">
        <f t="shared" si="0"/>
        <v>20.266138157406374</v>
      </c>
      <c r="S77">
        <v>16</v>
      </c>
      <c r="T77">
        <v>11597.236293148417</v>
      </c>
    </row>
    <row r="78" spans="1:20">
      <c r="A78">
        <v>16</v>
      </c>
      <c r="B78">
        <v>102.34405062828185</v>
      </c>
      <c r="C78">
        <v>33.107265402477793</v>
      </c>
      <c r="D78">
        <v>112.37972067854029</v>
      </c>
      <c r="E78">
        <v>167.51592978781389</v>
      </c>
      <c r="F78">
        <v>76.623204701522283</v>
      </c>
      <c r="G78">
        <v>482.89624187327905</v>
      </c>
      <c r="H78">
        <v>154.88570663495281</v>
      </c>
      <c r="I78">
        <v>109.73047010400008</v>
      </c>
      <c r="J78">
        <v>3.699871304131368</v>
      </c>
      <c r="K78">
        <v>5.9593077724460031</v>
      </c>
      <c r="L78">
        <v>5.6189860339270128</v>
      </c>
      <c r="M78">
        <v>12.934741761352536</v>
      </c>
      <c r="N78">
        <v>13.79217684627401</v>
      </c>
      <c r="O78">
        <v>86.921323537190233</v>
      </c>
      <c r="P78">
        <v>98.449971456586582</v>
      </c>
      <c r="Q78">
        <f t="shared" si="0"/>
        <v>19.751484618720013</v>
      </c>
      <c r="S78">
        <v>16.5</v>
      </c>
      <c r="T78">
        <v>11959.649927309307</v>
      </c>
    </row>
    <row r="79" spans="1:20">
      <c r="A79">
        <v>16.5</v>
      </c>
      <c r="B79">
        <v>100.7130453538883</v>
      </c>
      <c r="C79">
        <v>32.473767384941453</v>
      </c>
      <c r="D79">
        <v>109.92637097147926</v>
      </c>
      <c r="E79">
        <v>167.25451574853983</v>
      </c>
      <c r="F79">
        <v>74.543849341162442</v>
      </c>
      <c r="G79">
        <v>477.73922306931718</v>
      </c>
      <c r="H79">
        <v>153.09865445722562</v>
      </c>
      <c r="I79">
        <v>107.0176167261039</v>
      </c>
      <c r="J79">
        <v>3.6409083299812317</v>
      </c>
      <c r="K79">
        <v>5.8452781292894613</v>
      </c>
      <c r="L79">
        <v>5.4963185485739627</v>
      </c>
      <c r="M79">
        <v>12.914608790297278</v>
      </c>
      <c r="N79">
        <v>13.417892881409239</v>
      </c>
      <c r="O79">
        <v>85.993060152477085</v>
      </c>
      <c r="P79">
        <v>98.128302064595687</v>
      </c>
      <c r="Q79">
        <f t="shared" si="0"/>
        <v>19.263171010698699</v>
      </c>
      <c r="S79">
        <v>17</v>
      </c>
      <c r="T79">
        <v>12322.063561470195</v>
      </c>
    </row>
    <row r="80" spans="1:20">
      <c r="A80">
        <v>17</v>
      </c>
      <c r="B80">
        <v>99.121720501123605</v>
      </c>
      <c r="C80">
        <v>31.877533985092668</v>
      </c>
      <c r="D80">
        <v>107.61177176692476</v>
      </c>
      <c r="E80">
        <v>167.12075329289357</v>
      </c>
      <c r="F80">
        <v>72.586809002000265</v>
      </c>
      <c r="G80">
        <v>472.83830871761563</v>
      </c>
      <c r="H80">
        <v>160.45734773834593</v>
      </c>
      <c r="I80">
        <v>104.46434298709293</v>
      </c>
      <c r="J80">
        <v>3.5833798549780336</v>
      </c>
      <c r="K80">
        <v>5.7379561173166813</v>
      </c>
      <c r="L80">
        <v>5.3805885883462388</v>
      </c>
      <c r="M80">
        <v>12.904329289716326</v>
      </c>
      <c r="N80">
        <v>13.065625620360048</v>
      </c>
      <c r="O80">
        <v>85.110895569170822</v>
      </c>
      <c r="P80">
        <v>99.452866855197342</v>
      </c>
      <c r="Q80">
        <f t="shared" si="0"/>
        <v>18.80358173767673</v>
      </c>
      <c r="S80">
        <v>17.5</v>
      </c>
      <c r="T80">
        <v>12684.477195631081</v>
      </c>
    </row>
    <row r="81" spans="1:20">
      <c r="A81">
        <v>17.5</v>
      </c>
      <c r="B81">
        <v>97.568228571819773</v>
      </c>
      <c r="C81">
        <v>31.315371090477488</v>
      </c>
      <c r="D81">
        <v>105.4240302644052</v>
      </c>
      <c r="E81">
        <v>167.10369687509959</v>
      </c>
      <c r="F81">
        <v>70.741599539361644</v>
      </c>
      <c r="G81">
        <v>468.1710153004725</v>
      </c>
      <c r="H81">
        <v>158.53941403527506</v>
      </c>
      <c r="I81">
        <v>102.05697062983913</v>
      </c>
      <c r="J81">
        <v>3.5272190896463291</v>
      </c>
      <c r="K81">
        <v>5.636766796285948</v>
      </c>
      <c r="L81">
        <v>5.2712015132202614</v>
      </c>
      <c r="M81">
        <v>12.903058471820719</v>
      </c>
      <c r="N81">
        <v>12.733487917085098</v>
      </c>
      <c r="O81">
        <v>84.270782754085062</v>
      </c>
      <c r="P81">
        <v>99.107638788644579</v>
      </c>
      <c r="Q81">
        <f t="shared" si="0"/>
        <v>18.370254713371047</v>
      </c>
      <c r="S81">
        <v>18</v>
      </c>
      <c r="T81">
        <v>13046.890829791972</v>
      </c>
    </row>
    <row r="82" spans="1:20">
      <c r="A82">
        <v>18</v>
      </c>
      <c r="B82">
        <v>96.050910813667571</v>
      </c>
      <c r="C82">
        <v>30.784439490281329</v>
      </c>
      <c r="D82">
        <v>103.3525750857235</v>
      </c>
      <c r="E82">
        <v>167.19361712113502</v>
      </c>
      <c r="F82">
        <v>68.99890171353627</v>
      </c>
      <c r="G82">
        <v>463.71735746881859</v>
      </c>
      <c r="H82">
        <v>156.72803220459696</v>
      </c>
      <c r="I82">
        <v>99.783341203817599</v>
      </c>
      <c r="J82">
        <v>3.4723660679203654</v>
      </c>
      <c r="K82">
        <v>5.5411991082506402</v>
      </c>
      <c r="L82">
        <v>5.1676287542861754</v>
      </c>
      <c r="M82">
        <v>12.910045403020812</v>
      </c>
      <c r="N82">
        <v>12.419802308436529</v>
      </c>
      <c r="O82">
        <v>83.469124344387353</v>
      </c>
      <c r="P82">
        <v>98.781590059122536</v>
      </c>
      <c r="Q82">
        <f t="shared" si="0"/>
        <v>17.961001416687168</v>
      </c>
      <c r="S82">
        <v>18.5</v>
      </c>
      <c r="T82">
        <v>13409.304463952858</v>
      </c>
    </row>
    <row r="83" spans="1:20">
      <c r="A83">
        <v>18.5</v>
      </c>
      <c r="B83">
        <v>94.568273273785977</v>
      </c>
      <c r="C83">
        <v>30.282206915614463</v>
      </c>
      <c r="D83">
        <v>101.38797770437971</v>
      </c>
      <c r="E83">
        <v>167.38183648119588</v>
      </c>
      <c r="F83">
        <v>67.350403770187953</v>
      </c>
      <c r="G83">
        <v>459.45951045186268</v>
      </c>
      <c r="H83">
        <v>155.01456290530689</v>
      </c>
      <c r="I83">
        <v>97.632610685802419</v>
      </c>
      <c r="J83">
        <v>3.4187667814492877</v>
      </c>
      <c r="K83">
        <v>5.4507972448106035</v>
      </c>
      <c r="L83">
        <v>5.0693988852189857</v>
      </c>
      <c r="M83">
        <v>12.924620322387055</v>
      </c>
      <c r="N83">
        <v>12.123072678633831</v>
      </c>
      <c r="O83">
        <v>82.702711881335276</v>
      </c>
      <c r="P83">
        <v>98.473165585250314</v>
      </c>
      <c r="Q83">
        <f t="shared" si="0"/>
        <v>17.573869923444434</v>
      </c>
      <c r="S83">
        <v>19</v>
      </c>
      <c r="T83">
        <v>13771.718098113744</v>
      </c>
    </row>
    <row r="84" spans="1:20">
      <c r="A84">
        <v>19</v>
      </c>
      <c r="B84">
        <v>93.118966449154939</v>
      </c>
      <c r="C84">
        <v>29.806407652388984</v>
      </c>
      <c r="D84">
        <v>99.521802070347462</v>
      </c>
      <c r="E84">
        <v>167.66059083177322</v>
      </c>
      <c r="F84">
        <v>65.788668876489552</v>
      </c>
      <c r="G84">
        <v>455.38152577047612</v>
      </c>
      <c r="H84">
        <v>153.39127620071633</v>
      </c>
      <c r="I84">
        <v>95.595076528878536</v>
      </c>
      <c r="J84">
        <v>3.3663724439336651</v>
      </c>
      <c r="K84">
        <v>5.3651533774300173</v>
      </c>
      <c r="L84">
        <v>4.9760901035173735</v>
      </c>
      <c r="M84">
        <v>12.946183962234517</v>
      </c>
      <c r="N84">
        <v>11.841960397768121</v>
      </c>
      <c r="O84">
        <v>81.968674638685698</v>
      </c>
      <c r="P84">
        <v>98.180973978424021</v>
      </c>
      <c r="Q84">
        <f t="shared" si="0"/>
        <v>17.207113775198138</v>
      </c>
      <c r="S84">
        <v>19.5</v>
      </c>
      <c r="T84">
        <v>14134.131732274633</v>
      </c>
    </row>
    <row r="85" spans="1:20">
      <c r="A85">
        <v>19.5</v>
      </c>
      <c r="B85">
        <v>91.701767914206798</v>
      </c>
      <c r="C85">
        <v>29.355008367603599</v>
      </c>
      <c r="D85">
        <v>97.746477369500511</v>
      </c>
      <c r="E85">
        <v>168.02291236971797</v>
      </c>
      <c r="F85">
        <v>122.09907726622001</v>
      </c>
      <c r="G85">
        <v>451.46909068697875</v>
      </c>
      <c r="H85">
        <v>151.85123496815601</v>
      </c>
      <c r="I85">
        <v>151.45408563382361</v>
      </c>
      <c r="J85">
        <v>3.3151388630902008</v>
      </c>
      <c r="K85">
        <v>5.2839015061686485</v>
      </c>
      <c r="L85">
        <v>4.8873238684750246</v>
      </c>
      <c r="M85">
        <v>12.974198511514908</v>
      </c>
      <c r="N85">
        <v>21.977833907919603</v>
      </c>
      <c r="O85">
        <v>81.264436323656142</v>
      </c>
      <c r="P85">
        <v>97.903766556563156</v>
      </c>
      <c r="Q85">
        <f t="shared" si="0"/>
        <v>27.26173541408825</v>
      </c>
      <c r="S85">
        <v>20</v>
      </c>
      <c r="T85">
        <v>14496.545366435521</v>
      </c>
    </row>
    <row r="86" spans="1:20">
      <c r="A86">
        <v>20</v>
      </c>
      <c r="B86">
        <v>90.315567425619335</v>
      </c>
      <c r="C86">
        <v>28.926179061688977</v>
      </c>
      <c r="D86">
        <v>96.055189869125286</v>
      </c>
      <c r="E86">
        <v>168.4625300721961</v>
      </c>
      <c r="F86">
        <v>119.17693263094796</v>
      </c>
      <c r="G86">
        <v>447.7093237374591</v>
      </c>
      <c r="H86">
        <v>150.38819579722372</v>
      </c>
      <c r="I86">
        <v>148.10311169263693</v>
      </c>
      <c r="J86">
        <v>3.265025902170513</v>
      </c>
      <c r="K86">
        <v>5.2067122311040164</v>
      </c>
      <c r="L86">
        <v>4.8027594934562634</v>
      </c>
      <c r="M86">
        <v>13.008179934555374</v>
      </c>
      <c r="N86">
        <v>21.451847873570632</v>
      </c>
      <c r="O86">
        <v>80.587678272742636</v>
      </c>
      <c r="P86">
        <v>97.64041950579535</v>
      </c>
      <c r="Q86">
        <f t="shared" si="0"/>
        <v>26.658560104674649</v>
      </c>
      <c r="S86">
        <v>20.5</v>
      </c>
      <c r="T86">
        <v>14858.959000596409</v>
      </c>
    </row>
    <row r="87" spans="1:20">
      <c r="A87">
        <v>20.5</v>
      </c>
      <c r="B87">
        <v>88.95935409858086</v>
      </c>
      <c r="C87">
        <v>28.518268271732044</v>
      </c>
      <c r="D87">
        <v>94.441790590919297</v>
      </c>
      <c r="E87">
        <v>168.97378472347918</v>
      </c>
      <c r="F87">
        <v>116.39733163642089</v>
      </c>
      <c r="G87">
        <v>444.09060018619147</v>
      </c>
      <c r="H87">
        <v>148.99652439072716</v>
      </c>
      <c r="I87">
        <v>144.91559990815293</v>
      </c>
      <c r="J87">
        <v>3.2159970163663441</v>
      </c>
      <c r="K87">
        <v>5.1332882889117668</v>
      </c>
      <c r="L87">
        <v>4.7220895295459648</v>
      </c>
      <c r="M87">
        <v>13.047691413767476</v>
      </c>
      <c r="N87">
        <v>20.95151969455576</v>
      </c>
      <c r="O87">
        <v>79.936308033514464</v>
      </c>
      <c r="P87">
        <v>97.389918652625965</v>
      </c>
      <c r="Q87">
        <f t="shared" si="0"/>
        <v>26.084807983467527</v>
      </c>
      <c r="S87">
        <v>21</v>
      </c>
      <c r="T87">
        <v>15221.372634757297</v>
      </c>
    </row>
    <row r="88" spans="1:20">
      <c r="A88">
        <v>21</v>
      </c>
      <c r="B88">
        <v>87.632205323425183</v>
      </c>
      <c r="C88">
        <v>28.129781817099008</v>
      </c>
      <c r="D88">
        <v>92.900716173561193</v>
      </c>
      <c r="E88">
        <v>169.55155608076535</v>
      </c>
      <c r="F88">
        <v>113.75009259401409</v>
      </c>
      <c r="G88">
        <v>440.60240241513901</v>
      </c>
      <c r="H88">
        <v>147.67112305120659</v>
      </c>
      <c r="I88">
        <v>141.87987441111309</v>
      </c>
      <c r="J88">
        <v>3.1680188521314143</v>
      </c>
      <c r="K88">
        <v>5.0633607270778214</v>
      </c>
      <c r="L88">
        <v>4.6450358086780588</v>
      </c>
      <c r="M88">
        <v>13.092337729016991</v>
      </c>
      <c r="N88">
        <v>20.475016666922539</v>
      </c>
      <c r="O88">
        <v>79.308432434725006</v>
      </c>
      <c r="P88">
        <v>97.151346411512264</v>
      </c>
      <c r="Q88">
        <f t="shared" si="0"/>
        <v>25.53837739400036</v>
      </c>
      <c r="S88">
        <v>21.5</v>
      </c>
      <c r="T88">
        <v>15583.786268918186</v>
      </c>
    </row>
    <row r="89" spans="1:20">
      <c r="A89">
        <v>21.5</v>
      </c>
      <c r="B89">
        <v>86.333277151002662</v>
      </c>
      <c r="C89">
        <v>27.759364510787265</v>
      </c>
      <c r="D89">
        <v>91.426920777713107</v>
      </c>
      <c r="E89">
        <v>170.19120020290879</v>
      </c>
      <c r="F89">
        <v>111.22598094892862</v>
      </c>
      <c r="G89">
        <v>437.2351911893378</v>
      </c>
      <c r="H89">
        <v>146.42614872175835</v>
      </c>
      <c r="I89">
        <v>138.98534545971589</v>
      </c>
      <c r="J89">
        <v>3.1210608996000166</v>
      </c>
      <c r="K89">
        <v>4.9966856119417074</v>
      </c>
      <c r="L89">
        <v>4.5713460388856548</v>
      </c>
      <c r="M89">
        <v>13.141760421189966</v>
      </c>
      <c r="N89">
        <v>20.020676570807154</v>
      </c>
      <c r="O89">
        <v>78.702334414080838</v>
      </c>
      <c r="P89">
        <v>96.927251032211586</v>
      </c>
      <c r="Q89">
        <f t="shared" si="0"/>
        <v>25.017362182748862</v>
      </c>
      <c r="S89">
        <v>22</v>
      </c>
      <c r="T89">
        <v>15946.199903079072</v>
      </c>
    </row>
    <row r="90" spans="1:20">
      <c r="A90">
        <v>22</v>
      </c>
      <c r="B90">
        <v>85.061795922821517</v>
      </c>
      <c r="C90">
        <v>35.007748441415117</v>
      </c>
      <c r="D90">
        <v>90.015817276704098</v>
      </c>
      <c r="E90">
        <v>170.88849532523139</v>
      </c>
      <c r="F90">
        <v>108.81660165134697</v>
      </c>
      <c r="G90">
        <v>433.98029447700242</v>
      </c>
      <c r="H90">
        <v>145.21941052651076</v>
      </c>
      <c r="I90">
        <v>143.82435009276207</v>
      </c>
      <c r="J90">
        <v>3.0750951900056656</v>
      </c>
      <c r="K90">
        <v>6.3013947194547226</v>
      </c>
      <c r="L90">
        <v>4.5007908638352054</v>
      </c>
      <c r="M90">
        <v>13.195633615208635</v>
      </c>
      <c r="N90">
        <v>19.58698829724246</v>
      </c>
      <c r="O90">
        <v>78.11645300586045</v>
      </c>
      <c r="P90">
        <v>96.710038157067018</v>
      </c>
      <c r="Q90">
        <f t="shared" si="0"/>
        <v>25.888383016697183</v>
      </c>
      <c r="S90">
        <v>22.5</v>
      </c>
      <c r="T90">
        <v>16308.613537239962</v>
      </c>
    </row>
    <row r="91" spans="1:20">
      <c r="A91">
        <v>22.5</v>
      </c>
      <c r="B91">
        <v>83.817050960412232</v>
      </c>
      <c r="C91">
        <v>34.500950442490165</v>
      </c>
      <c r="D91">
        <v>88.663226288456357</v>
      </c>
      <c r="E91">
        <v>171.6395949510266</v>
      </c>
      <c r="F91">
        <v>106.51430587810231</v>
      </c>
      <c r="G91">
        <v>430.82981109361702</v>
      </c>
      <c r="H91">
        <v>144.06630513994082</v>
      </c>
      <c r="I91">
        <v>141.01525632059247</v>
      </c>
      <c r="J91">
        <v>3.0300960313920666</v>
      </c>
      <c r="K91">
        <v>6.2101710796482292</v>
      </c>
      <c r="L91">
        <v>4.4331613144228177</v>
      </c>
      <c r="M91">
        <v>13.253660399925778</v>
      </c>
      <c r="N91">
        <v>19.172575058058417</v>
      </c>
      <c r="O91">
        <v>77.549365996851066</v>
      </c>
      <c r="P91">
        <v>96.502479187484425</v>
      </c>
      <c r="Q91">
        <f t="shared" si="0"/>
        <v>25.382746137706647</v>
      </c>
      <c r="S91">
        <v>23</v>
      </c>
      <c r="T91">
        <v>16671.027171400849</v>
      </c>
    </row>
    <row r="92" spans="1:20">
      <c r="A92">
        <v>23</v>
      </c>
      <c r="B92">
        <v>82.598388159499137</v>
      </c>
      <c r="C92">
        <v>34.016187147451511</v>
      </c>
      <c r="D92">
        <v>87.365331855420479</v>
      </c>
      <c r="E92">
        <v>172.44098706156211</v>
      </c>
      <c r="F92">
        <v>104.31210992108569</v>
      </c>
      <c r="G92">
        <v>427.77652691418922</v>
      </c>
      <c r="H92">
        <v>142.96333477017831</v>
      </c>
      <c r="I92">
        <v>138.32829706853721</v>
      </c>
      <c r="J92">
        <v>2.9860397770340374</v>
      </c>
      <c r="K92">
        <v>6.1229136865412723</v>
      </c>
      <c r="L92">
        <v>4.3682665927710236</v>
      </c>
      <c r="M92">
        <v>13.315569680163046</v>
      </c>
      <c r="N92">
        <v>18.776179785795421</v>
      </c>
      <c r="O92">
        <v>76.999774844554068</v>
      </c>
      <c r="P92">
        <v>96.303944520927175</v>
      </c>
      <c r="Q92">
        <f t="shared" si="0"/>
        <v>24.899093472336695</v>
      </c>
      <c r="S92">
        <v>23.5</v>
      </c>
      <c r="T92">
        <v>17033.440805561739</v>
      </c>
    </row>
    <row r="93" spans="1:20">
      <c r="A93">
        <v>23.5</v>
      </c>
      <c r="B93">
        <v>81.405204359911139</v>
      </c>
      <c r="C93">
        <v>33.552052085321002</v>
      </c>
      <c r="D93">
        <v>86.118642782391689</v>
      </c>
      <c r="E93">
        <v>173.28945853331709</v>
      </c>
      <c r="F93">
        <v>102.20362443032506</v>
      </c>
      <c r="G93">
        <v>424.81384178181099</v>
      </c>
      <c r="H93">
        <v>141.90729930976735</v>
      </c>
      <c r="I93">
        <v>135.75567651564606</v>
      </c>
      <c r="J93">
        <v>2.9429046219024104</v>
      </c>
      <c r="K93">
        <v>6.0393693753577802</v>
      </c>
      <c r="L93">
        <v>4.3059321391195855</v>
      </c>
      <c r="M93">
        <v>13.381113430580321</v>
      </c>
      <c r="N93">
        <v>18.39665239745851</v>
      </c>
      <c r="O93">
        <v>76.466491520725981</v>
      </c>
      <c r="P93">
        <v>96.113858138053203</v>
      </c>
      <c r="Q93">
        <f t="shared" si="0"/>
        <v>24.436021772816289</v>
      </c>
      <c r="S93">
        <v>24</v>
      </c>
      <c r="T93">
        <v>17395.854439722625</v>
      </c>
    </row>
    <row r="94" spans="1:20">
      <c r="A94">
        <v>24</v>
      </c>
      <c r="B94">
        <v>80.23694238290831</v>
      </c>
      <c r="C94">
        <v>33.107255991077572</v>
      </c>
      <c r="D94">
        <v>84.91995880709905</v>
      </c>
      <c r="E94">
        <v>174.18206400306391</v>
      </c>
      <c r="F94">
        <v>100.20109420951053</v>
      </c>
      <c r="G94">
        <v>421.93570555265018</v>
      </c>
      <c r="H94">
        <v>189.52109674151728</v>
      </c>
      <c r="I94">
        <v>133.30835020058811</v>
      </c>
      <c r="J94">
        <v>2.9006704232569041</v>
      </c>
      <c r="K94">
        <v>5.9593060783939631</v>
      </c>
      <c r="L94">
        <v>4.245997940354953</v>
      </c>
      <c r="M94">
        <v>13.450064292780883</v>
      </c>
      <c r="N94">
        <v>18.036196957711894</v>
      </c>
      <c r="O94">
        <v>75.948426999477036</v>
      </c>
      <c r="P94">
        <v>104.6843416757682</v>
      </c>
      <c r="Q94">
        <f t="shared" si="0"/>
        <v>23.995503036105859</v>
      </c>
      <c r="S94">
        <v>24.5</v>
      </c>
      <c r="T94">
        <v>17758.268073883512</v>
      </c>
    </row>
    <row r="95" spans="1:20">
      <c r="A95">
        <v>24.5</v>
      </c>
      <c r="B95">
        <v>79.093086644648935</v>
      </c>
      <c r="C95">
        <v>32.680614845861406</v>
      </c>
      <c r="D95">
        <v>83.766340913171135</v>
      </c>
      <c r="E95">
        <v>175.11609854538969</v>
      </c>
      <c r="F95">
        <v>98.262567630853937</v>
      </c>
      <c r="G95">
        <v>419.13656197216659</v>
      </c>
      <c r="H95">
        <v>187.50595375012432</v>
      </c>
      <c r="I95">
        <v>130.94318247671535</v>
      </c>
      <c r="J95">
        <v>2.8593185420672191</v>
      </c>
      <c r="K95">
        <v>5.8825106722550524</v>
      </c>
      <c r="L95">
        <v>4.1883170456585574</v>
      </c>
      <c r="M95">
        <v>13.522213466623068</v>
      </c>
      <c r="N95">
        <v>17.687262173553709</v>
      </c>
      <c r="O95">
        <v>75.444581154989962</v>
      </c>
      <c r="P95">
        <v>104.32161593731745</v>
      </c>
      <c r="Q95">
        <f t="shared" si="0"/>
        <v>23.56977284580876</v>
      </c>
      <c r="S95">
        <v>25</v>
      </c>
      <c r="T95">
        <v>18120.681708044402</v>
      </c>
    </row>
    <row r="96" spans="1:20">
      <c r="A96">
        <v>25</v>
      </c>
      <c r="B96">
        <v>77.973159268599147</v>
      </c>
      <c r="C96">
        <v>32.271039352354258</v>
      </c>
      <c r="D96">
        <v>82.655085205546328</v>
      </c>
      <c r="E96">
        <v>176.08907362891429</v>
      </c>
      <c r="F96">
        <v>96.401582115343587</v>
      </c>
      <c r="G96">
        <v>416.41129928618346</v>
      </c>
      <c r="H96">
        <v>185.57141647838705</v>
      </c>
      <c r="I96">
        <v>128.67262146769784</v>
      </c>
      <c r="J96">
        <v>2.818831702471555</v>
      </c>
      <c r="K96">
        <v>5.8087870834237654</v>
      </c>
      <c r="L96">
        <v>4.1327542602773164</v>
      </c>
      <c r="M96">
        <v>13.597368854552883</v>
      </c>
      <c r="N96">
        <v>17.352284780761845</v>
      </c>
      <c r="O96">
        <v>74.954033871513019</v>
      </c>
      <c r="P96">
        <v>103.97339922840474</v>
      </c>
      <c r="Q96">
        <f t="shared" si="0"/>
        <v>23.161071864185612</v>
      </c>
      <c r="S96">
        <v>25.5</v>
      </c>
      <c r="T96">
        <v>18483.095342205292</v>
      </c>
    </row>
    <row r="97" spans="1:20">
      <c r="A97">
        <v>25.5</v>
      </c>
      <c r="B97">
        <v>76.87671663135589</v>
      </c>
      <c r="C97">
        <v>31.877525648350602</v>
      </c>
      <c r="D97">
        <v>81.583699859363932</v>
      </c>
      <c r="E97">
        <v>177.09869590118959</v>
      </c>
      <c r="F97">
        <v>94.613576423970883</v>
      </c>
      <c r="G97">
        <v>413.75520666242033</v>
      </c>
      <c r="H97">
        <v>183.71274341338454</v>
      </c>
      <c r="I97">
        <v>126.49110207232148</v>
      </c>
      <c r="J97">
        <v>2.7791938669035994</v>
      </c>
      <c r="K97">
        <v>5.7379546167031084</v>
      </c>
      <c r="L97">
        <v>4.0791849929681963</v>
      </c>
      <c r="M97">
        <v>13.675353424232286</v>
      </c>
      <c r="N97">
        <v>17.03044375631476</v>
      </c>
      <c r="O97">
        <v>74.475937199235645</v>
      </c>
      <c r="P97">
        <v>103.6388380767043</v>
      </c>
      <c r="Q97">
        <f t="shared" si="0"/>
        <v>22.768398373017867</v>
      </c>
      <c r="S97">
        <v>26</v>
      </c>
      <c r="T97">
        <v>18845.508976366178</v>
      </c>
    </row>
    <row r="98" spans="1:20">
      <c r="A98">
        <v>26</v>
      </c>
      <c r="B98">
        <v>75.803346286066983</v>
      </c>
      <c r="C98">
        <v>31.499147091840289</v>
      </c>
      <c r="D98">
        <v>80.549884728598641</v>
      </c>
      <c r="E98">
        <v>178.14284842149408</v>
      </c>
      <c r="F98">
        <v>92.894340182266404</v>
      </c>
      <c r="G98">
        <v>411.16393564031085</v>
      </c>
      <c r="H98">
        <v>181.92555777395916</v>
      </c>
      <c r="I98">
        <v>124.39348727410669</v>
      </c>
      <c r="J98">
        <v>2.7403901248701308</v>
      </c>
      <c r="K98">
        <v>5.6698464765312515</v>
      </c>
      <c r="L98">
        <v>4.0274942364299324</v>
      </c>
      <c r="M98">
        <v>13.7560037600794</v>
      </c>
      <c r="N98">
        <v>16.720981232807954</v>
      </c>
      <c r="O98">
        <v>74.009508415255951</v>
      </c>
      <c r="P98">
        <v>103.31714466160773</v>
      </c>
      <c r="Q98">
        <f t="shared" si="0"/>
        <v>22.390827709339206</v>
      </c>
      <c r="S98">
        <v>26.5</v>
      </c>
      <c r="T98">
        <v>19207.922610527065</v>
      </c>
    </row>
    <row r="99" spans="1:20">
      <c r="A99">
        <v>26.5</v>
      </c>
      <c r="B99">
        <v>74.752664215748453</v>
      </c>
      <c r="C99">
        <v>31.13504697608197</v>
      </c>
      <c r="D99">
        <v>79.551513263151648</v>
      </c>
      <c r="E99">
        <v>179.21957401821754</v>
      </c>
      <c r="F99">
        <v>91.239980779871559</v>
      </c>
      <c r="G99">
        <v>408.63346594499126</v>
      </c>
      <c r="H99">
        <v>180.20581310205921</v>
      </c>
      <c r="I99">
        <v>122.37502775595352</v>
      </c>
      <c r="J99">
        <v>2.7024065936548576</v>
      </c>
      <c r="K99">
        <v>5.6043084556947553</v>
      </c>
      <c r="L99">
        <v>3.977575663157582</v>
      </c>
      <c r="M99">
        <v>13.839168778772182</v>
      </c>
      <c r="N99">
        <v>16.423196540376878</v>
      </c>
      <c r="O99">
        <v>73.554023870098419</v>
      </c>
      <c r="P99">
        <v>103.00759062066574</v>
      </c>
      <c r="Q99">
        <f t="shared" si="0"/>
        <v>22.027504996071634</v>
      </c>
      <c r="S99">
        <v>27</v>
      </c>
      <c r="T99">
        <v>19570.336244687958</v>
      </c>
    </row>
    <row r="100" spans="1:20">
      <c r="A100">
        <v>27</v>
      </c>
      <c r="B100">
        <v>73.724312375604583</v>
      </c>
      <c r="C100">
        <v>30.784432054113253</v>
      </c>
      <c r="D100">
        <v>78.586616435153587</v>
      </c>
      <c r="E100">
        <v>180.32706049542418</v>
      </c>
      <c r="F100">
        <v>89.646893947935695</v>
      </c>
      <c r="G100">
        <v>406.16007509973599</v>
      </c>
      <c r="H100">
        <v>178.54976267726664</v>
      </c>
      <c r="I100">
        <v>120.43132600204895</v>
      </c>
      <c r="J100">
        <v>2.665230329470063</v>
      </c>
      <c r="K100">
        <v>5.5411977697403856</v>
      </c>
      <c r="L100">
        <v>3.929330821757679</v>
      </c>
      <c r="M100">
        <v>13.924708587462611</v>
      </c>
      <c r="N100">
        <v>16.136440910628423</v>
      </c>
      <c r="O100">
        <v>73.108813517952498</v>
      </c>
      <c r="P100">
        <v>102.70950154420308</v>
      </c>
      <c r="Q100">
        <f t="shared" si="0"/>
        <v>21.677638680368808</v>
      </c>
      <c r="S100">
        <v>27.5</v>
      </c>
      <c r="T100">
        <v>19932.749878848837</v>
      </c>
    </row>
    <row r="101" spans="1:20">
      <c r="A101">
        <v>27.5</v>
      </c>
      <c r="B101">
        <v>72.717956489183877</v>
      </c>
      <c r="C101">
        <v>30.446566769678075</v>
      </c>
      <c r="D101">
        <v>77.653368418762071</v>
      </c>
      <c r="E101">
        <v>181.46362745324663</v>
      </c>
      <c r="F101">
        <v>88.11173754625213</v>
      </c>
      <c r="G101">
        <v>403.74031135339999</v>
      </c>
      <c r="H101">
        <v>176.95393226792112</v>
      </c>
      <c r="I101">
        <v>118.5583043159302</v>
      </c>
      <c r="J101">
        <v>2.6288492477847658</v>
      </c>
      <c r="K101">
        <v>5.4803820185420538</v>
      </c>
      <c r="L101">
        <v>3.8826684209381033</v>
      </c>
      <c r="M101">
        <v>14.012493466539702</v>
      </c>
      <c r="N101">
        <v>15.86011275832538</v>
      </c>
      <c r="O101">
        <v>72.673256043612</v>
      </c>
      <c r="P101">
        <v>102.42225207052088</v>
      </c>
      <c r="Q101">
        <f t="shared" si="0"/>
        <v>21.340494776867434</v>
      </c>
      <c r="S101">
        <v>28</v>
      </c>
      <c r="T101">
        <v>20295.163513009731</v>
      </c>
    </row>
    <row r="102" spans="1:20">
      <c r="A102">
        <v>28</v>
      </c>
      <c r="B102">
        <v>71.733284068041257</v>
      </c>
      <c r="C102">
        <v>30.120768106269125</v>
      </c>
      <c r="D102">
        <v>76.750073804266222</v>
      </c>
      <c r="E102">
        <v>182.62771452037947</v>
      </c>
      <c r="F102">
        <v>86.631408158914326</v>
      </c>
      <c r="G102">
        <v>401.37096950849087</v>
      </c>
      <c r="H102">
        <v>175.41509580176648</v>
      </c>
      <c r="I102">
        <v>116.75217626518345</v>
      </c>
      <c r="J102">
        <v>2.5932520517329185</v>
      </c>
      <c r="K102">
        <v>5.4217382591284418</v>
      </c>
      <c r="L102">
        <v>3.8375036902133104</v>
      </c>
      <c r="M102">
        <v>14.102402961373885</v>
      </c>
      <c r="N102">
        <v>15.593653468604579</v>
      </c>
      <c r="O102">
        <v>72.246774511528358</v>
      </c>
      <c r="P102">
        <v>102.14526150661304</v>
      </c>
      <c r="Q102">
        <f t="shared" si="0"/>
        <v>21.015391727733022</v>
      </c>
      <c r="S102">
        <v>28.5</v>
      </c>
      <c r="T102">
        <v>20657.577147170618</v>
      </c>
    </row>
    <row r="103" spans="1:20">
      <c r="A103">
        <v>28.5</v>
      </c>
      <c r="B103">
        <v>70.770002628673822</v>
      </c>
      <c r="C103">
        <v>29.806400978376629</v>
      </c>
      <c r="D103">
        <v>75.875156158075242</v>
      </c>
      <c r="E103">
        <v>183.81787082525764</v>
      </c>
      <c r="F103">
        <v>85.203020153588426</v>
      </c>
      <c r="G103">
        <v>399.04906929365615</v>
      </c>
      <c r="H103">
        <v>173.93025359758218</v>
      </c>
      <c r="I103">
        <v>115.00942113196506</v>
      </c>
      <c r="J103">
        <v>2.5584281676533003</v>
      </c>
      <c r="K103">
        <v>5.3651521761077943</v>
      </c>
      <c r="L103">
        <v>3.7937578079037619</v>
      </c>
      <c r="M103">
        <v>14.194325069660081</v>
      </c>
      <c r="N103">
        <v>15.336543627645915</v>
      </c>
      <c r="O103">
        <v>71.82883247285811</v>
      </c>
      <c r="P103">
        <v>101.87798990985986</v>
      </c>
      <c r="Q103">
        <f t="shared" si="0"/>
        <v>20.701695803753708</v>
      </c>
      <c r="S103">
        <v>29</v>
      </c>
      <c r="T103">
        <v>21019.990781331504</v>
      </c>
    </row>
    <row r="104" spans="1:20">
      <c r="A104">
        <v>29</v>
      </c>
      <c r="B104">
        <v>69.82783808398041</v>
      </c>
      <c r="C104">
        <v>29.502874099504552</v>
      </c>
      <c r="D104">
        <v>75.027147766156403</v>
      </c>
      <c r="E104">
        <v>185.03274555642446</v>
      </c>
      <c r="F104">
        <v>139.51367962110584</v>
      </c>
      <c r="G104">
        <v>396.77183597349887</v>
      </c>
      <c r="H104">
        <v>172.49661284871456</v>
      </c>
      <c r="I104">
        <v>169.01655372061037</v>
      </c>
      <c r="J104">
        <v>2.5243676869386755</v>
      </c>
      <c r="K104">
        <v>5.3105173379108193</v>
      </c>
      <c r="L104">
        <v>3.7513573883078202</v>
      </c>
      <c r="M104">
        <v>14.288155512822609</v>
      </c>
      <c r="N104">
        <v>25.112462331799051</v>
      </c>
      <c r="O104">
        <v>71.4189304752298</v>
      </c>
      <c r="P104">
        <v>101.6199345750637</v>
      </c>
      <c r="Q104">
        <f t="shared" si="0"/>
        <v>30.422979669709871</v>
      </c>
      <c r="S104">
        <v>29.5</v>
      </c>
      <c r="T104">
        <v>21382.404415492394</v>
      </c>
    </row>
    <row r="105" spans="1:20">
      <c r="A105">
        <v>29.5</v>
      </c>
      <c r="B105">
        <v>68.906533289462274</v>
      </c>
      <c r="C105">
        <v>29.209636270388632</v>
      </c>
      <c r="D105">
        <v>74.204680420512972</v>
      </c>
      <c r="E105">
        <v>186.27107948286076</v>
      </c>
      <c r="F105">
        <v>137.22180621669619</v>
      </c>
      <c r="G105">
        <v>394.5366829302763</v>
      </c>
      <c r="H105">
        <v>171.11157009133404</v>
      </c>
      <c r="I105">
        <v>166.43144248708484</v>
      </c>
      <c r="J105">
        <v>2.4910613134790509</v>
      </c>
      <c r="K105">
        <v>5.2577345286699542</v>
      </c>
      <c r="L105">
        <v>3.710234021025649</v>
      </c>
      <c r="M105">
        <v>14.383797081509094</v>
      </c>
      <c r="N105">
        <v>24.699925119005314</v>
      </c>
      <c r="O105">
        <v>71.016602927449739</v>
      </c>
      <c r="P105">
        <v>101.37062687873521</v>
      </c>
      <c r="Q105">
        <f t="shared" si="0"/>
        <v>29.957659647675268</v>
      </c>
      <c r="S105">
        <v>30</v>
      </c>
      <c r="T105">
        <v>21744.818049653284</v>
      </c>
    </row>
    <row r="106" spans="1:20">
      <c r="A106">
        <v>30</v>
      </c>
      <c r="B106">
        <v>68.005846726921988</v>
      </c>
      <c r="C106">
        <v>28.926173038392829</v>
      </c>
      <c r="D106">
        <v>73.406477127014753</v>
      </c>
      <c r="E106">
        <v>187.53169732228204</v>
      </c>
      <c r="F106">
        <v>134.99201809656373</v>
      </c>
      <c r="G106">
        <v>392.34119598742791</v>
      </c>
      <c r="H106">
        <v>169.77269542586612</v>
      </c>
      <c r="I106">
        <v>163.91819113495654</v>
      </c>
      <c r="J106">
        <v>2.4585003160756647</v>
      </c>
      <c r="K106">
        <v>5.2067111469107097</v>
      </c>
      <c r="L106">
        <v>3.6703238563507372</v>
      </c>
      <c r="M106">
        <v>14.481159046530378</v>
      </c>
      <c r="N106">
        <v>24.29856325738147</v>
      </c>
      <c r="O106">
        <v>70.621415277737015</v>
      </c>
      <c r="P106">
        <v>101.12962943895099</v>
      </c>
      <c r="Q106">
        <f t="shared" si="0"/>
        <v>29.50527440429218</v>
      </c>
      <c r="S106">
        <v>30.5</v>
      </c>
      <c r="T106">
        <v>22107.231683814171</v>
      </c>
    </row>
    <row r="107" spans="1:20">
      <c r="A107">
        <v>30.5</v>
      </c>
      <c r="B107">
        <v>67.125551310590637</v>
      </c>
      <c r="C107">
        <v>28.652003685489802</v>
      </c>
      <c r="D107">
        <v>72.631344628851508</v>
      </c>
      <c r="E107">
        <v>188.81350086009445</v>
      </c>
      <c r="F107">
        <v>132.84941368122557</v>
      </c>
      <c r="G107">
        <v>390.18311927505334</v>
      </c>
      <c r="H107">
        <v>168.47771829041363</v>
      </c>
      <c r="I107">
        <v>161.50141736671537</v>
      </c>
      <c r="J107">
        <v>2.4266764852809235</v>
      </c>
      <c r="K107">
        <v>5.1573606633881637</v>
      </c>
      <c r="L107">
        <v>3.6315672314425753</v>
      </c>
      <c r="M107">
        <v>14.580156627736693</v>
      </c>
      <c r="N107">
        <v>23.912894462620599</v>
      </c>
      <c r="O107">
        <v>70.232961469509604</v>
      </c>
      <c r="P107">
        <v>100.89653355456953</v>
      </c>
      <c r="Q107">
        <f t="shared" si="0"/>
        <v>29.070255126008764</v>
      </c>
      <c r="S107">
        <v>31</v>
      </c>
      <c r="T107">
        <v>22469.645317975061</v>
      </c>
    </row>
    <row r="108" spans="1:20">
      <c r="A108">
        <v>31</v>
      </c>
      <c r="B108">
        <v>66.265433302485306</v>
      </c>
      <c r="C108">
        <v>28.386678507727034</v>
      </c>
      <c r="D108">
        <v>71.878166653523351</v>
      </c>
      <c r="E108">
        <v>190.1154627342589</v>
      </c>
      <c r="F108">
        <v>131.30201197261357</v>
      </c>
      <c r="G108">
        <v>388.06034246324595</v>
      </c>
      <c r="H108">
        <v>167.78584523838731</v>
      </c>
      <c r="I108">
        <v>159.6886904803406</v>
      </c>
      <c r="J108">
        <v>2.3955820941871631</v>
      </c>
      <c r="K108">
        <v>5.1096021313908659</v>
      </c>
      <c r="L108">
        <v>3.5939083326761674</v>
      </c>
      <c r="M108">
        <v>14.680710514289434</v>
      </c>
      <c r="N108">
        <v>23.634362155070441</v>
      </c>
      <c r="O108">
        <v>69.850861643384263</v>
      </c>
      <c r="P108">
        <v>100.77199640520479</v>
      </c>
      <c r="Q108">
        <f t="shared" si="0"/>
        <v>28.743964286461306</v>
      </c>
      <c r="S108">
        <v>31.5</v>
      </c>
      <c r="T108">
        <v>22832.058952135947</v>
      </c>
    </row>
    <row r="109" spans="1:20">
      <c r="A109">
        <v>31.5</v>
      </c>
      <c r="B109">
        <v>65.42529132540993</v>
      </c>
      <c r="C109">
        <v>28.129776353791851</v>
      </c>
      <c r="D109">
        <v>71.145897802974858</v>
      </c>
      <c r="E109">
        <v>191.43662081207179</v>
      </c>
      <c r="F109">
        <v>129.28599827084091</v>
      </c>
      <c r="G109">
        <v>385.97088921129898</v>
      </c>
      <c r="H109">
        <v>166.56351579275042</v>
      </c>
      <c r="I109">
        <v>157.41577462463275</v>
      </c>
      <c r="J109">
        <v>2.3652098627453242</v>
      </c>
      <c r="K109">
        <v>5.0633597436825317</v>
      </c>
      <c r="L109">
        <v>3.5572948901487429</v>
      </c>
      <c r="M109">
        <v>14.782746430618152</v>
      </c>
      <c r="N109">
        <v>23.271479688751363</v>
      </c>
      <c r="O109">
        <v>69.474760058033823</v>
      </c>
      <c r="P109">
        <v>100.55197710499016</v>
      </c>
      <c r="Q109">
        <f t="shared" si="0"/>
        <v>28.334839432433895</v>
      </c>
      <c r="S109">
        <v>32</v>
      </c>
      <c r="T109">
        <v>23194.472586296833</v>
      </c>
    </row>
    <row r="110" spans="1:20">
      <c r="A110">
        <v>32</v>
      </c>
      <c r="B110">
        <v>64.6049354634048</v>
      </c>
      <c r="C110">
        <v>27.880902394335656</v>
      </c>
      <c r="D110">
        <v>70.433558016529091</v>
      </c>
      <c r="E110">
        <v>192.77607309412349</v>
      </c>
      <c r="F110">
        <v>127.33298499724867</v>
      </c>
      <c r="G110">
        <v>383.91290669980049</v>
      </c>
      <c r="H110">
        <v>165.39166917046413</v>
      </c>
      <c r="I110">
        <v>155.21388739158434</v>
      </c>
      <c r="J110">
        <v>2.3355529252450422</v>
      </c>
      <c r="K110">
        <v>5.0185624309804187</v>
      </c>
      <c r="L110">
        <v>3.5216779008264534</v>
      </c>
      <c r="M110">
        <v>14.886194743066444</v>
      </c>
      <c r="N110">
        <v>22.91993729950476</v>
      </c>
      <c r="O110">
        <v>69.104323205964079</v>
      </c>
      <c r="P110">
        <v>100.34104471297863</v>
      </c>
      <c r="Q110">
        <f t="shared" si="0"/>
        <v>27.938499730485177</v>
      </c>
      <c r="S110">
        <v>32.5</v>
      </c>
      <c r="T110">
        <v>23556.886220457724</v>
      </c>
    </row>
    <row r="111" spans="1:20">
      <c r="A111">
        <v>32.5</v>
      </c>
      <c r="B111">
        <v>63.80418644065729</v>
      </c>
      <c r="C111">
        <v>27.639686097207044</v>
      </c>
      <c r="D111">
        <v>69.740227544935252</v>
      </c>
      <c r="E111">
        <v>194.13297308866075</v>
      </c>
      <c r="F111">
        <v>125.4268547512717</v>
      </c>
      <c r="G111">
        <v>381.88465612899387</v>
      </c>
      <c r="H111">
        <v>164.2437833395841</v>
      </c>
      <c r="I111">
        <v>153.06654084847875</v>
      </c>
      <c r="J111">
        <v>2.3066048006311806</v>
      </c>
      <c r="K111">
        <v>4.9751434974972675</v>
      </c>
      <c r="L111">
        <v>3.4870113772467626</v>
      </c>
      <c r="M111">
        <v>14.990990102845098</v>
      </c>
      <c r="N111">
        <v>22.576833855228905</v>
      </c>
      <c r="O111">
        <v>68.739238103218909</v>
      </c>
      <c r="P111">
        <v>100.13442526342021</v>
      </c>
      <c r="Q111">
        <f t="shared" si="0"/>
        <v>27.551977352726173</v>
      </c>
      <c r="S111">
        <v>33</v>
      </c>
      <c r="T111">
        <v>23919.299854618614</v>
      </c>
    </row>
    <row r="112" spans="1:20">
      <c r="A112">
        <v>33</v>
      </c>
      <c r="B112">
        <v>63.022874870932156</v>
      </c>
      <c r="C112">
        <v>32.473755437907784</v>
      </c>
      <c r="D112">
        <v>69.065042381321561</v>
      </c>
      <c r="E112">
        <v>195.50652560646037</v>
      </c>
      <c r="F112">
        <v>123.59149556959993</v>
      </c>
      <c r="G112">
        <v>379.88450408092689</v>
      </c>
      <c r="H112">
        <v>163.13068192782163</v>
      </c>
      <c r="I112">
        <v>156.0652510075077</v>
      </c>
      <c r="J112">
        <v>2.2783593653697691</v>
      </c>
      <c r="K112">
        <v>5.8452759788234001</v>
      </c>
      <c r="L112">
        <v>3.4532521190660779</v>
      </c>
      <c r="M112">
        <v>15.097071121441813</v>
      </c>
      <c r="N112">
        <v>22.246469202527987</v>
      </c>
      <c r="O112">
        <v>68.37921073456684</v>
      </c>
      <c r="P112">
        <v>99.934067009302964</v>
      </c>
      <c r="Q112">
        <f t="shared" si="0"/>
        <v>28.091745181351385</v>
      </c>
      <c r="S112">
        <v>33.5</v>
      </c>
      <c r="T112">
        <v>24281.713488779496</v>
      </c>
    </row>
    <row r="113" spans="1:20">
      <c r="A113">
        <v>33.5</v>
      </c>
      <c r="B113">
        <v>62.260840570492846</v>
      </c>
      <c r="C113">
        <v>32.171189585521752</v>
      </c>
      <c r="D113">
        <v>68.407190101315919</v>
      </c>
      <c r="E113">
        <v>196.89598293228278</v>
      </c>
      <c r="F113">
        <v>121.79810785973653</v>
      </c>
      <c r="G113">
        <v>377.91091465513614</v>
      </c>
      <c r="H113">
        <v>162.05080742387298</v>
      </c>
      <c r="I113">
        <v>153.96929744525829</v>
      </c>
      <c r="J113">
        <v>2.250810828609195</v>
      </c>
      <c r="K113">
        <v>5.7908141253939149</v>
      </c>
      <c r="L113">
        <v>3.4203595050657962</v>
      </c>
      <c r="M113">
        <v>15.204380075097014</v>
      </c>
      <c r="N113">
        <v>21.923659414752574</v>
      </c>
      <c r="O113">
        <v>68.023964637924493</v>
      </c>
      <c r="P113">
        <v>99.739689598592221</v>
      </c>
      <c r="Q113">
        <f t="shared" ref="Q113:Q146" si="1">K113+N113</f>
        <v>27.714473540146489</v>
      </c>
      <c r="S113">
        <v>34</v>
      </c>
      <c r="T113">
        <v>24644.12712294039</v>
      </c>
    </row>
    <row r="114" spans="1:20">
      <c r="A114">
        <v>34</v>
      </c>
      <c r="B114">
        <v>61.517931928277648</v>
      </c>
      <c r="C114">
        <v>31.877522730490885</v>
      </c>
      <c r="D114">
        <v>67.765906070215195</v>
      </c>
      <c r="E114">
        <v>198.30064133413813</v>
      </c>
      <c r="F114">
        <v>120.07009375534236</v>
      </c>
      <c r="G114">
        <v>375.96244229824464</v>
      </c>
      <c r="H114">
        <v>161.00269393474633</v>
      </c>
      <c r="I114">
        <v>151.94761648583324</v>
      </c>
      <c r="J114">
        <v>2.2239537094112611</v>
      </c>
      <c r="K114">
        <v>5.7379540914883602</v>
      </c>
      <c r="L114">
        <v>3.3882953035107604</v>
      </c>
      <c r="M114">
        <v>15.312862635353619</v>
      </c>
      <c r="N114">
        <v>21.612616875961628</v>
      </c>
      <c r="O114">
        <v>67.673239613684046</v>
      </c>
      <c r="P114">
        <v>99.551029170549413</v>
      </c>
      <c r="Q114">
        <f t="shared" si="1"/>
        <v>27.35057096744999</v>
      </c>
      <c r="S114">
        <v>34.5</v>
      </c>
      <c r="T114">
        <v>25006.540757101277</v>
      </c>
    </row>
    <row r="115" spans="1:20">
      <c r="A115">
        <v>34.5</v>
      </c>
      <c r="B115">
        <v>60.794005327792071</v>
      </c>
      <c r="C115">
        <v>31.592367959814013</v>
      </c>
      <c r="D115">
        <v>67.140469979965772</v>
      </c>
      <c r="E115">
        <v>199.71983787609318</v>
      </c>
      <c r="F115">
        <v>118.379723106841</v>
      </c>
      <c r="G115">
        <v>374.03772525707171</v>
      </c>
      <c r="H115">
        <v>159.98496054675383</v>
      </c>
      <c r="I115">
        <v>149.97209106665503</v>
      </c>
      <c r="J115">
        <v>2.197782815851828</v>
      </c>
      <c r="K115">
        <v>5.6866262327665202</v>
      </c>
      <c r="L115">
        <v>3.3570234989982888</v>
      </c>
      <c r="M115">
        <v>15.422467623035756</v>
      </c>
      <c r="N115">
        <v>21.308350159231377</v>
      </c>
      <c r="O115">
        <v>67.326790546272889</v>
      </c>
      <c r="P115">
        <v>99.367837160710764</v>
      </c>
      <c r="Q115">
        <f t="shared" si="1"/>
        <v>26.994976391997898</v>
      </c>
      <c r="S115">
        <v>35</v>
      </c>
      <c r="T115">
        <v>25368.954391262163</v>
      </c>
    </row>
    <row r="116" spans="1:20">
      <c r="A116">
        <v>35</v>
      </c>
      <c r="B116">
        <v>60.088924615783483</v>
      </c>
      <c r="C116">
        <v>31.315360469808375</v>
      </c>
      <c r="D116">
        <v>66.530202682974206</v>
      </c>
      <c r="E116">
        <v>201.15294750426884</v>
      </c>
      <c r="F116">
        <v>116.74991490189952</v>
      </c>
      <c r="G116">
        <v>372.13547959290304</v>
      </c>
      <c r="H116">
        <v>158.99630525556108</v>
      </c>
      <c r="I116">
        <v>148.06527537170788</v>
      </c>
      <c r="J116">
        <v>2.1722932258127154</v>
      </c>
      <c r="K116">
        <v>5.6367648845655074</v>
      </c>
      <c r="L116">
        <v>3.3265101341487107</v>
      </c>
      <c r="M116">
        <v>15.533146783313901</v>
      </c>
      <c r="N116">
        <v>21.014984682341915</v>
      </c>
      <c r="O116">
        <v>66.984386326722557</v>
      </c>
      <c r="P116">
        <v>99.189879208296077</v>
      </c>
      <c r="Q116">
        <f t="shared" si="1"/>
        <v>26.651749566907423</v>
      </c>
      <c r="S116">
        <v>35.5</v>
      </c>
      <c r="T116">
        <v>25731.368025423049</v>
      </c>
    </row>
    <row r="117" spans="1:20">
      <c r="A117">
        <v>35.5</v>
      </c>
      <c r="B117">
        <v>59.402560613301809</v>
      </c>
      <c r="C117">
        <v>31.046156009115144</v>
      </c>
      <c r="D117">
        <v>65.934463293483262</v>
      </c>
      <c r="E117">
        <v>202.5993803790885</v>
      </c>
      <c r="F117">
        <v>115.15392341044669</v>
      </c>
      <c r="G117">
        <v>370.25449370160072</v>
      </c>
      <c r="H117">
        <v>158.03549940919066</v>
      </c>
      <c r="I117">
        <v>146.20007941956183</v>
      </c>
      <c r="J117">
        <v>2.1474802693059014</v>
      </c>
      <c r="K117">
        <v>5.5883080816407267</v>
      </c>
      <c r="L117">
        <v>3.2967231646741624</v>
      </c>
      <c r="M117">
        <v>15.644854579777279</v>
      </c>
      <c r="N117">
        <v>20.727706213880403</v>
      </c>
      <c r="O117">
        <v>66.645808866288135</v>
      </c>
      <c r="P117">
        <v>99.0169341559494</v>
      </c>
      <c r="Q117">
        <f t="shared" si="1"/>
        <v>26.316014295521128</v>
      </c>
      <c r="S117">
        <v>36</v>
      </c>
      <c r="T117">
        <v>26093.781659583943</v>
      </c>
    </row>
    <row r="118" spans="1:20">
      <c r="A118">
        <v>36</v>
      </c>
      <c r="B118">
        <v>58.734790665216124</v>
      </c>
      <c r="C118">
        <v>30.784429451454425</v>
      </c>
      <c r="D118">
        <v>65.352646530500039</v>
      </c>
      <c r="E118">
        <v>204.05857942984122</v>
      </c>
      <c r="F118">
        <v>113.61419042920346</v>
      </c>
      <c r="G118">
        <v>368.39362329036726</v>
      </c>
      <c r="H118">
        <v>203.64455388042614</v>
      </c>
      <c r="I118">
        <v>144.39861988065789</v>
      </c>
      <c r="J118">
        <v>2.1233395121879615</v>
      </c>
      <c r="K118">
        <v>5.5411973012617963</v>
      </c>
      <c r="L118">
        <v>3.267632326525002</v>
      </c>
      <c r="M118">
        <v>15.757548005665985</v>
      </c>
      <c r="N118">
        <v>20.450554277256625</v>
      </c>
      <c r="O118">
        <v>66.310852192266111</v>
      </c>
      <c r="P118">
        <v>107.22656396077178</v>
      </c>
      <c r="Q118">
        <f t="shared" si="1"/>
        <v>25.991751578518421</v>
      </c>
      <c r="S118">
        <v>36.5</v>
      </c>
      <c r="T118">
        <v>26456.195293744826</v>
      </c>
    </row>
    <row r="119" spans="1:20">
      <c r="A119">
        <v>36.5</v>
      </c>
      <c r="B119">
        <v>58.085498224672286</v>
      </c>
      <c r="C119">
        <v>30.529873485688128</v>
      </c>
      <c r="D119">
        <v>64.784180279113443</v>
      </c>
      <c r="E119">
        <v>205.53001811023842</v>
      </c>
      <c r="F119">
        <v>112.1048798618</v>
      </c>
      <c r="G119">
        <v>366.55178676738069</v>
      </c>
      <c r="H119">
        <v>202.07632674035358</v>
      </c>
      <c r="I119">
        <v>142.63475334748813</v>
      </c>
      <c r="J119">
        <v>2.099866741137665</v>
      </c>
      <c r="K119">
        <v>5.4953772274238633</v>
      </c>
      <c r="L119">
        <v>3.2392090139556724</v>
      </c>
      <c r="M119">
        <v>15.871186410617339</v>
      </c>
      <c r="N119">
        <v>20.178878375124</v>
      </c>
      <c r="O119">
        <v>65.979321618128523</v>
      </c>
      <c r="P119">
        <v>106.94428307555873</v>
      </c>
      <c r="Q119">
        <f t="shared" si="1"/>
        <v>25.674255602547863</v>
      </c>
      <c r="S119">
        <v>37</v>
      </c>
      <c r="T119">
        <v>26818.608927905716</v>
      </c>
    </row>
    <row r="120" spans="1:20">
      <c r="A120">
        <v>37</v>
      </c>
      <c r="B120">
        <v>57.454572469341279</v>
      </c>
      <c r="C120">
        <v>30.28219741209389</v>
      </c>
      <c r="D120">
        <v>64.228523349542698</v>
      </c>
      <c r="E120">
        <v>207.01319833595323</v>
      </c>
      <c r="F120">
        <v>110.64796457665319</v>
      </c>
      <c r="G120">
        <v>364.7279610052417</v>
      </c>
      <c r="H120">
        <v>200.56096497336023</v>
      </c>
      <c r="I120">
        <v>140.93016198874707</v>
      </c>
      <c r="J120">
        <v>2.0770579497828559</v>
      </c>
      <c r="K120">
        <v>5.4507955341769003</v>
      </c>
      <c r="L120">
        <v>3.2114261674771352</v>
      </c>
      <c r="M120">
        <v>15.985731341459031</v>
      </c>
      <c r="N120">
        <v>19.916633623797573</v>
      </c>
      <c r="O120">
        <v>65.651032980943512</v>
      </c>
      <c r="P120">
        <v>106.67151795749992</v>
      </c>
      <c r="Q120">
        <f t="shared" si="1"/>
        <v>25.367429157974474</v>
      </c>
      <c r="S120">
        <v>37.5</v>
      </c>
      <c r="T120">
        <v>27181.022562066606</v>
      </c>
    </row>
    <row r="121" spans="1:20">
      <c r="A121">
        <v>37.5</v>
      </c>
      <c r="B121">
        <v>56.841907946630478</v>
      </c>
      <c r="C121">
        <v>30.041126034937271</v>
      </c>
      <c r="D121">
        <v>63.685163415462014</v>
      </c>
      <c r="E121">
        <v>208.50764858715596</v>
      </c>
      <c r="F121">
        <v>109.22990036577696</v>
      </c>
      <c r="G121">
        <v>362.9211774433457</v>
      </c>
      <c r="H121">
        <v>199.08601285348666</v>
      </c>
      <c r="I121">
        <v>139.27102640071422</v>
      </c>
      <c r="J121">
        <v>2.0549093258743678</v>
      </c>
      <c r="K121">
        <v>5.4074026862887088</v>
      </c>
      <c r="L121">
        <v>3.1842581707731004</v>
      </c>
      <c r="M121">
        <v>16.101146395738059</v>
      </c>
      <c r="N121">
        <v>19.661382065839849</v>
      </c>
      <c r="O121">
        <v>65.325811939802236</v>
      </c>
      <c r="P121">
        <v>106.40602657592268</v>
      </c>
      <c r="Q121">
        <f t="shared" si="1"/>
        <v>25.068784752128558</v>
      </c>
      <c r="S121">
        <v>38</v>
      </c>
      <c r="T121">
        <v>27543.436196227489</v>
      </c>
    </row>
    <row r="122" spans="1:20">
      <c r="A122">
        <v>38</v>
      </c>
      <c r="B122">
        <v>56.247404245315515</v>
      </c>
      <c r="C122">
        <v>29.806398642472317</v>
      </c>
      <c r="D122">
        <v>63.153615115089046</v>
      </c>
      <c r="E122">
        <v>210.01292216085039</v>
      </c>
      <c r="F122">
        <v>107.83785587423711</v>
      </c>
      <c r="G122">
        <v>361.13051849796199</v>
      </c>
      <c r="H122">
        <v>197.63967021929776</v>
      </c>
      <c r="I122">
        <v>137.64425451670942</v>
      </c>
      <c r="J122">
        <v>2.0334172394150958</v>
      </c>
      <c r="K122">
        <v>5.3651517556450168</v>
      </c>
      <c r="L122">
        <v>3.1576807557544524</v>
      </c>
      <c r="M122">
        <v>16.217397086812603</v>
      </c>
      <c r="N122">
        <v>19.410814057362682</v>
      </c>
      <c r="O122">
        <v>65.003493329633159</v>
      </c>
      <c r="P122">
        <v>106.14568490176867</v>
      </c>
      <c r="Q122">
        <f t="shared" si="1"/>
        <v>24.775965813007698</v>
      </c>
      <c r="S122">
        <v>38.5</v>
      </c>
      <c r="T122">
        <v>27905.849830388375</v>
      </c>
    </row>
    <row r="123" spans="1:20">
      <c r="A123">
        <v>38.5</v>
      </c>
      <c r="B123">
        <v>55.670965691304737</v>
      </c>
      <c r="C123">
        <v>29.577768066422653</v>
      </c>
      <c r="D123">
        <v>62.633418300240493</v>
      </c>
      <c r="E123">
        <v>211.52859555939037</v>
      </c>
      <c r="F123">
        <v>106.49311941822022</v>
      </c>
      <c r="G123">
        <v>359.35511425204714</v>
      </c>
      <c r="H123">
        <v>196.24096743700613</v>
      </c>
      <c r="I123">
        <v>136.07088748464287</v>
      </c>
      <c r="J123">
        <v>2.012578231661478</v>
      </c>
      <c r="K123">
        <v>5.3239982519560778</v>
      </c>
      <c r="L123">
        <v>3.1316709150120245</v>
      </c>
      <c r="M123">
        <v>16.334450719455525</v>
      </c>
      <c r="N123">
        <v>19.168761495279639</v>
      </c>
      <c r="O123">
        <v>64.683920565368467</v>
      </c>
      <c r="P123">
        <v>105.89391840095618</v>
      </c>
      <c r="Q123">
        <f t="shared" si="1"/>
        <v>24.492759747235716</v>
      </c>
      <c r="S123">
        <v>39</v>
      </c>
      <c r="T123">
        <v>28268.263464549265</v>
      </c>
    </row>
    <row r="124" spans="1:20">
      <c r="A124">
        <v>39</v>
      </c>
      <c r="B124">
        <v>55.112501065472728</v>
      </c>
      <c r="C124">
        <v>29.354999813810263</v>
      </c>
      <c r="D124">
        <v>62.124136420075921</v>
      </c>
      <c r="E124">
        <v>213.05426700295814</v>
      </c>
      <c r="F124">
        <v>158.91474499150621</v>
      </c>
      <c r="G124">
        <v>357.59413939968817</v>
      </c>
      <c r="H124">
        <v>194.86818545262304</v>
      </c>
      <c r="I124">
        <v>188.26974480531646</v>
      </c>
      <c r="J124">
        <v>1.9923890049228079</v>
      </c>
      <c r="K124">
        <v>5.2838999664858477</v>
      </c>
      <c r="L124">
        <v>3.1062068210037959</v>
      </c>
      <c r="M124">
        <v>16.452276275026414</v>
      </c>
      <c r="N124">
        <v>28.604654098471123</v>
      </c>
      <c r="O124">
        <v>64.366945091943848</v>
      </c>
      <c r="P124">
        <v>105.64681764376724</v>
      </c>
      <c r="Q124">
        <f t="shared" si="1"/>
        <v>33.888554064956971</v>
      </c>
      <c r="S124">
        <v>39.5</v>
      </c>
      <c r="T124">
        <v>28630.677098710155</v>
      </c>
    </row>
    <row r="125" spans="1:20">
      <c r="A125">
        <v>39.5</v>
      </c>
      <c r="B125">
        <v>54.571923341700092</v>
      </c>
      <c r="C125">
        <v>29.137871264721237</v>
      </c>
      <c r="D125">
        <v>61.625355027594743</v>
      </c>
      <c r="E125">
        <v>214.58955505501763</v>
      </c>
      <c r="F125">
        <v>156.94632940518159</v>
      </c>
      <c r="G125">
        <v>355.84681042261332</v>
      </c>
      <c r="H125">
        <v>193.53997495300561</v>
      </c>
      <c r="I125">
        <v>186.08420066990283</v>
      </c>
      <c r="J125">
        <v>1.972846413091033</v>
      </c>
      <c r="K125">
        <v>5.2448168276498244</v>
      </c>
      <c r="L125">
        <v>3.0812677513797375</v>
      </c>
      <c r="M125">
        <v>16.570844305364204</v>
      </c>
      <c r="N125">
        <v>28.250339292932694</v>
      </c>
      <c r="O125">
        <v>64.052425876070387</v>
      </c>
      <c r="P125">
        <v>105.4077397538361</v>
      </c>
      <c r="Q125">
        <f t="shared" si="1"/>
        <v>33.495156120582521</v>
      </c>
      <c r="S125">
        <v>40</v>
      </c>
      <c r="T125">
        <v>28993.090732871042</v>
      </c>
    </row>
    <row r="126" spans="1:20">
      <c r="A126">
        <v>40</v>
      </c>
      <c r="B126">
        <v>54.049149443435887</v>
      </c>
      <c r="C126">
        <v>28.926170930239184</v>
      </c>
      <c r="D126">
        <v>61.136680398146538</v>
      </c>
      <c r="E126">
        <v>216.13409735085949</v>
      </c>
      <c r="F126">
        <v>155.02712420851515</v>
      </c>
      <c r="G126">
        <v>354.1123829784645</v>
      </c>
      <c r="H126">
        <v>192.23527492428215</v>
      </c>
      <c r="I126">
        <v>183.95329513875433</v>
      </c>
      <c r="J126">
        <v>1.9539474528401659</v>
      </c>
      <c r="K126">
        <v>5.2067107674430542</v>
      </c>
      <c r="L126">
        <v>3.0568340199073258</v>
      </c>
      <c r="M126">
        <v>16.690126834637436</v>
      </c>
      <c r="N126">
        <v>27.904882357532728</v>
      </c>
      <c r="O126">
        <v>63.740228936123607</v>
      </c>
      <c r="P126">
        <v>105.17289374866587</v>
      </c>
      <c r="Q126">
        <f t="shared" si="1"/>
        <v>33.111593124975784</v>
      </c>
      <c r="S126">
        <v>40.5</v>
      </c>
      <c r="T126">
        <v>29355.504367031932</v>
      </c>
    </row>
    <row r="127" spans="1:20">
      <c r="A127">
        <v>40.5</v>
      </c>
      <c r="B127">
        <v>53.544100017257918</v>
      </c>
      <c r="C127">
        <v>28.719697765346481</v>
      </c>
      <c r="D127">
        <v>60.657738250273439</v>
      </c>
      <c r="E127">
        <v>217.68754942032817</v>
      </c>
      <c r="F127">
        <v>153.1447823695693</v>
      </c>
      <c r="G127">
        <v>352.39014948253055</v>
      </c>
      <c r="H127">
        <v>190.97236481389405</v>
      </c>
      <c r="I127">
        <v>181.86448013491577</v>
      </c>
      <c r="J127">
        <v>1.9356892554401943</v>
      </c>
      <c r="K127">
        <v>5.1695455977623661</v>
      </c>
      <c r="L127">
        <v>3.0328869125136717</v>
      </c>
      <c r="M127">
        <v>16.810097268464538</v>
      </c>
      <c r="N127">
        <v>27.566060826522467</v>
      </c>
      <c r="O127">
        <v>63.430226906855495</v>
      </c>
      <c r="P127">
        <v>104.945569928796</v>
      </c>
      <c r="Q127">
        <f t="shared" si="1"/>
        <v>32.735606424284832</v>
      </c>
      <c r="S127">
        <v>41</v>
      </c>
      <c r="T127">
        <v>29717.918001192818</v>
      </c>
    </row>
    <row r="128" spans="1:20">
      <c r="A128">
        <v>41</v>
      </c>
      <c r="B128">
        <v>53.056699222049531</v>
      </c>
      <c r="C128">
        <v>28.518260532101067</v>
      </c>
      <c r="D128">
        <v>60.188172560149667</v>
      </c>
      <c r="E128">
        <v>219.24958359669031</v>
      </c>
      <c r="F128">
        <v>151.31874738545093</v>
      </c>
      <c r="G128">
        <v>350.67943686642792</v>
      </c>
      <c r="H128">
        <v>189.73079905586033</v>
      </c>
      <c r="I128">
        <v>179.837007917552</v>
      </c>
      <c r="J128">
        <v>1.9180690791355441</v>
      </c>
      <c r="K128">
        <v>5.1332868957781912</v>
      </c>
      <c r="L128">
        <v>3.0094086280074834</v>
      </c>
      <c r="M128">
        <v>16.930730309683415</v>
      </c>
      <c r="N128">
        <v>27.237374529381164</v>
      </c>
      <c r="O128">
        <v>63.12229863595703</v>
      </c>
      <c r="P128">
        <v>104.72208809234994</v>
      </c>
      <c r="Q128">
        <f t="shared" si="1"/>
        <v>32.370661425159355</v>
      </c>
      <c r="S128">
        <v>41.5</v>
      </c>
      <c r="T128">
        <v>30080.331635353708</v>
      </c>
    </row>
    <row r="129" spans="1:20">
      <c r="A129">
        <v>41.5</v>
      </c>
      <c r="B129">
        <v>52.586874532538552</v>
      </c>
      <c r="C129">
        <v>28.321677208848719</v>
      </c>
      <c r="D129">
        <v>59.727644461724225</v>
      </c>
      <c r="E129">
        <v>220.81988800438009</v>
      </c>
      <c r="F129">
        <v>149.52644242001048</v>
      </c>
      <c r="G129">
        <v>348.97960449880412</v>
      </c>
      <c r="H129">
        <v>188.52849492245048</v>
      </c>
      <c r="I129">
        <v>177.84811962885919</v>
      </c>
      <c r="J129">
        <v>1.9010843020427592</v>
      </c>
      <c r="K129">
        <v>5.0979018975927683</v>
      </c>
      <c r="L129">
        <v>2.9863822230862112</v>
      </c>
      <c r="M129">
        <v>17.052001880209694</v>
      </c>
      <c r="N129">
        <v>26.914759635601886</v>
      </c>
      <c r="O129">
        <v>62.816328809784743</v>
      </c>
      <c r="P129">
        <v>104.50567334833616</v>
      </c>
      <c r="Q129">
        <f t="shared" si="1"/>
        <v>32.012661533194652</v>
      </c>
      <c r="S129">
        <v>42</v>
      </c>
      <c r="T129">
        <v>30442.745269514595</v>
      </c>
    </row>
    <row r="130" spans="1:20">
      <c r="A130">
        <v>42</v>
      </c>
      <c r="B130">
        <v>52.134556556059437</v>
      </c>
      <c r="C130">
        <v>28.129774441634343</v>
      </c>
      <c r="D130">
        <v>59.275831225424653</v>
      </c>
      <c r="E130">
        <v>222.39816561904945</v>
      </c>
      <c r="F130">
        <v>147.78695993491345</v>
      </c>
      <c r="G130">
        <v>347.29004225456038</v>
      </c>
      <c r="H130">
        <v>187.34558394307757</v>
      </c>
      <c r="I130">
        <v>175.91673437654779</v>
      </c>
      <c r="J130">
        <v>1.8847324155262073</v>
      </c>
      <c r="K130">
        <v>5.0633593994941819</v>
      </c>
      <c r="L130">
        <v>2.9637915612712322</v>
      </c>
      <c r="M130">
        <v>17.173889048476301</v>
      </c>
      <c r="N130">
        <v>26.601652788284429</v>
      </c>
      <c r="O130">
        <v>62.512207605820855</v>
      </c>
      <c r="P130">
        <v>104.29274937204904</v>
      </c>
      <c r="Q130">
        <f t="shared" si="1"/>
        <v>31.665012187778611</v>
      </c>
      <c r="S130">
        <v>42.5</v>
      </c>
      <c r="T130">
        <v>30805.158903675481</v>
      </c>
    </row>
    <row r="131" spans="1:20">
      <c r="A131">
        <v>42.5</v>
      </c>
      <c r="B131">
        <v>51.699678861501503</v>
      </c>
      <c r="C131">
        <v>27.942387034337298</v>
      </c>
      <c r="D131">
        <v>58.832425308952566</v>
      </c>
      <c r="E131">
        <v>223.98413339396666</v>
      </c>
      <c r="F131">
        <v>146.08840644946585</v>
      </c>
      <c r="G131">
        <v>345.61016872036851</v>
      </c>
      <c r="H131">
        <v>186.1996306729572</v>
      </c>
      <c r="I131">
        <v>174.03079348380314</v>
      </c>
      <c r="J131">
        <v>1.8690110180143424</v>
      </c>
      <c r="K131">
        <v>5.0296296661807132</v>
      </c>
      <c r="L131">
        <v>2.9416212654476288</v>
      </c>
      <c r="M131">
        <v>17.296369961994635</v>
      </c>
      <c r="N131">
        <v>26.295913160903854</v>
      </c>
      <c r="O131">
        <v>62.209830369666314</v>
      </c>
      <c r="P131">
        <v>104.08647778342737</v>
      </c>
      <c r="Q131">
        <f t="shared" si="1"/>
        <v>31.325542827084568</v>
      </c>
      <c r="S131">
        <v>43</v>
      </c>
      <c r="T131">
        <v>31167.572537836371</v>
      </c>
    </row>
    <row r="132" spans="1:20">
      <c r="A132">
        <v>43</v>
      </c>
      <c r="B132">
        <v>51.282177819499687</v>
      </c>
      <c r="C132">
        <v>27.759357474378572</v>
      </c>
      <c r="D132">
        <v>58.397133474302528</v>
      </c>
      <c r="E132">
        <v>225.57752144736432</v>
      </c>
      <c r="F132">
        <v>144.41944166812203</v>
      </c>
      <c r="G132">
        <v>343.93942952537964</v>
      </c>
      <c r="H132">
        <v>185.08032747888612</v>
      </c>
      <c r="I132">
        <v>172.17879914250059</v>
      </c>
      <c r="J132">
        <v>1.8539178092223836</v>
      </c>
      <c r="K132">
        <v>4.9966843453881422</v>
      </c>
      <c r="L132">
        <v>2.9198566737151261</v>
      </c>
      <c r="M132">
        <v>17.419423784620541</v>
      </c>
      <c r="N132">
        <v>25.995499500261968</v>
      </c>
      <c r="O132">
        <v>61.909097314568349</v>
      </c>
      <c r="P132">
        <v>103.88500320849458</v>
      </c>
      <c r="Q132">
        <f t="shared" si="1"/>
        <v>30.992183845650111</v>
      </c>
      <c r="S132">
        <v>43.5</v>
      </c>
      <c r="T132">
        <v>31529.986171997261</v>
      </c>
    </row>
    <row r="133" spans="1:20">
      <c r="A133">
        <v>43.5</v>
      </c>
      <c r="B133">
        <v>50.881992453006582</v>
      </c>
      <c r="C133">
        <v>27.580535491137898</v>
      </c>
      <c r="D133">
        <v>57.969675965676167</v>
      </c>
      <c r="E133">
        <v>227.17807230583182</v>
      </c>
      <c r="F133">
        <v>142.79864249575124</v>
      </c>
      <c r="G133">
        <v>342.27729578706061</v>
      </c>
      <c r="H133">
        <v>183.97784064183142</v>
      </c>
      <c r="I133">
        <v>170.37917798688915</v>
      </c>
      <c r="J133">
        <v>1.8394505847503047</v>
      </c>
      <c r="K133">
        <v>4.9644963884048217</v>
      </c>
      <c r="L133">
        <v>2.8984837982838081</v>
      </c>
      <c r="M133">
        <v>17.543030638146572</v>
      </c>
      <c r="N133">
        <v>25.703755649235216</v>
      </c>
      <c r="O133">
        <v>61.609913241670903</v>
      </c>
      <c r="P133">
        <v>103.68655557782473</v>
      </c>
      <c r="Q133">
        <f t="shared" si="1"/>
        <v>30.668252037640038</v>
      </c>
      <c r="S133">
        <v>44</v>
      </c>
      <c r="T133">
        <v>31892.399806158144</v>
      </c>
    </row>
    <row r="134" spans="1:20">
      <c r="A134">
        <v>44</v>
      </c>
      <c r="B134">
        <v>50.499064297460009</v>
      </c>
      <c r="C134">
        <v>31.206759682843714</v>
      </c>
      <c r="D134">
        <v>57.549785743447856</v>
      </c>
      <c r="E134">
        <v>228.78554019929553</v>
      </c>
      <c r="F134">
        <v>141.21467966820703</v>
      </c>
      <c r="G134">
        <v>340.62326266299306</v>
      </c>
      <c r="H134">
        <v>182.90922377070655</v>
      </c>
      <c r="I134">
        <v>172.42143935105074</v>
      </c>
      <c r="J134">
        <v>1.8256072310277074</v>
      </c>
      <c r="K134">
        <v>5.6172167429118689</v>
      </c>
      <c r="L134">
        <v>2.8774892871723927</v>
      </c>
      <c r="M134">
        <v>17.6671715478764</v>
      </c>
      <c r="N134">
        <v>25.41864234027727</v>
      </c>
      <c r="O134">
        <v>61.312187279338758</v>
      </c>
      <c r="P134">
        <v>103.49420454102226</v>
      </c>
      <c r="Q134">
        <f t="shared" si="1"/>
        <v>31.035859083189138</v>
      </c>
      <c r="S134">
        <v>44.5</v>
      </c>
      <c r="T134">
        <v>32254.813440319038</v>
      </c>
    </row>
    <row r="135" spans="1:20">
      <c r="A135">
        <v>44.5</v>
      </c>
      <c r="B135">
        <v>50.133337269828317</v>
      </c>
      <c r="C135">
        <v>30.993221316025817</v>
      </c>
      <c r="D135">
        <v>57.137207769772814</v>
      </c>
      <c r="E135">
        <v>230.39969040352827</v>
      </c>
      <c r="F135">
        <v>139.65673310175413</v>
      </c>
      <c r="G135">
        <v>338.97684800030538</v>
      </c>
      <c r="H135">
        <v>181.85590634244164</v>
      </c>
      <c r="I135">
        <v>170.64995441777995</v>
      </c>
      <c r="J135">
        <v>1.8123857205796363</v>
      </c>
      <c r="K135">
        <v>5.5787798368846468</v>
      </c>
      <c r="L135">
        <v>2.856860388488641</v>
      </c>
      <c r="M135">
        <v>17.791828391868247</v>
      </c>
      <c r="N135">
        <v>25.13821195831574</v>
      </c>
      <c r="O135">
        <v>61.015832640054967</v>
      </c>
      <c r="P135">
        <v>103.30460740393457</v>
      </c>
      <c r="Q135">
        <f t="shared" si="1"/>
        <v>30.716991795200386</v>
      </c>
      <c r="S135">
        <v>45</v>
      </c>
      <c r="T135">
        <v>32617.227074479924</v>
      </c>
    </row>
    <row r="136" spans="1:20">
      <c r="A136">
        <v>45</v>
      </c>
      <c r="B136">
        <v>49.784757545876211</v>
      </c>
      <c r="C136">
        <v>30.784428246795208</v>
      </c>
      <c r="D136">
        <v>56.731698341821669</v>
      </c>
      <c r="E136">
        <v>232.02029862649007</v>
      </c>
      <c r="F136">
        <v>138.14287955253312</v>
      </c>
      <c r="G136">
        <v>337.33759107514271</v>
      </c>
      <c r="H136">
        <v>180.83461356066834</v>
      </c>
      <c r="I136">
        <v>168.92730779932833</v>
      </c>
      <c r="J136">
        <v>1.7997841075895786</v>
      </c>
      <c r="K136">
        <v>5.5411970844231373</v>
      </c>
      <c r="L136">
        <v>2.8365849170910833</v>
      </c>
      <c r="M136">
        <v>17.916983853561778</v>
      </c>
      <c r="N136">
        <v>24.865718319455961</v>
      </c>
      <c r="O136">
        <v>60.720766393525686</v>
      </c>
      <c r="P136">
        <v>103.12077470321537</v>
      </c>
      <c r="Q136">
        <f t="shared" si="1"/>
        <v>30.406915403879097</v>
      </c>
      <c r="S136">
        <v>45.5</v>
      </c>
      <c r="T136">
        <v>32979.640708640814</v>
      </c>
    </row>
    <row r="137" spans="1:20">
      <c r="A137">
        <v>45.5</v>
      </c>
      <c r="B137">
        <v>49.453273445049327</v>
      </c>
      <c r="C137">
        <v>30.580224036752035</v>
      </c>
      <c r="D137">
        <v>56.333024468977271</v>
      </c>
      <c r="E137">
        <v>233.64715043513209</v>
      </c>
      <c r="F137">
        <v>136.66229750988836</v>
      </c>
      <c r="G137">
        <v>335.70505141524802</v>
      </c>
      <c r="H137">
        <v>179.82724388038764</v>
      </c>
      <c r="I137">
        <v>167.2425215466404</v>
      </c>
      <c r="J137">
        <v>1.7878005237378931</v>
      </c>
      <c r="K137">
        <v>5.5044403266153674</v>
      </c>
      <c r="L137">
        <v>2.8166512234488637</v>
      </c>
      <c r="M137">
        <v>18.04262137752853</v>
      </c>
      <c r="N137">
        <v>24.599213551779904</v>
      </c>
      <c r="O137">
        <v>60.42690925474465</v>
      </c>
      <c r="P137">
        <v>102.93944816076485</v>
      </c>
      <c r="Q137">
        <f t="shared" si="1"/>
        <v>30.103653878395271</v>
      </c>
      <c r="S137">
        <v>46</v>
      </c>
      <c r="T137">
        <v>33342.054342801697</v>
      </c>
    </row>
    <row r="138" spans="1:20">
      <c r="A138">
        <v>46</v>
      </c>
      <c r="B138">
        <v>49.138835322426765</v>
      </c>
      <c r="C138">
        <v>30.380459049166838</v>
      </c>
      <c r="D138">
        <v>55.940963290649336</v>
      </c>
      <c r="E138">
        <v>235.28004071958159</v>
      </c>
      <c r="F138">
        <v>137.02398317767842</v>
      </c>
      <c r="G138">
        <v>334.07880769933234</v>
      </c>
      <c r="H138">
        <v>180.74164395223627</v>
      </c>
      <c r="I138">
        <v>167.40444222684525</v>
      </c>
      <c r="J138">
        <v>1.7764331742957491</v>
      </c>
      <c r="K138">
        <v>5.4684826288500314</v>
      </c>
      <c r="L138">
        <v>2.797048164532467</v>
      </c>
      <c r="M138">
        <v>18.16872512810794</v>
      </c>
      <c r="N138">
        <v>24.66431697198211</v>
      </c>
      <c r="O138">
        <v>60.134185385879825</v>
      </c>
      <c r="P138">
        <v>103.10404017369761</v>
      </c>
      <c r="Q138">
        <f t="shared" si="1"/>
        <v>30.132799600832143</v>
      </c>
      <c r="S138">
        <v>46.5</v>
      </c>
      <c r="T138">
        <v>33704.467976962587</v>
      </c>
    </row>
    <row r="139" spans="1:20">
      <c r="A139">
        <v>46.5</v>
      </c>
      <c r="B139">
        <v>48.841395467235174</v>
      </c>
      <c r="C139">
        <v>30.184990083299166</v>
      </c>
      <c r="D139">
        <v>56.935697301265918</v>
      </c>
      <c r="E139">
        <v>236.91877319189578</v>
      </c>
      <c r="F139">
        <v>135.58727275288464</v>
      </c>
      <c r="G139">
        <v>332.45845672745202</v>
      </c>
      <c r="H139">
        <v>179.75693780925661</v>
      </c>
      <c r="I139">
        <v>165.77226283618381</v>
      </c>
      <c r="J139">
        <v>1.7656803344562806</v>
      </c>
      <c r="K139">
        <v>5.43329821499385</v>
      </c>
      <c r="L139">
        <v>2.8467848650632956</v>
      </c>
      <c r="M139">
        <v>18.295279950711915</v>
      </c>
      <c r="N139">
        <v>24.405709095519242</v>
      </c>
      <c r="O139">
        <v>59.842522210941368</v>
      </c>
      <c r="P139">
        <v>102.92679306796127</v>
      </c>
      <c r="Q139">
        <f t="shared" si="1"/>
        <v>29.839007310513093</v>
      </c>
      <c r="S139">
        <v>47</v>
      </c>
      <c r="T139">
        <v>34066.881611123477</v>
      </c>
    </row>
    <row r="140" spans="1:20">
      <c r="A140">
        <v>47</v>
      </c>
      <c r="B140">
        <v>48.560908007459503</v>
      </c>
      <c r="C140">
        <v>29.993680032057792</v>
      </c>
      <c r="D140">
        <v>56.58292307821295</v>
      </c>
      <c r="E140">
        <v>238.56315991680989</v>
      </c>
      <c r="F140">
        <v>134.17206171566139</v>
      </c>
      <c r="G140">
        <v>330.84361245710807</v>
      </c>
      <c r="H140">
        <v>178.80143374727351</v>
      </c>
      <c r="I140">
        <v>164.16574174771918</v>
      </c>
      <c r="J140">
        <v>1.7555403458861405</v>
      </c>
      <c r="K140">
        <v>5.3988624057704033</v>
      </c>
      <c r="L140">
        <v>2.8291461539106475</v>
      </c>
      <c r="M140">
        <v>18.422271335599181</v>
      </c>
      <c r="N140">
        <v>24.15097110881905</v>
      </c>
      <c r="O140">
        <v>59.55185024227945</v>
      </c>
      <c r="P140">
        <v>102.7548023368043</v>
      </c>
      <c r="Q140">
        <f t="shared" si="1"/>
        <v>29.549833514589452</v>
      </c>
      <c r="S140">
        <v>47.5</v>
      </c>
      <c r="T140">
        <v>34429.295245284367</v>
      </c>
    </row>
    <row r="141" spans="1:20">
      <c r="A141">
        <v>47.5</v>
      </c>
      <c r="B141">
        <v>48.297328820124065</v>
      </c>
      <c r="C141">
        <v>29.806397561282314</v>
      </c>
      <c r="D141">
        <v>56.237232503404137</v>
      </c>
      <c r="E141">
        <v>240.21302087212345</v>
      </c>
      <c r="F141">
        <v>132.79561805204247</v>
      </c>
      <c r="G141">
        <v>329.23390510022244</v>
      </c>
      <c r="H141">
        <v>177.86604556027953</v>
      </c>
      <c r="I141">
        <v>162.6020156133248</v>
      </c>
      <c r="J141">
        <v>1.7460116134820391</v>
      </c>
      <c r="K141">
        <v>5.3651515610308174</v>
      </c>
      <c r="L141">
        <v>2.8118616251702071</v>
      </c>
      <c r="M141">
        <v>18.549685383937565</v>
      </c>
      <c r="N141">
        <v>23.903211249367647</v>
      </c>
      <c r="O141">
        <v>59.26210291804005</v>
      </c>
      <c r="P141">
        <v>102.5864324631454</v>
      </c>
      <c r="Q141">
        <f t="shared" si="1"/>
        <v>29.268362810398465</v>
      </c>
      <c r="S141">
        <v>48</v>
      </c>
      <c r="T141">
        <v>34791.70887944525</v>
      </c>
    </row>
    <row r="142" spans="1:20">
      <c r="A142">
        <v>48</v>
      </c>
      <c r="B142">
        <v>48.050615446849669</v>
      </c>
      <c r="C142">
        <v>29.623016809069544</v>
      </c>
      <c r="D142">
        <v>55.898404789661086</v>
      </c>
      <c r="E142">
        <v>241.86818353656088</v>
      </c>
      <c r="F142">
        <v>131.44785029808227</v>
      </c>
      <c r="G142">
        <v>327.62898027655376</v>
      </c>
      <c r="H142">
        <v>222.29138677037204</v>
      </c>
      <c r="I142">
        <v>161.07086710715183</v>
      </c>
      <c r="J142">
        <v>1.7370926023180318</v>
      </c>
      <c r="K142">
        <v>5.3321430256325186</v>
      </c>
      <c r="L142">
        <v>2.7949202394830546</v>
      </c>
      <c r="M142">
        <v>18.677508775987196</v>
      </c>
      <c r="N142">
        <v>23.66061305365481</v>
      </c>
      <c r="O142">
        <v>58.973216449779677</v>
      </c>
      <c r="P142">
        <v>110.58299388096205</v>
      </c>
      <c r="Q142">
        <f t="shared" si="1"/>
        <v>28.992756079287329</v>
      </c>
      <c r="S142">
        <v>48.5</v>
      </c>
      <c r="T142">
        <v>35154.122513606148</v>
      </c>
    </row>
    <row r="143" spans="1:20">
      <c r="A143">
        <v>48.5</v>
      </c>
      <c r="B143">
        <v>47.820727014325499</v>
      </c>
      <c r="C143">
        <v>29.443417103698472</v>
      </c>
      <c r="D143">
        <v>55.566228254431316</v>
      </c>
      <c r="E143">
        <v>243.52848250312601</v>
      </c>
      <c r="F143">
        <v>183.20651080186434</v>
      </c>
      <c r="G143">
        <v>326.02849821947865</v>
      </c>
      <c r="H143">
        <v>220.91074571162181</v>
      </c>
      <c r="I143">
        <v>212.64992790556281</v>
      </c>
      <c r="J143">
        <v>1.7287818347704662</v>
      </c>
      <c r="K143">
        <v>5.2998150786657243</v>
      </c>
      <c r="L143">
        <v>2.7783114127215658</v>
      </c>
      <c r="M143">
        <v>18.805728741251695</v>
      </c>
      <c r="N143">
        <v>32.977171944335588</v>
      </c>
      <c r="O143">
        <v>58.685129679506154</v>
      </c>
      <c r="P143">
        <v>110.334478490387</v>
      </c>
      <c r="Q143">
        <f t="shared" si="1"/>
        <v>38.276987023001311</v>
      </c>
      <c r="S143">
        <v>49</v>
      </c>
      <c r="T143">
        <v>35516.536147767023</v>
      </c>
    </row>
    <row r="144" spans="1:20">
      <c r="A144">
        <v>49</v>
      </c>
      <c r="B144">
        <v>47.607624159362238</v>
      </c>
      <c r="C144">
        <v>29.267482698824942</v>
      </c>
      <c r="D144">
        <v>55.240499855266549</v>
      </c>
      <c r="E144">
        <v>245.19375911612826</v>
      </c>
      <c r="F144">
        <v>181.36302735067656</v>
      </c>
      <c r="G144">
        <v>324.43213303039926</v>
      </c>
      <c r="H144">
        <v>219.56612986062618</v>
      </c>
      <c r="I144">
        <v>210.63051004950151</v>
      </c>
      <c r="J144">
        <v>1.7210778878085591</v>
      </c>
      <c r="K144">
        <v>5.2681468857884886</v>
      </c>
      <c r="L144">
        <v>2.7620249927633278</v>
      </c>
      <c r="M144">
        <v>18.934333030456727</v>
      </c>
      <c r="N144">
        <v>32.645344923121776</v>
      </c>
      <c r="O144">
        <v>58.397783945471851</v>
      </c>
      <c r="P144">
        <v>110.09244763720778</v>
      </c>
      <c r="Q144">
        <f t="shared" si="1"/>
        <v>37.913491808910265</v>
      </c>
      <c r="S144">
        <v>49.5</v>
      </c>
      <c r="T144">
        <v>35878.949781927913</v>
      </c>
    </row>
    <row r="145" spans="1:20">
      <c r="A145">
        <v>49.5</v>
      </c>
      <c r="B145">
        <v>47.411268958217597</v>
      </c>
      <c r="C145">
        <v>29.095102524725281</v>
      </c>
      <c r="D145">
        <v>54.921024753453722</v>
      </c>
      <c r="E145">
        <v>246.86386113020868</v>
      </c>
      <c r="F145">
        <v>179.55678598941171</v>
      </c>
      <c r="G145">
        <v>322.83957197833803</v>
      </c>
      <c r="H145">
        <v>218.24867796621629</v>
      </c>
      <c r="I145">
        <v>208.651888514137</v>
      </c>
      <c r="J145">
        <v>1.7139793904394185</v>
      </c>
      <c r="K145">
        <v>5.2371184544505498</v>
      </c>
      <c r="L145">
        <v>2.7460512376726851</v>
      </c>
      <c r="M145">
        <v>19.06330988922689</v>
      </c>
      <c r="N145">
        <v>32.320221478094105</v>
      </c>
      <c r="O145">
        <v>58.111122956100836</v>
      </c>
      <c r="P145">
        <v>109.85530629621401</v>
      </c>
      <c r="Q145">
        <f t="shared" si="1"/>
        <v>37.557339932544657</v>
      </c>
      <c r="S145">
        <v>50</v>
      </c>
      <c r="T145">
        <v>36241.363416088803</v>
      </c>
    </row>
    <row r="146" spans="1:20">
      <c r="A146">
        <v>50</v>
      </c>
      <c r="B146">
        <v>47.231624859911101</v>
      </c>
      <c r="C146">
        <v>28.926169954465216</v>
      </c>
      <c r="D146">
        <v>54.607615903828325</v>
      </c>
      <c r="E146">
        <v>248.53864238982206</v>
      </c>
      <c r="F146">
        <v>177.78666945537208</v>
      </c>
      <c r="G146">
        <v>321.25051484155631</v>
      </c>
      <c r="H146">
        <v>216.94988322727013</v>
      </c>
      <c r="I146">
        <v>206.7128394098373</v>
      </c>
      <c r="J146">
        <v>1.7074850212972901</v>
      </c>
      <c r="K146">
        <v>5.2067105918037386</v>
      </c>
      <c r="L146">
        <v>2.7303807951914165</v>
      </c>
      <c r="M146">
        <v>19.192648033341722</v>
      </c>
      <c r="N146">
        <v>32.001600501966976</v>
      </c>
      <c r="O146">
        <v>57.825092671480128</v>
      </c>
      <c r="P146">
        <v>109.6215232432037</v>
      </c>
      <c r="Q146">
        <f t="shared" si="1"/>
        <v>37.208311093770718</v>
      </c>
    </row>
  </sheetData>
  <scenarios current="1" show="0" sqref="J48:Q48">
    <scenario name="Alaska" locked="1" count="5" user="Alex Badgett" comment="Created by Alex Badgett on 7/6/2017">
      <inputCells r="K42" val="29.6"/>
      <inputCells r="L42" val="2.47"/>
      <inputCells r="N42" val="0.2035"/>
      <inputCells r="M42" val="1.595"/>
      <inputCells r="O42" val="86.03"/>
    </scenario>
    <scenario name="Alabama" locked="1" count="5" user="Alex Badgett" comment="Created by Alex Badgett on 7/6/2017">
      <inputCells r="K42" val="21.45"/>
      <inputCells r="L42" val="2.31"/>
      <inputCells r="N42" val="0.1144"/>
      <inputCells r="M42" val="1.595"/>
      <inputCells r="O42" val="32.14"/>
    </scenario>
  </scenarios>
  <mergeCells count="7">
    <mergeCell ref="A2:A3"/>
    <mergeCell ref="B46:I46"/>
    <mergeCell ref="J46:Q46"/>
    <mergeCell ref="I5:I6"/>
    <mergeCell ref="G8:G9"/>
    <mergeCell ref="M4:M5"/>
    <mergeCell ref="A17:B17"/>
  </mergeCells>
  <dataValidations count="2">
    <dataValidation type="list" allowBlank="1" showInputMessage="1" showErrorMessage="1" prompt="Land Application Site" sqref="A9">
      <formula1>$W$4:$W$9</formula1>
    </dataValidation>
    <dataValidation type="list" allowBlank="1" showInputMessage="1" showErrorMessage="1" prompt="Type of Travel" sqref="A12">
      <formula1>$W$11:$W$13</formula1>
    </dataValidation>
  </dataValidations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X52"/>
  <sheetViews>
    <sheetView topLeftCell="F1" workbookViewId="0">
      <selection activeCell="P11" sqref="P11"/>
    </sheetView>
  </sheetViews>
  <sheetFormatPr baseColWidth="10" defaultRowHeight="15" x14ac:dyDescent="0"/>
  <cols>
    <col min="1" max="1" width="9.33203125" customWidth="1"/>
    <col min="2" max="8" width="10.83203125" customWidth="1"/>
    <col min="11" max="11" width="11.5" bestFit="1" customWidth="1"/>
  </cols>
  <sheetData>
    <row r="1" spans="1:24">
      <c r="B1" t="s">
        <v>2</v>
      </c>
      <c r="C1" t="s">
        <v>161</v>
      </c>
      <c r="I1" s="33" t="s">
        <v>595</v>
      </c>
      <c r="J1" s="33"/>
      <c r="K1" s="33"/>
      <c r="L1" s="33" t="s">
        <v>596</v>
      </c>
      <c r="M1" s="33"/>
      <c r="N1" s="33"/>
      <c r="R1" t="s">
        <v>584</v>
      </c>
      <c r="T1" t="s">
        <v>583</v>
      </c>
    </row>
    <row r="2" spans="1:24">
      <c r="A2" s="31" t="s">
        <v>599</v>
      </c>
      <c r="B2">
        <v>203.149</v>
      </c>
      <c r="C2">
        <f t="shared" ref="C2:C33" si="0">B2*0.18</f>
        <v>36.56682</v>
      </c>
      <c r="D2">
        <f>-C2</f>
        <v>-36.56682</v>
      </c>
      <c r="E2">
        <f>D2</f>
        <v>-36.56682</v>
      </c>
      <c r="F2">
        <v>220.59984367777778</v>
      </c>
      <c r="G2">
        <f>F2*0.18</f>
        <v>39.707971862000001</v>
      </c>
      <c r="H2">
        <f>G2</f>
        <v>39.707971862000001</v>
      </c>
      <c r="I2" s="29">
        <v>14324.518824631661</v>
      </c>
      <c r="J2" s="30">
        <f>I2/1000/0.1</f>
        <v>143.24518824631662</v>
      </c>
      <c r="K2" s="30">
        <f>J2</f>
        <v>143.24518824631662</v>
      </c>
      <c r="L2" s="29">
        <v>9880.2450354510675</v>
      </c>
      <c r="M2" s="30">
        <f>L2/1000/0.1</f>
        <v>98.802450354510682</v>
      </c>
      <c r="N2" s="30">
        <f>M2</f>
        <v>98.802450354510682</v>
      </c>
      <c r="R2" t="s">
        <v>366</v>
      </c>
      <c r="S2" t="s">
        <v>222</v>
      </c>
      <c r="T2">
        <f>108/0.18</f>
        <v>600</v>
      </c>
    </row>
    <row r="3" spans="1:24">
      <c r="A3" s="31" t="s">
        <v>600</v>
      </c>
      <c r="B3">
        <v>199.14</v>
      </c>
      <c r="C3">
        <f t="shared" si="0"/>
        <v>35.845199999999998</v>
      </c>
      <c r="D3">
        <f t="shared" ref="D3:D52" si="1">-C3</f>
        <v>-35.845199999999998</v>
      </c>
      <c r="E3">
        <f>E2+D3</f>
        <v>-72.412019999999998</v>
      </c>
      <c r="F3">
        <v>213.07466589370745</v>
      </c>
      <c r="G3">
        <f t="shared" ref="G3:G52" si="2">F3*0.18</f>
        <v>38.35343986086734</v>
      </c>
      <c r="H3">
        <f>H2+G3</f>
        <v>78.061411722867348</v>
      </c>
      <c r="I3" s="29">
        <v>98231.653025891923</v>
      </c>
      <c r="J3" s="30">
        <f t="shared" ref="J3:J52" si="3">I3/1000/0.1</f>
        <v>982.3165302589191</v>
      </c>
      <c r="K3" s="30">
        <f>K2+J3</f>
        <v>1125.5617185052356</v>
      </c>
      <c r="L3" s="29">
        <v>67754.65298452531</v>
      </c>
      <c r="M3" s="30">
        <f t="shared" ref="M3:M52" si="4">L3/1000/0.1</f>
        <v>677.54652984525308</v>
      </c>
      <c r="N3" s="30">
        <f>N2+M3</f>
        <v>776.34898019976379</v>
      </c>
    </row>
    <row r="4" spans="1:24">
      <c r="A4" s="31" t="s">
        <v>601</v>
      </c>
      <c r="B4">
        <v>196.41</v>
      </c>
      <c r="C4">
        <f t="shared" si="0"/>
        <v>35.3538</v>
      </c>
      <c r="D4">
        <f t="shared" si="1"/>
        <v>-35.3538</v>
      </c>
      <c r="E4">
        <f t="shared" ref="E4:E52" si="5">E3+D4</f>
        <v>-107.76581999999999</v>
      </c>
      <c r="F4">
        <v>214.25299134994415</v>
      </c>
      <c r="G4">
        <f t="shared" si="2"/>
        <v>38.565538442989947</v>
      </c>
      <c r="H4">
        <f t="shared" ref="H4:H52" si="6">H3+G4</f>
        <v>116.62695016585729</v>
      </c>
      <c r="I4" s="29">
        <v>69838.028508764575</v>
      </c>
      <c r="J4" s="30">
        <f t="shared" si="3"/>
        <v>698.3802850876458</v>
      </c>
      <c r="K4" s="30">
        <f t="shared" ref="K4:K52" si="7">K3+J4</f>
        <v>1823.9420035928815</v>
      </c>
      <c r="L4" s="29">
        <v>48170.332484250241</v>
      </c>
      <c r="M4" s="30">
        <f t="shared" si="4"/>
        <v>481.70332484250235</v>
      </c>
      <c r="N4" s="30">
        <f t="shared" ref="N4:N52" si="8">N3+M4</f>
        <v>1258.0523050422662</v>
      </c>
      <c r="R4" t="s">
        <v>367</v>
      </c>
      <c r="S4" t="s">
        <v>222</v>
      </c>
      <c r="T4" t="s">
        <v>585</v>
      </c>
    </row>
    <row r="5" spans="1:24">
      <c r="A5" s="31" t="s">
        <v>602</v>
      </c>
      <c r="B5">
        <v>201</v>
      </c>
      <c r="C5">
        <f t="shared" si="0"/>
        <v>36.18</v>
      </c>
      <c r="D5">
        <f t="shared" si="1"/>
        <v>-36.18</v>
      </c>
      <c r="E5">
        <f t="shared" si="5"/>
        <v>-143.94582</v>
      </c>
      <c r="F5">
        <v>209.52329132249625</v>
      </c>
      <c r="G5">
        <f t="shared" si="2"/>
        <v>37.714192438049324</v>
      </c>
      <c r="H5">
        <f t="shared" si="6"/>
        <v>154.34114260390663</v>
      </c>
      <c r="I5" s="29">
        <v>101384.04506047818</v>
      </c>
      <c r="J5" s="30">
        <f t="shared" si="3"/>
        <v>1013.8404506047818</v>
      </c>
      <c r="K5" s="30">
        <f t="shared" si="7"/>
        <v>2837.7824541976634</v>
      </c>
      <c r="L5" s="29">
        <v>69928.995182740066</v>
      </c>
      <c r="M5" s="30">
        <f t="shared" si="4"/>
        <v>699.28995182740061</v>
      </c>
      <c r="N5" s="30">
        <f t="shared" si="8"/>
        <v>1957.3422568696669</v>
      </c>
      <c r="R5" t="s">
        <v>368</v>
      </c>
      <c r="S5" t="s">
        <v>222</v>
      </c>
      <c r="T5" t="s">
        <v>586</v>
      </c>
      <c r="X5" s="42"/>
    </row>
    <row r="6" spans="1:24">
      <c r="A6" s="31" t="s">
        <v>603</v>
      </c>
      <c r="B6">
        <v>208</v>
      </c>
      <c r="C6">
        <f t="shared" si="0"/>
        <v>37.44</v>
      </c>
      <c r="D6">
        <f t="shared" si="1"/>
        <v>-37.44</v>
      </c>
      <c r="E6">
        <f t="shared" si="5"/>
        <v>-181.38582</v>
      </c>
      <c r="F6">
        <v>223.82344047421003</v>
      </c>
      <c r="G6">
        <f t="shared" si="2"/>
        <v>40.288219285357805</v>
      </c>
      <c r="H6">
        <f t="shared" si="6"/>
        <v>194.62936188926443</v>
      </c>
      <c r="I6" s="29">
        <v>843927.75542735506</v>
      </c>
      <c r="J6" s="30">
        <f t="shared" si="3"/>
        <v>8439.277554273549</v>
      </c>
      <c r="K6" s="30">
        <f t="shared" si="7"/>
        <v>11277.060008471213</v>
      </c>
      <c r="L6" s="29">
        <v>582093.75951271004</v>
      </c>
      <c r="M6" s="30">
        <f t="shared" si="4"/>
        <v>5820.9375951270995</v>
      </c>
      <c r="N6" s="30">
        <f t="shared" si="8"/>
        <v>7778.2798519967664</v>
      </c>
      <c r="R6" t="s">
        <v>571</v>
      </c>
      <c r="S6" t="s">
        <v>587</v>
      </c>
      <c r="T6" t="s">
        <v>588</v>
      </c>
      <c r="X6" s="42"/>
    </row>
    <row r="7" spans="1:24">
      <c r="A7" s="31" t="s">
        <v>604</v>
      </c>
      <c r="B7">
        <v>202.42</v>
      </c>
      <c r="C7">
        <f t="shared" si="0"/>
        <v>36.435599999999994</v>
      </c>
      <c r="D7">
        <f t="shared" si="1"/>
        <v>-36.435599999999994</v>
      </c>
      <c r="E7">
        <f t="shared" si="5"/>
        <v>-217.82141999999999</v>
      </c>
      <c r="F7">
        <v>216.12068071564869</v>
      </c>
      <c r="G7">
        <f t="shared" si="2"/>
        <v>38.901722528816762</v>
      </c>
      <c r="H7">
        <f t="shared" si="6"/>
        <v>233.53108441808121</v>
      </c>
      <c r="I7" s="29">
        <v>103880.44113429476</v>
      </c>
      <c r="J7" s="30">
        <f t="shared" si="3"/>
        <v>1038.8044113429476</v>
      </c>
      <c r="K7" s="30">
        <f t="shared" si="7"/>
        <v>12315.864419814161</v>
      </c>
      <c r="L7" s="29">
        <v>71650.868372116151</v>
      </c>
      <c r="M7" s="30">
        <f t="shared" si="4"/>
        <v>716.50868372116145</v>
      </c>
      <c r="N7" s="30">
        <f t="shared" si="8"/>
        <v>8494.7885357179275</v>
      </c>
      <c r="R7" t="s">
        <v>532</v>
      </c>
      <c r="S7" t="s">
        <v>222</v>
      </c>
      <c r="T7" t="s">
        <v>590</v>
      </c>
      <c r="X7" s="42"/>
    </row>
    <row r="8" spans="1:24">
      <c r="A8" s="31" t="s">
        <v>19</v>
      </c>
      <c r="B8">
        <v>204.84</v>
      </c>
      <c r="C8">
        <f t="shared" si="0"/>
        <v>36.871200000000002</v>
      </c>
      <c r="D8">
        <f t="shared" si="1"/>
        <v>-36.871200000000002</v>
      </c>
      <c r="E8">
        <f t="shared" si="5"/>
        <v>-254.69261999999998</v>
      </c>
      <c r="F8">
        <v>220.94468508009339</v>
      </c>
      <c r="G8">
        <f t="shared" si="2"/>
        <v>39.77004331441681</v>
      </c>
      <c r="H8">
        <f t="shared" si="6"/>
        <v>273.301127732498</v>
      </c>
      <c r="I8" s="29">
        <v>92547.22587579531</v>
      </c>
      <c r="J8" s="30">
        <f t="shared" si="3"/>
        <v>925.472258757953</v>
      </c>
      <c r="K8" s="30">
        <f t="shared" si="7"/>
        <v>13241.336678572114</v>
      </c>
      <c r="L8" s="29">
        <v>63833.855796381882</v>
      </c>
      <c r="M8" s="30">
        <f t="shared" si="4"/>
        <v>638.33855796381874</v>
      </c>
      <c r="N8" s="30">
        <f t="shared" si="8"/>
        <v>9133.1270936817455</v>
      </c>
      <c r="R8" t="s">
        <v>566</v>
      </c>
      <c r="S8" t="s">
        <v>222</v>
      </c>
      <c r="T8" t="s">
        <v>589</v>
      </c>
      <c r="X8" s="42"/>
    </row>
    <row r="9" spans="1:24">
      <c r="A9" s="31" t="s">
        <v>605</v>
      </c>
      <c r="B9">
        <v>202.71</v>
      </c>
      <c r="C9">
        <f t="shared" si="0"/>
        <v>36.4878</v>
      </c>
      <c r="D9">
        <f t="shared" si="1"/>
        <v>-36.4878</v>
      </c>
      <c r="E9">
        <f t="shared" si="5"/>
        <v>-291.18041999999997</v>
      </c>
      <c r="F9">
        <v>217.20408048850371</v>
      </c>
      <c r="G9">
        <f t="shared" si="2"/>
        <v>39.096734487930668</v>
      </c>
      <c r="H9">
        <f t="shared" si="6"/>
        <v>312.39786222042869</v>
      </c>
      <c r="I9" s="29">
        <v>87909.636177039545</v>
      </c>
      <c r="J9" s="30">
        <f t="shared" si="3"/>
        <v>879.09636177039545</v>
      </c>
      <c r="K9" s="30">
        <f t="shared" si="7"/>
        <v>14120.433040342508</v>
      </c>
      <c r="L9" s="29">
        <v>60635.108029804185</v>
      </c>
      <c r="M9" s="30">
        <f t="shared" si="4"/>
        <v>606.35108029804178</v>
      </c>
      <c r="N9" s="30">
        <f t="shared" si="8"/>
        <v>9739.4781739797872</v>
      </c>
      <c r="R9" t="s">
        <v>205</v>
      </c>
      <c r="T9" t="s">
        <v>591</v>
      </c>
    </row>
    <row r="10" spans="1:24">
      <c r="A10" s="31" t="s">
        <v>606</v>
      </c>
      <c r="B10">
        <v>200.51</v>
      </c>
      <c r="C10">
        <f t="shared" si="0"/>
        <v>36.091799999999999</v>
      </c>
      <c r="D10">
        <f t="shared" si="1"/>
        <v>-36.091799999999999</v>
      </c>
      <c r="E10">
        <f t="shared" si="5"/>
        <v>-327.27221999999995</v>
      </c>
      <c r="F10">
        <v>214.06290692197092</v>
      </c>
      <c r="G10">
        <f t="shared" si="2"/>
        <v>38.531323245954766</v>
      </c>
      <c r="H10">
        <f t="shared" si="6"/>
        <v>350.92918546638344</v>
      </c>
      <c r="I10" s="29">
        <v>24735.870871328614</v>
      </c>
      <c r="J10" s="30">
        <f t="shared" si="3"/>
        <v>247.35870871328615</v>
      </c>
      <c r="K10" s="30">
        <f t="shared" si="7"/>
        <v>14367.791749055794</v>
      </c>
      <c r="L10" s="29">
        <v>17061.408370224093</v>
      </c>
      <c r="M10" s="30">
        <f t="shared" si="4"/>
        <v>170.61408370224092</v>
      </c>
      <c r="N10" s="30">
        <f t="shared" si="8"/>
        <v>9910.0922576820285</v>
      </c>
    </row>
    <row r="11" spans="1:24">
      <c r="A11" s="31" t="s">
        <v>607</v>
      </c>
      <c r="B11">
        <v>200.67</v>
      </c>
      <c r="C11">
        <f t="shared" si="0"/>
        <v>36.120599999999996</v>
      </c>
      <c r="D11">
        <f t="shared" si="1"/>
        <v>-36.120599999999996</v>
      </c>
      <c r="E11">
        <f t="shared" si="5"/>
        <v>-363.39281999999992</v>
      </c>
      <c r="F11">
        <v>214.14895172740637</v>
      </c>
      <c r="G11">
        <f t="shared" si="2"/>
        <v>38.546811310933144</v>
      </c>
      <c r="H11">
        <f t="shared" si="6"/>
        <v>389.4759967773166</v>
      </c>
      <c r="I11" s="29">
        <v>386352.15928558097</v>
      </c>
      <c r="J11" s="30">
        <f t="shared" si="3"/>
        <v>3863.5215928558096</v>
      </c>
      <c r="K11" s="30">
        <f t="shared" si="7"/>
        <v>18231.313341911602</v>
      </c>
      <c r="L11" s="29">
        <v>266483.92525082262</v>
      </c>
      <c r="M11" s="30">
        <f t="shared" si="4"/>
        <v>2664.8392525082259</v>
      </c>
      <c r="N11" s="30">
        <f t="shared" si="8"/>
        <v>12574.931510190254</v>
      </c>
      <c r="R11" t="s">
        <v>398</v>
      </c>
      <c r="S11" t="s">
        <v>222</v>
      </c>
      <c r="T11" t="s">
        <v>592</v>
      </c>
    </row>
    <row r="12" spans="1:24">
      <c r="A12" s="31" t="s">
        <v>608</v>
      </c>
      <c r="B12">
        <v>197.11</v>
      </c>
      <c r="C12">
        <f t="shared" si="0"/>
        <v>35.479800000000004</v>
      </c>
      <c r="D12">
        <f t="shared" si="1"/>
        <v>-35.479800000000004</v>
      </c>
      <c r="E12">
        <f t="shared" si="5"/>
        <v>-398.87261999999993</v>
      </c>
      <c r="F12">
        <v>210.30382404021981</v>
      </c>
      <c r="G12">
        <f t="shared" si="2"/>
        <v>37.854688327239565</v>
      </c>
      <c r="H12">
        <f t="shared" si="6"/>
        <v>427.33068510455615</v>
      </c>
      <c r="I12" s="29">
        <v>191340.07501155231</v>
      </c>
      <c r="J12" s="30">
        <f t="shared" si="3"/>
        <v>1913.4007501155229</v>
      </c>
      <c r="K12" s="30">
        <f t="shared" si="7"/>
        <v>20144.714092027127</v>
      </c>
      <c r="L12" s="29">
        <v>131975.59020027562</v>
      </c>
      <c r="M12" s="30">
        <f t="shared" si="4"/>
        <v>1319.7559020027563</v>
      </c>
      <c r="N12" s="30">
        <f t="shared" si="8"/>
        <v>13894.68741219301</v>
      </c>
      <c r="R12" t="s">
        <v>593</v>
      </c>
      <c r="S12" t="s">
        <v>594</v>
      </c>
    </row>
    <row r="13" spans="1:24">
      <c r="A13" s="31" t="s">
        <v>609</v>
      </c>
      <c r="B13">
        <v>198.03</v>
      </c>
      <c r="C13">
        <f t="shared" si="0"/>
        <v>35.645400000000002</v>
      </c>
      <c r="D13">
        <f t="shared" si="1"/>
        <v>-35.645400000000002</v>
      </c>
      <c r="E13">
        <f t="shared" si="5"/>
        <v>-434.51801999999992</v>
      </c>
      <c r="F13">
        <v>216.87049114114811</v>
      </c>
      <c r="G13">
        <f t="shared" si="2"/>
        <v>39.036688405406657</v>
      </c>
      <c r="H13">
        <f t="shared" si="6"/>
        <v>466.36737350996282</v>
      </c>
      <c r="I13" s="29">
        <v>32713.313963978009</v>
      </c>
      <c r="J13" s="30">
        <f t="shared" si="3"/>
        <v>327.1331396397801</v>
      </c>
      <c r="K13" s="30">
        <f t="shared" si="7"/>
        <v>20471.847231666907</v>
      </c>
      <c r="L13" s="29">
        <v>22563.798605923304</v>
      </c>
      <c r="M13" s="30">
        <f t="shared" si="4"/>
        <v>225.63798605923301</v>
      </c>
      <c r="N13" s="30">
        <f t="shared" si="8"/>
        <v>14120.325398252244</v>
      </c>
    </row>
    <row r="14" spans="1:24">
      <c r="A14" s="31" t="s">
        <v>610</v>
      </c>
      <c r="B14">
        <v>199.59</v>
      </c>
      <c r="C14">
        <f t="shared" si="0"/>
        <v>35.926200000000001</v>
      </c>
      <c r="D14">
        <f t="shared" si="1"/>
        <v>-35.926200000000001</v>
      </c>
      <c r="E14">
        <f t="shared" si="5"/>
        <v>-470.44421999999992</v>
      </c>
      <c r="F14">
        <v>212.72176780927532</v>
      </c>
      <c r="G14">
        <f t="shared" si="2"/>
        <v>38.289918205669558</v>
      </c>
      <c r="H14">
        <f t="shared" si="6"/>
        <v>504.65729171563237</v>
      </c>
      <c r="I14" s="29">
        <v>88082.841919669823</v>
      </c>
      <c r="J14" s="30">
        <f t="shared" si="3"/>
        <v>880.82841919669818</v>
      </c>
      <c r="K14" s="30">
        <f t="shared" si="7"/>
        <v>21352.675650863606</v>
      </c>
      <c r="L14" s="29">
        <v>60754.575580490069</v>
      </c>
      <c r="M14" s="30">
        <f t="shared" si="4"/>
        <v>607.54575580490064</v>
      </c>
      <c r="N14" s="30">
        <f t="shared" si="8"/>
        <v>14727.871154057144</v>
      </c>
    </row>
    <row r="15" spans="1:24">
      <c r="A15" s="31" t="s">
        <v>611</v>
      </c>
      <c r="B15">
        <v>199.45</v>
      </c>
      <c r="C15">
        <f t="shared" si="0"/>
        <v>35.900999999999996</v>
      </c>
      <c r="D15">
        <f t="shared" si="1"/>
        <v>-35.900999999999996</v>
      </c>
      <c r="E15">
        <f t="shared" si="5"/>
        <v>-506.34521999999993</v>
      </c>
      <c r="F15">
        <v>212.20596984791334</v>
      </c>
      <c r="G15">
        <f t="shared" si="2"/>
        <v>38.197074572624402</v>
      </c>
      <c r="H15">
        <f t="shared" si="6"/>
        <v>542.85436628825676</v>
      </c>
      <c r="I15" s="29">
        <v>32532.267632175564</v>
      </c>
      <c r="J15" s="30">
        <f t="shared" si="3"/>
        <v>325.32267632175558</v>
      </c>
      <c r="K15" s="30">
        <f t="shared" si="7"/>
        <v>21677.998327185363</v>
      </c>
      <c r="L15" s="29">
        <v>22438.923059116001</v>
      </c>
      <c r="M15" s="30">
        <f t="shared" si="4"/>
        <v>224.38923059115999</v>
      </c>
      <c r="N15" s="30">
        <f t="shared" si="8"/>
        <v>14952.260384648303</v>
      </c>
      <c r="R15" t="s">
        <v>597</v>
      </c>
      <c r="S15" t="s">
        <v>598</v>
      </c>
    </row>
    <row r="16" spans="1:24">
      <c r="A16" s="31" t="s">
        <v>612</v>
      </c>
      <c r="B16">
        <v>203.21</v>
      </c>
      <c r="C16">
        <f t="shared" si="0"/>
        <v>36.577800000000003</v>
      </c>
      <c r="D16">
        <f t="shared" si="1"/>
        <v>-36.577800000000003</v>
      </c>
      <c r="E16">
        <f t="shared" si="5"/>
        <v>-542.92301999999995</v>
      </c>
      <c r="F16">
        <v>216.84323147040485</v>
      </c>
      <c r="G16">
        <f t="shared" si="2"/>
        <v>39.03178166467287</v>
      </c>
      <c r="H16">
        <f t="shared" si="6"/>
        <v>581.8861479529296</v>
      </c>
      <c r="I16" s="29">
        <v>549247.5271535794</v>
      </c>
      <c r="J16" s="30">
        <f t="shared" si="3"/>
        <v>5492.4752715357936</v>
      </c>
      <c r="K16" s="30">
        <f t="shared" si="7"/>
        <v>27170.473598721157</v>
      </c>
      <c r="L16" s="29">
        <v>378839.96103669616</v>
      </c>
      <c r="M16" s="30">
        <f t="shared" si="4"/>
        <v>3788.399610366961</v>
      </c>
      <c r="N16" s="30">
        <f t="shared" si="8"/>
        <v>18740.659995015263</v>
      </c>
      <c r="Q16" t="s">
        <v>367</v>
      </c>
      <c r="R16">
        <v>260.32</v>
      </c>
      <c r="S16" s="29">
        <v>387046.40781776578</v>
      </c>
      <c r="T16" s="30">
        <f>S16/1000/0.1</f>
        <v>3870.4640781776575</v>
      </c>
      <c r="U16">
        <f>-V16</f>
        <v>-46.857599999999998</v>
      </c>
      <c r="V16">
        <f>R16*0.18</f>
        <v>46.857599999999998</v>
      </c>
    </row>
    <row r="17" spans="1:23">
      <c r="A17" s="31" t="s">
        <v>613</v>
      </c>
      <c r="B17">
        <v>198.73</v>
      </c>
      <c r="C17">
        <f t="shared" si="0"/>
        <v>35.7714</v>
      </c>
      <c r="D17">
        <f t="shared" si="1"/>
        <v>-35.7714</v>
      </c>
      <c r="E17">
        <f t="shared" si="5"/>
        <v>-578.69441999999992</v>
      </c>
      <c r="F17">
        <v>212.25274046964969</v>
      </c>
      <c r="G17">
        <f t="shared" si="2"/>
        <v>38.205493284536942</v>
      </c>
      <c r="H17">
        <f t="shared" si="6"/>
        <v>620.09164123746655</v>
      </c>
      <c r="I17" s="29">
        <v>229544.41492603772</v>
      </c>
      <c r="J17" s="30">
        <f t="shared" si="3"/>
        <v>2295.4441492603769</v>
      </c>
      <c r="K17" s="30">
        <f t="shared" si="7"/>
        <v>29465.917747981533</v>
      </c>
      <c r="L17" s="29">
        <v>158326.78875667532</v>
      </c>
      <c r="M17" s="30">
        <f t="shared" si="4"/>
        <v>1583.267887566753</v>
      </c>
      <c r="N17" s="30">
        <f t="shared" si="8"/>
        <v>20323.927882582015</v>
      </c>
      <c r="Q17" t="s">
        <v>205</v>
      </c>
      <c r="R17">
        <v>277</v>
      </c>
      <c r="S17" s="29">
        <v>103880.44113429476</v>
      </c>
      <c r="T17" s="30">
        <f>T16+(S17/1000/0.1)</f>
        <v>4909.2684895206048</v>
      </c>
      <c r="U17">
        <f>U16+-V17</f>
        <v>-96.717600000000004</v>
      </c>
      <c r="V17">
        <f>R17*0.18</f>
        <v>49.86</v>
      </c>
    </row>
    <row r="18" spans="1:23">
      <c r="A18" s="31" t="s">
        <v>614</v>
      </c>
      <c r="B18">
        <v>197.07</v>
      </c>
      <c r="C18">
        <f t="shared" si="0"/>
        <v>35.4726</v>
      </c>
      <c r="D18">
        <f t="shared" si="1"/>
        <v>-35.4726</v>
      </c>
      <c r="E18">
        <f t="shared" si="5"/>
        <v>-614.16701999999987</v>
      </c>
      <c r="F18">
        <v>210.41949490106728</v>
      </c>
      <c r="G18">
        <f t="shared" si="2"/>
        <v>37.87550908219211</v>
      </c>
      <c r="H18">
        <f t="shared" si="6"/>
        <v>657.96715031965869</v>
      </c>
      <c r="I18" s="29">
        <v>72660.40301726984</v>
      </c>
      <c r="J18" s="30">
        <f t="shared" si="3"/>
        <v>726.60403017269834</v>
      </c>
      <c r="K18" s="30">
        <f t="shared" si="7"/>
        <v>30192.521778154231</v>
      </c>
      <c r="L18" s="29">
        <v>50117.047209347787</v>
      </c>
      <c r="M18" s="30">
        <f t="shared" si="4"/>
        <v>501.17047209347788</v>
      </c>
      <c r="N18" s="30">
        <f t="shared" si="8"/>
        <v>20825.098354675494</v>
      </c>
      <c r="Q18" t="s">
        <v>571</v>
      </c>
      <c r="R18">
        <v>161.44999999999999</v>
      </c>
      <c r="S18" s="29">
        <v>600035.53750277776</v>
      </c>
      <c r="T18" s="30">
        <f t="shared" ref="T18:T31" si="9">T17+(S18/1000/0.1)</f>
        <v>10909.623864548383</v>
      </c>
      <c r="U18">
        <f t="shared" ref="U18:U31" si="10">U17+-V18</f>
        <v>-125.7786</v>
      </c>
      <c r="V18">
        <f>R18*0.18</f>
        <v>29.060999999999996</v>
      </c>
    </row>
    <row r="19" spans="1:23">
      <c r="A19" s="31" t="s">
        <v>615</v>
      </c>
      <c r="B19">
        <v>197.16</v>
      </c>
      <c r="C19">
        <f t="shared" si="0"/>
        <v>35.488799999999998</v>
      </c>
      <c r="D19">
        <f t="shared" si="1"/>
        <v>-35.488799999999998</v>
      </c>
      <c r="E19">
        <f t="shared" si="5"/>
        <v>-649.65581999999984</v>
      </c>
      <c r="F19">
        <v>210.25831698035736</v>
      </c>
      <c r="G19">
        <f t="shared" si="2"/>
        <v>37.846497056464322</v>
      </c>
      <c r="H19">
        <f t="shared" si="6"/>
        <v>695.81364737612296</v>
      </c>
      <c r="I19" s="29">
        <v>100255.71300046516</v>
      </c>
      <c r="J19" s="30">
        <f t="shared" si="3"/>
        <v>1002.5571300046514</v>
      </c>
      <c r="K19" s="30">
        <f t="shared" si="7"/>
        <v>31195.078908158881</v>
      </c>
      <c r="L19" s="29">
        <v>69150.735377243996</v>
      </c>
      <c r="M19" s="30">
        <f t="shared" si="4"/>
        <v>691.50735377243984</v>
      </c>
      <c r="N19" s="30">
        <f t="shared" si="8"/>
        <v>21516.605708447933</v>
      </c>
      <c r="Q19" t="s">
        <v>536</v>
      </c>
      <c r="R19">
        <v>303.27999999999997</v>
      </c>
      <c r="S19" s="29">
        <v>843927.75542735506</v>
      </c>
      <c r="T19" s="30">
        <f t="shared" si="9"/>
        <v>19348.90141882193</v>
      </c>
      <c r="U19">
        <f t="shared" si="10"/>
        <v>-180.369</v>
      </c>
      <c r="V19">
        <f>R19*0.18</f>
        <v>54.590399999999995</v>
      </c>
    </row>
    <row r="20" spans="1:23">
      <c r="A20" s="31" t="s">
        <v>469</v>
      </c>
      <c r="B20">
        <v>196.47</v>
      </c>
      <c r="C20">
        <f t="shared" si="0"/>
        <v>35.364599999999996</v>
      </c>
      <c r="D20">
        <f t="shared" si="1"/>
        <v>-35.364599999999996</v>
      </c>
      <c r="E20">
        <f t="shared" si="5"/>
        <v>-685.02041999999983</v>
      </c>
      <c r="F20">
        <v>209.20177317955887</v>
      </c>
      <c r="G20">
        <f t="shared" si="2"/>
        <v>37.656319172320593</v>
      </c>
      <c r="H20">
        <f t="shared" si="6"/>
        <v>733.46996654844361</v>
      </c>
      <c r="I20" s="29">
        <v>122702.60702063295</v>
      </c>
      <c r="J20" s="30">
        <f t="shared" si="3"/>
        <v>1227.0260702063292</v>
      </c>
      <c r="K20" s="30">
        <f t="shared" si="7"/>
        <v>32422.104978365209</v>
      </c>
      <c r="L20" s="29">
        <v>84633.336637308195</v>
      </c>
      <c r="M20" s="30">
        <f t="shared" si="4"/>
        <v>846.33336637308184</v>
      </c>
      <c r="N20" s="30">
        <f t="shared" si="8"/>
        <v>22362.939074821013</v>
      </c>
      <c r="Q20" t="s">
        <v>366</v>
      </c>
      <c r="S20" s="29">
        <v>23266.591979115608</v>
      </c>
      <c r="T20" s="30">
        <f t="shared" si="9"/>
        <v>19581.567338613087</v>
      </c>
      <c r="U20">
        <f t="shared" si="10"/>
        <v>-220.369</v>
      </c>
      <c r="V20">
        <v>40</v>
      </c>
    </row>
    <row r="21" spans="1:23">
      <c r="A21" s="31" t="s">
        <v>616</v>
      </c>
      <c r="B21">
        <v>201.79</v>
      </c>
      <c r="C21">
        <f t="shared" si="0"/>
        <v>36.322199999999995</v>
      </c>
      <c r="D21">
        <f t="shared" si="1"/>
        <v>-36.322199999999995</v>
      </c>
      <c r="E21">
        <f t="shared" si="5"/>
        <v>-721.34261999999978</v>
      </c>
      <c r="F21">
        <v>217.24184365334619</v>
      </c>
      <c r="G21">
        <f t="shared" si="2"/>
        <v>39.103531857602313</v>
      </c>
      <c r="H21">
        <f t="shared" si="6"/>
        <v>772.57349840604593</v>
      </c>
      <c r="I21" s="29">
        <v>177668.46343074375</v>
      </c>
      <c r="J21" s="30">
        <f t="shared" si="3"/>
        <v>1776.6846343074374</v>
      </c>
      <c r="K21" s="30">
        <f t="shared" si="7"/>
        <v>34198.789612672648</v>
      </c>
      <c r="L21" s="29">
        <v>122545.68375094893</v>
      </c>
      <c r="M21" s="30">
        <f t="shared" si="4"/>
        <v>1225.4568375094891</v>
      </c>
      <c r="N21" s="30">
        <f t="shared" si="8"/>
        <v>23588.395912330503</v>
      </c>
      <c r="Q21" t="s">
        <v>368</v>
      </c>
      <c r="S21" s="29">
        <v>10913.149753739943</v>
      </c>
      <c r="T21" s="30">
        <f t="shared" si="9"/>
        <v>19690.698836150488</v>
      </c>
      <c r="U21">
        <f t="shared" si="10"/>
        <v>-313.36900000000003</v>
      </c>
      <c r="V21">
        <v>93</v>
      </c>
    </row>
    <row r="22" spans="1:23">
      <c r="A22" s="31" t="s">
        <v>617</v>
      </c>
      <c r="B22">
        <v>199.96</v>
      </c>
      <c r="C22">
        <f t="shared" si="0"/>
        <v>35.992800000000003</v>
      </c>
      <c r="D22">
        <f t="shared" si="1"/>
        <v>-35.992800000000003</v>
      </c>
      <c r="E22">
        <f t="shared" si="5"/>
        <v>-757.33541999999977</v>
      </c>
      <c r="F22">
        <v>213.81878843642056</v>
      </c>
      <c r="G22">
        <f t="shared" si="2"/>
        <v>38.487381918555698</v>
      </c>
      <c r="H22">
        <f t="shared" si="6"/>
        <v>811.06088032460161</v>
      </c>
      <c r="I22" s="29">
        <v>108971.35944339051</v>
      </c>
      <c r="J22" s="30">
        <f t="shared" si="3"/>
        <v>1089.713594433905</v>
      </c>
      <c r="K22" s="30">
        <f t="shared" si="7"/>
        <v>35288.503207106551</v>
      </c>
      <c r="L22" s="29">
        <v>75162.296641723064</v>
      </c>
      <c r="M22" s="30">
        <f t="shared" si="4"/>
        <v>751.6229664172306</v>
      </c>
      <c r="N22" s="30">
        <f t="shared" si="8"/>
        <v>24340.018878747735</v>
      </c>
      <c r="Q22" t="s">
        <v>553</v>
      </c>
      <c r="S22" s="29">
        <v>324143.49922892608</v>
      </c>
      <c r="T22" s="30">
        <f t="shared" si="9"/>
        <v>22932.13382843975</v>
      </c>
      <c r="U22">
        <f t="shared" si="10"/>
        <v>-369.36900000000003</v>
      </c>
      <c r="V22">
        <v>56</v>
      </c>
    </row>
    <row r="23" spans="1:23">
      <c r="A23" s="31" t="s">
        <v>618</v>
      </c>
      <c r="B23">
        <v>200.92</v>
      </c>
      <c r="C23">
        <f t="shared" si="0"/>
        <v>36.165599999999998</v>
      </c>
      <c r="D23">
        <f t="shared" si="1"/>
        <v>-36.165599999999998</v>
      </c>
      <c r="E23">
        <f t="shared" si="5"/>
        <v>-793.50101999999981</v>
      </c>
      <c r="F23">
        <v>215.29769802317753</v>
      </c>
      <c r="G23">
        <f t="shared" si="2"/>
        <v>38.753585644171956</v>
      </c>
      <c r="H23">
        <f t="shared" si="6"/>
        <v>849.81446596877356</v>
      </c>
      <c r="I23" s="29">
        <v>32310.355199231373</v>
      </c>
      <c r="J23" s="30">
        <f t="shared" si="3"/>
        <v>323.10355199231373</v>
      </c>
      <c r="K23" s="30">
        <f t="shared" si="7"/>
        <v>35611.606759098868</v>
      </c>
      <c r="L23" s="29">
        <v>22285.860381008337</v>
      </c>
      <c r="M23" s="30">
        <f t="shared" si="4"/>
        <v>222.85860381008337</v>
      </c>
      <c r="N23" s="30">
        <f t="shared" si="8"/>
        <v>24562.877482557818</v>
      </c>
      <c r="Q23" t="s">
        <v>532</v>
      </c>
      <c r="S23" s="29">
        <v>14324.518824631661</v>
      </c>
      <c r="T23" s="30">
        <f t="shared" si="9"/>
        <v>23075.379016686067</v>
      </c>
      <c r="U23">
        <f t="shared" si="10"/>
        <v>-457.36900000000003</v>
      </c>
      <c r="V23">
        <v>88</v>
      </c>
    </row>
    <row r="24" spans="1:23">
      <c r="A24" s="31" t="s">
        <v>619</v>
      </c>
      <c r="B24">
        <v>200.52</v>
      </c>
      <c r="C24">
        <f t="shared" si="0"/>
        <v>36.093600000000002</v>
      </c>
      <c r="D24">
        <f t="shared" si="1"/>
        <v>-36.093600000000002</v>
      </c>
      <c r="E24">
        <f t="shared" si="5"/>
        <v>-829.59461999999985</v>
      </c>
      <c r="F24">
        <v>214.40013556647574</v>
      </c>
      <c r="G24">
        <f t="shared" si="2"/>
        <v>38.592024401965631</v>
      </c>
      <c r="H24">
        <f t="shared" si="6"/>
        <v>888.40649037073922</v>
      </c>
      <c r="I24" s="29">
        <v>324143.49922892608</v>
      </c>
      <c r="J24" s="30">
        <f t="shared" si="3"/>
        <v>3241.4349922892607</v>
      </c>
      <c r="K24" s="30">
        <f t="shared" si="7"/>
        <v>38853.041751388126</v>
      </c>
      <c r="L24" s="29">
        <v>223575.9007502067</v>
      </c>
      <c r="M24" s="30">
        <f t="shared" si="4"/>
        <v>2235.7590075020667</v>
      </c>
      <c r="N24" s="30">
        <f t="shared" si="8"/>
        <v>26798.636490059886</v>
      </c>
      <c r="Q24" t="s">
        <v>566</v>
      </c>
      <c r="S24" s="29">
        <v>98838.704702735849</v>
      </c>
      <c r="T24" s="30">
        <f t="shared" si="9"/>
        <v>24063.766063713425</v>
      </c>
      <c r="U24">
        <f t="shared" si="10"/>
        <v>-597.36900000000003</v>
      </c>
      <c r="V24">
        <v>140</v>
      </c>
    </row>
    <row r="25" spans="1:23">
      <c r="A25" s="31" t="s">
        <v>620</v>
      </c>
      <c r="B25">
        <v>201.84</v>
      </c>
      <c r="C25">
        <f t="shared" si="0"/>
        <v>36.331200000000003</v>
      </c>
      <c r="D25">
        <f t="shared" si="1"/>
        <v>-36.331200000000003</v>
      </c>
      <c r="E25">
        <f t="shared" si="5"/>
        <v>-865.92581999999982</v>
      </c>
      <c r="F25">
        <v>215.81781267623194</v>
      </c>
      <c r="G25">
        <f t="shared" si="2"/>
        <v>38.847206281721746</v>
      </c>
      <c r="H25">
        <f t="shared" si="6"/>
        <v>927.25369665246092</v>
      </c>
      <c r="I25" s="29">
        <v>119257.26206332674</v>
      </c>
      <c r="J25" s="30">
        <f t="shared" si="3"/>
        <v>1192.5726206332672</v>
      </c>
      <c r="K25" s="30">
        <f t="shared" si="7"/>
        <v>40045.614372021395</v>
      </c>
      <c r="L25" s="29">
        <v>82256.932038550935</v>
      </c>
      <c r="M25" s="30">
        <f t="shared" si="4"/>
        <v>822.56932038550929</v>
      </c>
      <c r="N25" s="30">
        <f t="shared" si="8"/>
        <v>27621.205810445394</v>
      </c>
      <c r="Q25" t="s">
        <v>540</v>
      </c>
      <c r="S25" s="29">
        <v>386352.15928558097</v>
      </c>
      <c r="T25" s="30">
        <f t="shared" si="9"/>
        <v>27927.287656569235</v>
      </c>
      <c r="U25">
        <f t="shared" si="10"/>
        <v>-613.67899999999997</v>
      </c>
      <c r="V25">
        <v>16.309999999999999</v>
      </c>
      <c r="W25" t="s">
        <v>646</v>
      </c>
    </row>
    <row r="26" spans="1:23">
      <c r="A26" s="31" t="s">
        <v>621</v>
      </c>
      <c r="B26">
        <v>199.62</v>
      </c>
      <c r="C26">
        <f t="shared" si="0"/>
        <v>35.931599999999996</v>
      </c>
      <c r="D26">
        <f t="shared" si="1"/>
        <v>-35.931599999999996</v>
      </c>
      <c r="E26">
        <f t="shared" si="5"/>
        <v>-901.85741999999982</v>
      </c>
      <c r="F26">
        <v>212.62301937094816</v>
      </c>
      <c r="G26">
        <f t="shared" si="2"/>
        <v>38.272143486770666</v>
      </c>
      <c r="H26">
        <f t="shared" si="6"/>
        <v>965.5258401392316</v>
      </c>
      <c r="I26" s="29">
        <v>191865.15689250134</v>
      </c>
      <c r="J26" s="30">
        <f t="shared" si="3"/>
        <v>1918.6515689250134</v>
      </c>
      <c r="K26" s="30">
        <f t="shared" si="7"/>
        <v>41964.26594094641</v>
      </c>
      <c r="L26" s="29">
        <v>132337.76206175028</v>
      </c>
      <c r="M26" s="30">
        <f t="shared" si="4"/>
        <v>1323.3776206175028</v>
      </c>
      <c r="N26" s="30">
        <f t="shared" si="8"/>
        <v>28944.583431062896</v>
      </c>
      <c r="Q26" t="s">
        <v>534</v>
      </c>
      <c r="S26" s="29">
        <v>101384.04506047818</v>
      </c>
      <c r="T26" s="30">
        <f t="shared" si="9"/>
        <v>28941.128107174016</v>
      </c>
      <c r="U26">
        <f t="shared" si="10"/>
        <v>-643.67899999999997</v>
      </c>
      <c r="V26">
        <v>30</v>
      </c>
      <c r="W26" t="s">
        <v>647</v>
      </c>
    </row>
    <row r="27" spans="1:23">
      <c r="A27" s="31" t="s">
        <v>622</v>
      </c>
      <c r="B27">
        <v>196.35</v>
      </c>
      <c r="C27">
        <f t="shared" si="0"/>
        <v>35.342999999999996</v>
      </c>
      <c r="D27">
        <f t="shared" si="1"/>
        <v>-35.342999999999996</v>
      </c>
      <c r="E27">
        <f t="shared" si="5"/>
        <v>-937.20041999999978</v>
      </c>
      <c r="F27">
        <v>209.61120539845521</v>
      </c>
      <c r="G27">
        <f t="shared" si="2"/>
        <v>37.730016971721938</v>
      </c>
      <c r="H27">
        <f t="shared" si="6"/>
        <v>1003.2558571109536</v>
      </c>
      <c r="I27" s="29">
        <v>61979.382221759588</v>
      </c>
      <c r="J27" s="30">
        <f t="shared" si="3"/>
        <v>619.79382221759579</v>
      </c>
      <c r="K27" s="30">
        <f t="shared" si="7"/>
        <v>42584.059763164005</v>
      </c>
      <c r="L27" s="29">
        <v>42749.881583726579</v>
      </c>
      <c r="M27" s="30">
        <f t="shared" si="4"/>
        <v>427.49881583726574</v>
      </c>
      <c r="N27" s="30">
        <f t="shared" si="8"/>
        <v>29372.082246900161</v>
      </c>
      <c r="Q27" t="s">
        <v>541</v>
      </c>
      <c r="S27" s="29">
        <v>191340.07501155231</v>
      </c>
      <c r="T27" s="30">
        <f t="shared" si="9"/>
        <v>30854.528857289537</v>
      </c>
      <c r="U27">
        <f t="shared" si="10"/>
        <v>-675.67899999999997</v>
      </c>
      <c r="V27">
        <v>32</v>
      </c>
      <c r="W27" t="s">
        <v>648</v>
      </c>
    </row>
    <row r="28" spans="1:23">
      <c r="A28" s="31" t="s">
        <v>623</v>
      </c>
      <c r="B28">
        <v>199.78</v>
      </c>
      <c r="C28">
        <f t="shared" si="0"/>
        <v>35.9604</v>
      </c>
      <c r="D28">
        <f t="shared" si="1"/>
        <v>-35.9604</v>
      </c>
      <c r="E28">
        <f t="shared" si="5"/>
        <v>-973.16081999999983</v>
      </c>
      <c r="F28">
        <v>213.34569251732333</v>
      </c>
      <c r="G28">
        <f t="shared" si="2"/>
        <v>38.402224653118196</v>
      </c>
      <c r="H28">
        <f t="shared" si="6"/>
        <v>1041.6580817640718</v>
      </c>
      <c r="I28" s="29">
        <v>18942.863440872985</v>
      </c>
      <c r="J28" s="30">
        <f t="shared" si="3"/>
        <v>189.42863440872983</v>
      </c>
      <c r="K28" s="30">
        <f t="shared" si="7"/>
        <v>42773.488397572735</v>
      </c>
      <c r="L28" s="29">
        <v>13065.71862973036</v>
      </c>
      <c r="M28" s="30">
        <f t="shared" si="4"/>
        <v>130.65718629730358</v>
      </c>
      <c r="N28" s="30">
        <f t="shared" si="8"/>
        <v>29502.739433197465</v>
      </c>
      <c r="Q28" t="s">
        <v>574</v>
      </c>
      <c r="S28" s="29">
        <v>156877.3592876514</v>
      </c>
      <c r="T28" s="30">
        <f t="shared" si="9"/>
        <v>32423.302450166051</v>
      </c>
      <c r="U28">
        <f t="shared" si="10"/>
        <v>-712.279</v>
      </c>
      <c r="V28">
        <v>36.6</v>
      </c>
      <c r="W28" t="s">
        <v>649</v>
      </c>
    </row>
    <row r="29" spans="1:23">
      <c r="A29" s="31" t="s">
        <v>624</v>
      </c>
      <c r="B29">
        <v>198.93</v>
      </c>
      <c r="C29">
        <f t="shared" si="0"/>
        <v>35.807400000000001</v>
      </c>
      <c r="D29">
        <f t="shared" si="1"/>
        <v>-35.807400000000001</v>
      </c>
      <c r="E29">
        <f t="shared" si="5"/>
        <v>-1008.9682199999999</v>
      </c>
      <c r="F29">
        <v>211.7297044517058</v>
      </c>
      <c r="G29">
        <f t="shared" si="2"/>
        <v>38.111346801307043</v>
      </c>
      <c r="H29">
        <f t="shared" si="6"/>
        <v>1079.7694285653788</v>
      </c>
      <c r="I29" s="29">
        <v>155144.11389329596</v>
      </c>
      <c r="J29" s="30">
        <f t="shared" si="3"/>
        <v>1551.4411389329593</v>
      </c>
      <c r="K29" s="30">
        <f t="shared" si="7"/>
        <v>44324.929536505697</v>
      </c>
      <c r="L29" s="29">
        <v>107009.65804435035</v>
      </c>
      <c r="M29" s="30">
        <f t="shared" si="4"/>
        <v>1070.0965804435034</v>
      </c>
      <c r="N29" s="30">
        <f t="shared" si="8"/>
        <v>30572.836013640968</v>
      </c>
      <c r="Q29" t="s">
        <v>551</v>
      </c>
      <c r="S29" s="29">
        <v>108971.35944339051</v>
      </c>
      <c r="T29" s="30">
        <f t="shared" si="9"/>
        <v>33513.016044599957</v>
      </c>
      <c r="U29">
        <f t="shared" si="10"/>
        <v>-750.17899999999997</v>
      </c>
      <c r="V29">
        <v>37.9</v>
      </c>
    </row>
    <row r="30" spans="1:23">
      <c r="A30" s="31" t="s">
        <v>625</v>
      </c>
      <c r="B30">
        <v>199.39</v>
      </c>
      <c r="C30">
        <f t="shared" si="0"/>
        <v>35.890199999999993</v>
      </c>
      <c r="D30">
        <f t="shared" si="1"/>
        <v>-35.890199999999993</v>
      </c>
      <c r="E30">
        <f t="shared" si="5"/>
        <v>-1044.8584199999998</v>
      </c>
      <c r="F30">
        <v>212.56364403074767</v>
      </c>
      <c r="G30">
        <f t="shared" si="2"/>
        <v>38.261455925534577</v>
      </c>
      <c r="H30">
        <f t="shared" si="6"/>
        <v>1118.0308844909134</v>
      </c>
      <c r="I30" s="29">
        <v>14190.991215087051</v>
      </c>
      <c r="J30" s="30">
        <f t="shared" si="3"/>
        <v>141.9099121508705</v>
      </c>
      <c r="K30" s="30">
        <f t="shared" si="7"/>
        <v>44466.839448656567</v>
      </c>
      <c r="L30" s="29">
        <v>9788.1452227139125</v>
      </c>
      <c r="M30" s="30">
        <f t="shared" si="4"/>
        <v>97.881452227139121</v>
      </c>
      <c r="N30" s="30">
        <f t="shared" si="8"/>
        <v>30670.717465868107</v>
      </c>
      <c r="Q30" t="s">
        <v>398</v>
      </c>
      <c r="S30" s="29">
        <v>66281.252147763604</v>
      </c>
      <c r="T30" s="30">
        <f t="shared" si="9"/>
        <v>34175.828566077595</v>
      </c>
      <c r="U30">
        <f t="shared" si="10"/>
        <v>-761.17899999999997</v>
      </c>
      <c r="V30">
        <v>11</v>
      </c>
    </row>
    <row r="31" spans="1:23">
      <c r="A31" s="31" t="s">
        <v>626</v>
      </c>
      <c r="B31">
        <v>198.88</v>
      </c>
      <c r="C31">
        <f t="shared" si="0"/>
        <v>35.798400000000001</v>
      </c>
      <c r="D31">
        <f t="shared" si="1"/>
        <v>-35.798400000000001</v>
      </c>
      <c r="E31">
        <f t="shared" si="5"/>
        <v>-1080.6568199999997</v>
      </c>
      <c r="F31">
        <v>211.84652023944079</v>
      </c>
      <c r="G31">
        <f t="shared" si="2"/>
        <v>38.132373643099342</v>
      </c>
      <c r="H31">
        <f t="shared" si="6"/>
        <v>1156.1632581340127</v>
      </c>
      <c r="I31" s="29">
        <v>45770.270872381152</v>
      </c>
      <c r="J31" s="30">
        <f t="shared" si="3"/>
        <v>457.7027087238115</v>
      </c>
      <c r="K31" s="30">
        <f t="shared" si="7"/>
        <v>44924.542157380376</v>
      </c>
      <c r="L31" s="29">
        <v>31569.750935052754</v>
      </c>
      <c r="M31" s="30">
        <f t="shared" si="4"/>
        <v>315.69750935052753</v>
      </c>
      <c r="N31" s="30">
        <f t="shared" si="8"/>
        <v>30986.414975218635</v>
      </c>
      <c r="Q31" t="s">
        <v>550</v>
      </c>
      <c r="S31" s="29">
        <v>32310.355199231373</v>
      </c>
      <c r="T31" s="30">
        <f t="shared" si="9"/>
        <v>34498.932118069912</v>
      </c>
      <c r="U31">
        <f t="shared" si="10"/>
        <v>-793.67899999999997</v>
      </c>
      <c r="V31">
        <v>32.5</v>
      </c>
      <c r="W31" t="s">
        <v>650</v>
      </c>
    </row>
    <row r="32" spans="1:23">
      <c r="A32" s="31" t="s">
        <v>627</v>
      </c>
      <c r="B32">
        <v>201.03</v>
      </c>
      <c r="C32">
        <f t="shared" si="0"/>
        <v>36.185400000000001</v>
      </c>
      <c r="D32">
        <f t="shared" si="1"/>
        <v>-36.185400000000001</v>
      </c>
      <c r="E32">
        <f t="shared" si="5"/>
        <v>-1116.8422199999998</v>
      </c>
      <c r="F32">
        <v>216.19886730593336</v>
      </c>
      <c r="G32">
        <f t="shared" si="2"/>
        <v>38.915796115068005</v>
      </c>
      <c r="H32">
        <f t="shared" si="6"/>
        <v>1195.0790542490806</v>
      </c>
      <c r="I32" s="29">
        <v>23266.591979115608</v>
      </c>
      <c r="J32" s="30">
        <f t="shared" si="3"/>
        <v>232.66591979115609</v>
      </c>
      <c r="K32" s="30">
        <f t="shared" si="7"/>
        <v>45157.208077171534</v>
      </c>
      <c r="L32" s="29">
        <v>16047.982672774613</v>
      </c>
      <c r="M32" s="30">
        <f t="shared" si="4"/>
        <v>160.47982672774612</v>
      </c>
      <c r="N32" s="30">
        <f t="shared" si="8"/>
        <v>31146.894801946382</v>
      </c>
      <c r="S32" s="29"/>
      <c r="T32" s="30"/>
    </row>
    <row r="33" spans="1:20">
      <c r="A33" s="31" t="s">
        <v>628</v>
      </c>
      <c r="B33">
        <v>204.79</v>
      </c>
      <c r="C33">
        <f t="shared" si="0"/>
        <v>36.862199999999994</v>
      </c>
      <c r="D33">
        <f t="shared" si="1"/>
        <v>-36.862199999999994</v>
      </c>
      <c r="E33">
        <f t="shared" si="5"/>
        <v>-1153.7044199999998</v>
      </c>
      <c r="F33">
        <v>219.66540099918805</v>
      </c>
      <c r="G33">
        <f t="shared" si="2"/>
        <v>39.539772179853848</v>
      </c>
      <c r="H33">
        <f t="shared" si="6"/>
        <v>1234.6188264289344</v>
      </c>
      <c r="I33" s="29">
        <v>283743.55675251764</v>
      </c>
      <c r="J33" s="30">
        <f t="shared" si="3"/>
        <v>2837.4355675251763</v>
      </c>
      <c r="K33" s="30">
        <f t="shared" si="7"/>
        <v>47994.643644696713</v>
      </c>
      <c r="L33" s="29">
        <v>195710.29940109549</v>
      </c>
      <c r="M33" s="30">
        <f t="shared" si="4"/>
        <v>1957.1029940109547</v>
      </c>
      <c r="N33" s="30">
        <f t="shared" si="8"/>
        <v>33103.997795957337</v>
      </c>
      <c r="S33" s="29"/>
      <c r="T33" s="30"/>
    </row>
    <row r="34" spans="1:20">
      <c r="A34" s="31" t="s">
        <v>629</v>
      </c>
      <c r="B34">
        <v>197.14</v>
      </c>
      <c r="C34">
        <f t="shared" ref="C34:C65" si="11">B34*0.18</f>
        <v>35.485199999999999</v>
      </c>
      <c r="D34">
        <f t="shared" si="1"/>
        <v>-35.485199999999999</v>
      </c>
      <c r="E34">
        <f t="shared" si="5"/>
        <v>-1189.1896199999999</v>
      </c>
      <c r="F34">
        <v>210.32699243791117</v>
      </c>
      <c r="G34">
        <f t="shared" si="2"/>
        <v>37.85885863882401</v>
      </c>
      <c r="H34">
        <f t="shared" si="6"/>
        <v>1272.4776850677583</v>
      </c>
      <c r="I34" s="29">
        <v>43744.072555306171</v>
      </c>
      <c r="J34" s="30">
        <f t="shared" si="3"/>
        <v>437.44072555306167</v>
      </c>
      <c r="K34" s="30">
        <f t="shared" si="7"/>
        <v>48432.084370249773</v>
      </c>
      <c r="L34" s="29">
        <v>30172.19363430094</v>
      </c>
      <c r="M34" s="30">
        <f t="shared" si="4"/>
        <v>301.72193634300936</v>
      </c>
      <c r="N34" s="30">
        <f t="shared" si="8"/>
        <v>33405.719732300349</v>
      </c>
      <c r="S34" s="29"/>
      <c r="T34" s="30"/>
    </row>
    <row r="35" spans="1:20">
      <c r="A35" s="31" t="s">
        <v>630</v>
      </c>
      <c r="B35">
        <v>207.41</v>
      </c>
      <c r="C35">
        <f t="shared" si="11"/>
        <v>37.333799999999997</v>
      </c>
      <c r="D35">
        <f t="shared" si="1"/>
        <v>-37.333799999999997</v>
      </c>
      <c r="E35">
        <f t="shared" si="5"/>
        <v>-1226.52342</v>
      </c>
      <c r="F35">
        <v>221.16391005619158</v>
      </c>
      <c r="G35">
        <f t="shared" si="2"/>
        <v>39.809503810114485</v>
      </c>
      <c r="H35">
        <f t="shared" si="6"/>
        <v>1312.2871888778727</v>
      </c>
      <c r="I35" s="29">
        <v>66281.252147763604</v>
      </c>
      <c r="J35" s="30">
        <f t="shared" si="3"/>
        <v>662.8125214776361</v>
      </c>
      <c r="K35" s="30">
        <f t="shared" si="7"/>
        <v>49094.896891727411</v>
      </c>
      <c r="L35" s="29">
        <v>45717.068789098528</v>
      </c>
      <c r="M35" s="30">
        <f t="shared" si="4"/>
        <v>457.17068789098522</v>
      </c>
      <c r="N35" s="30">
        <f t="shared" si="8"/>
        <v>33862.890420191332</v>
      </c>
    </row>
    <row r="36" spans="1:20">
      <c r="A36" s="31" t="s">
        <v>631</v>
      </c>
      <c r="B36">
        <v>202.33</v>
      </c>
      <c r="C36">
        <f t="shared" si="11"/>
        <v>36.419400000000003</v>
      </c>
      <c r="D36">
        <f t="shared" si="1"/>
        <v>-36.419400000000003</v>
      </c>
      <c r="E36">
        <f t="shared" si="5"/>
        <v>-1262.94282</v>
      </c>
      <c r="F36">
        <v>217.4115956587371</v>
      </c>
      <c r="G36">
        <f t="shared" si="2"/>
        <v>39.134087218572674</v>
      </c>
      <c r="H36">
        <f t="shared" si="6"/>
        <v>1351.4212760964454</v>
      </c>
      <c r="I36" s="29">
        <v>656450.2397545327</v>
      </c>
      <c r="J36" s="30">
        <f t="shared" si="3"/>
        <v>6564.5023975453269</v>
      </c>
      <c r="K36" s="30">
        <f t="shared" si="7"/>
        <v>55659.39928927274</v>
      </c>
      <c r="L36" s="29">
        <v>452782.34485632973</v>
      </c>
      <c r="M36" s="30">
        <f t="shared" si="4"/>
        <v>4527.8234485632966</v>
      </c>
      <c r="N36" s="30">
        <f t="shared" si="8"/>
        <v>38390.713868754625</v>
      </c>
    </row>
    <row r="37" spans="1:20">
      <c r="A37" s="31" t="s">
        <v>632</v>
      </c>
      <c r="B37">
        <v>200.33</v>
      </c>
      <c r="C37">
        <f t="shared" si="11"/>
        <v>36.059400000000004</v>
      </c>
      <c r="D37">
        <f t="shared" si="1"/>
        <v>-36.059400000000004</v>
      </c>
      <c r="E37">
        <f t="shared" si="5"/>
        <v>-1299.0022200000001</v>
      </c>
      <c r="F37">
        <v>213.99111796451788</v>
      </c>
      <c r="G37">
        <f t="shared" si="2"/>
        <v>38.518401233613218</v>
      </c>
      <c r="H37">
        <f t="shared" si="6"/>
        <v>1389.9396773300587</v>
      </c>
      <c r="I37" s="29">
        <v>445994.80834030878</v>
      </c>
      <c r="J37" s="30">
        <f t="shared" si="3"/>
        <v>4459.9480834030874</v>
      </c>
      <c r="K37" s="30">
        <f t="shared" si="7"/>
        <v>60119.347372675824</v>
      </c>
      <c r="L37" s="29">
        <v>307622.06011164642</v>
      </c>
      <c r="M37" s="30">
        <f t="shared" si="4"/>
        <v>3076.220601116464</v>
      </c>
      <c r="N37" s="30">
        <f t="shared" si="8"/>
        <v>41466.934469871092</v>
      </c>
    </row>
    <row r="38" spans="1:20">
      <c r="A38" s="31" t="s">
        <v>633</v>
      </c>
      <c r="B38">
        <v>196.35</v>
      </c>
      <c r="C38">
        <f t="shared" si="11"/>
        <v>35.342999999999996</v>
      </c>
      <c r="D38">
        <f t="shared" si="1"/>
        <v>-35.342999999999996</v>
      </c>
      <c r="E38">
        <f t="shared" si="5"/>
        <v>-1334.3452200000002</v>
      </c>
      <c r="F38">
        <v>208.76303860123537</v>
      </c>
      <c r="G38">
        <f t="shared" si="2"/>
        <v>37.577346948222363</v>
      </c>
      <c r="H38">
        <f t="shared" si="6"/>
        <v>1427.517024278281</v>
      </c>
      <c r="I38" s="29">
        <v>87860.216705891682</v>
      </c>
      <c r="J38" s="30">
        <f t="shared" si="3"/>
        <v>878.60216705891685</v>
      </c>
      <c r="K38" s="30">
        <f t="shared" si="7"/>
        <v>60997.949539734742</v>
      </c>
      <c r="L38" s="29">
        <v>60601.021266371354</v>
      </c>
      <c r="M38" s="30">
        <f t="shared" si="4"/>
        <v>606.01021266371356</v>
      </c>
      <c r="N38" s="30">
        <f t="shared" si="8"/>
        <v>42072.944682534806</v>
      </c>
    </row>
    <row r="39" spans="1:20">
      <c r="A39" s="31" t="s">
        <v>634</v>
      </c>
      <c r="B39">
        <v>203.89</v>
      </c>
      <c r="C39">
        <f t="shared" si="11"/>
        <v>36.700199999999995</v>
      </c>
      <c r="D39">
        <f t="shared" si="1"/>
        <v>-36.700199999999995</v>
      </c>
      <c r="E39">
        <f t="shared" si="5"/>
        <v>-1371.0454200000001</v>
      </c>
      <c r="F39">
        <v>217.49166331757729</v>
      </c>
      <c r="G39">
        <f t="shared" si="2"/>
        <v>39.14849939716391</v>
      </c>
      <c r="H39">
        <f t="shared" si="6"/>
        <v>1466.665523675445</v>
      </c>
      <c r="I39" s="29">
        <v>98838.704702735849</v>
      </c>
      <c r="J39" s="30">
        <f t="shared" si="3"/>
        <v>988.38704702735845</v>
      </c>
      <c r="K39" s="30">
        <f t="shared" si="7"/>
        <v>61986.336586762103</v>
      </c>
      <c r="L39" s="29">
        <v>68173.362987271685</v>
      </c>
      <c r="M39" s="30">
        <f t="shared" si="4"/>
        <v>681.73362987271685</v>
      </c>
      <c r="N39" s="30">
        <f t="shared" si="8"/>
        <v>42754.678312407523</v>
      </c>
    </row>
    <row r="40" spans="1:20">
      <c r="A40" s="31" t="s">
        <v>635</v>
      </c>
      <c r="B40">
        <v>201.72</v>
      </c>
      <c r="C40">
        <f t="shared" si="11"/>
        <v>36.309599999999996</v>
      </c>
      <c r="D40">
        <f t="shared" si="1"/>
        <v>-36.309599999999996</v>
      </c>
      <c r="E40">
        <f t="shared" si="5"/>
        <v>-1407.3550200000002</v>
      </c>
      <c r="F40">
        <v>215.14636599352971</v>
      </c>
      <c r="G40">
        <f t="shared" si="2"/>
        <v>38.726345878835346</v>
      </c>
      <c r="H40">
        <f t="shared" si="6"/>
        <v>1505.3918695542804</v>
      </c>
      <c r="I40" s="29">
        <v>387046.40781776578</v>
      </c>
      <c r="J40" s="30">
        <f t="shared" si="3"/>
        <v>3870.4640781776575</v>
      </c>
      <c r="K40" s="30">
        <f t="shared" si="7"/>
        <v>65856.800664939758</v>
      </c>
      <c r="L40" s="29">
        <v>266962.77872558415</v>
      </c>
      <c r="M40" s="30">
        <f t="shared" si="4"/>
        <v>2669.6277872558412</v>
      </c>
      <c r="N40" s="30">
        <f t="shared" si="8"/>
        <v>45424.306099663365</v>
      </c>
    </row>
    <row r="41" spans="1:20">
      <c r="A41" s="31" t="s">
        <v>636</v>
      </c>
      <c r="B41">
        <v>200.61</v>
      </c>
      <c r="C41">
        <f t="shared" si="11"/>
        <v>36.1098</v>
      </c>
      <c r="D41">
        <f t="shared" si="1"/>
        <v>-36.1098</v>
      </c>
      <c r="E41">
        <f t="shared" si="5"/>
        <v>-1443.4648200000001</v>
      </c>
      <c r="F41">
        <v>216.03234840071255</v>
      </c>
      <c r="G41">
        <f t="shared" si="2"/>
        <v>38.88582271212826</v>
      </c>
      <c r="H41">
        <f t="shared" si="6"/>
        <v>1544.2776922664086</v>
      </c>
      <c r="I41" s="29">
        <v>31409.875412444933</v>
      </c>
      <c r="J41" s="30">
        <f t="shared" si="3"/>
        <v>314.09875412444933</v>
      </c>
      <c r="K41" s="30">
        <f t="shared" si="7"/>
        <v>66170.899419064212</v>
      </c>
      <c r="L41" s="29">
        <v>21664.760220378688</v>
      </c>
      <c r="M41" s="30">
        <f t="shared" si="4"/>
        <v>216.64760220378687</v>
      </c>
      <c r="N41" s="30">
        <f t="shared" si="8"/>
        <v>45640.953701867154</v>
      </c>
    </row>
    <row r="42" spans="1:20">
      <c r="A42" s="31" t="s">
        <v>637</v>
      </c>
      <c r="B42">
        <v>199.18</v>
      </c>
      <c r="C42">
        <f t="shared" si="11"/>
        <v>35.852400000000003</v>
      </c>
      <c r="D42">
        <f t="shared" si="1"/>
        <v>-35.852400000000003</v>
      </c>
      <c r="E42">
        <f t="shared" si="5"/>
        <v>-1479.3172200000001</v>
      </c>
      <c r="F42">
        <v>212.78028368183922</v>
      </c>
      <c r="G42">
        <f t="shared" si="2"/>
        <v>38.300451062731057</v>
      </c>
      <c r="H42">
        <f t="shared" si="6"/>
        <v>1582.5781433291397</v>
      </c>
      <c r="I42" s="29">
        <v>119807.52886707275</v>
      </c>
      <c r="J42" s="30">
        <f t="shared" si="3"/>
        <v>1198.0752886707273</v>
      </c>
      <c r="K42" s="30">
        <f t="shared" si="7"/>
        <v>67368.974707734946</v>
      </c>
      <c r="L42" s="29">
        <v>82636.475039083511</v>
      </c>
      <c r="M42" s="30">
        <f t="shared" si="4"/>
        <v>826.36475039083507</v>
      </c>
      <c r="N42" s="30">
        <f t="shared" si="8"/>
        <v>46467.31845225799</v>
      </c>
    </row>
    <row r="43" spans="1:20">
      <c r="A43" s="31" t="s">
        <v>69</v>
      </c>
      <c r="B43">
        <v>198.39</v>
      </c>
      <c r="C43">
        <f t="shared" si="11"/>
        <v>35.710199999999993</v>
      </c>
      <c r="D43">
        <f t="shared" si="1"/>
        <v>-35.710199999999993</v>
      </c>
      <c r="E43">
        <f t="shared" si="5"/>
        <v>-1515.0274200000001</v>
      </c>
      <c r="F43">
        <v>211.61480544710011</v>
      </c>
      <c r="G43">
        <f t="shared" si="2"/>
        <v>38.090664980478017</v>
      </c>
      <c r="H43">
        <f t="shared" si="6"/>
        <v>1620.6688083096178</v>
      </c>
      <c r="I43" s="29">
        <v>14502.001252264761</v>
      </c>
      <c r="J43" s="30">
        <f t="shared" si="3"/>
        <v>145.02001252264762</v>
      </c>
      <c r="K43" s="30">
        <f t="shared" si="7"/>
        <v>67513.9947202576</v>
      </c>
      <c r="L43" s="29">
        <v>10002.662402203134</v>
      </c>
      <c r="M43" s="30">
        <f t="shared" si="4"/>
        <v>100.02662402203133</v>
      </c>
      <c r="N43" s="30">
        <f t="shared" si="8"/>
        <v>46567.34507628002</v>
      </c>
    </row>
    <row r="44" spans="1:20">
      <c r="A44" s="31" t="s">
        <v>638</v>
      </c>
      <c r="B44">
        <v>197.92</v>
      </c>
      <c r="C44">
        <f t="shared" si="11"/>
        <v>35.625599999999999</v>
      </c>
      <c r="D44">
        <f t="shared" si="1"/>
        <v>-35.625599999999999</v>
      </c>
      <c r="E44">
        <f t="shared" si="5"/>
        <v>-1550.6530200000002</v>
      </c>
      <c r="F44">
        <v>211.2912117777575</v>
      </c>
      <c r="G44">
        <f t="shared" si="2"/>
        <v>38.03241811999635</v>
      </c>
      <c r="H44">
        <f t="shared" si="6"/>
        <v>1658.7012264296141</v>
      </c>
      <c r="I44" s="29">
        <v>176182.79057935168</v>
      </c>
      <c r="J44" s="30">
        <f t="shared" si="3"/>
        <v>1761.8279057935167</v>
      </c>
      <c r="K44" s="30">
        <f t="shared" si="7"/>
        <v>69275.822626051115</v>
      </c>
      <c r="L44" s="29">
        <v>121520.95042524517</v>
      </c>
      <c r="M44" s="30">
        <f t="shared" si="4"/>
        <v>1215.2095042524518</v>
      </c>
      <c r="N44" s="30">
        <f t="shared" si="8"/>
        <v>47782.554580532473</v>
      </c>
    </row>
    <row r="45" spans="1:20">
      <c r="A45" s="31" t="s">
        <v>639</v>
      </c>
      <c r="B45">
        <v>197.619</v>
      </c>
      <c r="C45">
        <f t="shared" si="11"/>
        <v>35.571419999999996</v>
      </c>
      <c r="D45">
        <f t="shared" si="1"/>
        <v>-35.571419999999996</v>
      </c>
      <c r="E45">
        <f t="shared" si="5"/>
        <v>-1586.2244400000002</v>
      </c>
      <c r="F45">
        <v>210.33863052030358</v>
      </c>
      <c r="G45">
        <f t="shared" si="2"/>
        <v>37.860953493654641</v>
      </c>
      <c r="H45">
        <f t="shared" si="6"/>
        <v>1696.5621799232688</v>
      </c>
      <c r="I45" s="29">
        <v>600035.53750277776</v>
      </c>
      <c r="J45" s="30">
        <f t="shared" si="3"/>
        <v>6000.355375027777</v>
      </c>
      <c r="K45" s="30">
        <f t="shared" si="7"/>
        <v>75276.178001078893</v>
      </c>
      <c r="L45" s="29">
        <v>413870.66561088787</v>
      </c>
      <c r="M45" s="30">
        <f t="shared" si="4"/>
        <v>4138.7066561088777</v>
      </c>
      <c r="N45" s="30">
        <f t="shared" si="8"/>
        <v>51921.261236641352</v>
      </c>
    </row>
    <row r="46" spans="1:20">
      <c r="A46" s="31" t="s">
        <v>640</v>
      </c>
      <c r="B46">
        <v>200.81</v>
      </c>
      <c r="C46">
        <f t="shared" si="11"/>
        <v>36.145800000000001</v>
      </c>
      <c r="D46">
        <f t="shared" si="1"/>
        <v>-36.145800000000001</v>
      </c>
      <c r="E46">
        <f t="shared" si="5"/>
        <v>-1622.3702400000002</v>
      </c>
      <c r="F46">
        <v>213.90570756605024</v>
      </c>
      <c r="G46">
        <f t="shared" si="2"/>
        <v>38.503027361889039</v>
      </c>
      <c r="H46">
        <f t="shared" si="6"/>
        <v>1735.0652072851578</v>
      </c>
      <c r="I46" s="29">
        <v>58500.298971650467</v>
      </c>
      <c r="J46" s="30">
        <f t="shared" si="3"/>
        <v>585.00298971650466</v>
      </c>
      <c r="K46" s="30">
        <f t="shared" si="7"/>
        <v>75861.180990795401</v>
      </c>
      <c r="L46" s="29">
        <v>40350.206213779464</v>
      </c>
      <c r="M46" s="30">
        <f t="shared" si="4"/>
        <v>403.50206213779461</v>
      </c>
      <c r="N46" s="30">
        <f t="shared" si="8"/>
        <v>52324.763298779144</v>
      </c>
    </row>
    <row r="47" spans="1:20">
      <c r="A47" s="31" t="s">
        <v>641</v>
      </c>
      <c r="B47">
        <v>200.16</v>
      </c>
      <c r="C47">
        <f t="shared" si="11"/>
        <v>36.028799999999997</v>
      </c>
      <c r="D47">
        <f t="shared" si="1"/>
        <v>-36.028799999999997</v>
      </c>
      <c r="E47">
        <f t="shared" si="5"/>
        <v>-1658.3990400000002</v>
      </c>
      <c r="F47">
        <v>212.998321285553</v>
      </c>
      <c r="G47">
        <f t="shared" si="2"/>
        <v>38.33969783139954</v>
      </c>
      <c r="H47">
        <f t="shared" si="6"/>
        <v>1773.4049051165573</v>
      </c>
      <c r="I47" s="29">
        <v>176209.63865742736</v>
      </c>
      <c r="J47" s="30">
        <f t="shared" si="3"/>
        <v>1762.0963865742738</v>
      </c>
      <c r="K47" s="30">
        <f t="shared" si="7"/>
        <v>77623.277377369668</v>
      </c>
      <c r="L47" s="29">
        <v>121539.46871499483</v>
      </c>
      <c r="M47" s="30">
        <f t="shared" si="4"/>
        <v>1215.3946871499481</v>
      </c>
      <c r="N47" s="30">
        <f t="shared" si="8"/>
        <v>53540.157985929094</v>
      </c>
    </row>
    <row r="48" spans="1:20">
      <c r="A48" s="31" t="s">
        <v>73</v>
      </c>
      <c r="B48">
        <v>199.54</v>
      </c>
      <c r="C48">
        <f t="shared" si="11"/>
        <v>35.917199999999994</v>
      </c>
      <c r="D48">
        <f t="shared" si="1"/>
        <v>-35.917199999999994</v>
      </c>
      <c r="E48">
        <f t="shared" si="5"/>
        <v>-1694.3162400000003</v>
      </c>
      <c r="F48">
        <v>214.59832361007395</v>
      </c>
      <c r="G48">
        <f t="shared" si="2"/>
        <v>38.627698249813307</v>
      </c>
      <c r="H48">
        <f t="shared" si="6"/>
        <v>1812.0326033663705</v>
      </c>
      <c r="I48" s="29">
        <v>10913.149753739943</v>
      </c>
      <c r="J48" s="30">
        <f t="shared" si="3"/>
        <v>109.13149753739941</v>
      </c>
      <c r="K48" s="30">
        <f t="shared" si="7"/>
        <v>77732.408874907065</v>
      </c>
      <c r="L48" s="29">
        <v>7527.2750865539629</v>
      </c>
      <c r="M48" s="30">
        <f t="shared" si="4"/>
        <v>75.272750865539621</v>
      </c>
      <c r="N48" s="30">
        <f t="shared" si="8"/>
        <v>53615.430736794631</v>
      </c>
    </row>
    <row r="49" spans="1:14">
      <c r="A49" s="31" t="s">
        <v>642</v>
      </c>
      <c r="B49">
        <v>206.59</v>
      </c>
      <c r="C49">
        <f t="shared" si="11"/>
        <v>37.186199999999999</v>
      </c>
      <c r="D49">
        <f t="shared" si="1"/>
        <v>-37.186199999999999</v>
      </c>
      <c r="E49">
        <f t="shared" si="5"/>
        <v>-1731.5024400000004</v>
      </c>
      <c r="F49">
        <v>220.3642586279465</v>
      </c>
      <c r="G49">
        <f t="shared" si="2"/>
        <v>39.665566553030366</v>
      </c>
      <c r="H49">
        <f t="shared" si="6"/>
        <v>1851.6981699194009</v>
      </c>
      <c r="I49" s="29">
        <v>156877.3592876514</v>
      </c>
      <c r="J49" s="30">
        <f t="shared" si="3"/>
        <v>1568.7735928765137</v>
      </c>
      <c r="K49" s="30">
        <f t="shared" si="7"/>
        <v>79301.182467783583</v>
      </c>
      <c r="L49" s="29">
        <v>108205.15294455949</v>
      </c>
      <c r="M49" s="30">
        <f t="shared" si="4"/>
        <v>1082.0515294455947</v>
      </c>
      <c r="N49" s="30">
        <f t="shared" si="8"/>
        <v>54697.482266240229</v>
      </c>
    </row>
    <row r="50" spans="1:14">
      <c r="A50" s="31" t="s">
        <v>643</v>
      </c>
      <c r="B50">
        <v>200.4</v>
      </c>
      <c r="C50">
        <f t="shared" si="11"/>
        <v>36.072000000000003</v>
      </c>
      <c r="D50">
        <f t="shared" si="1"/>
        <v>-36.072000000000003</v>
      </c>
      <c r="E50">
        <f t="shared" si="5"/>
        <v>-1767.5744400000003</v>
      </c>
      <c r="F50">
        <v>214.28532718471121</v>
      </c>
      <c r="G50">
        <f t="shared" si="2"/>
        <v>38.571358893248018</v>
      </c>
      <c r="H50">
        <f t="shared" si="6"/>
        <v>1890.269528812649</v>
      </c>
      <c r="I50" s="29">
        <v>154263.82956346899</v>
      </c>
      <c r="J50" s="30">
        <f t="shared" si="3"/>
        <v>1542.6382956346897</v>
      </c>
      <c r="K50" s="30">
        <f t="shared" si="7"/>
        <v>80843.820763418276</v>
      </c>
      <c r="L50" s="29">
        <v>106402.48757070019</v>
      </c>
      <c r="M50" s="30">
        <f t="shared" si="4"/>
        <v>1064.0248757070019</v>
      </c>
      <c r="N50" s="30">
        <f t="shared" si="8"/>
        <v>55761.50714194723</v>
      </c>
    </row>
    <row r="51" spans="1:14">
      <c r="A51" s="31" t="s">
        <v>644</v>
      </c>
      <c r="B51">
        <v>196.49</v>
      </c>
      <c r="C51">
        <f t="shared" si="11"/>
        <v>35.368200000000002</v>
      </c>
      <c r="D51">
        <f t="shared" si="1"/>
        <v>-35.368200000000002</v>
      </c>
      <c r="E51">
        <f t="shared" si="5"/>
        <v>-1802.9426400000002</v>
      </c>
      <c r="F51">
        <v>209.56262581726281</v>
      </c>
      <c r="G51">
        <f t="shared" si="2"/>
        <v>37.721272647107305</v>
      </c>
      <c r="H51">
        <f t="shared" si="6"/>
        <v>1927.9908014597563</v>
      </c>
      <c r="I51" s="29">
        <v>39225.754849417637</v>
      </c>
      <c r="J51" s="30">
        <f t="shared" si="3"/>
        <v>392.25754849417638</v>
      </c>
      <c r="K51" s="30">
        <f t="shared" si="7"/>
        <v>81236.078311912454</v>
      </c>
      <c r="L51" s="29">
        <v>27055.712960239376</v>
      </c>
      <c r="M51" s="30">
        <f t="shared" si="4"/>
        <v>270.55712960239373</v>
      </c>
      <c r="N51" s="30">
        <f t="shared" si="8"/>
        <v>56032.064271549621</v>
      </c>
    </row>
    <row r="52" spans="1:14">
      <c r="A52" s="31" t="s">
        <v>645</v>
      </c>
      <c r="B52">
        <v>202</v>
      </c>
      <c r="C52">
        <f t="shared" si="11"/>
        <v>36.36</v>
      </c>
      <c r="D52">
        <f t="shared" si="1"/>
        <v>-36.36</v>
      </c>
      <c r="E52">
        <f t="shared" si="5"/>
        <v>-1839.3026400000001</v>
      </c>
      <c r="F52">
        <v>215.7552698485033</v>
      </c>
      <c r="G52">
        <f t="shared" si="2"/>
        <v>38.835948572730594</v>
      </c>
      <c r="H52">
        <f t="shared" si="6"/>
        <v>1966.8267500324869</v>
      </c>
      <c r="I52" s="29">
        <v>12350.591102040187</v>
      </c>
      <c r="J52" s="30">
        <f t="shared" si="3"/>
        <v>123.50591102040187</v>
      </c>
      <c r="K52" s="30">
        <f t="shared" si="7"/>
        <v>81359.584222932855</v>
      </c>
      <c r="L52" s="29">
        <v>8518.7410421764416</v>
      </c>
      <c r="M52" s="30">
        <f t="shared" si="4"/>
        <v>85.187410421764412</v>
      </c>
      <c r="N52" s="30">
        <f t="shared" si="8"/>
        <v>56117.251681971386</v>
      </c>
    </row>
  </sheetData>
  <sortState ref="A2:O52">
    <sortCondition ref="A2:A52"/>
  </sortState>
  <mergeCells count="2">
    <mergeCell ref="I1:K1"/>
    <mergeCell ref="L1:N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G53"/>
  <sheetViews>
    <sheetView workbookViewId="0">
      <selection sqref="A1:F1048576"/>
    </sheetView>
  </sheetViews>
  <sheetFormatPr baseColWidth="10" defaultRowHeight="15" x14ac:dyDescent="0"/>
  <cols>
    <col min="1" max="1" width="23.83203125" customWidth="1"/>
    <col min="2" max="2" width="19.1640625" style="27" customWidth="1"/>
    <col min="3" max="3" width="14.5" style="23" customWidth="1"/>
    <col min="4" max="4" width="14.33203125" customWidth="1"/>
    <col min="5" max="5" width="15.33203125" customWidth="1"/>
    <col min="6" max="6" width="17.33203125" customWidth="1"/>
    <col min="7" max="7" width="16.1640625" customWidth="1"/>
  </cols>
  <sheetData>
    <row r="1" spans="1:7">
      <c r="A1" s="21" t="s">
        <v>524</v>
      </c>
      <c r="B1" s="24" t="s">
        <v>525</v>
      </c>
      <c r="C1" s="22" t="s">
        <v>526</v>
      </c>
      <c r="D1" s="3" t="s">
        <v>527</v>
      </c>
      <c r="E1" t="s">
        <v>528</v>
      </c>
      <c r="F1" t="s">
        <v>529</v>
      </c>
      <c r="G1" t="s">
        <v>531</v>
      </c>
    </row>
    <row r="2" spans="1:7">
      <c r="A2" s="21" t="s">
        <v>212</v>
      </c>
      <c r="B2" s="24" t="s">
        <v>489</v>
      </c>
      <c r="C2" s="22" t="s">
        <v>530</v>
      </c>
      <c r="D2" s="3" t="s">
        <v>490</v>
      </c>
      <c r="E2" t="s">
        <v>491</v>
      </c>
      <c r="F2" t="s">
        <v>492</v>
      </c>
    </row>
    <row r="3" spans="1:7">
      <c r="A3" s="21" t="s">
        <v>532</v>
      </c>
      <c r="B3" s="25">
        <v>29.6</v>
      </c>
      <c r="C3" s="22">
        <v>2.472</v>
      </c>
      <c r="D3" s="3">
        <v>1.595</v>
      </c>
      <c r="E3">
        <v>0.20349999999999999</v>
      </c>
      <c r="F3">
        <v>86.032972972972971</v>
      </c>
    </row>
    <row r="4" spans="1:7">
      <c r="A4" s="21" t="s">
        <v>533</v>
      </c>
      <c r="B4" s="25">
        <v>21.45</v>
      </c>
      <c r="C4" s="22">
        <v>2.3069999999999999</v>
      </c>
      <c r="D4" s="3">
        <v>1.595</v>
      </c>
      <c r="E4">
        <v>0.1144</v>
      </c>
      <c r="F4">
        <v>32.144285714285715</v>
      </c>
    </row>
    <row r="5" spans="1:7">
      <c r="A5" s="21" t="s">
        <v>534</v>
      </c>
      <c r="B5" s="25">
        <v>16.62</v>
      </c>
      <c r="C5" s="22">
        <v>2.7589999999999999</v>
      </c>
      <c r="D5" s="3">
        <v>1.595</v>
      </c>
      <c r="E5">
        <v>0.1023</v>
      </c>
      <c r="F5">
        <v>38.101532258064516</v>
      </c>
    </row>
    <row r="6" spans="1:7">
      <c r="A6" s="21" t="s">
        <v>535</v>
      </c>
      <c r="B6" s="25">
        <v>23.06</v>
      </c>
      <c r="C6" s="22">
        <v>2.3069999999999999</v>
      </c>
      <c r="D6" s="3">
        <v>1.595</v>
      </c>
      <c r="E6">
        <v>8.5000000000000006E-2</v>
      </c>
      <c r="F6">
        <v>31.771176470588234</v>
      </c>
    </row>
    <row r="7" spans="1:7">
      <c r="A7" s="21" t="s">
        <v>536</v>
      </c>
      <c r="B7" s="25">
        <v>33.299999999999997</v>
      </c>
      <c r="C7" s="22">
        <v>2.8660000000000001</v>
      </c>
      <c r="D7" s="3">
        <v>1.595</v>
      </c>
      <c r="E7">
        <v>0.1394</v>
      </c>
      <c r="F7">
        <v>55.740757575757542</v>
      </c>
    </row>
    <row r="8" spans="1:7">
      <c r="A8" s="21" t="s">
        <v>205</v>
      </c>
      <c r="B8" s="25">
        <v>24.8</v>
      </c>
      <c r="C8" s="22">
        <v>2.585</v>
      </c>
      <c r="D8" s="3">
        <v>1.595</v>
      </c>
      <c r="E8">
        <v>9.64E-2</v>
      </c>
      <c r="F8">
        <v>35.878803418803415</v>
      </c>
    </row>
    <row r="9" spans="1:7">
      <c r="A9" s="21" t="s">
        <v>537</v>
      </c>
      <c r="B9" s="28">
        <v>30.16</v>
      </c>
      <c r="C9" s="22">
        <v>2.5779999999999998</v>
      </c>
      <c r="D9" s="3">
        <v>1.5980000000000001</v>
      </c>
      <c r="E9">
        <v>0.15809999999999999</v>
      </c>
      <c r="F9">
        <v>89.395658914728685</v>
      </c>
    </row>
    <row r="10" spans="1:7">
      <c r="A10" s="21" t="s">
        <v>538</v>
      </c>
      <c r="B10" s="25">
        <v>22.2</v>
      </c>
      <c r="C10" s="22">
        <v>2.6709999999999998</v>
      </c>
      <c r="D10" s="3">
        <v>1.5669999999999999</v>
      </c>
      <c r="E10">
        <v>9.9500000000000005E-2</v>
      </c>
      <c r="F10">
        <v>101.72222222222223</v>
      </c>
    </row>
    <row r="11" spans="1:7">
      <c r="A11" s="21" t="s">
        <v>539</v>
      </c>
      <c r="B11" s="25">
        <v>25.82</v>
      </c>
      <c r="C11" s="22">
        <v>2.6709999999999998</v>
      </c>
      <c r="D11" s="3">
        <v>1.595</v>
      </c>
      <c r="E11">
        <v>0.1193</v>
      </c>
      <c r="F11">
        <v>62.277999999999999</v>
      </c>
    </row>
    <row r="12" spans="1:7">
      <c r="A12" s="21" t="s">
        <v>540</v>
      </c>
      <c r="B12" s="25">
        <v>22.72</v>
      </c>
      <c r="C12" s="22">
        <v>2.407</v>
      </c>
      <c r="D12" s="3">
        <v>1.595</v>
      </c>
      <c r="E12">
        <v>9.5500000000000002E-2</v>
      </c>
      <c r="F12">
        <v>47.004472361809043</v>
      </c>
    </row>
    <row r="13" spans="1:7">
      <c r="A13" s="21" t="s">
        <v>541</v>
      </c>
      <c r="B13" s="25">
        <v>18.09</v>
      </c>
      <c r="C13" s="22">
        <v>2.407</v>
      </c>
      <c r="D13" s="3">
        <v>1.595</v>
      </c>
      <c r="E13">
        <v>0.1003</v>
      </c>
      <c r="F13">
        <v>40.632391304347827</v>
      </c>
    </row>
    <row r="14" spans="1:7">
      <c r="A14" s="21" t="s">
        <v>542</v>
      </c>
      <c r="B14" s="24">
        <v>24.32</v>
      </c>
      <c r="C14" s="22">
        <v>2.742</v>
      </c>
      <c r="D14" s="3">
        <v>1.595</v>
      </c>
      <c r="E14">
        <v>0.2646</v>
      </c>
      <c r="F14">
        <v>77.533333333333331</v>
      </c>
    </row>
    <row r="15" spans="1:7">
      <c r="A15" s="21" t="s">
        <v>543</v>
      </c>
      <c r="B15" s="24">
        <v>20.239999999999998</v>
      </c>
      <c r="C15" s="22">
        <v>2.585</v>
      </c>
      <c r="D15" s="3">
        <v>1.595</v>
      </c>
      <c r="E15">
        <v>7.9899999999999999E-2</v>
      </c>
      <c r="F15">
        <v>45.661636363636369</v>
      </c>
    </row>
    <row r="16" spans="1:7">
      <c r="A16" s="21" t="s">
        <v>544</v>
      </c>
      <c r="B16" s="26">
        <v>25.98</v>
      </c>
      <c r="C16" s="22">
        <v>2.403</v>
      </c>
      <c r="D16" s="3">
        <v>1.5680000000000001</v>
      </c>
      <c r="E16">
        <v>9.0700000000000003E-2</v>
      </c>
      <c r="F16">
        <v>56.729051724137939</v>
      </c>
    </row>
    <row r="17" spans="1:6">
      <c r="A17" s="21" t="s">
        <v>545</v>
      </c>
      <c r="B17" s="24">
        <v>20.399999999999999</v>
      </c>
      <c r="C17" s="22">
        <v>2.403</v>
      </c>
      <c r="D17" s="20">
        <v>1.5980000000000001</v>
      </c>
      <c r="E17">
        <v>0.1041</v>
      </c>
      <c r="F17">
        <v>47.165306122448989</v>
      </c>
    </row>
    <row r="18" spans="1:6">
      <c r="A18" s="21" t="s">
        <v>546</v>
      </c>
      <c r="B18" s="25">
        <v>21.06</v>
      </c>
      <c r="C18" s="22">
        <v>2.403</v>
      </c>
      <c r="D18" s="19">
        <v>1.6020000000000001</v>
      </c>
      <c r="E18">
        <v>8.9599999999999999E-2</v>
      </c>
      <c r="F18">
        <v>47.288842105263164</v>
      </c>
    </row>
    <row r="19" spans="1:6">
      <c r="A19" s="21" t="s">
        <v>547</v>
      </c>
      <c r="B19" s="25">
        <v>18.2</v>
      </c>
      <c r="C19" s="22">
        <v>2.403</v>
      </c>
      <c r="D19" s="19">
        <v>1.573</v>
      </c>
      <c r="E19">
        <v>0.1053</v>
      </c>
      <c r="F19">
        <v>37.269999999999996</v>
      </c>
    </row>
    <row r="20" spans="1:6">
      <c r="A20" s="21" t="s">
        <v>548</v>
      </c>
      <c r="B20" s="24">
        <v>18.059999999999999</v>
      </c>
      <c r="C20" s="22">
        <v>2.403</v>
      </c>
      <c r="D20" s="20">
        <v>1.633</v>
      </c>
      <c r="E20">
        <v>9.7600000000000006E-2</v>
      </c>
      <c r="F20">
        <v>42.494216867469866</v>
      </c>
    </row>
    <row r="21" spans="1:6">
      <c r="A21" s="21" t="s">
        <v>549</v>
      </c>
      <c r="B21" s="25">
        <v>17</v>
      </c>
      <c r="C21" s="22">
        <v>2.3069999999999999</v>
      </c>
      <c r="D21" s="3">
        <v>1.595</v>
      </c>
      <c r="E21">
        <v>8.8700000000000001E-2</v>
      </c>
      <c r="F21">
        <v>34.408536585365852</v>
      </c>
    </row>
    <row r="22" spans="1:6">
      <c r="A22" s="21" t="s">
        <v>550</v>
      </c>
      <c r="B22" s="25">
        <v>23.66</v>
      </c>
      <c r="C22" s="22">
        <v>2.5779999999999998</v>
      </c>
      <c r="D22" s="19">
        <v>1.631</v>
      </c>
      <c r="E22">
        <v>0.12180000000000001</v>
      </c>
      <c r="F22">
        <v>74.729690721649476</v>
      </c>
    </row>
    <row r="23" spans="1:6">
      <c r="A23" s="21" t="s">
        <v>551</v>
      </c>
      <c r="B23" s="24">
        <v>21.83</v>
      </c>
      <c r="C23" s="22">
        <v>2.6709999999999998</v>
      </c>
      <c r="D23" s="20">
        <v>1.534</v>
      </c>
      <c r="E23">
        <v>0.11070000000000001</v>
      </c>
      <c r="F23">
        <v>60.096266666666672</v>
      </c>
    </row>
    <row r="24" spans="1:6">
      <c r="A24" s="21" t="s">
        <v>552</v>
      </c>
      <c r="B24" s="25">
        <v>25.79</v>
      </c>
      <c r="C24" s="22">
        <v>2.5779999999999998</v>
      </c>
      <c r="D24" s="19">
        <v>1.6279999999999999</v>
      </c>
      <c r="E24">
        <v>0.1502</v>
      </c>
      <c r="F24">
        <v>78.283221153846185</v>
      </c>
    </row>
    <row r="25" spans="1:6">
      <c r="A25" s="21" t="s">
        <v>553</v>
      </c>
      <c r="B25" s="25">
        <v>22.94</v>
      </c>
      <c r="C25" s="22">
        <v>2.403</v>
      </c>
      <c r="D25" s="19">
        <v>1.585</v>
      </c>
      <c r="E25">
        <v>0.1081</v>
      </c>
      <c r="F25">
        <v>59.370852713178294</v>
      </c>
    </row>
    <row r="26" spans="1:6">
      <c r="A26" s="21" t="s">
        <v>554</v>
      </c>
      <c r="B26" s="24">
        <v>24.65</v>
      </c>
      <c r="C26" s="22">
        <v>2.403</v>
      </c>
      <c r="D26" s="20">
        <v>1.6140000000000001</v>
      </c>
      <c r="E26">
        <v>0.10589999999999999</v>
      </c>
      <c r="F26">
        <v>57.385952380952382</v>
      </c>
    </row>
    <row r="27" spans="1:6">
      <c r="A27" s="21" t="s">
        <v>555</v>
      </c>
      <c r="B27" s="25">
        <v>17.38</v>
      </c>
      <c r="C27" s="22">
        <v>2.3069999999999999</v>
      </c>
      <c r="D27" s="3">
        <v>1.595</v>
      </c>
      <c r="E27">
        <v>0.1047</v>
      </c>
      <c r="F27">
        <v>27.835666666666668</v>
      </c>
    </row>
    <row r="28" spans="1:6">
      <c r="A28" s="21" t="s">
        <v>556</v>
      </c>
      <c r="B28" s="25">
        <v>20.97</v>
      </c>
      <c r="C28" s="22">
        <v>2.403</v>
      </c>
      <c r="D28" s="19">
        <v>1.6020000000000001</v>
      </c>
      <c r="E28">
        <v>8.5500000000000007E-2</v>
      </c>
      <c r="F28">
        <v>46.062098765432097</v>
      </c>
    </row>
    <row r="29" spans="1:6">
      <c r="A29" s="21" t="s">
        <v>557</v>
      </c>
      <c r="B29" s="24">
        <v>21.45</v>
      </c>
      <c r="C29" s="22">
        <v>2.585</v>
      </c>
      <c r="D29" s="3">
        <v>1.595</v>
      </c>
      <c r="E29">
        <v>0.1022</v>
      </c>
      <c r="F29">
        <v>41.237179487179489</v>
      </c>
    </row>
    <row r="30" spans="1:6">
      <c r="A30" s="21" t="s">
        <v>558</v>
      </c>
      <c r="B30" s="25">
        <v>20.03</v>
      </c>
      <c r="C30" s="22">
        <v>2.403</v>
      </c>
      <c r="D30" s="19">
        <v>1.6</v>
      </c>
      <c r="E30">
        <v>8.72E-2</v>
      </c>
      <c r="F30">
        <v>39.016744186046509</v>
      </c>
    </row>
    <row r="31" spans="1:6">
      <c r="A31" s="21" t="s">
        <v>398</v>
      </c>
      <c r="B31" s="25">
        <v>30.69</v>
      </c>
      <c r="C31" s="22">
        <v>2.7589999999999999</v>
      </c>
      <c r="D31" s="3">
        <v>1.595</v>
      </c>
      <c r="E31">
        <v>8.0199999999999994E-2</v>
      </c>
      <c r="F31">
        <v>33.762580645161286</v>
      </c>
    </row>
    <row r="32" spans="1:6">
      <c r="A32" s="21" t="s">
        <v>366</v>
      </c>
      <c r="B32" s="24">
        <v>24.58</v>
      </c>
      <c r="C32" s="22">
        <v>2.5779999999999998</v>
      </c>
      <c r="D32" s="20">
        <v>1.546</v>
      </c>
      <c r="E32">
        <v>0.14480000000000001</v>
      </c>
      <c r="F32">
        <v>86.061639344262289</v>
      </c>
    </row>
    <row r="33" spans="1:6">
      <c r="A33" s="21" t="s">
        <v>559</v>
      </c>
      <c r="B33" s="25">
        <v>28.74</v>
      </c>
      <c r="C33" s="22">
        <v>2.6709999999999998</v>
      </c>
      <c r="D33" s="19">
        <v>1.546</v>
      </c>
      <c r="E33">
        <v>0.12239999999999999</v>
      </c>
      <c r="F33">
        <v>71.90130952380953</v>
      </c>
    </row>
    <row r="34" spans="1:6">
      <c r="A34" s="21" t="s">
        <v>560</v>
      </c>
      <c r="B34" s="25">
        <v>18.27</v>
      </c>
      <c r="C34" s="22">
        <v>2.3069999999999999</v>
      </c>
      <c r="D34" s="3">
        <v>1.595</v>
      </c>
      <c r="E34">
        <v>9.9699999999999997E-2</v>
      </c>
      <c r="F34">
        <v>29.796428571428571</v>
      </c>
    </row>
    <row r="35" spans="1:6">
      <c r="A35" s="21" t="s">
        <v>561</v>
      </c>
      <c r="B35" s="24">
        <v>25.94</v>
      </c>
      <c r="C35" s="22">
        <v>2.6709999999999998</v>
      </c>
      <c r="D35" s="20">
        <v>1.607</v>
      </c>
      <c r="E35">
        <v>0.13780000000000001</v>
      </c>
      <c r="F35">
        <v>78.775942720763751</v>
      </c>
    </row>
    <row r="36" spans="1:6">
      <c r="A36" s="21" t="s">
        <v>562</v>
      </c>
      <c r="B36" s="25">
        <v>19.920000000000002</v>
      </c>
      <c r="C36" s="22">
        <v>2.407</v>
      </c>
      <c r="D36" s="19">
        <v>1.498</v>
      </c>
      <c r="E36">
        <v>8.2000000000000003E-2</v>
      </c>
      <c r="F36">
        <v>45.579085714285725</v>
      </c>
    </row>
    <row r="37" spans="1:6">
      <c r="A37" s="21" t="s">
        <v>563</v>
      </c>
      <c r="B37" s="25">
        <v>20.86</v>
      </c>
      <c r="C37" s="22">
        <v>2.403</v>
      </c>
      <c r="D37" s="19">
        <v>1.64</v>
      </c>
      <c r="E37">
        <v>9.1200000000000003E-2</v>
      </c>
      <c r="F37">
        <v>36.990487804878043</v>
      </c>
    </row>
    <row r="38" spans="1:6">
      <c r="A38" s="21" t="s">
        <v>564</v>
      </c>
      <c r="B38" s="24">
        <v>22.49</v>
      </c>
      <c r="C38" s="22">
        <v>2.403</v>
      </c>
      <c r="D38" s="20">
        <v>1.581</v>
      </c>
      <c r="E38">
        <v>0.1024</v>
      </c>
      <c r="F38">
        <v>47.939494949494943</v>
      </c>
    </row>
    <row r="39" spans="1:6">
      <c r="A39" s="21" t="s">
        <v>565</v>
      </c>
      <c r="B39" s="25">
        <v>16.39</v>
      </c>
      <c r="C39" s="22">
        <v>2.403</v>
      </c>
      <c r="D39" s="3">
        <v>1.595</v>
      </c>
      <c r="E39">
        <v>8.0399999999999999E-2</v>
      </c>
      <c r="F39">
        <v>32.229285714285716</v>
      </c>
    </row>
    <row r="40" spans="1:6">
      <c r="A40" s="21" t="s">
        <v>566</v>
      </c>
      <c r="B40" s="25">
        <v>26.24</v>
      </c>
      <c r="C40" s="22">
        <v>2.7589999999999999</v>
      </c>
      <c r="D40" s="3">
        <v>1.595</v>
      </c>
      <c r="E40">
        <v>8.8900000000000007E-2</v>
      </c>
      <c r="F40">
        <v>45.704436619718315</v>
      </c>
    </row>
    <row r="41" spans="1:6">
      <c r="A41" s="21" t="s">
        <v>367</v>
      </c>
      <c r="B41" s="24">
        <v>23.55</v>
      </c>
      <c r="C41" s="22">
        <v>2.6709999999999998</v>
      </c>
      <c r="D41" s="20">
        <v>1.5660000000000001</v>
      </c>
      <c r="E41">
        <v>9.1300000000000006E-2</v>
      </c>
      <c r="F41">
        <v>77.11336363636363</v>
      </c>
    </row>
    <row r="42" spans="1:6">
      <c r="A42" s="21" t="s">
        <v>567</v>
      </c>
      <c r="B42" s="25">
        <v>24.32</v>
      </c>
      <c r="C42" s="22">
        <v>2.5779999999999998</v>
      </c>
      <c r="D42" s="19">
        <v>1.597</v>
      </c>
      <c r="E42">
        <v>0.1537</v>
      </c>
      <c r="F42">
        <v>82.341666666666669</v>
      </c>
    </row>
    <row r="43" spans="1:6">
      <c r="A43" s="21" t="s">
        <v>568</v>
      </c>
      <c r="B43" s="25">
        <v>21.02</v>
      </c>
      <c r="C43" s="22">
        <v>2.407</v>
      </c>
      <c r="D43" s="3">
        <v>1.595</v>
      </c>
      <c r="E43">
        <v>0.1048</v>
      </c>
      <c r="F43">
        <v>35.938431372549012</v>
      </c>
    </row>
    <row r="44" spans="1:6">
      <c r="A44" s="21" t="s">
        <v>569</v>
      </c>
      <c r="B44" s="24">
        <v>19.690000000000001</v>
      </c>
      <c r="C44" s="22">
        <v>2.403</v>
      </c>
      <c r="D44" s="20">
        <v>1.6870000000000001</v>
      </c>
      <c r="E44">
        <v>9.64E-2</v>
      </c>
      <c r="F44">
        <v>42.143548387096779</v>
      </c>
    </row>
    <row r="45" spans="1:6">
      <c r="A45" s="21" t="s">
        <v>570</v>
      </c>
      <c r="B45" s="25">
        <v>19.260000000000002</v>
      </c>
      <c r="C45" s="22">
        <v>2.403</v>
      </c>
      <c r="D45" s="3">
        <v>1.595</v>
      </c>
      <c r="E45">
        <v>0.1027</v>
      </c>
      <c r="F45">
        <v>36.739999999999995</v>
      </c>
    </row>
    <row r="46" spans="1:6">
      <c r="A46" s="21" t="s">
        <v>571</v>
      </c>
      <c r="B46" s="25">
        <v>18.39</v>
      </c>
      <c r="C46" s="22">
        <v>2.3069999999999999</v>
      </c>
      <c r="D46" s="3">
        <v>1.595</v>
      </c>
      <c r="E46">
        <v>8.4199999999999997E-2</v>
      </c>
      <c r="F46">
        <v>35.770851851851866</v>
      </c>
    </row>
    <row r="47" spans="1:6">
      <c r="A47" s="21" t="s">
        <v>572</v>
      </c>
      <c r="B47" s="24">
        <v>22.24</v>
      </c>
      <c r="C47" s="22">
        <v>2.585</v>
      </c>
      <c r="D47" s="3">
        <v>1.595</v>
      </c>
      <c r="E47">
        <v>8.4599999999999995E-2</v>
      </c>
      <c r="F47">
        <v>25.979384615384618</v>
      </c>
    </row>
    <row r="48" spans="1:6">
      <c r="A48" s="21" t="s">
        <v>368</v>
      </c>
      <c r="B48" s="27">
        <v>22.65</v>
      </c>
      <c r="C48" s="22">
        <v>2.5779999999999998</v>
      </c>
      <c r="D48">
        <v>1.7250000000000001</v>
      </c>
      <c r="E48">
        <v>0.1472</v>
      </c>
      <c r="F48">
        <v>91.209638554216895</v>
      </c>
    </row>
    <row r="49" spans="1:6">
      <c r="A49" s="21" t="s">
        <v>573</v>
      </c>
      <c r="B49" s="27">
        <v>21.46</v>
      </c>
      <c r="C49" s="22">
        <v>2.407</v>
      </c>
      <c r="D49">
        <v>1.506</v>
      </c>
      <c r="E49">
        <v>7.8600000000000003E-2</v>
      </c>
      <c r="F49">
        <v>52.838741258741265</v>
      </c>
    </row>
    <row r="50" spans="1:6">
      <c r="A50" s="21" t="s">
        <v>574</v>
      </c>
      <c r="B50" s="27">
        <v>29.71</v>
      </c>
      <c r="C50" s="22">
        <v>2.7589999999999999</v>
      </c>
      <c r="D50" s="3">
        <v>1.595</v>
      </c>
      <c r="E50">
        <v>8.3699999999999997E-2</v>
      </c>
      <c r="F50">
        <v>93.787117117117091</v>
      </c>
    </row>
    <row r="51" spans="1:6">
      <c r="A51" s="21" t="s">
        <v>575</v>
      </c>
      <c r="B51" s="27">
        <v>17.21</v>
      </c>
      <c r="C51" s="22">
        <v>2.407</v>
      </c>
      <c r="D51" s="3">
        <v>1.595</v>
      </c>
      <c r="E51">
        <v>9.9400000000000002E-2</v>
      </c>
      <c r="F51">
        <v>48.267272727272719</v>
      </c>
    </row>
    <row r="52" spans="1:6">
      <c r="A52" s="21" t="s">
        <v>576</v>
      </c>
      <c r="B52" s="27">
        <v>22.8</v>
      </c>
      <c r="C52" s="22">
        <v>2.403</v>
      </c>
      <c r="D52">
        <v>1.5940000000000001</v>
      </c>
      <c r="E52">
        <v>0.1085</v>
      </c>
      <c r="F52">
        <v>65.787821782178213</v>
      </c>
    </row>
    <row r="53" spans="1:6">
      <c r="A53" s="21" t="s">
        <v>577</v>
      </c>
      <c r="B53" s="27">
        <v>24.35</v>
      </c>
      <c r="C53" s="22">
        <v>2.585</v>
      </c>
      <c r="D53" s="3">
        <v>1.595</v>
      </c>
      <c r="E53">
        <v>9.9400000000000002E-2</v>
      </c>
      <c r="F53">
        <v>47.383749999999992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R13"/>
  <sheetViews>
    <sheetView workbookViewId="0">
      <selection activeCell="P30" sqref="P30"/>
    </sheetView>
  </sheetViews>
  <sheetFormatPr baseColWidth="10" defaultRowHeight="15" x14ac:dyDescent="0"/>
  <cols>
    <col min="3" max="3" width="13.5" customWidth="1"/>
  </cols>
  <sheetData>
    <row r="1" spans="1:18">
      <c r="A1" t="s">
        <v>511</v>
      </c>
    </row>
    <row r="4" spans="1:18">
      <c r="E4">
        <v>22.687554378186416</v>
      </c>
      <c r="I4">
        <v>2.7059617152686823</v>
      </c>
      <c r="M4">
        <v>70.023964103654336</v>
      </c>
      <c r="Q4">
        <v>86.133019460676579</v>
      </c>
    </row>
    <row r="5" spans="1:18">
      <c r="D5" t="s">
        <v>513</v>
      </c>
      <c r="E5">
        <f>CPWT+CPWT_DW</f>
        <v>70.291380781100798</v>
      </c>
      <c r="I5">
        <f>COSTWTAD</f>
        <v>10.044827092002926</v>
      </c>
      <c r="M5">
        <f>Landfill!CPWT_DW+TIPP</f>
        <v>123.57670120495818</v>
      </c>
      <c r="Q5">
        <f>(ACCI+COSTOMI)/(SVI*8.34*365*SSG/2000)</f>
        <v>487.48764831615819</v>
      </c>
    </row>
    <row r="6" spans="1:18">
      <c r="C6" t="s">
        <v>512</v>
      </c>
      <c r="E6">
        <v>0.5</v>
      </c>
      <c r="F6">
        <v>1.5</v>
      </c>
      <c r="H6" t="s">
        <v>459</v>
      </c>
      <c r="I6">
        <v>0.5</v>
      </c>
      <c r="J6">
        <v>1.5</v>
      </c>
      <c r="L6" t="s">
        <v>222</v>
      </c>
      <c r="M6">
        <v>0.5</v>
      </c>
      <c r="N6">
        <v>1.5</v>
      </c>
      <c r="P6" t="s">
        <v>63</v>
      </c>
      <c r="Q6">
        <v>0.5</v>
      </c>
      <c r="R6">
        <v>1.5</v>
      </c>
    </row>
    <row r="7" spans="1:18">
      <c r="D7" t="s">
        <v>514</v>
      </c>
      <c r="E7">
        <v>21.127319700283053</v>
      </c>
      <c r="F7">
        <v>24.654915124861031</v>
      </c>
      <c r="H7" t="s">
        <v>514</v>
      </c>
      <c r="I7">
        <v>4.0032331433815678</v>
      </c>
      <c r="J7">
        <v>1.9618062152848634</v>
      </c>
      <c r="L7" t="s">
        <v>521</v>
      </c>
      <c r="M7">
        <v>43.953964103654336</v>
      </c>
      <c r="N7">
        <v>96.103964103654334</v>
      </c>
      <c r="P7" t="s">
        <v>520</v>
      </c>
      <c r="Q7">
        <v>73.062695825780821</v>
      </c>
      <c r="R7">
        <v>100.98908670039889</v>
      </c>
    </row>
    <row r="8" spans="1:18">
      <c r="D8" t="s">
        <v>515</v>
      </c>
      <c r="E8">
        <v>22.453184037744133</v>
      </c>
      <c r="F8">
        <v>22.921924718628699</v>
      </c>
      <c r="H8" t="s">
        <v>518</v>
      </c>
      <c r="I8">
        <v>2.4693266450522229</v>
      </c>
      <c r="J8">
        <v>2.8533681452099269</v>
      </c>
      <c r="L8" t="s">
        <v>515</v>
      </c>
      <c r="M8">
        <v>61.228134482204823</v>
      </c>
      <c r="N8">
        <v>70.267621537628884</v>
      </c>
      <c r="P8" t="s">
        <v>514</v>
      </c>
      <c r="Q8">
        <v>106.09712120946868</v>
      </c>
      <c r="R8">
        <v>76.626870141450297</v>
      </c>
    </row>
    <row r="9" spans="1:18">
      <c r="D9" t="s">
        <v>516</v>
      </c>
      <c r="E9">
        <v>14.400941688778676</v>
      </c>
      <c r="F9">
        <v>34.475373596639322</v>
      </c>
      <c r="H9" t="s">
        <v>520</v>
      </c>
      <c r="I9">
        <v>1.8452464437259646</v>
      </c>
      <c r="J9">
        <v>3.1628223484653799</v>
      </c>
      <c r="L9" t="s">
        <v>517</v>
      </c>
      <c r="M9">
        <v>70.069469497730566</v>
      </c>
      <c r="N9">
        <v>70.151379207067777</v>
      </c>
      <c r="P9" t="s">
        <v>523</v>
      </c>
      <c r="Q9">
        <v>84.301475925977044</v>
      </c>
      <c r="R9">
        <v>87.964562995376127</v>
      </c>
    </row>
    <row r="10" spans="1:18">
      <c r="D10" t="s">
        <v>517</v>
      </c>
      <c r="E10">
        <f>CPWT+CPWT_DW</f>
        <v>70.291380781100798</v>
      </c>
      <c r="F10">
        <v>34.463883725127893</v>
      </c>
      <c r="H10" t="s">
        <v>519</v>
      </c>
      <c r="I10">
        <v>2.4619084236360438</v>
      </c>
      <c r="J10">
        <v>2.9500150069013213</v>
      </c>
      <c r="L10" t="s">
        <v>519</v>
      </c>
      <c r="M10">
        <v>69.786653473546792</v>
      </c>
      <c r="N10">
        <v>70.26127473376188</v>
      </c>
      <c r="P10" t="s">
        <v>519</v>
      </c>
      <c r="Q10">
        <v>82.822191676826392</v>
      </c>
      <c r="R10">
        <v>89.443847244526779</v>
      </c>
    </row>
    <row r="11" spans="1:18">
      <c r="D11" t="s">
        <v>518</v>
      </c>
      <c r="E11">
        <v>22.210252618554122</v>
      </c>
      <c r="F11">
        <v>23.164856137818713</v>
      </c>
      <c r="L11" t="s">
        <v>520</v>
      </c>
      <c r="M11">
        <v>64.727943600875903</v>
      </c>
      <c r="N11">
        <v>76.043557718166369</v>
      </c>
      <c r="P11" t="s">
        <v>522</v>
      </c>
      <c r="Q11">
        <v>69.61465403274822</v>
      </c>
      <c r="R11">
        <v>102.65138488860495</v>
      </c>
    </row>
    <row r="12" spans="1:18">
      <c r="D12" t="s">
        <v>519</v>
      </c>
      <c r="E12">
        <v>20.787498547494607</v>
      </c>
      <c r="F12">
        <v>24.587610208878218</v>
      </c>
      <c r="L12" t="s">
        <v>514</v>
      </c>
      <c r="M12">
        <v>67.148653834478935</v>
      </c>
      <c r="N12">
        <v>72.471440830834496</v>
      </c>
    </row>
    <row r="13" spans="1:18">
      <c r="D13" t="s">
        <v>520</v>
      </c>
      <c r="E13">
        <v>17.593385097215901</v>
      </c>
      <c r="F13">
        <v>28.477718683420107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J40"/>
  <sheetViews>
    <sheetView workbookViewId="0">
      <selection activeCell="J40" sqref="J40"/>
    </sheetView>
  </sheetViews>
  <sheetFormatPr baseColWidth="10" defaultRowHeight="15" x14ac:dyDescent="0"/>
  <sheetData>
    <row r="1" spans="1:4">
      <c r="A1" t="s">
        <v>483</v>
      </c>
    </row>
    <row r="2" spans="1:4">
      <c r="A2" t="s">
        <v>484</v>
      </c>
      <c r="B2" t="s">
        <v>485</v>
      </c>
      <c r="C2" t="s">
        <v>486</v>
      </c>
      <c r="D2" t="s">
        <v>487</v>
      </c>
    </row>
    <row r="3" spans="1:4">
      <c r="A3">
        <v>1980</v>
      </c>
      <c r="B3">
        <v>261.2</v>
      </c>
      <c r="C3">
        <v>3378.17</v>
      </c>
      <c r="D3">
        <v>659.6</v>
      </c>
    </row>
    <row r="4" spans="1:4">
      <c r="A4">
        <v>1981</v>
      </c>
      <c r="B4">
        <v>297</v>
      </c>
      <c r="C4">
        <v>3725.55</v>
      </c>
      <c r="D4">
        <v>721.3</v>
      </c>
    </row>
    <row r="5" spans="1:4">
      <c r="A5">
        <v>1982</v>
      </c>
      <c r="B5">
        <v>314</v>
      </c>
      <c r="C5">
        <v>3939.25</v>
      </c>
      <c r="D5">
        <v>745.6</v>
      </c>
    </row>
    <row r="6" spans="1:4">
      <c r="A6">
        <v>1983</v>
      </c>
      <c r="B6">
        <v>316.89999999999998</v>
      </c>
      <c r="C6">
        <v>4108.74</v>
      </c>
      <c r="D6">
        <v>760.8</v>
      </c>
    </row>
    <row r="7" spans="1:4">
      <c r="A7">
        <v>1984</v>
      </c>
      <c r="B7">
        <v>322.7</v>
      </c>
      <c r="C7">
        <v>4172.2700000000004</v>
      </c>
      <c r="D7">
        <v>780.4</v>
      </c>
    </row>
    <row r="8" spans="1:4">
      <c r="A8">
        <v>1985</v>
      </c>
      <c r="B8">
        <v>325.3</v>
      </c>
      <c r="C8">
        <v>4207.84</v>
      </c>
      <c r="D8">
        <v>789.6</v>
      </c>
    </row>
    <row r="9" spans="1:4">
      <c r="A9">
        <v>1986</v>
      </c>
      <c r="B9">
        <v>318.39999999999998</v>
      </c>
      <c r="C9">
        <v>4348.1899999999996</v>
      </c>
      <c r="D9">
        <v>797.6</v>
      </c>
    </row>
    <row r="10" spans="1:4">
      <c r="A10">
        <v>1987</v>
      </c>
      <c r="B10">
        <v>323.8</v>
      </c>
      <c r="C10">
        <v>4456.53</v>
      </c>
      <c r="D10">
        <v>813.6</v>
      </c>
    </row>
    <row r="11" spans="1:4">
      <c r="A11">
        <v>1988</v>
      </c>
      <c r="B11">
        <v>342.5</v>
      </c>
      <c r="C11">
        <v>4573.29</v>
      </c>
      <c r="D11">
        <v>852</v>
      </c>
    </row>
    <row r="12" spans="1:4">
      <c r="A12">
        <v>1989</v>
      </c>
      <c r="B12">
        <v>355.4</v>
      </c>
      <c r="C12">
        <v>4672.66</v>
      </c>
      <c r="D12">
        <v>895.1</v>
      </c>
    </row>
    <row r="13" spans="1:4">
      <c r="A13">
        <v>1990</v>
      </c>
      <c r="B13">
        <v>357.6</v>
      </c>
      <c r="C13">
        <v>4770.03</v>
      </c>
      <c r="D13">
        <v>915.1</v>
      </c>
    </row>
    <row r="14" spans="1:4">
      <c r="A14">
        <v>1991</v>
      </c>
      <c r="B14">
        <v>361.3</v>
      </c>
      <c r="C14">
        <v>4886.5200000000004</v>
      </c>
      <c r="D14">
        <v>930.6</v>
      </c>
    </row>
    <row r="15" spans="1:4">
      <c r="A15">
        <v>1992</v>
      </c>
      <c r="B15">
        <v>358.2</v>
      </c>
      <c r="C15">
        <v>5070.66</v>
      </c>
      <c r="D15">
        <v>943.1</v>
      </c>
    </row>
    <row r="16" spans="1:4">
      <c r="A16">
        <v>1993</v>
      </c>
      <c r="B16">
        <v>359.2</v>
      </c>
      <c r="C16">
        <v>5335.81</v>
      </c>
      <c r="D16">
        <v>964.2</v>
      </c>
    </row>
    <row r="17" spans="1:4">
      <c r="A17">
        <v>1994</v>
      </c>
      <c r="B17">
        <v>368.1</v>
      </c>
      <c r="C17">
        <v>5443.14</v>
      </c>
      <c r="D17">
        <v>993.4</v>
      </c>
    </row>
    <row r="18" spans="1:4">
      <c r="A18">
        <v>1995</v>
      </c>
      <c r="B18">
        <v>381.1</v>
      </c>
      <c r="C18">
        <v>5523.13</v>
      </c>
      <c r="D18">
        <v>1027.5</v>
      </c>
    </row>
    <row r="19" spans="1:4">
      <c r="A19">
        <v>1996</v>
      </c>
      <c r="B19">
        <v>381.8</v>
      </c>
      <c r="C19">
        <v>5618.08</v>
      </c>
      <c r="D19">
        <v>1039.2</v>
      </c>
    </row>
    <row r="20" spans="1:4">
      <c r="A20">
        <v>1997</v>
      </c>
      <c r="B20">
        <v>386.5</v>
      </c>
      <c r="C20">
        <v>5851.8</v>
      </c>
      <c r="D20">
        <v>1056.8</v>
      </c>
    </row>
    <row r="21" spans="1:4">
      <c r="A21">
        <v>1998</v>
      </c>
      <c r="B21">
        <v>389.5</v>
      </c>
      <c r="C21">
        <v>5920.44</v>
      </c>
      <c r="D21">
        <v>1061.9000000000001</v>
      </c>
    </row>
    <row r="22" spans="1:4">
      <c r="A22">
        <v>1999</v>
      </c>
      <c r="B22">
        <v>390.6</v>
      </c>
      <c r="C22">
        <v>6059.47</v>
      </c>
      <c r="D22">
        <v>1068.3</v>
      </c>
    </row>
    <row r="40" spans="10:10">
      <c r="J40">
        <f>130.5*2017-254828</f>
        <v>8390.5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N137"/>
  <sheetViews>
    <sheetView workbookViewId="0">
      <selection activeCell="B1" sqref="B1:G71"/>
    </sheetView>
  </sheetViews>
  <sheetFormatPr baseColWidth="10" defaultRowHeight="15" x14ac:dyDescent="0"/>
  <cols>
    <col min="1" max="1" width="33.1640625" customWidth="1"/>
  </cols>
  <sheetData>
    <row r="1" spans="1:6">
      <c r="A1" t="s">
        <v>363</v>
      </c>
      <c r="B1" t="s">
        <v>504</v>
      </c>
      <c r="C1" t="s">
        <v>501</v>
      </c>
      <c r="D1" t="s">
        <v>503</v>
      </c>
      <c r="E1" t="s">
        <v>502</v>
      </c>
      <c r="F1" t="s">
        <v>505</v>
      </c>
    </row>
    <row r="2" spans="1:6">
      <c r="B2">
        <v>1296</v>
      </c>
      <c r="C2">
        <v>87</v>
      </c>
      <c r="D2">
        <v>56</v>
      </c>
      <c r="F2" t="s">
        <v>507</v>
      </c>
    </row>
    <row r="3" spans="1:6">
      <c r="B3">
        <v>612</v>
      </c>
      <c r="C3">
        <v>87</v>
      </c>
      <c r="D3">
        <v>56</v>
      </c>
      <c r="F3" t="s">
        <v>507</v>
      </c>
    </row>
    <row r="4" spans="1:6">
      <c r="B4">
        <v>4444</v>
      </c>
      <c r="C4">
        <v>160</v>
      </c>
      <c r="E4">
        <v>49</v>
      </c>
      <c r="F4" t="s">
        <v>507</v>
      </c>
    </row>
    <row r="5" spans="1:6">
      <c r="B5">
        <v>11338</v>
      </c>
      <c r="C5">
        <v>200</v>
      </c>
      <c r="E5">
        <v>36</v>
      </c>
      <c r="F5" t="s">
        <v>506</v>
      </c>
    </row>
    <row r="6" spans="1:6">
      <c r="B6">
        <v>196827</v>
      </c>
      <c r="C6">
        <v>236</v>
      </c>
      <c r="E6">
        <v>38.68</v>
      </c>
      <c r="F6" t="s">
        <v>506</v>
      </c>
    </row>
    <row r="7" spans="1:6">
      <c r="B7">
        <v>2716</v>
      </c>
      <c r="C7">
        <v>248</v>
      </c>
      <c r="E7">
        <v>73</v>
      </c>
      <c r="F7" t="s">
        <v>507</v>
      </c>
    </row>
    <row r="8" spans="1:6">
      <c r="B8">
        <v>22100</v>
      </c>
      <c r="C8">
        <v>578</v>
      </c>
      <c r="E8">
        <v>51.16</v>
      </c>
      <c r="F8" t="s">
        <v>506</v>
      </c>
    </row>
    <row r="9" spans="1:6">
      <c r="B9">
        <v>22136</v>
      </c>
      <c r="C9">
        <v>256</v>
      </c>
      <c r="E9">
        <v>58.82</v>
      </c>
      <c r="F9" t="s">
        <v>506</v>
      </c>
    </row>
    <row r="10" spans="1:6">
      <c r="B10">
        <v>1679</v>
      </c>
      <c r="C10">
        <v>44</v>
      </c>
      <c r="D10">
        <v>76</v>
      </c>
      <c r="F10" t="s">
        <v>508</v>
      </c>
    </row>
    <row r="11" spans="1:6">
      <c r="B11">
        <v>7007</v>
      </c>
      <c r="C11">
        <v>560</v>
      </c>
      <c r="F11" t="s">
        <v>506</v>
      </c>
    </row>
    <row r="12" spans="1:6">
      <c r="B12">
        <v>19151</v>
      </c>
      <c r="F12" t="s">
        <v>506</v>
      </c>
    </row>
    <row r="13" spans="1:6">
      <c r="B13">
        <v>8207</v>
      </c>
      <c r="F13" t="s">
        <v>506</v>
      </c>
    </row>
    <row r="14" spans="1:6">
      <c r="B14">
        <v>12345</v>
      </c>
      <c r="C14">
        <v>225</v>
      </c>
      <c r="E14">
        <v>40</v>
      </c>
      <c r="F14" t="s">
        <v>506</v>
      </c>
    </row>
    <row r="15" spans="1:6">
      <c r="B15">
        <v>16302</v>
      </c>
      <c r="C15">
        <v>80</v>
      </c>
      <c r="E15">
        <v>40</v>
      </c>
      <c r="F15" t="s">
        <v>507</v>
      </c>
    </row>
    <row r="16" spans="1:6">
      <c r="B16">
        <v>7383</v>
      </c>
      <c r="C16">
        <v>220</v>
      </c>
      <c r="D16">
        <v>46.65</v>
      </c>
      <c r="F16" t="s">
        <v>506</v>
      </c>
    </row>
    <row r="17" spans="2:6">
      <c r="B17">
        <v>170783</v>
      </c>
      <c r="C17">
        <v>30</v>
      </c>
      <c r="D17">
        <v>47.6</v>
      </c>
      <c r="F17" t="s">
        <v>509</v>
      </c>
    </row>
    <row r="18" spans="2:6">
      <c r="B18">
        <v>1544</v>
      </c>
      <c r="C18">
        <v>8</v>
      </c>
      <c r="E18">
        <v>8</v>
      </c>
      <c r="F18" t="s">
        <v>509</v>
      </c>
    </row>
    <row r="19" spans="2:6">
      <c r="B19">
        <v>4215</v>
      </c>
      <c r="C19">
        <v>0</v>
      </c>
      <c r="D19">
        <v>29.41</v>
      </c>
      <c r="E19">
        <v>2.85</v>
      </c>
      <c r="F19" t="s">
        <v>507</v>
      </c>
    </row>
    <row r="20" spans="2:6">
      <c r="B20">
        <v>6195</v>
      </c>
      <c r="C20">
        <v>30</v>
      </c>
      <c r="D20">
        <v>61.76</v>
      </c>
      <c r="F20" t="s">
        <v>509</v>
      </c>
    </row>
    <row r="21" spans="2:6">
      <c r="B21">
        <v>11782</v>
      </c>
      <c r="C21">
        <v>152</v>
      </c>
      <c r="D21">
        <v>48</v>
      </c>
      <c r="F21" t="s">
        <v>510</v>
      </c>
    </row>
    <row r="22" spans="2:6">
      <c r="B22">
        <v>21647</v>
      </c>
      <c r="C22">
        <v>69</v>
      </c>
      <c r="D22">
        <v>42</v>
      </c>
      <c r="F22" t="s">
        <v>507</v>
      </c>
    </row>
    <row r="23" spans="2:6">
      <c r="B23">
        <v>500</v>
      </c>
      <c r="C23">
        <v>29</v>
      </c>
      <c r="D23">
        <v>55</v>
      </c>
      <c r="E23">
        <v>20</v>
      </c>
      <c r="F23" t="s">
        <v>507</v>
      </c>
    </row>
    <row r="24" spans="2:6">
      <c r="B24">
        <v>11082</v>
      </c>
      <c r="C24">
        <v>225</v>
      </c>
      <c r="F24" t="s">
        <v>506</v>
      </c>
    </row>
    <row r="25" spans="2:6">
      <c r="B25">
        <v>6007</v>
      </c>
      <c r="C25">
        <v>225</v>
      </c>
      <c r="F25" t="s">
        <v>506</v>
      </c>
    </row>
    <row r="26" spans="2:6">
      <c r="B26">
        <v>14854</v>
      </c>
      <c r="C26">
        <v>225</v>
      </c>
      <c r="F26" t="s">
        <v>506</v>
      </c>
    </row>
    <row r="27" spans="2:6">
      <c r="B27">
        <v>41329</v>
      </c>
      <c r="C27">
        <v>225</v>
      </c>
      <c r="F27" t="s">
        <v>506</v>
      </c>
    </row>
    <row r="28" spans="2:6">
      <c r="B28">
        <v>15500</v>
      </c>
      <c r="C28">
        <v>200</v>
      </c>
      <c r="D28">
        <v>83</v>
      </c>
      <c r="F28" t="s">
        <v>507</v>
      </c>
    </row>
    <row r="29" spans="2:6">
      <c r="B29">
        <v>3240</v>
      </c>
      <c r="E29">
        <v>52.01</v>
      </c>
      <c r="F29" t="s">
        <v>506</v>
      </c>
    </row>
    <row r="30" spans="2:6">
      <c r="B30">
        <v>371</v>
      </c>
      <c r="E30">
        <v>52.01</v>
      </c>
      <c r="F30" t="s">
        <v>506</v>
      </c>
    </row>
    <row r="31" spans="2:6">
      <c r="B31">
        <v>10</v>
      </c>
      <c r="E31">
        <v>65.260000000000005</v>
      </c>
      <c r="F31" t="s">
        <v>509</v>
      </c>
    </row>
    <row r="32" spans="2:6">
      <c r="B32">
        <v>281</v>
      </c>
      <c r="C32">
        <v>30</v>
      </c>
      <c r="D32">
        <v>45.41</v>
      </c>
      <c r="E32">
        <v>269.18</v>
      </c>
      <c r="F32" t="s">
        <v>509</v>
      </c>
    </row>
    <row r="33" spans="2:14">
      <c r="B33">
        <v>296</v>
      </c>
      <c r="C33">
        <v>243</v>
      </c>
      <c r="E33">
        <v>53</v>
      </c>
      <c r="F33" t="s">
        <v>506</v>
      </c>
    </row>
    <row r="34" spans="2:14">
      <c r="B34">
        <v>6620</v>
      </c>
      <c r="C34">
        <v>164</v>
      </c>
      <c r="D34">
        <v>30</v>
      </c>
      <c r="E34">
        <v>25</v>
      </c>
      <c r="F34" t="s">
        <v>507</v>
      </c>
    </row>
    <row r="35" spans="2:14">
      <c r="B35">
        <v>116044</v>
      </c>
      <c r="C35">
        <v>9</v>
      </c>
      <c r="D35">
        <v>52</v>
      </c>
      <c r="E35">
        <v>5.8</v>
      </c>
      <c r="F35" t="s">
        <v>507</v>
      </c>
    </row>
    <row r="36" spans="2:14">
      <c r="B36">
        <v>880</v>
      </c>
      <c r="D36">
        <v>35</v>
      </c>
      <c r="E36">
        <v>15</v>
      </c>
      <c r="F36" t="s">
        <v>507</v>
      </c>
    </row>
    <row r="37" spans="2:14">
      <c r="B37">
        <v>22</v>
      </c>
      <c r="C37">
        <v>34</v>
      </c>
      <c r="D37">
        <v>61</v>
      </c>
      <c r="F37" t="s">
        <v>509</v>
      </c>
    </row>
    <row r="38" spans="2:14">
      <c r="B38">
        <v>110732</v>
      </c>
      <c r="C38">
        <v>172</v>
      </c>
      <c r="D38">
        <v>53.34</v>
      </c>
      <c r="F38" t="s">
        <v>507</v>
      </c>
    </row>
    <row r="39" spans="2:14">
      <c r="B39">
        <v>50552</v>
      </c>
      <c r="C39">
        <v>144</v>
      </c>
      <c r="D39">
        <v>68.84</v>
      </c>
      <c r="F39" t="s">
        <v>507</v>
      </c>
      <c r="K39">
        <v>1</v>
      </c>
      <c r="L39" s="18">
        <f>SV_DW_I</f>
        <v>724.82726832177605</v>
      </c>
      <c r="M39">
        <f t="shared" ref="M39:M70" si="0">(L39*8.34*365*SSG_DW/2000)</f>
        <v>1164.155751149764</v>
      </c>
      <c r="N39">
        <v>87.617500199884532</v>
      </c>
    </row>
    <row r="40" spans="2:14">
      <c r="B40">
        <v>83000</v>
      </c>
      <c r="C40">
        <v>61</v>
      </c>
      <c r="D40">
        <v>54</v>
      </c>
      <c r="E40">
        <v>12.83</v>
      </c>
      <c r="F40" t="s">
        <v>507</v>
      </c>
      <c r="K40">
        <v>1.5</v>
      </c>
      <c r="L40">
        <v>1087.2409024826641</v>
      </c>
      <c r="M40">
        <f t="shared" si="0"/>
        <v>1746.233626724646</v>
      </c>
      <c r="N40">
        <v>78.929203678631453</v>
      </c>
    </row>
    <row r="41" spans="2:14">
      <c r="B41">
        <v>87065</v>
      </c>
      <c r="C41">
        <v>144</v>
      </c>
      <c r="D41">
        <v>49.63</v>
      </c>
      <c r="F41" t="s">
        <v>507</v>
      </c>
      <c r="K41">
        <v>2</v>
      </c>
      <c r="L41">
        <v>1449.6545366435521</v>
      </c>
      <c r="M41">
        <f t="shared" si="0"/>
        <v>2328.311502299528</v>
      </c>
      <c r="N41">
        <v>75.393333714891654</v>
      </c>
    </row>
    <row r="42" spans="2:14">
      <c r="B42">
        <v>66870</v>
      </c>
      <c r="C42">
        <v>168</v>
      </c>
      <c r="D42">
        <v>48.32</v>
      </c>
      <c r="K42">
        <v>2.5</v>
      </c>
      <c r="L42">
        <v>1812.0681708044401</v>
      </c>
      <c r="M42">
        <f t="shared" si="0"/>
        <v>2910.3893778744105</v>
      </c>
      <c r="N42">
        <v>72.885786678612675</v>
      </c>
    </row>
    <row r="43" spans="2:14">
      <c r="B43">
        <v>44482</v>
      </c>
      <c r="C43">
        <v>310</v>
      </c>
      <c r="D43">
        <v>47.99</v>
      </c>
      <c r="F43" t="s">
        <v>506</v>
      </c>
      <c r="K43">
        <v>3</v>
      </c>
      <c r="L43">
        <v>2174.4818049653281</v>
      </c>
      <c r="M43">
        <f t="shared" si="0"/>
        <v>3492.467253449292</v>
      </c>
      <c r="N43">
        <v>70.585086040873833</v>
      </c>
    </row>
    <row r="44" spans="2:14">
      <c r="B44">
        <v>9703</v>
      </c>
      <c r="C44">
        <v>71</v>
      </c>
      <c r="D44">
        <v>44.34</v>
      </c>
      <c r="F44" t="s">
        <v>507</v>
      </c>
      <c r="K44">
        <v>3.5</v>
      </c>
      <c r="L44">
        <v>2536.8954391262164</v>
      </c>
      <c r="M44">
        <f t="shared" si="0"/>
        <v>4074.5451290241745</v>
      </c>
      <c r="N44">
        <v>68.956918734471756</v>
      </c>
    </row>
    <row r="45" spans="2:14">
      <c r="B45">
        <v>4881</v>
      </c>
      <c r="C45">
        <v>88</v>
      </c>
      <c r="D45">
        <v>44.34</v>
      </c>
      <c r="F45" t="s">
        <v>507</v>
      </c>
      <c r="K45">
        <v>4</v>
      </c>
      <c r="L45">
        <v>2899.3090732871042</v>
      </c>
      <c r="M45">
        <f t="shared" si="0"/>
        <v>4656.623004599056</v>
      </c>
      <c r="N45">
        <v>67.677484421412316</v>
      </c>
    </row>
    <row r="46" spans="2:14">
      <c r="B46">
        <v>27233</v>
      </c>
      <c r="C46">
        <v>118</v>
      </c>
      <c r="D46">
        <v>45.29</v>
      </c>
      <c r="F46" t="s">
        <v>507</v>
      </c>
      <c r="K46">
        <v>4.5</v>
      </c>
      <c r="L46">
        <v>3261.7227074479929</v>
      </c>
      <c r="M46">
        <f t="shared" si="0"/>
        <v>5238.7008801739394</v>
      </c>
      <c r="N46">
        <v>66.486773595463362</v>
      </c>
    </row>
    <row r="47" spans="2:14">
      <c r="B47">
        <v>1432</v>
      </c>
      <c r="C47">
        <v>185</v>
      </c>
      <c r="D47">
        <v>12</v>
      </c>
      <c r="E47">
        <v>53</v>
      </c>
      <c r="F47" t="s">
        <v>506</v>
      </c>
      <c r="K47">
        <v>5</v>
      </c>
      <c r="L47">
        <v>3624.1363416088802</v>
      </c>
      <c r="M47">
        <f t="shared" si="0"/>
        <v>5820.7787557488209</v>
      </c>
      <c r="N47">
        <v>65.545346997466694</v>
      </c>
    </row>
    <row r="48" spans="2:14">
      <c r="B48">
        <v>146761</v>
      </c>
      <c r="C48">
        <v>155</v>
      </c>
      <c r="D48">
        <v>75</v>
      </c>
      <c r="F48" t="s">
        <v>507</v>
      </c>
      <c r="K48">
        <v>5.5</v>
      </c>
      <c r="L48">
        <v>3986.549975769768</v>
      </c>
      <c r="M48">
        <f t="shared" si="0"/>
        <v>6402.8566313237015</v>
      </c>
      <c r="N48">
        <v>64.574013106142885</v>
      </c>
    </row>
    <row r="49" spans="2:14">
      <c r="B49">
        <v>60080</v>
      </c>
      <c r="C49">
        <v>272</v>
      </c>
      <c r="D49">
        <v>58.13</v>
      </c>
      <c r="F49" t="s">
        <v>507</v>
      </c>
      <c r="K49">
        <v>6</v>
      </c>
      <c r="L49">
        <v>4348.9636099306563</v>
      </c>
      <c r="M49">
        <f t="shared" si="0"/>
        <v>6984.934506898584</v>
      </c>
      <c r="N49">
        <v>63.798490492978736</v>
      </c>
    </row>
    <row r="50" spans="2:14">
      <c r="B50">
        <v>216394</v>
      </c>
      <c r="C50">
        <v>253</v>
      </c>
      <c r="D50">
        <v>54.5</v>
      </c>
      <c r="F50" t="s">
        <v>506</v>
      </c>
      <c r="K50">
        <v>6.5</v>
      </c>
      <c r="L50">
        <v>4711.3772440915445</v>
      </c>
      <c r="M50">
        <f t="shared" si="0"/>
        <v>7567.0123824734674</v>
      </c>
      <c r="N50">
        <v>63.142279051070616</v>
      </c>
    </row>
    <row r="51" spans="2:14">
      <c r="B51">
        <v>20490</v>
      </c>
      <c r="C51">
        <v>25</v>
      </c>
      <c r="D51">
        <v>41.5</v>
      </c>
      <c r="E51">
        <v>12.5</v>
      </c>
      <c r="F51" t="s">
        <v>509</v>
      </c>
      <c r="K51">
        <v>7</v>
      </c>
      <c r="L51">
        <v>5073.7908782524328</v>
      </c>
      <c r="M51">
        <f t="shared" si="0"/>
        <v>8149.0902580483489</v>
      </c>
      <c r="N51">
        <v>62.579812100863656</v>
      </c>
    </row>
    <row r="52" spans="2:14">
      <c r="B52">
        <v>2920</v>
      </c>
      <c r="C52">
        <v>47</v>
      </c>
      <c r="D52">
        <v>56.5</v>
      </c>
      <c r="E52">
        <v>13.5</v>
      </c>
      <c r="F52" t="s">
        <v>507</v>
      </c>
      <c r="K52">
        <v>7.5</v>
      </c>
      <c r="L52">
        <v>5436.204512413321</v>
      </c>
      <c r="M52">
        <f t="shared" si="0"/>
        <v>8731.1681336232305</v>
      </c>
      <c r="N52">
        <v>62.092340744017619</v>
      </c>
    </row>
    <row r="53" spans="2:14">
      <c r="B53">
        <v>1322</v>
      </c>
      <c r="E53">
        <v>47.94</v>
      </c>
      <c r="F53" t="s">
        <v>507</v>
      </c>
      <c r="K53">
        <v>8</v>
      </c>
      <c r="L53">
        <v>5798.6181465742084</v>
      </c>
      <c r="M53">
        <f t="shared" si="0"/>
        <v>9313.246009198112</v>
      </c>
      <c r="N53">
        <v>62.84783413929069</v>
      </c>
    </row>
    <row r="54" spans="2:14">
      <c r="B54">
        <v>843</v>
      </c>
      <c r="C54">
        <v>44</v>
      </c>
      <c r="F54" t="s">
        <v>509</v>
      </c>
      <c r="K54">
        <v>8.5</v>
      </c>
      <c r="L54">
        <v>6161.0317807350975</v>
      </c>
      <c r="M54">
        <f t="shared" si="0"/>
        <v>9895.3238847729954</v>
      </c>
      <c r="N54">
        <v>62.401946351577891</v>
      </c>
    </row>
    <row r="55" spans="2:14">
      <c r="B55">
        <v>996</v>
      </c>
      <c r="C55">
        <v>30</v>
      </c>
      <c r="D55">
        <v>45.41</v>
      </c>
      <c r="E55">
        <v>269.18</v>
      </c>
      <c r="F55" t="s">
        <v>509</v>
      </c>
      <c r="K55">
        <v>9</v>
      </c>
      <c r="L55">
        <v>6523.4454148959858</v>
      </c>
      <c r="M55">
        <f t="shared" si="0"/>
        <v>10477.401760347879</v>
      </c>
      <c r="N55">
        <v>62.195973274820417</v>
      </c>
    </row>
    <row r="56" spans="2:14">
      <c r="B56">
        <v>310</v>
      </c>
      <c r="C56">
        <v>48</v>
      </c>
      <c r="F56" t="s">
        <v>509</v>
      </c>
      <c r="K56">
        <v>9.5</v>
      </c>
      <c r="L56">
        <v>6885.8590490568722</v>
      </c>
      <c r="M56">
        <f t="shared" si="0"/>
        <v>11059.479635922757</v>
      </c>
      <c r="N56">
        <v>61.789273298302206</v>
      </c>
    </row>
    <row r="57" spans="2:14">
      <c r="B57">
        <v>2322</v>
      </c>
      <c r="C57">
        <v>500</v>
      </c>
      <c r="D57">
        <v>86</v>
      </c>
      <c r="F57" t="s">
        <v>507</v>
      </c>
      <c r="K57">
        <v>10</v>
      </c>
      <c r="L57">
        <v>7248.2726832177605</v>
      </c>
      <c r="M57">
        <f t="shared" si="0"/>
        <v>11641.557511497642</v>
      </c>
      <c r="N57">
        <v>61.423243319435812</v>
      </c>
    </row>
    <row r="58" spans="2:14">
      <c r="B58">
        <v>2446</v>
      </c>
      <c r="C58">
        <v>400</v>
      </c>
      <c r="D58">
        <v>67</v>
      </c>
      <c r="F58" t="s">
        <v>507</v>
      </c>
      <c r="K58">
        <v>10.5</v>
      </c>
      <c r="L58">
        <v>7610.6863173786487</v>
      </c>
      <c r="M58">
        <f t="shared" si="0"/>
        <v>12223.635387072523</v>
      </c>
      <c r="N58">
        <v>61.092073338556695</v>
      </c>
    </row>
    <row r="59" spans="2:14">
      <c r="B59">
        <v>3315</v>
      </c>
      <c r="C59">
        <v>14</v>
      </c>
      <c r="D59">
        <v>37.96</v>
      </c>
      <c r="E59">
        <v>5</v>
      </c>
      <c r="F59" t="s">
        <v>509</v>
      </c>
      <c r="K59">
        <v>11</v>
      </c>
      <c r="L59">
        <v>7973.0999515395361</v>
      </c>
      <c r="M59">
        <f t="shared" si="0"/>
        <v>12805.713262647403</v>
      </c>
      <c r="N59">
        <v>60.796814451194301</v>
      </c>
    </row>
    <row r="60" spans="2:14">
      <c r="B60">
        <v>1470</v>
      </c>
      <c r="C60">
        <v>500</v>
      </c>
      <c r="D60">
        <v>86</v>
      </c>
      <c r="F60" t="s">
        <v>507</v>
      </c>
      <c r="K60">
        <v>11.5</v>
      </c>
      <c r="L60">
        <v>8335.5135857004243</v>
      </c>
      <c r="M60">
        <f t="shared" si="0"/>
        <v>13387.791138222286</v>
      </c>
      <c r="N60">
        <v>60.521677897706475</v>
      </c>
    </row>
    <row r="61" spans="2:14">
      <c r="B61">
        <v>1820</v>
      </c>
      <c r="C61">
        <v>400</v>
      </c>
      <c r="D61">
        <v>67</v>
      </c>
      <c r="F61" t="s">
        <v>507</v>
      </c>
      <c r="K61">
        <v>12</v>
      </c>
      <c r="L61">
        <v>8697.9272198613126</v>
      </c>
      <c r="M61">
        <f t="shared" si="0"/>
        <v>13969.869013797168</v>
      </c>
      <c r="N61">
        <v>60.269469390342636</v>
      </c>
    </row>
    <row r="62" spans="2:14">
      <c r="B62">
        <v>2022</v>
      </c>
      <c r="C62">
        <v>14</v>
      </c>
      <c r="D62">
        <v>37.96</v>
      </c>
      <c r="E62">
        <v>5</v>
      </c>
      <c r="F62" t="s">
        <v>509</v>
      </c>
      <c r="K62">
        <v>12.5</v>
      </c>
      <c r="L62">
        <v>9060.3408540222008</v>
      </c>
      <c r="M62">
        <f t="shared" si="0"/>
        <v>14551.946889372051</v>
      </c>
      <c r="N62">
        <v>60.037437563567906</v>
      </c>
    </row>
    <row r="63" spans="2:14">
      <c r="B63">
        <v>5653</v>
      </c>
      <c r="C63">
        <v>134</v>
      </c>
      <c r="F63" t="s">
        <v>507</v>
      </c>
      <c r="K63">
        <v>13</v>
      </c>
      <c r="L63">
        <v>9422.7544881830891</v>
      </c>
      <c r="M63">
        <f t="shared" si="0"/>
        <v>15134.024764946935</v>
      </c>
      <c r="N63">
        <v>66.439376916933639</v>
      </c>
    </row>
    <row r="64" spans="2:14">
      <c r="B64">
        <v>2897</v>
      </c>
      <c r="C64">
        <v>18</v>
      </c>
      <c r="K64">
        <v>13.5</v>
      </c>
      <c r="L64">
        <v>9785.1681223439791</v>
      </c>
      <c r="M64">
        <f t="shared" si="0"/>
        <v>15716.102640521818</v>
      </c>
      <c r="N64">
        <v>65.964721249738488</v>
      </c>
    </row>
    <row r="65" spans="2:14">
      <c r="B65">
        <v>1887</v>
      </c>
      <c r="C65">
        <v>131</v>
      </c>
      <c r="F65" t="s">
        <v>507</v>
      </c>
      <c r="K65">
        <v>14</v>
      </c>
      <c r="L65">
        <v>10147.581756504866</v>
      </c>
      <c r="M65">
        <f t="shared" si="0"/>
        <v>16298.180516096698</v>
      </c>
      <c r="N65">
        <v>65.523969558771583</v>
      </c>
    </row>
    <row r="66" spans="2:14">
      <c r="B66">
        <v>2629</v>
      </c>
      <c r="C66">
        <v>22</v>
      </c>
      <c r="K66">
        <v>14.5</v>
      </c>
      <c r="L66">
        <v>10509.995390665752</v>
      </c>
      <c r="M66">
        <f t="shared" si="0"/>
        <v>16880.258391671578</v>
      </c>
      <c r="N66">
        <v>65.11361453614721</v>
      </c>
    </row>
    <row r="67" spans="2:14">
      <c r="B67">
        <v>9185</v>
      </c>
      <c r="C67">
        <v>174</v>
      </c>
      <c r="F67" t="s">
        <v>507</v>
      </c>
      <c r="K67">
        <v>15</v>
      </c>
      <c r="L67">
        <v>10872.409024826642</v>
      </c>
      <c r="M67">
        <f t="shared" si="0"/>
        <v>17462.336267246461</v>
      </c>
      <c r="N67">
        <v>64.73061651503113</v>
      </c>
    </row>
    <row r="68" spans="2:14">
      <c r="B68">
        <v>390</v>
      </c>
      <c r="C68">
        <v>60</v>
      </c>
      <c r="D68">
        <v>45</v>
      </c>
      <c r="E68">
        <v>305</v>
      </c>
      <c r="F68" t="s">
        <v>509</v>
      </c>
      <c r="K68">
        <v>15.5</v>
      </c>
      <c r="L68">
        <v>11234.82265898753</v>
      </c>
      <c r="M68">
        <f t="shared" si="0"/>
        <v>18044.414142821344</v>
      </c>
      <c r="N68">
        <v>64.578014200816398</v>
      </c>
    </row>
    <row r="69" spans="2:14">
      <c r="B69">
        <v>5706</v>
      </c>
      <c r="C69">
        <v>30</v>
      </c>
      <c r="F69" t="s">
        <v>506</v>
      </c>
      <c r="K69">
        <v>16</v>
      </c>
      <c r="L69">
        <v>11597.236293148417</v>
      </c>
      <c r="M69">
        <f t="shared" si="0"/>
        <v>18626.492018396224</v>
      </c>
      <c r="N69">
        <v>64.235691066499157</v>
      </c>
    </row>
    <row r="70" spans="2:14">
      <c r="B70">
        <v>6000</v>
      </c>
      <c r="C70">
        <v>125</v>
      </c>
      <c r="F70" t="s">
        <v>506</v>
      </c>
      <c r="K70">
        <v>16.5</v>
      </c>
      <c r="L70">
        <v>11959.649927309307</v>
      </c>
      <c r="M70">
        <f t="shared" si="0"/>
        <v>19208.569893971111</v>
      </c>
      <c r="N70">
        <v>63.914114788807211</v>
      </c>
    </row>
    <row r="71" spans="2:14">
      <c r="B71">
        <v>681</v>
      </c>
      <c r="C71">
        <v>30</v>
      </c>
      <c r="D71">
        <v>45.41</v>
      </c>
      <c r="E71">
        <v>269.18</v>
      </c>
      <c r="F71" t="s">
        <v>509</v>
      </c>
      <c r="K71">
        <v>17</v>
      </c>
      <c r="L71">
        <v>12322.063561470195</v>
      </c>
      <c r="M71">
        <f t="shared" ref="M71:M102" si="1">(L71*8.34*365*SSG_DW/2000)</f>
        <v>19790.647769545991</v>
      </c>
      <c r="N71">
        <v>63.611454762744195</v>
      </c>
    </row>
    <row r="72" spans="2:14">
      <c r="E72">
        <f>AVERAGE(C2:C71)</f>
        <v>155.01587301587301</v>
      </c>
      <c r="K72">
        <v>17.5</v>
      </c>
      <c r="L72">
        <v>12684.477195631081</v>
      </c>
      <c r="M72">
        <f t="shared" si="1"/>
        <v>20372.72564512087</v>
      </c>
      <c r="N72">
        <v>63.326089595313356</v>
      </c>
    </row>
    <row r="73" spans="2:14">
      <c r="K73">
        <v>18</v>
      </c>
      <c r="L73">
        <v>13046.890829791972</v>
      </c>
      <c r="M73">
        <f t="shared" si="1"/>
        <v>20954.803520695757</v>
      </c>
      <c r="N73">
        <v>64.649017468720587</v>
      </c>
    </row>
    <row r="74" spans="2:14">
      <c r="K74">
        <v>18.5</v>
      </c>
      <c r="L74">
        <v>13409.304463952858</v>
      </c>
      <c r="M74">
        <f t="shared" si="1"/>
        <v>21536.881396270637</v>
      </c>
      <c r="N74">
        <v>64.340672405938079</v>
      </c>
    </row>
    <row r="75" spans="2:14">
      <c r="K75">
        <v>19</v>
      </c>
      <c r="L75">
        <v>13771.718098113744</v>
      </c>
      <c r="M75">
        <f t="shared" si="1"/>
        <v>22118.959271845513</v>
      </c>
      <c r="N75">
        <v>64.048556030670426</v>
      </c>
    </row>
    <row r="76" spans="2:14">
      <c r="K76">
        <v>19.5</v>
      </c>
      <c r="L76">
        <v>14134.131732274633</v>
      </c>
      <c r="M76">
        <f t="shared" si="1"/>
        <v>22701.0371474204</v>
      </c>
      <c r="N76">
        <v>63.771419982339587</v>
      </c>
    </row>
    <row r="77" spans="2:14">
      <c r="K77">
        <v>20</v>
      </c>
      <c r="L77">
        <v>14496.545366435521</v>
      </c>
      <c r="M77">
        <f t="shared" si="1"/>
        <v>23283.115022995284</v>
      </c>
      <c r="N77">
        <v>63.50814073642529</v>
      </c>
    </row>
    <row r="78" spans="2:14">
      <c r="K78">
        <v>20.5</v>
      </c>
      <c r="L78">
        <v>14858.959000596409</v>
      </c>
      <c r="M78">
        <f t="shared" si="1"/>
        <v>23865.19289857016</v>
      </c>
      <c r="N78">
        <v>63.257704380555587</v>
      </c>
    </row>
    <row r="79" spans="2:14">
      <c r="K79">
        <v>21</v>
      </c>
      <c r="L79">
        <v>15221.372634757297</v>
      </c>
      <c r="M79">
        <f t="shared" si="1"/>
        <v>24447.270774145047</v>
      </c>
      <c r="N79">
        <v>63.019193565441583</v>
      </c>
    </row>
    <row r="80" spans="2:14">
      <c r="K80">
        <v>21.5</v>
      </c>
      <c r="L80">
        <v>15583.786268918186</v>
      </c>
      <c r="M80">
        <f t="shared" si="1"/>
        <v>25029.348649719923</v>
      </c>
      <c r="N80">
        <v>62.794541780864584</v>
      </c>
    </row>
    <row r="81" spans="11:14">
      <c r="K81">
        <v>22</v>
      </c>
      <c r="L81">
        <v>15946.199903079072</v>
      </c>
      <c r="M81">
        <f t="shared" si="1"/>
        <v>25611.426525294806</v>
      </c>
      <c r="N81">
        <v>62.577398789157833</v>
      </c>
    </row>
    <row r="82" spans="11:14">
      <c r="K82">
        <v>22.5</v>
      </c>
      <c r="L82">
        <v>16308.613537239962</v>
      </c>
      <c r="M82">
        <f t="shared" si="1"/>
        <v>26193.50440086969</v>
      </c>
      <c r="N82">
        <v>62.36990659708249</v>
      </c>
    </row>
    <row r="83" spans="11:14">
      <c r="K83">
        <v>23</v>
      </c>
      <c r="L83">
        <v>16671.027171400849</v>
      </c>
      <c r="M83">
        <f t="shared" si="1"/>
        <v>26775.582276444573</v>
      </c>
      <c r="N83">
        <v>62.1714358046626</v>
      </c>
    </row>
    <row r="84" spans="11:14">
      <c r="K84">
        <v>23.5</v>
      </c>
      <c r="L84">
        <v>17033.440805561739</v>
      </c>
      <c r="M84">
        <f t="shared" si="1"/>
        <v>27357.66015201946</v>
      </c>
      <c r="N84">
        <v>61.981410577877597</v>
      </c>
    </row>
    <row r="85" spans="11:14">
      <c r="K85">
        <v>24</v>
      </c>
      <c r="L85">
        <v>17395.854439722625</v>
      </c>
      <c r="M85">
        <f t="shared" si="1"/>
        <v>27939.738027594336</v>
      </c>
      <c r="N85">
        <v>61.799303068875304</v>
      </c>
    </row>
    <row r="86" spans="11:14">
      <c r="K86">
        <v>24.5</v>
      </c>
      <c r="L86">
        <v>17758.268073883512</v>
      </c>
      <c r="M86">
        <f t="shared" si="1"/>
        <v>28521.815903169219</v>
      </c>
      <c r="N86">
        <v>61.624628519424121</v>
      </c>
    </row>
    <row r="87" spans="11:14">
      <c r="K87">
        <v>25</v>
      </c>
      <c r="L87">
        <v>18120.681708044402</v>
      </c>
      <c r="M87">
        <f t="shared" si="1"/>
        <v>29103.893778744103</v>
      </c>
      <c r="N87">
        <v>61.45694095195099</v>
      </c>
    </row>
    <row r="88" spans="11:14">
      <c r="K88">
        <v>25.5</v>
      </c>
      <c r="L88">
        <v>18483.095342205292</v>
      </c>
      <c r="M88">
        <f t="shared" si="1"/>
        <v>29685.97165431899</v>
      </c>
      <c r="N88">
        <v>61.295829367516021</v>
      </c>
    </row>
    <row r="89" spans="11:14">
      <c r="K89">
        <v>26</v>
      </c>
      <c r="L89">
        <v>18845.508976366178</v>
      </c>
      <c r="M89">
        <f t="shared" si="1"/>
        <v>30268.049529893869</v>
      </c>
      <c r="N89">
        <v>69.270325135511456</v>
      </c>
    </row>
    <row r="90" spans="11:14">
      <c r="K90">
        <v>26.5</v>
      </c>
      <c r="L90">
        <v>19207.922610527065</v>
      </c>
      <c r="M90">
        <f t="shared" si="1"/>
        <v>30850.127405468742</v>
      </c>
      <c r="N90">
        <v>68.960808156948701</v>
      </c>
    </row>
    <row r="91" spans="11:14">
      <c r="K91">
        <v>27</v>
      </c>
      <c r="L91">
        <v>19570.336244687958</v>
      </c>
      <c r="M91">
        <f t="shared" si="1"/>
        <v>31432.205281043636</v>
      </c>
      <c r="N91">
        <v>68.662754770184563</v>
      </c>
    </row>
    <row r="92" spans="11:14">
      <c r="K92">
        <v>27.5</v>
      </c>
      <c r="L92">
        <v>19932.749878848837</v>
      </c>
      <c r="M92">
        <f t="shared" si="1"/>
        <v>32014.283156618505</v>
      </c>
      <c r="N92">
        <v>68.375539688393673</v>
      </c>
    </row>
    <row r="93" spans="11:14">
      <c r="K93">
        <v>28</v>
      </c>
      <c r="L93">
        <v>20295.163513009731</v>
      </c>
      <c r="M93">
        <f t="shared" si="1"/>
        <v>32596.361032193396</v>
      </c>
      <c r="N93">
        <v>68.098582288095301</v>
      </c>
    </row>
    <row r="94" spans="11:14">
      <c r="K94">
        <v>28.5</v>
      </c>
      <c r="L94">
        <v>20657.577147170618</v>
      </c>
      <c r="M94">
        <f t="shared" si="1"/>
        <v>33178.438907768279</v>
      </c>
      <c r="N94">
        <v>67.831342691316166</v>
      </c>
    </row>
    <row r="95" spans="11:14">
      <c r="K95">
        <v>29</v>
      </c>
      <c r="L95">
        <v>21019.990781331504</v>
      </c>
      <c r="M95">
        <f t="shared" si="1"/>
        <v>33760.516783343155</v>
      </c>
      <c r="N95">
        <v>67.573318253046665</v>
      </c>
    </row>
    <row r="96" spans="11:14">
      <c r="K96">
        <v>29.5</v>
      </c>
      <c r="L96">
        <v>21382.404415492394</v>
      </c>
      <c r="M96">
        <f t="shared" si="1"/>
        <v>34342.594658918038</v>
      </c>
      <c r="N96">
        <v>67.324040405904952</v>
      </c>
    </row>
    <row r="97" spans="11:14">
      <c r="K97">
        <v>30</v>
      </c>
      <c r="L97">
        <v>21744.818049653284</v>
      </c>
      <c r="M97">
        <f t="shared" si="1"/>
        <v>34924.672534492922</v>
      </c>
      <c r="N97">
        <v>67.083071820334609</v>
      </c>
    </row>
    <row r="98" spans="11:14">
      <c r="K98">
        <v>30.5</v>
      </c>
      <c r="L98">
        <v>22107.231683814171</v>
      </c>
      <c r="M98">
        <f t="shared" si="1"/>
        <v>35506.750410067805</v>
      </c>
      <c r="N98">
        <v>66.850003844127244</v>
      </c>
    </row>
    <row r="99" spans="11:14">
      <c r="K99">
        <v>31</v>
      </c>
      <c r="L99">
        <v>22469.645317975061</v>
      </c>
      <c r="M99">
        <f t="shared" si="1"/>
        <v>36088.828285642689</v>
      </c>
      <c r="N99">
        <v>66.725493702672921</v>
      </c>
    </row>
    <row r="100" spans="11:14">
      <c r="K100">
        <v>31.5</v>
      </c>
      <c r="L100">
        <v>22832.058952135947</v>
      </c>
      <c r="M100">
        <f t="shared" si="1"/>
        <v>36670.906161217572</v>
      </c>
      <c r="N100">
        <v>66.505500552974695</v>
      </c>
    </row>
    <row r="101" spans="11:14">
      <c r="K101">
        <v>32</v>
      </c>
      <c r="L101">
        <v>23194.472586296833</v>
      </c>
      <c r="M101">
        <f t="shared" si="1"/>
        <v>37252.984036792448</v>
      </c>
      <c r="N101">
        <v>66.294194494599566</v>
      </c>
    </row>
    <row r="102" spans="11:14">
      <c r="K102">
        <v>32.5</v>
      </c>
      <c r="L102">
        <v>23556.886220457724</v>
      </c>
      <c r="M102">
        <f t="shared" si="1"/>
        <v>37835.061912367339</v>
      </c>
      <c r="N102">
        <v>66.087605737323955</v>
      </c>
    </row>
    <row r="103" spans="11:14">
      <c r="K103">
        <v>33</v>
      </c>
      <c r="L103">
        <v>23919.299854618614</v>
      </c>
      <c r="M103">
        <f t="shared" ref="M103:M134" si="2">(L103*8.34*365*SSG_DW/2000)</f>
        <v>38417.139787942222</v>
      </c>
      <c r="N103">
        <v>65.887277245420336</v>
      </c>
    </row>
    <row r="104" spans="11:14">
      <c r="K104">
        <v>33.5</v>
      </c>
      <c r="L104">
        <v>24281.713488779496</v>
      </c>
      <c r="M104">
        <f t="shared" si="2"/>
        <v>38999.217663517091</v>
      </c>
      <c r="N104">
        <v>65.692928708498911</v>
      </c>
    </row>
    <row r="105" spans="11:14">
      <c r="K105">
        <v>34</v>
      </c>
      <c r="L105">
        <v>24644.12712294039</v>
      </c>
      <c r="M105">
        <f t="shared" si="2"/>
        <v>39581.295539091981</v>
      </c>
      <c r="N105">
        <v>65.504296305016354</v>
      </c>
    </row>
    <row r="106" spans="11:14">
      <c r="K106">
        <v>34.5</v>
      </c>
      <c r="L106">
        <v>25006.540757101277</v>
      </c>
      <c r="M106">
        <f t="shared" si="2"/>
        <v>40163.373414666872</v>
      </c>
      <c r="N106">
        <v>65.321131507431843</v>
      </c>
    </row>
    <row r="107" spans="11:14">
      <c r="K107">
        <v>35</v>
      </c>
      <c r="L107">
        <v>25368.954391262163</v>
      </c>
      <c r="M107">
        <f t="shared" si="2"/>
        <v>40745.451290241741</v>
      </c>
      <c r="N107">
        <v>65.143199989778324</v>
      </c>
    </row>
    <row r="108" spans="11:14">
      <c r="K108">
        <v>35.5</v>
      </c>
      <c r="L108">
        <v>25731.368025423049</v>
      </c>
      <c r="M108">
        <f t="shared" si="2"/>
        <v>41327.529165816624</v>
      </c>
      <c r="N108">
        <v>64.970280627551659</v>
      </c>
    </row>
    <row r="109" spans="11:14">
      <c r="K109">
        <v>36</v>
      </c>
      <c r="L109">
        <v>26093.781659583943</v>
      </c>
      <c r="M109">
        <f t="shared" si="2"/>
        <v>41909.607041391515</v>
      </c>
      <c r="N109">
        <v>64.802164580942403</v>
      </c>
    </row>
    <row r="110" spans="11:14">
      <c r="K110">
        <v>36.5</v>
      </c>
      <c r="L110">
        <v>26456.195293744826</v>
      </c>
      <c r="M110">
        <f t="shared" si="2"/>
        <v>42491.684916966384</v>
      </c>
      <c r="N110">
        <v>64.638654453418326</v>
      </c>
    </row>
    <row r="111" spans="11:14">
      <c r="K111">
        <v>37</v>
      </c>
      <c r="L111">
        <v>26818.608927905716</v>
      </c>
      <c r="M111">
        <f t="shared" si="2"/>
        <v>43073.762792541274</v>
      </c>
      <c r="N111">
        <v>64.479563518530043</v>
      </c>
    </row>
    <row r="112" spans="11:14">
      <c r="K112">
        <v>37.5</v>
      </c>
      <c r="L112">
        <v>27181.022562066606</v>
      </c>
      <c r="M112">
        <f t="shared" si="2"/>
        <v>43655.840668116158</v>
      </c>
      <c r="N112">
        <v>64.324715008572099</v>
      </c>
    </row>
    <row r="113" spans="11:14">
      <c r="K113">
        <v>38</v>
      </c>
      <c r="L113">
        <v>27543.436196227489</v>
      </c>
      <c r="M113">
        <f t="shared" si="2"/>
        <v>44237.918543691027</v>
      </c>
      <c r="N113">
        <v>64.173941459402542</v>
      </c>
    </row>
    <row r="114" spans="11:14">
      <c r="K114">
        <v>38.5</v>
      </c>
      <c r="L114">
        <v>27905.849830388375</v>
      </c>
      <c r="M114">
        <f t="shared" si="2"/>
        <v>44819.99641926591</v>
      </c>
      <c r="N114">
        <v>71.887944122963731</v>
      </c>
    </row>
    <row r="115" spans="11:14">
      <c r="K115">
        <v>39</v>
      </c>
      <c r="L115">
        <v>28268.263464549265</v>
      </c>
      <c r="M115">
        <f t="shared" si="2"/>
        <v>45402.074294840801</v>
      </c>
      <c r="N115">
        <v>71.641022940694441</v>
      </c>
    </row>
    <row r="116" spans="11:14">
      <c r="K116">
        <v>39.5</v>
      </c>
      <c r="L116">
        <v>28630.677098710155</v>
      </c>
      <c r="M116">
        <f t="shared" si="2"/>
        <v>45984.152170415684</v>
      </c>
      <c r="N116">
        <v>71.401802585526781</v>
      </c>
    </row>
    <row r="117" spans="11:14">
      <c r="K117">
        <v>40</v>
      </c>
      <c r="L117">
        <v>28993.090732871042</v>
      </c>
      <c r="M117">
        <f t="shared" si="2"/>
        <v>46566.230045990567</v>
      </c>
      <c r="N117">
        <v>71.167131202032181</v>
      </c>
    </row>
    <row r="118" spans="11:14">
      <c r="K118">
        <v>40.5</v>
      </c>
      <c r="L118">
        <v>29355.504367031932</v>
      </c>
      <c r="M118">
        <f t="shared" si="2"/>
        <v>47148.307921565443</v>
      </c>
      <c r="N118">
        <v>70.939668037592881</v>
      </c>
    </row>
    <row r="119" spans="11:14">
      <c r="K119">
        <v>41</v>
      </c>
      <c r="L119">
        <v>29717.918001192818</v>
      </c>
      <c r="M119">
        <f t="shared" si="2"/>
        <v>47730.385797140319</v>
      </c>
      <c r="N119">
        <v>70.716356133548558</v>
      </c>
    </row>
    <row r="120" spans="11:14">
      <c r="K120">
        <v>41.5</v>
      </c>
      <c r="L120">
        <v>30080.331635353708</v>
      </c>
      <c r="M120">
        <f t="shared" si="2"/>
        <v>48312.46367271521</v>
      </c>
      <c r="N120">
        <v>70.499805034137722</v>
      </c>
    </row>
    <row r="121" spans="11:14">
      <c r="K121">
        <v>42</v>
      </c>
      <c r="L121">
        <v>30442.745269514595</v>
      </c>
      <c r="M121">
        <f t="shared" si="2"/>
        <v>48894.541548290093</v>
      </c>
      <c r="N121">
        <v>70.287046544516542</v>
      </c>
    </row>
    <row r="122" spans="11:14">
      <c r="K122">
        <v>42.5</v>
      </c>
      <c r="L122">
        <v>30805.158903675481</v>
      </c>
      <c r="M122">
        <f t="shared" si="2"/>
        <v>49476.61942386497</v>
      </c>
      <c r="N122">
        <v>70.080641466139269</v>
      </c>
    </row>
    <row r="123" spans="11:14">
      <c r="K123">
        <v>43</v>
      </c>
      <c r="L123">
        <v>31167.572537836371</v>
      </c>
      <c r="M123">
        <f t="shared" si="2"/>
        <v>50058.697299439846</v>
      </c>
      <c r="N123">
        <v>69.879036505863809</v>
      </c>
    </row>
    <row r="124" spans="11:14">
      <c r="K124">
        <v>43.5</v>
      </c>
      <c r="L124">
        <v>31529.986171997261</v>
      </c>
      <c r="M124">
        <f t="shared" si="2"/>
        <v>50640.775175014744</v>
      </c>
      <c r="N124">
        <v>69.680749786324668</v>
      </c>
    </row>
    <row r="125" spans="11:14">
      <c r="K125">
        <v>44</v>
      </c>
      <c r="L125">
        <v>31892.399806158144</v>
      </c>
      <c r="M125">
        <f t="shared" si="2"/>
        <v>51222.853050589612</v>
      </c>
      <c r="N125">
        <v>69.488270980598799</v>
      </c>
    </row>
    <row r="126" spans="11:14">
      <c r="K126">
        <v>44.5</v>
      </c>
      <c r="L126">
        <v>32254.813440319038</v>
      </c>
      <c r="M126">
        <f t="shared" si="2"/>
        <v>51804.930926164503</v>
      </c>
      <c r="N126">
        <v>69.298830766277007</v>
      </c>
    </row>
    <row r="127" spans="11:14">
      <c r="K127">
        <v>45</v>
      </c>
      <c r="L127">
        <v>32617.227074479924</v>
      </c>
      <c r="M127">
        <f t="shared" si="2"/>
        <v>52387.008801739379</v>
      </c>
      <c r="N127">
        <v>69.114872812012251</v>
      </c>
    </row>
    <row r="128" spans="11:14">
      <c r="K128">
        <v>45.5</v>
      </c>
      <c r="L128">
        <v>32979.640708640814</v>
      </c>
      <c r="M128">
        <f t="shared" si="2"/>
        <v>52969.086677314277</v>
      </c>
      <c r="N128">
        <v>68.933699395462213</v>
      </c>
    </row>
    <row r="129" spans="11:14">
      <c r="K129">
        <v>46</v>
      </c>
      <c r="L129">
        <v>33342.054342801697</v>
      </c>
      <c r="M129">
        <f t="shared" si="2"/>
        <v>53551.164552889146</v>
      </c>
      <c r="N129">
        <v>69.098168574792183</v>
      </c>
    </row>
    <row r="130" spans="11:14">
      <c r="K130">
        <v>46.5</v>
      </c>
      <c r="L130">
        <v>33704.467976962587</v>
      </c>
      <c r="M130">
        <f t="shared" si="2"/>
        <v>54133.242428464029</v>
      </c>
      <c r="N130">
        <v>68.921070976202572</v>
      </c>
    </row>
    <row r="131" spans="11:14">
      <c r="K131">
        <v>47</v>
      </c>
      <c r="L131">
        <v>34066.881611123477</v>
      </c>
      <c r="M131">
        <f t="shared" si="2"/>
        <v>54715.32030403892</v>
      </c>
      <c r="N131">
        <v>68.748959741162651</v>
      </c>
    </row>
    <row r="132" spans="11:14">
      <c r="K132">
        <v>47.5</v>
      </c>
      <c r="L132">
        <v>34429.295245284367</v>
      </c>
      <c r="M132">
        <f t="shared" si="2"/>
        <v>55297.398179613789</v>
      </c>
      <c r="N132">
        <v>68.580471900544609</v>
      </c>
    </row>
    <row r="133" spans="11:14">
      <c r="K133">
        <v>48</v>
      </c>
      <c r="L133">
        <v>34791.70887944525</v>
      </c>
      <c r="M133">
        <f t="shared" si="2"/>
        <v>55879.476055188672</v>
      </c>
      <c r="N133">
        <v>68.414301275601005</v>
      </c>
    </row>
    <row r="134" spans="11:14">
      <c r="K134">
        <v>48.5</v>
      </c>
      <c r="L134">
        <v>35154.122513606148</v>
      </c>
      <c r="M134">
        <f t="shared" si="2"/>
        <v>56461.553930763563</v>
      </c>
      <c r="N134">
        <v>68.252737498352005</v>
      </c>
    </row>
    <row r="135" spans="11:14">
      <c r="K135">
        <v>49</v>
      </c>
      <c r="L135">
        <v>35516.536147767023</v>
      </c>
      <c r="M135">
        <f>(L135*8.34*365*SSG_DW/2000)</f>
        <v>57043.631806338439</v>
      </c>
      <c r="N135">
        <v>68.093302339245952</v>
      </c>
    </row>
    <row r="136" spans="11:14">
      <c r="K136">
        <v>49.5</v>
      </c>
      <c r="L136">
        <v>35878.949781927913</v>
      </c>
      <c r="M136">
        <f>(L136*8.34*365*SSG_DW/2000)</f>
        <v>57625.709681913315</v>
      </c>
      <c r="N136">
        <v>67.938244890187406</v>
      </c>
    </row>
    <row r="137" spans="11:14">
      <c r="K137">
        <v>50</v>
      </c>
      <c r="L137">
        <v>36241.363416088803</v>
      </c>
      <c r="M137">
        <f>(L137*8.34*365*SSG_DW/2000)</f>
        <v>58207.787557488205</v>
      </c>
      <c r="N137">
        <v>67.785143360345117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Q73"/>
  <sheetViews>
    <sheetView workbookViewId="0">
      <selection activeCell="C50" sqref="C50"/>
    </sheetView>
  </sheetViews>
  <sheetFormatPr baseColWidth="10" defaultRowHeight="15" x14ac:dyDescent="0"/>
  <cols>
    <col min="1" max="1" width="37.1640625" customWidth="1"/>
    <col min="2" max="2" width="11.33203125" customWidth="1"/>
    <col min="5" max="5" width="13.83203125" customWidth="1"/>
    <col min="15" max="15" width="12" customWidth="1"/>
  </cols>
  <sheetData>
    <row r="1" spans="1:16" s="10" customFormat="1" ht="17" thickBot="1">
      <c r="A1" s="10" t="s">
        <v>1</v>
      </c>
      <c r="B1" s="10" t="s">
        <v>109</v>
      </c>
    </row>
    <row r="2" spans="1:16" ht="16" thickTop="1">
      <c r="A2" t="s">
        <v>88</v>
      </c>
      <c r="B2" t="s">
        <v>108</v>
      </c>
      <c r="C2">
        <f>SV_DWH_I</f>
        <v>724.82726832177605</v>
      </c>
    </row>
    <row r="3" spans="1:16">
      <c r="A3" t="s">
        <v>2</v>
      </c>
      <c r="B3" t="s">
        <v>106</v>
      </c>
      <c r="C3">
        <f>(ACC+COSTOM)/TDSS</f>
        <v>179.44939371223091</v>
      </c>
    </row>
    <row r="4" spans="1:16">
      <c r="A4" t="s">
        <v>168</v>
      </c>
      <c r="B4" t="s">
        <v>5</v>
      </c>
      <c r="C4">
        <v>18</v>
      </c>
    </row>
    <row r="5" spans="1:16">
      <c r="A5" t="s">
        <v>111</v>
      </c>
      <c r="B5" t="s">
        <v>110</v>
      </c>
      <c r="C5">
        <f>(SV_LA_1*8.34*SS_LA_1*SSG*365)/((2000)*(100))</f>
        <v>201.56103406882423</v>
      </c>
    </row>
    <row r="6" spans="1:16">
      <c r="A6" t="s">
        <v>4</v>
      </c>
      <c r="B6" t="s">
        <v>44</v>
      </c>
      <c r="C6">
        <f>1/(((100-SS_BF)/100)+(SS_BF/(1.42*100)))</f>
        <v>1.0150107219442459</v>
      </c>
      <c r="F6">
        <f>20*1000000</f>
        <v>20000000</v>
      </c>
      <c r="G6">
        <f>156000/F6*100</f>
        <v>0.77999999999999992</v>
      </c>
      <c r="I6">
        <f>50*1000000*(G6/100)</f>
        <v>389999.99999999994</v>
      </c>
    </row>
    <row r="7" spans="1:16">
      <c r="A7" t="s">
        <v>112</v>
      </c>
      <c r="B7" t="s">
        <v>14</v>
      </c>
      <c r="C7">
        <f>TDSS/DSAR</f>
        <v>40.312206813764845</v>
      </c>
    </row>
    <row r="8" spans="1:16">
      <c r="A8" t="s">
        <v>6</v>
      </c>
      <c r="B8" t="s">
        <v>7</v>
      </c>
      <c r="C8">
        <v>5</v>
      </c>
    </row>
    <row r="9" spans="1:16">
      <c r="A9" t="s">
        <v>8</v>
      </c>
      <c r="B9" t="s">
        <v>13</v>
      </c>
      <c r="C9">
        <f>SV_LA_1*365/((DPY)*(HPD))</f>
        <v>367.44715685756705</v>
      </c>
    </row>
    <row r="10" spans="1:16">
      <c r="A10" t="s">
        <v>9</v>
      </c>
      <c r="B10" t="s">
        <v>10</v>
      </c>
      <c r="C10">
        <v>120</v>
      </c>
      <c r="L10" s="1"/>
      <c r="M10" s="1"/>
      <c r="N10" s="1"/>
      <c r="O10" s="1"/>
      <c r="P10" s="1"/>
    </row>
    <row r="11" spans="1:16">
      <c r="A11" t="s">
        <v>11</v>
      </c>
      <c r="B11" t="s">
        <v>12</v>
      </c>
      <c r="C11">
        <v>6</v>
      </c>
      <c r="E11" t="s">
        <v>89</v>
      </c>
      <c r="F11" t="s">
        <v>90</v>
      </c>
      <c r="G11" t="s">
        <v>91</v>
      </c>
      <c r="H11" t="s">
        <v>92</v>
      </c>
      <c r="I11" t="s">
        <v>19</v>
      </c>
      <c r="J11" t="s">
        <v>96</v>
      </c>
      <c r="K11" t="s">
        <v>93</v>
      </c>
      <c r="L11" s="1" t="s">
        <v>94</v>
      </c>
      <c r="M11" s="1" t="s">
        <v>95</v>
      </c>
      <c r="N11" s="1" t="s">
        <v>117</v>
      </c>
      <c r="O11" s="1" t="s">
        <v>120</v>
      </c>
      <c r="P11" s="1"/>
    </row>
    <row r="12" spans="1:16">
      <c r="A12" s="9" t="s">
        <v>15</v>
      </c>
      <c r="B12" s="9"/>
      <c r="C12" s="9">
        <f>HSV/1600</f>
        <v>0.22965447303597941</v>
      </c>
      <c r="D12" s="1">
        <f>ROUNDUP(C12,0)</f>
        <v>1</v>
      </c>
      <c r="E12" s="1">
        <v>1600</v>
      </c>
      <c r="F12">
        <v>6</v>
      </c>
      <c r="G12">
        <v>8</v>
      </c>
      <c r="H12">
        <v>5</v>
      </c>
      <c r="I12">
        <f>(F12+G12+H12)/0.75</f>
        <v>25.333333333333332</v>
      </c>
      <c r="J12">
        <f>IF(D12=NOV,1,0)</f>
        <v>1</v>
      </c>
      <c r="K12">
        <f>J12*I12</f>
        <v>25.333333333333332</v>
      </c>
      <c r="L12" s="1">
        <f>J12*E12</f>
        <v>1600</v>
      </c>
      <c r="M12" s="1">
        <f>J12*3.5</f>
        <v>3.5</v>
      </c>
      <c r="N12" s="1">
        <v>0</v>
      </c>
      <c r="O12" s="1">
        <f>J12*4.85</f>
        <v>4.8499999999999996</v>
      </c>
      <c r="P12" s="1"/>
    </row>
    <row r="13" spans="1:16">
      <c r="A13" s="9" t="s">
        <v>16</v>
      </c>
      <c r="B13" s="9"/>
      <c r="C13" s="9">
        <f>HSV/2200</f>
        <v>0.16702143493525776</v>
      </c>
      <c r="D13" s="1">
        <f>ROUNDUP(C13,0)</f>
        <v>1</v>
      </c>
      <c r="E13" s="1">
        <v>2200</v>
      </c>
      <c r="F13">
        <v>7</v>
      </c>
      <c r="G13">
        <v>9</v>
      </c>
      <c r="H13">
        <v>5</v>
      </c>
      <c r="I13">
        <f>(F13+G13+H13)/0.75</f>
        <v>28</v>
      </c>
      <c r="J13">
        <f>IF(D13=NOV,1,0)</f>
        <v>1</v>
      </c>
      <c r="K13">
        <f>J13*I13</f>
        <v>28</v>
      </c>
      <c r="L13" s="1">
        <f>J13*E13</f>
        <v>2200</v>
      </c>
      <c r="M13" s="1">
        <f>J13*4</f>
        <v>4</v>
      </c>
      <c r="N13" s="1">
        <v>0</v>
      </c>
      <c r="O13" s="1">
        <f>J13*5.31</f>
        <v>5.31</v>
      </c>
      <c r="P13" s="1"/>
    </row>
    <row r="14" spans="1:16">
      <c r="A14" s="9" t="s">
        <v>17</v>
      </c>
      <c r="B14" s="9"/>
      <c r="C14" s="9">
        <f>HSV/3200</f>
        <v>0.11482723651798971</v>
      </c>
      <c r="D14" s="1">
        <f>ROUNDUP(C14,0)</f>
        <v>1</v>
      </c>
      <c r="E14" s="1">
        <v>3200</v>
      </c>
      <c r="F14">
        <v>8</v>
      </c>
      <c r="G14">
        <v>10</v>
      </c>
      <c r="H14">
        <v>5</v>
      </c>
      <c r="I14">
        <f>(F14+G14+H14)/0.75</f>
        <v>30.666666666666668</v>
      </c>
      <c r="J14">
        <f>IF(D14=NOV,1,0)</f>
        <v>1</v>
      </c>
      <c r="K14">
        <f>J14*I14</f>
        <v>30.666666666666668</v>
      </c>
      <c r="L14" s="1">
        <f>J14*E14</f>
        <v>3200</v>
      </c>
      <c r="M14" s="1">
        <f>J14*5</f>
        <v>5</v>
      </c>
      <c r="N14" s="1">
        <v>0</v>
      </c>
      <c r="O14" s="1">
        <f>J14*5.96</f>
        <v>5.96</v>
      </c>
      <c r="P14" s="1"/>
    </row>
    <row r="15" spans="1:16">
      <c r="A15" s="9" t="s">
        <v>18</v>
      </c>
      <c r="B15" s="9"/>
      <c r="C15" s="9">
        <f>HSV/4000</f>
        <v>9.1861789214391767E-2</v>
      </c>
      <c r="D15" s="1">
        <f>ROUNDUP(C15,0)</f>
        <v>1</v>
      </c>
      <c r="E15" s="1">
        <v>4000</v>
      </c>
      <c r="F15">
        <v>9</v>
      </c>
      <c r="G15">
        <v>11</v>
      </c>
      <c r="H15">
        <v>5</v>
      </c>
      <c r="I15">
        <f>(F15+G15+H15)/0.75</f>
        <v>33.333333333333336</v>
      </c>
      <c r="J15">
        <f>IF(D15=NOV,1,0)</f>
        <v>1</v>
      </c>
      <c r="K15">
        <f>J15*I15</f>
        <v>33.333333333333336</v>
      </c>
      <c r="L15" s="1">
        <f>J15*E15</f>
        <v>4000</v>
      </c>
      <c r="M15" s="1">
        <f>J15*6</f>
        <v>6</v>
      </c>
      <c r="N15" s="1">
        <v>0</v>
      </c>
      <c r="O15" s="1">
        <f>7.16*J15</f>
        <v>7.16</v>
      </c>
      <c r="P15" s="1"/>
    </row>
    <row r="16" spans="1:16">
      <c r="A16" s="1" t="s">
        <v>19</v>
      </c>
      <c r="B16" s="1" t="s">
        <v>20</v>
      </c>
      <c r="C16" s="1">
        <f>MAX(K12:K15)</f>
        <v>33.333333333333336</v>
      </c>
      <c r="L16" s="1"/>
      <c r="M16" s="1"/>
      <c r="N16" s="1"/>
      <c r="O16" s="1"/>
      <c r="P16" s="1"/>
    </row>
    <row r="17" spans="1:17">
      <c r="A17" s="1" t="s">
        <v>21</v>
      </c>
      <c r="B17" s="1" t="s">
        <v>13</v>
      </c>
      <c r="C17" s="1">
        <f>(CAP*60*0.9)/CT</f>
        <v>6479.9999999999991</v>
      </c>
    </row>
    <row r="18" spans="1:17">
      <c r="A18" s="1" t="s">
        <v>22</v>
      </c>
      <c r="B18" s="1" t="s">
        <v>23</v>
      </c>
      <c r="C18" s="1">
        <f>MAX(L12:L15)</f>
        <v>4000</v>
      </c>
    </row>
    <row r="19" spans="1:17">
      <c r="A19" s="1" t="s">
        <v>24</v>
      </c>
      <c r="B19" s="1" t="s">
        <v>14</v>
      </c>
      <c r="C19" s="1">
        <f>((1+FWWAB)*SDAR)</f>
        <v>56.437089539270779</v>
      </c>
    </row>
    <row r="20" spans="1:17">
      <c r="A20" s="1" t="s">
        <v>25</v>
      </c>
      <c r="B20" s="1"/>
      <c r="C20" s="1">
        <f>0.4</f>
        <v>0.4</v>
      </c>
      <c r="G20" t="s">
        <v>3</v>
      </c>
      <c r="H20" t="s">
        <v>2</v>
      </c>
      <c r="J20" t="s">
        <v>97</v>
      </c>
      <c r="O20" t="s">
        <v>161</v>
      </c>
    </row>
    <row r="21" spans="1:17">
      <c r="A21" s="1" t="s">
        <v>26</v>
      </c>
      <c r="B21" s="1" t="s">
        <v>14</v>
      </c>
      <c r="C21" s="1">
        <f>FRPH*SDAR</f>
        <v>20.156103406882423</v>
      </c>
      <c r="G21">
        <v>20000</v>
      </c>
      <c r="H21">
        <f>CPDT</f>
        <v>179.44939371223091</v>
      </c>
      <c r="J21">
        <v>20000</v>
      </c>
      <c r="K21">
        <f>COSTLAND+COSTPHT+COSTEW+COSTMAV</f>
        <v>7.6877207280551918</v>
      </c>
      <c r="L21">
        <f>J21*365/1000000</f>
        <v>7.3</v>
      </c>
      <c r="M21">
        <f>K21/1000000</f>
        <v>7.6877207280551917E-6</v>
      </c>
      <c r="O21">
        <v>20000</v>
      </c>
      <c r="P21">
        <f>(ACC+COSTOM)/(SV_LA_1*8.34*365*SSG/2000)</f>
        <v>32.300890868201563</v>
      </c>
    </row>
    <row r="22" spans="1:17">
      <c r="A22" s="1" t="s">
        <v>27</v>
      </c>
      <c r="B22" s="1"/>
      <c r="C22" s="1">
        <f>0.5</f>
        <v>0.5</v>
      </c>
      <c r="G22">
        <v>25000</v>
      </c>
      <c r="H22">
        <f t="dataTable" ref="H22:H73" dt2D="0" dtr="0" r1="C2" ca="1"/>
        <v>31.597441108208486</v>
      </c>
      <c r="J22">
        <v>25000</v>
      </c>
      <c r="K22">
        <f t="dataTable" ref="K22:K73" dt2D="0" dtr="0" r1="C2" ca="1"/>
        <v>8.693857778084805</v>
      </c>
      <c r="L22">
        <f t="shared" ref="L22:L73" si="0">J22*365/1000000</f>
        <v>9.125</v>
      </c>
      <c r="M22">
        <f t="shared" ref="M22:M73" si="1">K22/1000000</f>
        <v>8.6938577780848048E-6</v>
      </c>
      <c r="O22">
        <v>25000</v>
      </c>
      <c r="P22">
        <f t="dataTable" ref="P22:P73" dt2D="0" dtr="0" r1="C2" ca="1"/>
        <v>5.6875393994775267</v>
      </c>
    </row>
    <row r="23" spans="1:17">
      <c r="A23" s="1" t="s">
        <v>28</v>
      </c>
      <c r="B23" s="1" t="s">
        <v>14</v>
      </c>
      <c r="C23" s="1">
        <f>FRLG/SDAR</f>
        <v>7.4419145889468696E-3</v>
      </c>
      <c r="G23">
        <v>30000</v>
      </c>
      <c r="H23">
        <v>28.364841625680896</v>
      </c>
      <c r="J23">
        <v>30000</v>
      </c>
      <c r="K23">
        <v>10.353515828570442</v>
      </c>
      <c r="L23">
        <f t="shared" si="0"/>
        <v>10.95</v>
      </c>
      <c r="M23">
        <f t="shared" si="1"/>
        <v>1.0353515828570442E-5</v>
      </c>
      <c r="O23">
        <v>30000</v>
      </c>
      <c r="P23">
        <v>5.1056714926225615</v>
      </c>
    </row>
    <row r="24" spans="1:17">
      <c r="A24" s="1" t="s">
        <v>29</v>
      </c>
      <c r="B24" s="1"/>
      <c r="C24" s="1">
        <f>0.3</f>
        <v>0.3</v>
      </c>
      <c r="G24">
        <v>35000</v>
      </c>
      <c r="H24">
        <v>29.519340371401999</v>
      </c>
      <c r="J24">
        <v>35000</v>
      </c>
      <c r="K24">
        <v>12.023448360241963</v>
      </c>
      <c r="L24">
        <f t="shared" si="0"/>
        <v>12.775</v>
      </c>
      <c r="M24">
        <f t="shared" si="1"/>
        <v>1.2023448360241963E-5</v>
      </c>
      <c r="O24">
        <v>35000</v>
      </c>
      <c r="P24">
        <v>5.3134812668523592</v>
      </c>
    </row>
    <row r="25" spans="1:17">
      <c r="A25" s="1" t="s">
        <v>114</v>
      </c>
      <c r="B25" s="1" t="s">
        <v>113</v>
      </c>
      <c r="C25" s="1">
        <f>MIN(D12:D15)</f>
        <v>1</v>
      </c>
      <c r="G25">
        <v>40000</v>
      </c>
      <c r="H25">
        <v>30.38521449850326</v>
      </c>
      <c r="J25">
        <v>40000</v>
      </c>
      <c r="K25">
        <v>13.699802442654667</v>
      </c>
      <c r="L25">
        <f t="shared" si="0"/>
        <v>14.6</v>
      </c>
      <c r="M25">
        <f t="shared" si="1"/>
        <v>1.3699802442654667E-5</v>
      </c>
      <c r="O25">
        <v>40000</v>
      </c>
      <c r="P25">
        <v>5.4693386097305865</v>
      </c>
    </row>
    <row r="26" spans="1:17">
      <c r="A26" s="1" t="s">
        <v>30</v>
      </c>
      <c r="B26" s="1" t="s">
        <v>115</v>
      </c>
      <c r="C26" s="1">
        <f>8*NOV*DPY/0.7</f>
        <v>1371.4285714285716</v>
      </c>
      <c r="G26">
        <v>45000</v>
      </c>
      <c r="H26">
        <v>28.364840219242385</v>
      </c>
      <c r="J26">
        <v>45000</v>
      </c>
      <c r="K26">
        <v>15.380437558894821</v>
      </c>
      <c r="L26">
        <f t="shared" si="0"/>
        <v>16.425000000000001</v>
      </c>
      <c r="M26">
        <f t="shared" si="1"/>
        <v>1.5380437558894819E-5</v>
      </c>
      <c r="O26">
        <v>45000</v>
      </c>
      <c r="P26">
        <v>5.1056712394636294</v>
      </c>
    </row>
    <row r="27" spans="1:17">
      <c r="A27" s="1" t="s">
        <v>31</v>
      </c>
      <c r="B27" s="1" t="s">
        <v>116</v>
      </c>
      <c r="C27" s="1">
        <f>HSV*HPD*DPY*DFRCAP/VHRCAP</f>
        <v>244.96477123837806</v>
      </c>
      <c r="G27">
        <v>50000</v>
      </c>
      <c r="H27">
        <v>29.17298959762082</v>
      </c>
      <c r="J27">
        <v>50000</v>
      </c>
      <c r="K27">
        <v>17.06406939881419</v>
      </c>
      <c r="L27">
        <f t="shared" si="0"/>
        <v>18.25</v>
      </c>
      <c r="M27">
        <f t="shared" si="1"/>
        <v>1.7064069398814191E-5</v>
      </c>
      <c r="O27">
        <v>50000</v>
      </c>
      <c r="P27">
        <v>5.251138127571747</v>
      </c>
    </row>
    <row r="28" spans="1:17">
      <c r="A28" s="1" t="s">
        <v>32</v>
      </c>
      <c r="B28" s="1" t="s">
        <v>13</v>
      </c>
      <c r="C28" s="1">
        <f>MAX(M12:M15)</f>
        <v>6</v>
      </c>
      <c r="G28">
        <v>55000</v>
      </c>
      <c r="H28">
        <v>27.630158399876191</v>
      </c>
      <c r="J28">
        <v>55000</v>
      </c>
      <c r="K28">
        <v>18.749880674136627</v>
      </c>
      <c r="L28">
        <f t="shared" si="0"/>
        <v>20.074999999999999</v>
      </c>
      <c r="M28">
        <f t="shared" si="1"/>
        <v>1.8749880674136626E-5</v>
      </c>
      <c r="O28">
        <v>55000</v>
      </c>
      <c r="P28">
        <v>4.9734285119777137</v>
      </c>
    </row>
    <row r="29" spans="1:17">
      <c r="A29" s="1" t="s">
        <v>33</v>
      </c>
      <c r="B29" s="1" t="s">
        <v>107</v>
      </c>
      <c r="C29" s="1">
        <v>0</v>
      </c>
      <c r="D29" s="1"/>
      <c r="G29">
        <v>60000</v>
      </c>
      <c r="H29">
        <v>28.364839726988926</v>
      </c>
      <c r="J29">
        <v>60000</v>
      </c>
      <c r="K29">
        <v>20.437326526011368</v>
      </c>
      <c r="L29">
        <f t="shared" si="0"/>
        <v>21.9</v>
      </c>
      <c r="M29">
        <f t="shared" si="1"/>
        <v>2.043732652601137E-5</v>
      </c>
      <c r="O29">
        <v>60000</v>
      </c>
      <c r="P29">
        <v>5.1056711508580062</v>
      </c>
    </row>
    <row r="30" spans="1:17">
      <c r="A30" s="1" t="s">
        <v>34</v>
      </c>
      <c r="B30" s="1" t="s">
        <v>37</v>
      </c>
      <c r="C30" s="1">
        <v>0</v>
      </c>
      <c r="D30" s="1" t="s">
        <v>100</v>
      </c>
      <c r="G30">
        <v>65000</v>
      </c>
      <c r="H30">
        <v>28.986493165793576</v>
      </c>
      <c r="J30">
        <v>65000</v>
      </c>
      <c r="K30">
        <v>22.126029744464798</v>
      </c>
      <c r="L30">
        <f t="shared" si="0"/>
        <v>23.725000000000001</v>
      </c>
      <c r="M30">
        <f t="shared" si="1"/>
        <v>2.2126029744464797E-5</v>
      </c>
      <c r="O30">
        <v>65000</v>
      </c>
      <c r="P30">
        <v>5.2175687698428437</v>
      </c>
      <c r="Q30" s="8"/>
    </row>
    <row r="31" spans="1:17">
      <c r="A31" s="1" t="s">
        <v>35</v>
      </c>
      <c r="B31" s="1" t="s">
        <v>107</v>
      </c>
      <c r="C31" s="1">
        <f>TLAPH/PHCST</f>
        <v>0.24580613910832222</v>
      </c>
      <c r="D31" s="1"/>
      <c r="G31">
        <v>70000</v>
      </c>
      <c r="H31">
        <v>27.787589850393761</v>
      </c>
      <c r="J31">
        <v>70000</v>
      </c>
      <c r="K31">
        <v>23.815720893801483</v>
      </c>
      <c r="L31">
        <f t="shared" si="0"/>
        <v>25.55</v>
      </c>
      <c r="M31">
        <f t="shared" si="1"/>
        <v>2.3815720893801483E-5</v>
      </c>
      <c r="O31">
        <v>70000</v>
      </c>
      <c r="P31">
        <v>5.0017661730708767</v>
      </c>
    </row>
    <row r="32" spans="1:17">
      <c r="A32" s="1" t="s">
        <v>36</v>
      </c>
      <c r="B32" s="1" t="s">
        <v>37</v>
      </c>
      <c r="C32" s="1">
        <f>82</f>
        <v>82</v>
      </c>
      <c r="D32" s="1" t="s">
        <v>102</v>
      </c>
      <c r="G32">
        <v>75000</v>
      </c>
      <c r="H32">
        <v>28.364839499145884</v>
      </c>
      <c r="J32">
        <v>75000</v>
      </c>
      <c r="K32">
        <v>25.506202387844777</v>
      </c>
      <c r="L32">
        <f t="shared" si="0"/>
        <v>27.375</v>
      </c>
      <c r="M32">
        <f t="shared" si="1"/>
        <v>2.5506202387844777E-5</v>
      </c>
      <c r="O32">
        <v>75000</v>
      </c>
      <c r="P32">
        <v>5.1056711098462584</v>
      </c>
    </row>
    <row r="33" spans="1:16">
      <c r="A33" s="1" t="s">
        <v>38</v>
      </c>
      <c r="B33" s="1" t="s">
        <v>107</v>
      </c>
      <c r="C33" s="1">
        <f>TLARLG*LGEWCST</f>
        <v>7.4419145889468696</v>
      </c>
      <c r="D33" s="1" t="s">
        <v>103</v>
      </c>
      <c r="G33">
        <v>80000</v>
      </c>
      <c r="H33">
        <v>28.86993294519451</v>
      </c>
      <c r="J33">
        <v>80000</v>
      </c>
      <c r="K33">
        <v>27.197326036962195</v>
      </c>
      <c r="L33">
        <f t="shared" si="0"/>
        <v>29.2</v>
      </c>
      <c r="M33">
        <f t="shared" si="1"/>
        <v>2.7197326036962196E-5</v>
      </c>
      <c r="O33">
        <v>80000</v>
      </c>
      <c r="P33">
        <v>5.1965879301350117</v>
      </c>
    </row>
    <row r="34" spans="1:16">
      <c r="A34" s="1" t="s">
        <v>39</v>
      </c>
      <c r="B34" s="1" t="s">
        <v>37</v>
      </c>
      <c r="C34" s="1">
        <v>1000</v>
      </c>
      <c r="D34" s="1" t="s">
        <v>104</v>
      </c>
      <c r="G34">
        <v>85000</v>
      </c>
      <c r="H34">
        <v>27.889457296411706</v>
      </c>
      <c r="J34">
        <v>85000</v>
      </c>
      <c r="K34">
        <v>28.888978519670061</v>
      </c>
      <c r="L34">
        <f t="shared" si="0"/>
        <v>31.024999999999999</v>
      </c>
      <c r="M34">
        <f t="shared" si="1"/>
        <v>2.8888978519670062E-5</v>
      </c>
      <c r="O34">
        <v>85000</v>
      </c>
      <c r="P34">
        <v>5.0201023133541085</v>
      </c>
    </row>
    <row r="35" spans="1:16">
      <c r="A35" s="1" t="s">
        <v>40</v>
      </c>
      <c r="B35" s="1" t="s">
        <v>107</v>
      </c>
      <c r="C35" s="1">
        <f>NOV*COSTPV*(MSECI/990.8)</f>
        <v>0</v>
      </c>
      <c r="D35" s="1"/>
      <c r="G35">
        <v>90000</v>
      </c>
      <c r="H35">
        <v>28.36483937537929</v>
      </c>
      <c r="J35">
        <v>90000</v>
      </c>
      <c r="K35">
        <v>30.581071697036631</v>
      </c>
      <c r="L35">
        <f t="shared" si="0"/>
        <v>32.85</v>
      </c>
      <c r="M35">
        <f t="shared" si="1"/>
        <v>3.0581071697036631E-5</v>
      </c>
      <c r="O35">
        <v>90000</v>
      </c>
      <c r="P35">
        <v>5.1056710875682727</v>
      </c>
    </row>
    <row r="36" spans="1:16">
      <c r="A36" s="1" t="s">
        <v>41</v>
      </c>
      <c r="B36" s="1" t="s">
        <v>118</v>
      </c>
      <c r="C36" s="1">
        <f>MAX(N12:N15)</f>
        <v>0</v>
      </c>
      <c r="D36" s="1" t="s">
        <v>42</v>
      </c>
      <c r="G36">
        <v>95000</v>
      </c>
      <c r="H36">
        <v>28.790181237158247</v>
      </c>
      <c r="J36">
        <v>95000</v>
      </c>
      <c r="K36">
        <v>32.27353598569475</v>
      </c>
      <c r="L36">
        <f t="shared" si="0"/>
        <v>34.674999999999997</v>
      </c>
      <c r="M36">
        <f t="shared" si="1"/>
        <v>3.2273535985694752E-5</v>
      </c>
      <c r="O36">
        <v>95000</v>
      </c>
      <c r="P36">
        <v>5.1822326226884847</v>
      </c>
    </row>
    <row r="37" spans="1:16">
      <c r="A37" s="1" t="s">
        <v>43</v>
      </c>
      <c r="B37" s="1" t="s">
        <v>96</v>
      </c>
      <c r="C37" s="1">
        <f>MSECI_I</f>
        <v>1479.8340000000026</v>
      </c>
      <c r="D37" s="1" t="s">
        <v>101</v>
      </c>
      <c r="G37">
        <v>100000</v>
      </c>
      <c r="H37">
        <v>27.960764525856096</v>
      </c>
      <c r="J37">
        <v>100000</v>
      </c>
      <c r="K37">
        <v>33.966315718950675</v>
      </c>
      <c r="L37">
        <f t="shared" si="0"/>
        <v>36.5</v>
      </c>
      <c r="M37">
        <f t="shared" si="1"/>
        <v>3.3966315718950678E-5</v>
      </c>
      <c r="O37">
        <v>100000</v>
      </c>
      <c r="P37">
        <v>5.0329376146540969</v>
      </c>
    </row>
    <row r="38" spans="1:16">
      <c r="A38" s="1" t="s">
        <v>45</v>
      </c>
      <c r="B38" s="1" t="s">
        <v>119</v>
      </c>
      <c r="C38" s="1">
        <f>L*COSTL</f>
        <v>33709.71428571429</v>
      </c>
      <c r="D38" s="1"/>
      <c r="G38">
        <v>105000</v>
      </c>
      <c r="H38">
        <v>28.364839300751942</v>
      </c>
      <c r="J38">
        <v>105000</v>
      </c>
      <c r="K38">
        <v>35.659365833290444</v>
      </c>
      <c r="L38">
        <f t="shared" si="0"/>
        <v>38.325000000000003</v>
      </c>
      <c r="M38">
        <f t="shared" si="1"/>
        <v>3.5659365833290445E-5</v>
      </c>
      <c r="O38">
        <v>105000</v>
      </c>
      <c r="P38">
        <v>5.1056710741353495</v>
      </c>
    </row>
    <row r="39" spans="1:16">
      <c r="A39" s="1" t="s">
        <v>46</v>
      </c>
      <c r="B39" s="1" t="s">
        <v>47</v>
      </c>
      <c r="C39" s="1">
        <f>COSTL_I</f>
        <v>24.58</v>
      </c>
      <c r="D39" s="1" t="s">
        <v>47</v>
      </c>
      <c r="G39">
        <v>110000</v>
      </c>
      <c r="H39">
        <v>27.630157834976099</v>
      </c>
      <c r="J39">
        <v>110000</v>
      </c>
      <c r="K39">
        <v>37.352649458566248</v>
      </c>
      <c r="L39">
        <f t="shared" si="0"/>
        <v>40.15</v>
      </c>
      <c r="M39">
        <f t="shared" si="1"/>
        <v>3.7352649458566249E-5</v>
      </c>
      <c r="O39">
        <v>110000</v>
      </c>
      <c r="P39">
        <v>4.973428410295698</v>
      </c>
    </row>
    <row r="40" spans="1:16">
      <c r="A40" s="1" t="s">
        <v>48</v>
      </c>
      <c r="B40" s="1" t="s">
        <v>119</v>
      </c>
      <c r="C40" s="1">
        <f>FU*COSTDF</f>
        <v>631.5191802525386</v>
      </c>
      <c r="D40" s="1"/>
      <c r="G40">
        <v>115000</v>
      </c>
      <c r="H40">
        <v>28.013469878479288</v>
      </c>
      <c r="J40">
        <v>115000</v>
      </c>
      <c r="K40">
        <v>39.046136136829922</v>
      </c>
      <c r="L40">
        <f t="shared" si="0"/>
        <v>41.975000000000001</v>
      </c>
      <c r="M40">
        <f t="shared" si="1"/>
        <v>3.9046136136829923E-5</v>
      </c>
      <c r="O40">
        <v>115000</v>
      </c>
      <c r="P40">
        <v>5.0424245781262709</v>
      </c>
    </row>
    <row r="41" spans="1:16">
      <c r="A41" s="1" t="s">
        <v>49</v>
      </c>
      <c r="B41" s="1" t="s">
        <v>50</v>
      </c>
      <c r="C41" s="1">
        <f>COSTDF_I</f>
        <v>2.5779999999999998</v>
      </c>
      <c r="D41" s="1" t="s">
        <v>50</v>
      </c>
      <c r="G41">
        <v>120000</v>
      </c>
      <c r="H41">
        <v>28.364839252315932</v>
      </c>
      <c r="J41">
        <v>120000</v>
      </c>
      <c r="K41">
        <v>40.73980048645798</v>
      </c>
      <c r="L41">
        <f t="shared" si="0"/>
        <v>43.8</v>
      </c>
      <c r="M41">
        <f t="shared" si="1"/>
        <v>4.073980048645798E-5</v>
      </c>
      <c r="O41">
        <v>120000</v>
      </c>
      <c r="P41">
        <v>5.1056710654168675</v>
      </c>
    </row>
    <row r="42" spans="1:16">
      <c r="A42" s="1" t="s">
        <v>51</v>
      </c>
      <c r="B42" s="1" t="s">
        <v>119</v>
      </c>
      <c r="C42" s="1">
        <f>(HSV*HPD*DPY*MCSTCAP/VHRCAP)*(MSECI/990.8)</f>
        <v>436.60872233386254</v>
      </c>
      <c r="D42" s="1"/>
      <c r="G42">
        <v>125000</v>
      </c>
      <c r="H42">
        <v>27.718319566185482</v>
      </c>
      <c r="J42">
        <v>125000</v>
      </c>
      <c r="K42">
        <v>42.433621186886676</v>
      </c>
      <c r="L42">
        <f t="shared" si="0"/>
        <v>45.625</v>
      </c>
      <c r="M42">
        <f t="shared" si="1"/>
        <v>4.2433621186886677E-5</v>
      </c>
      <c r="O42">
        <v>125000</v>
      </c>
      <c r="P42">
        <v>4.9892975219133859</v>
      </c>
    </row>
    <row r="43" spans="1:16">
      <c r="A43" s="1" t="s">
        <v>52</v>
      </c>
      <c r="B43" s="1" t="s">
        <v>47</v>
      </c>
      <c r="C43" s="1">
        <f>MAX(O12:O15)</f>
        <v>7.16</v>
      </c>
      <c r="D43" s="1"/>
      <c r="G43">
        <v>130000</v>
      </c>
      <c r="H43">
        <v>28.054012462695702</v>
      </c>
      <c r="J43">
        <v>130000</v>
      </c>
      <c r="K43">
        <v>44.127580197639048</v>
      </c>
      <c r="L43">
        <f t="shared" si="0"/>
        <v>47.45</v>
      </c>
      <c r="M43">
        <f t="shared" si="1"/>
        <v>4.4127580197639051E-5</v>
      </c>
      <c r="O43">
        <v>130000</v>
      </c>
      <c r="P43">
        <v>5.0497222432852258</v>
      </c>
    </row>
    <row r="44" spans="1:16">
      <c r="A44" s="1" t="s">
        <v>53</v>
      </c>
      <c r="B44" s="1" t="s">
        <v>119</v>
      </c>
      <c r="C44" s="1">
        <f>(TLAR*16)*(ENRCCI/5445.83)</f>
        <v>1391.2601745680684</v>
      </c>
      <c r="D44" s="1"/>
      <c r="G44">
        <v>135000</v>
      </c>
      <c r="H44">
        <v>28.364839219108354</v>
      </c>
      <c r="J44">
        <v>135000</v>
      </c>
      <c r="K44">
        <v>45.821662150901325</v>
      </c>
      <c r="L44">
        <f t="shared" si="0"/>
        <v>49.274999999999999</v>
      </c>
      <c r="M44">
        <f t="shared" si="1"/>
        <v>4.5821662150901323E-5</v>
      </c>
      <c r="O44">
        <v>135000</v>
      </c>
      <c r="P44">
        <v>5.1056710594395041</v>
      </c>
    </row>
    <row r="45" spans="1:16">
      <c r="A45" s="1" t="s">
        <v>54</v>
      </c>
      <c r="B45" s="1" t="s">
        <v>96</v>
      </c>
      <c r="C45" s="1">
        <f>ENRCCI_I</f>
        <v>8390.5</v>
      </c>
      <c r="D45" s="1" t="s">
        <v>98</v>
      </c>
      <c r="G45">
        <v>140000</v>
      </c>
      <c r="H45">
        <v>27.78758950165442</v>
      </c>
      <c r="J45">
        <v>140000</v>
      </c>
      <c r="K45">
        <v>47.515853874261744</v>
      </c>
      <c r="L45">
        <f t="shared" si="0"/>
        <v>51.1</v>
      </c>
      <c r="M45">
        <f t="shared" si="1"/>
        <v>4.7515853874261745E-5</v>
      </c>
      <c r="O45">
        <v>140000</v>
      </c>
      <c r="P45">
        <v>5.0017661102977948</v>
      </c>
    </row>
    <row r="46" spans="1:16">
      <c r="A46" s="1" t="s">
        <v>55</v>
      </c>
      <c r="B46" s="1" t="s">
        <v>107</v>
      </c>
      <c r="C46" s="1">
        <f>COSTLAND+COSTPHT+COSTEW+COSTMAV</f>
        <v>7.6877207280551918</v>
      </c>
      <c r="D46" s="1" t="s">
        <v>99</v>
      </c>
      <c r="G46">
        <v>145000</v>
      </c>
      <c r="H46">
        <v>28.086166929301658</v>
      </c>
      <c r="J46">
        <v>145000</v>
      </c>
      <c r="K46">
        <v>49.21014401219292</v>
      </c>
      <c r="L46">
        <f t="shared" si="0"/>
        <v>52.924999999999997</v>
      </c>
      <c r="M46">
        <f t="shared" si="1"/>
        <v>4.9210144012192923E-5</v>
      </c>
      <c r="O46">
        <v>145000</v>
      </c>
      <c r="P46">
        <v>5.0555100472742991</v>
      </c>
    </row>
    <row r="47" spans="1:16">
      <c r="A47" s="1" t="s">
        <v>56</v>
      </c>
      <c r="B47" s="1" t="s">
        <v>119</v>
      </c>
      <c r="C47" s="1">
        <f>COSTLB+COSTDSL+VMC+SMC</f>
        <v>36169.102362868754</v>
      </c>
      <c r="G47">
        <v>150000</v>
      </c>
      <c r="H47">
        <v>28.364839195355167</v>
      </c>
      <c r="J47">
        <v>150000</v>
      </c>
      <c r="K47">
        <v>50.904522723237747</v>
      </c>
      <c r="L47">
        <f t="shared" si="0"/>
        <v>54.75</v>
      </c>
      <c r="M47">
        <f t="shared" si="1"/>
        <v>5.0904522723237748E-5</v>
      </c>
      <c r="O47">
        <v>150000</v>
      </c>
      <c r="P47">
        <v>5.1056710551639295</v>
      </c>
    </row>
    <row r="48" spans="1:16">
      <c r="A48" s="1" t="s">
        <v>57</v>
      </c>
      <c r="B48" s="1" t="s">
        <v>119</v>
      </c>
      <c r="C48" s="1">
        <f>TBCC*CRF</f>
        <v>0.90299679207348515</v>
      </c>
      <c r="G48">
        <v>155000</v>
      </c>
      <c r="H48">
        <v>27.843452355277691</v>
      </c>
      <c r="J48">
        <v>155000</v>
      </c>
      <c r="K48">
        <v>52.598981435804617</v>
      </c>
      <c r="L48">
        <f t="shared" si="0"/>
        <v>56.575000000000003</v>
      </c>
      <c r="M48">
        <f t="shared" si="1"/>
        <v>5.2598981435804615E-5</v>
      </c>
      <c r="O48">
        <v>155000</v>
      </c>
      <c r="P48">
        <v>5.0118214239499839</v>
      </c>
    </row>
    <row r="49" spans="1:16">
      <c r="A49" s="1" t="s">
        <v>58</v>
      </c>
      <c r="B49" s="1" t="s">
        <v>121</v>
      </c>
      <c r="C49" s="1">
        <v>20</v>
      </c>
      <c r="G49">
        <v>160000</v>
      </c>
      <c r="H49">
        <v>28.112292435543701</v>
      </c>
      <c r="J49">
        <v>160000</v>
      </c>
      <c r="K49">
        <v>54.293512649750824</v>
      </c>
      <c r="L49">
        <f t="shared" si="0"/>
        <v>58.4</v>
      </c>
      <c r="M49">
        <f t="shared" si="1"/>
        <v>5.4293512649750826E-5</v>
      </c>
      <c r="O49">
        <v>160000</v>
      </c>
      <c r="P49">
        <v>5.0602126383978661</v>
      </c>
    </row>
    <row r="50" spans="1:16">
      <c r="A50" s="1" t="s">
        <v>161</v>
      </c>
      <c r="B50" s="1" t="s">
        <v>162</v>
      </c>
      <c r="C50">
        <f>(ACC+COSTOM)/(SV_LA_1*8.34*365*SSG/2000)</f>
        <v>32.300890868201563</v>
      </c>
      <c r="G50">
        <v>165000</v>
      </c>
      <c r="H50">
        <v>27.630157730364978</v>
      </c>
      <c r="J50">
        <v>165000</v>
      </c>
      <c r="K50">
        <v>55.988109774041867</v>
      </c>
      <c r="L50">
        <f t="shared" si="0"/>
        <v>60.225000000000001</v>
      </c>
      <c r="M50">
        <f t="shared" si="1"/>
        <v>5.5988109774041867E-5</v>
      </c>
      <c r="O50">
        <v>165000</v>
      </c>
      <c r="P50">
        <v>4.9734283914656956</v>
      </c>
    </row>
    <row r="51" spans="1:16">
      <c r="A51" s="1" t="s">
        <v>163</v>
      </c>
      <c r="B51" s="1" t="s">
        <v>164</v>
      </c>
      <c r="C51">
        <f>(I*(1+I)^20)/(((1+I)^20)-1)</f>
        <v>0.11745962477254576</v>
      </c>
      <c r="G51">
        <v>170000</v>
      </c>
      <c r="H51">
        <v>27.889457059896444</v>
      </c>
      <c r="J51">
        <v>170000</v>
      </c>
      <c r="K51">
        <v>57.682766993059118</v>
      </c>
      <c r="L51">
        <f t="shared" si="0"/>
        <v>62.05</v>
      </c>
      <c r="M51">
        <f t="shared" si="1"/>
        <v>5.768276699305912E-5</v>
      </c>
      <c r="O51">
        <v>170000</v>
      </c>
      <c r="P51">
        <v>5.0201022707813614</v>
      </c>
    </row>
    <row r="52" spans="1:16">
      <c r="G52">
        <v>175000</v>
      </c>
      <c r="H52">
        <v>28.133939285015877</v>
      </c>
      <c r="J52">
        <v>175000</v>
      </c>
      <c r="K52">
        <v>59.377479155826002</v>
      </c>
      <c r="L52">
        <f t="shared" si="0"/>
        <v>63.875</v>
      </c>
      <c r="M52">
        <f t="shared" si="1"/>
        <v>5.9377479155826003E-5</v>
      </c>
      <c r="O52">
        <v>175000</v>
      </c>
      <c r="P52">
        <v>5.0641090713028571</v>
      </c>
    </row>
    <row r="53" spans="1:16">
      <c r="G53">
        <v>180000</v>
      </c>
      <c r="H53">
        <v>27.691381170949292</v>
      </c>
      <c r="J53">
        <v>180000</v>
      </c>
      <c r="K53">
        <v>61.072241683696753</v>
      </c>
      <c r="L53">
        <f t="shared" si="0"/>
        <v>65.7</v>
      </c>
      <c r="M53">
        <f t="shared" si="1"/>
        <v>6.1072241683696752E-5</v>
      </c>
      <c r="O53">
        <v>180000</v>
      </c>
      <c r="P53">
        <v>4.9844486107708725</v>
      </c>
    </row>
    <row r="54" spans="1:16">
      <c r="G54">
        <v>185000</v>
      </c>
      <c r="H54">
        <v>27.928001543281496</v>
      </c>
      <c r="J54">
        <v>185000</v>
      </c>
      <c r="K54">
        <v>62.767050493014281</v>
      </c>
      <c r="L54">
        <f t="shared" si="0"/>
        <v>67.525000000000006</v>
      </c>
      <c r="M54">
        <f t="shared" si="1"/>
        <v>6.2767050493014288E-5</v>
      </c>
      <c r="O54">
        <v>185000</v>
      </c>
      <c r="P54">
        <v>5.0270402777906691</v>
      </c>
    </row>
    <row r="55" spans="1:16">
      <c r="G55">
        <v>190000</v>
      </c>
      <c r="H55">
        <v>28.152168211901515</v>
      </c>
      <c r="J55">
        <v>190000</v>
      </c>
      <c r="K55">
        <v>64.461901929980172</v>
      </c>
      <c r="L55">
        <f t="shared" si="0"/>
        <v>69.349999999999994</v>
      </c>
      <c r="M55">
        <f t="shared" si="1"/>
        <v>6.446190192998017E-5</v>
      </c>
      <c r="O55">
        <v>190000</v>
      </c>
      <c r="P55">
        <v>5.0673902781422724</v>
      </c>
    </row>
    <row r="56" spans="1:16">
      <c r="G56">
        <v>195000</v>
      </c>
      <c r="H56">
        <v>27.743185621582352</v>
      </c>
      <c r="J56">
        <v>195000</v>
      </c>
      <c r="K56">
        <v>66.156792715544526</v>
      </c>
      <c r="L56">
        <f t="shared" si="0"/>
        <v>71.174999999999997</v>
      </c>
      <c r="M56">
        <f t="shared" si="1"/>
        <v>6.6156792715544528E-5</v>
      </c>
      <c r="O56">
        <v>195000</v>
      </c>
      <c r="P56">
        <v>4.993773411884824</v>
      </c>
    </row>
    <row r="57" spans="1:16">
      <c r="G57">
        <v>200000</v>
      </c>
      <c r="H57">
        <v>27.960764354973819</v>
      </c>
      <c r="J57">
        <v>200000</v>
      </c>
      <c r="K57">
        <v>67.851719898562493</v>
      </c>
      <c r="L57">
        <f t="shared" si="0"/>
        <v>73</v>
      </c>
      <c r="M57">
        <f t="shared" si="1"/>
        <v>6.78517198985625E-5</v>
      </c>
      <c r="O57">
        <v>200000</v>
      </c>
      <c r="P57">
        <v>5.0329375838952872</v>
      </c>
    </row>
    <row r="58" spans="1:16">
      <c r="G58">
        <v>205000</v>
      </c>
      <c r="H58">
        <v>27.57640052181296</v>
      </c>
      <c r="J58">
        <v>205000</v>
      </c>
      <c r="K58">
        <v>69.546680815805729</v>
      </c>
      <c r="L58">
        <f t="shared" si="0"/>
        <v>74.825000000000003</v>
      </c>
      <c r="M58">
        <f t="shared" si="1"/>
        <v>6.9546680815805724E-5</v>
      </c>
      <c r="O58">
        <v>205000</v>
      </c>
      <c r="P58">
        <v>4.9637520939263329</v>
      </c>
    </row>
    <row r="59" spans="1:16">
      <c r="G59">
        <v>210000</v>
      </c>
      <c r="H59">
        <v>27.787589437073059</v>
      </c>
      <c r="J59">
        <v>210000</v>
      </c>
      <c r="K59">
        <v>71.241673057686739</v>
      </c>
      <c r="L59">
        <f t="shared" si="0"/>
        <v>76.650000000000006</v>
      </c>
      <c r="M59">
        <f t="shared" si="1"/>
        <v>7.1241673057686737E-5</v>
      </c>
      <c r="O59">
        <v>210000</v>
      </c>
      <c r="P59">
        <v>5.0017660986731505</v>
      </c>
    </row>
    <row r="60" spans="1:16">
      <c r="G60">
        <v>215000</v>
      </c>
      <c r="H60">
        <v>27.988955612145752</v>
      </c>
      <c r="J60">
        <v>215000</v>
      </c>
      <c r="K60">
        <v>72.936694438765642</v>
      </c>
      <c r="L60">
        <f t="shared" si="0"/>
        <v>78.474999999999994</v>
      </c>
      <c r="M60">
        <f t="shared" si="1"/>
        <v>7.2936694438765641E-5</v>
      </c>
      <c r="O60">
        <v>215000</v>
      </c>
      <c r="P60">
        <v>5.0380120101862351</v>
      </c>
    </row>
    <row r="61" spans="1:16">
      <c r="G61">
        <v>220000</v>
      </c>
      <c r="H61">
        <v>27.630157693751077</v>
      </c>
      <c r="J61">
        <v>220000</v>
      </c>
      <c r="K61">
        <v>74.631742972278985</v>
      </c>
      <c r="L61">
        <f t="shared" si="0"/>
        <v>80.3</v>
      </c>
      <c r="M61">
        <f t="shared" si="1"/>
        <v>7.463174297227898E-5</v>
      </c>
      <c r="O61">
        <v>220000</v>
      </c>
      <c r="P61">
        <v>4.9734283848751932</v>
      </c>
    </row>
    <row r="62" spans="1:16">
      <c r="G62">
        <v>225000</v>
      </c>
      <c r="H62">
        <v>27.826072744326247</v>
      </c>
      <c r="J62">
        <v>225000</v>
      </c>
      <c r="K62">
        <v>76.326816848064468</v>
      </c>
      <c r="L62">
        <f t="shared" si="0"/>
        <v>82.125</v>
      </c>
      <c r="M62">
        <f t="shared" si="1"/>
        <v>7.6326816848064464E-5</v>
      </c>
      <c r="O62">
        <v>225000</v>
      </c>
      <c r="P62">
        <v>5.0086930939787244</v>
      </c>
    </row>
    <row r="63" spans="1:16">
      <c r="G63">
        <v>230000</v>
      </c>
      <c r="H63">
        <v>28.013469749267735</v>
      </c>
      <c r="J63">
        <v>230000</v>
      </c>
      <c r="K63">
        <v>78.021914413365195</v>
      </c>
      <c r="L63">
        <f t="shared" si="0"/>
        <v>83.95</v>
      </c>
      <c r="M63">
        <f t="shared" si="1"/>
        <v>7.8021914413365195E-5</v>
      </c>
      <c r="O63">
        <v>230000</v>
      </c>
      <c r="P63">
        <v>5.0424245548681919</v>
      </c>
    </row>
    <row r="64" spans="1:16">
      <c r="G64">
        <v>235000</v>
      </c>
      <c r="H64">
        <v>27.677052248406632</v>
      </c>
      <c r="J64">
        <v>235000</v>
      </c>
      <c r="K64">
        <v>79.717034156084438</v>
      </c>
      <c r="L64">
        <f t="shared" si="0"/>
        <v>85.775000000000006</v>
      </c>
      <c r="M64">
        <f t="shared" si="1"/>
        <v>7.9717034156084437E-5</v>
      </c>
      <c r="O64">
        <v>235000</v>
      </c>
      <c r="P64">
        <v>4.9818694047131933</v>
      </c>
    </row>
    <row r="65" spans="7:16">
      <c r="G65">
        <v>240000</v>
      </c>
      <c r="H65">
        <v>27.859745638549505</v>
      </c>
      <c r="J65">
        <v>240000</v>
      </c>
      <c r="K65">
        <v>81.412174690133583</v>
      </c>
      <c r="L65">
        <f t="shared" si="0"/>
        <v>87.6</v>
      </c>
      <c r="M65">
        <f t="shared" si="1"/>
        <v>8.1412174690133587E-5</v>
      </c>
      <c r="O65">
        <v>240000</v>
      </c>
      <c r="P65">
        <v>5.014754214938911</v>
      </c>
    </row>
    <row r="66" spans="7:16">
      <c r="G66">
        <v>245000</v>
      </c>
      <c r="H66">
        <v>28.034982155658977</v>
      </c>
      <c r="J66">
        <v>245000</v>
      </c>
      <c r="K66">
        <v>83.107334742574025</v>
      </c>
      <c r="L66">
        <f t="shared" si="0"/>
        <v>89.424999999999997</v>
      </c>
      <c r="M66">
        <f t="shared" si="1"/>
        <v>8.3107334742574021E-5</v>
      </c>
      <c r="O66">
        <v>245000</v>
      </c>
      <c r="P66">
        <v>5.0462967880186165</v>
      </c>
    </row>
    <row r="67" spans="7:16">
      <c r="G67">
        <v>250000</v>
      </c>
      <c r="H67">
        <v>27.718319456820826</v>
      </c>
      <c r="J67">
        <v>250000</v>
      </c>
      <c r="K67">
        <v>84.802513142302274</v>
      </c>
      <c r="L67">
        <f t="shared" si="0"/>
        <v>91.25</v>
      </c>
      <c r="M67">
        <f t="shared" si="1"/>
        <v>8.4802513142302269E-5</v>
      </c>
      <c r="O67">
        <v>250000</v>
      </c>
      <c r="P67">
        <v>4.9892975022277479</v>
      </c>
    </row>
    <row r="68" spans="7:16">
      <c r="G68">
        <v>255000</v>
      </c>
      <c r="H68">
        <v>27.889457016097325</v>
      </c>
      <c r="J68">
        <v>255000</v>
      </c>
      <c r="K68">
        <v>86.497708810066158</v>
      </c>
      <c r="L68">
        <f t="shared" si="0"/>
        <v>93.075000000000003</v>
      </c>
      <c r="M68">
        <f t="shared" si="1"/>
        <v>8.6497708810066151E-5</v>
      </c>
      <c r="O68">
        <v>255000</v>
      </c>
      <c r="P68">
        <v>5.0201022628975176</v>
      </c>
    </row>
    <row r="69" spans="7:16">
      <c r="G69">
        <v>260000</v>
      </c>
      <c r="H69">
        <v>27.587772212260539</v>
      </c>
      <c r="J69">
        <v>260000</v>
      </c>
      <c r="K69">
        <v>88.192920749632833</v>
      </c>
      <c r="L69">
        <f t="shared" si="0"/>
        <v>94.9</v>
      </c>
      <c r="M69">
        <f t="shared" si="1"/>
        <v>8.8192920749632827E-5</v>
      </c>
      <c r="O69">
        <v>260000</v>
      </c>
      <c r="P69">
        <v>4.9657989982068971</v>
      </c>
    </row>
    <row r="70" spans="7:16">
      <c r="G70">
        <v>265000</v>
      </c>
      <c r="H70">
        <v>27.754914906040408</v>
      </c>
      <c r="J70">
        <v>265000</v>
      </c>
      <c r="K70">
        <v>89.888148039956818</v>
      </c>
      <c r="L70">
        <f t="shared" si="0"/>
        <v>96.724999999999994</v>
      </c>
      <c r="M70">
        <f t="shared" si="1"/>
        <v>8.9888148039956816E-5</v>
      </c>
      <c r="O70">
        <v>265000</v>
      </c>
      <c r="P70">
        <v>4.9958846830872732</v>
      </c>
    </row>
    <row r="71" spans="7:16">
      <c r="G71">
        <v>270000</v>
      </c>
      <c r="H71">
        <v>27.915867129702963</v>
      </c>
      <c r="J71">
        <v>270000</v>
      </c>
      <c r="K71">
        <v>91.583389828218316</v>
      </c>
      <c r="L71">
        <f t="shared" si="0"/>
        <v>98.55</v>
      </c>
      <c r="M71">
        <f t="shared" si="1"/>
        <v>9.1583389828218311E-5</v>
      </c>
      <c r="O71">
        <v>270000</v>
      </c>
      <c r="P71">
        <v>5.0248560833465339</v>
      </c>
    </row>
    <row r="72" spans="7:16">
      <c r="G72">
        <v>275000</v>
      </c>
      <c r="H72">
        <v>27.630157676804082</v>
      </c>
      <c r="J72">
        <v>275000</v>
      </c>
      <c r="K72">
        <v>93.278645323620722</v>
      </c>
      <c r="L72">
        <f t="shared" si="0"/>
        <v>100.375</v>
      </c>
      <c r="M72">
        <f t="shared" si="1"/>
        <v>9.3278645323620723E-5</v>
      </c>
      <c r="O72">
        <v>275000</v>
      </c>
      <c r="P72">
        <v>4.9734283818247347</v>
      </c>
    </row>
    <row r="73" spans="7:16">
      <c r="G73">
        <v>280000</v>
      </c>
      <c r="H73">
        <v>27.787589414469586</v>
      </c>
      <c r="J73">
        <v>280000</v>
      </c>
      <c r="K73">
        <v>94.97391379185288</v>
      </c>
      <c r="L73">
        <f t="shared" si="0"/>
        <v>102.2</v>
      </c>
      <c r="M73">
        <f t="shared" si="1"/>
        <v>9.4973913791852882E-5</v>
      </c>
      <c r="O73">
        <v>280000</v>
      </c>
      <c r="P73">
        <v>5.001766094604525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L46"/>
  <sheetViews>
    <sheetView workbookViewId="0">
      <selection activeCell="C36" sqref="C36"/>
    </sheetView>
  </sheetViews>
  <sheetFormatPr baseColWidth="10" defaultRowHeight="15" x14ac:dyDescent="0"/>
  <cols>
    <col min="3" max="3" width="12.1640625" bestFit="1" customWidth="1"/>
  </cols>
  <sheetData>
    <row r="1" spans="1:12" s="12" customFormat="1" ht="17" thickBot="1">
      <c r="B1" s="12" t="s">
        <v>109</v>
      </c>
      <c r="D1" s="12" t="s">
        <v>185</v>
      </c>
    </row>
    <row r="2" spans="1:12" ht="16" thickTop="1">
      <c r="A2" t="s">
        <v>75</v>
      </c>
      <c r="B2" t="s">
        <v>108</v>
      </c>
      <c r="C2">
        <f>SV_AD_I</f>
        <v>5404.54</v>
      </c>
    </row>
    <row r="3" spans="1:12">
      <c r="A3" t="s">
        <v>171</v>
      </c>
      <c r="B3" t="s">
        <v>5</v>
      </c>
      <c r="C3">
        <f>C4+2</f>
        <v>5.6</v>
      </c>
    </row>
    <row r="4" spans="1:12">
      <c r="A4" t="s">
        <v>169</v>
      </c>
      <c r="B4" t="s">
        <v>5</v>
      </c>
      <c r="C4">
        <f>SS_AD_I</f>
        <v>3.6</v>
      </c>
      <c r="I4" t="s">
        <v>75</v>
      </c>
      <c r="J4" t="s">
        <v>86</v>
      </c>
    </row>
    <row r="5" spans="1:12">
      <c r="A5" t="s">
        <v>170</v>
      </c>
      <c r="B5" t="s">
        <v>44</v>
      </c>
      <c r="C5">
        <f>1/(((100-SS_AD)/100)+(SS_AD/(1.42*100)))</f>
        <v>1.010762485052104</v>
      </c>
      <c r="I5">
        <f>SVAD</f>
        <v>5404.54</v>
      </c>
      <c r="J5">
        <f>(ACCAD+COSTOMAD)/(TDSSAD*365)</f>
        <v>277.85514899082102</v>
      </c>
    </row>
    <row r="6" spans="1:12">
      <c r="A6" t="s">
        <v>76</v>
      </c>
      <c r="B6" t="s">
        <v>175</v>
      </c>
      <c r="C6">
        <f>(SVAD*(SS_AD)*(SSG)*8.34)/(2000*100)</f>
        <v>0.82350818700214456</v>
      </c>
      <c r="D6" t="s">
        <v>176</v>
      </c>
      <c r="I6">
        <f>I5+5000</f>
        <v>10404.540000000001</v>
      </c>
      <c r="J6">
        <f t="dataTable" ref="J6:J46" dt2D="0" dtr="0" r1="C2" ca="1"/>
        <v>216.81771163548524</v>
      </c>
    </row>
    <row r="7" spans="1:12">
      <c r="A7" t="s">
        <v>67</v>
      </c>
      <c r="B7" t="s">
        <v>177</v>
      </c>
      <c r="C7">
        <f>(PVR-30)*2</f>
        <v>40</v>
      </c>
      <c r="D7" t="s">
        <v>178</v>
      </c>
      <c r="I7">
        <f>I6+5000</f>
        <v>15404.54</v>
      </c>
      <c r="J7">
        <v>174.27099025253187</v>
      </c>
    </row>
    <row r="8" spans="1:12">
      <c r="A8" t="s">
        <v>68</v>
      </c>
      <c r="B8" t="s">
        <v>172</v>
      </c>
      <c r="C8">
        <v>50</v>
      </c>
      <c r="I8">
        <f t="shared" ref="I8:I46" si="0">I7+5000</f>
        <v>20404.54</v>
      </c>
      <c r="J8">
        <v>146.46994480225291</v>
      </c>
    </row>
    <row r="9" spans="1:12">
      <c r="A9" t="s">
        <v>69</v>
      </c>
      <c r="B9" t="s">
        <v>179</v>
      </c>
      <c r="C9">
        <f>TDSSAD*2000*(1-(PV/100)*(PVR/100))</f>
        <v>1152.9114618030023</v>
      </c>
      <c r="D9" t="s">
        <v>180</v>
      </c>
      <c r="I9">
        <f t="shared" si="0"/>
        <v>25404.54</v>
      </c>
      <c r="J9">
        <v>124.91606403619383</v>
      </c>
    </row>
    <row r="10" spans="1:12">
      <c r="A10" t="s">
        <v>70</v>
      </c>
      <c r="B10" t="s">
        <v>173</v>
      </c>
      <c r="C10">
        <v>60</v>
      </c>
      <c r="I10">
        <f t="shared" si="0"/>
        <v>30404.54</v>
      </c>
      <c r="J10">
        <v>106.16221483155444</v>
      </c>
    </row>
    <row r="11" spans="1:12">
      <c r="A11" t="s">
        <v>71</v>
      </c>
      <c r="B11" t="s">
        <v>174</v>
      </c>
      <c r="C11">
        <f>(SD*100)/(SGD*62.4*SSE_AD)</f>
        <v>320.32151909157352</v>
      </c>
      <c r="D11" t="s">
        <v>181</v>
      </c>
      <c r="I11">
        <f t="shared" si="0"/>
        <v>35404.54</v>
      </c>
      <c r="J11">
        <v>89.152539482604297</v>
      </c>
    </row>
    <row r="12" spans="1:12">
      <c r="A12" t="s">
        <v>72</v>
      </c>
      <c r="B12" t="s">
        <v>44</v>
      </c>
      <c r="C12">
        <f>1.03</f>
        <v>1.03</v>
      </c>
      <c r="I12">
        <f t="shared" si="0"/>
        <v>40404.54</v>
      </c>
      <c r="J12">
        <v>73.919738911858047</v>
      </c>
      <c r="L12">
        <v>540454</v>
      </c>
    </row>
    <row r="13" spans="1:12">
      <c r="A13" t="s">
        <v>74</v>
      </c>
      <c r="B13" t="s">
        <v>174</v>
      </c>
      <c r="C13">
        <f>SVAD/7.48</f>
        <v>722.5320855614973</v>
      </c>
      <c r="I13">
        <f t="shared" si="0"/>
        <v>45404.54</v>
      </c>
      <c r="J13">
        <v>61.073608075690274</v>
      </c>
    </row>
    <row r="14" spans="1:12">
      <c r="A14" t="s">
        <v>73</v>
      </c>
      <c r="B14" t="s">
        <v>182</v>
      </c>
      <c r="C14">
        <f>(VRS-((2/3)*(VRS-VD)))*TD</f>
        <v>18175.66831659526</v>
      </c>
      <c r="D14" t="s">
        <v>183</v>
      </c>
      <c r="I14">
        <f t="shared" si="0"/>
        <v>50404.54</v>
      </c>
      <c r="J14">
        <v>51.5880552299407</v>
      </c>
    </row>
    <row r="15" spans="1:12">
      <c r="A15" t="s">
        <v>77</v>
      </c>
      <c r="B15" t="s">
        <v>132</v>
      </c>
      <c r="C15">
        <f>448*TDSSAD^0.47</f>
        <v>408.92337536540151</v>
      </c>
      <c r="I15">
        <f t="shared" si="0"/>
        <v>55404.54</v>
      </c>
      <c r="J15">
        <v>46.704431916130751</v>
      </c>
    </row>
    <row r="16" spans="1:12">
      <c r="A16" t="s">
        <v>78</v>
      </c>
      <c r="B16" t="s">
        <v>132</v>
      </c>
      <c r="C16">
        <f>720*TDSSAD^0.4437</f>
        <v>660.56316587274443</v>
      </c>
      <c r="I16">
        <f t="shared" si="0"/>
        <v>60404.54</v>
      </c>
      <c r="J16">
        <v>47.884018705354713</v>
      </c>
    </row>
    <row r="17" spans="1:10">
      <c r="A17" t="s">
        <v>79</v>
      </c>
      <c r="B17" t="s">
        <v>184</v>
      </c>
      <c r="C17">
        <f>46720*TDSSAD^0.596</f>
        <v>41614.139154907978</v>
      </c>
      <c r="I17">
        <f t="shared" si="0"/>
        <v>65404.54</v>
      </c>
      <c r="J17">
        <v>56.783020161351189</v>
      </c>
    </row>
    <row r="18" spans="1:10">
      <c r="A18" t="s">
        <v>80</v>
      </c>
      <c r="B18" t="s">
        <v>150</v>
      </c>
      <c r="C18">
        <f>(ML+OL)*COSTL</f>
        <v>26287.979183633626</v>
      </c>
      <c r="I18">
        <f t="shared" si="0"/>
        <v>70404.540000000008</v>
      </c>
      <c r="J18">
        <v>75.238622500019503</v>
      </c>
    </row>
    <row r="19" spans="1:10">
      <c r="A19" t="s">
        <v>81</v>
      </c>
      <c r="B19" t="s">
        <v>148</v>
      </c>
      <c r="C19">
        <f>COSTE_I</f>
        <v>0.14480000000000001</v>
      </c>
      <c r="I19">
        <f t="shared" si="0"/>
        <v>75404.540000000008</v>
      </c>
      <c r="J19">
        <v>105.26082908853184</v>
      </c>
    </row>
    <row r="20" spans="1:10">
      <c r="A20" t="s">
        <v>82</v>
      </c>
      <c r="B20" t="s">
        <v>119</v>
      </c>
      <c r="C20">
        <f>E*COSTE</f>
        <v>6025.7273496306761</v>
      </c>
      <c r="I20">
        <f t="shared" si="0"/>
        <v>80404.540000000008</v>
      </c>
      <c r="J20">
        <v>149.02747504740952</v>
      </c>
    </row>
    <row r="21" spans="1:10">
      <c r="A21" t="s">
        <v>83</v>
      </c>
      <c r="B21" t="s">
        <v>150</v>
      </c>
      <c r="C21">
        <f>(0.000000000000043*VT^3-0.000000074*VT^2+0.046*VT+4038)*(MSECI/751)</f>
        <v>9556.6392376678923</v>
      </c>
      <c r="I21">
        <f t="shared" si="0"/>
        <v>85404.540000000008</v>
      </c>
      <c r="J21">
        <v>208.88107135618338</v>
      </c>
    </row>
    <row r="22" spans="1:10">
      <c r="A22" t="s">
        <v>84</v>
      </c>
      <c r="B22" t="s">
        <v>107</v>
      </c>
      <c r="C22">
        <f>(0.0000000000059*VT^3-0.0000114*VT^2+7.5*VT+36700)*(ENRCCI/4006)</f>
        <v>354568.5647962878</v>
      </c>
      <c r="I22">
        <f t="shared" si="0"/>
        <v>90404.540000000008</v>
      </c>
      <c r="J22">
        <v>287.32674356457341</v>
      </c>
    </row>
    <row r="23" spans="1:10">
      <c r="A23" t="s">
        <v>85</v>
      </c>
      <c r="B23" t="s">
        <v>150</v>
      </c>
      <c r="C23">
        <f>COSTLBAD+COSTEL+COSTMS</f>
        <v>41870.345770932196</v>
      </c>
      <c r="I23">
        <f t="shared" si="0"/>
        <v>95404.540000000008</v>
      </c>
      <c r="J23">
        <v>387.03084804689109</v>
      </c>
    </row>
    <row r="24" spans="1:10">
      <c r="A24" t="s">
        <v>87</v>
      </c>
      <c r="B24" t="s">
        <v>150</v>
      </c>
      <c r="C24">
        <f>TBCCAD*CRF</f>
        <v>41647.490577112047</v>
      </c>
      <c r="I24">
        <f t="shared" si="0"/>
        <v>100404.54000000001</v>
      </c>
      <c r="J24">
        <v>510.82002036718433</v>
      </c>
    </row>
    <row r="25" spans="1:10">
      <c r="A25" t="s">
        <v>86</v>
      </c>
      <c r="B25" t="s">
        <v>106</v>
      </c>
      <c r="C25">
        <f>(ACCAD+COSTOMAD)/(TDSSAD*365)</f>
        <v>277.85514899082102</v>
      </c>
      <c r="I25">
        <f t="shared" si="0"/>
        <v>105404.54000000001</v>
      </c>
      <c r="J25">
        <v>661.68050661878669</v>
      </c>
    </row>
    <row r="26" spans="1:10">
      <c r="I26">
        <f t="shared" si="0"/>
        <v>110404.54000000001</v>
      </c>
      <c r="J26">
        <v>842.75768449684097</v>
      </c>
    </row>
    <row r="27" spans="1:10">
      <c r="A27" t="s">
        <v>493</v>
      </c>
      <c r="B27" t="s">
        <v>162</v>
      </c>
      <c r="C27">
        <f>(ACCAD+COSTOMAD)/(SVAD*8.34*SSG_AD*365/2000)</f>
        <v>10.044827092002926</v>
      </c>
      <c r="I27">
        <f t="shared" si="0"/>
        <v>115404.54000000001</v>
      </c>
      <c r="J27">
        <v>1057.3557143041535</v>
      </c>
    </row>
    <row r="28" spans="1:10">
      <c r="I28">
        <f t="shared" si="0"/>
        <v>120404.54000000001</v>
      </c>
      <c r="J28">
        <v>1308.937280649885</v>
      </c>
    </row>
    <row r="29" spans="1:10">
      <c r="I29">
        <f t="shared" si="0"/>
        <v>125404.54000000001</v>
      </c>
      <c r="J29">
        <v>1601.123398553078</v>
      </c>
    </row>
    <row r="30" spans="1:10">
      <c r="I30">
        <f t="shared" si="0"/>
        <v>130404.54000000001</v>
      </c>
      <c r="J30">
        <v>1937.6932660062671</v>
      </c>
    </row>
    <row r="31" spans="1:10">
      <c r="I31">
        <f t="shared" si="0"/>
        <v>135404.54</v>
      </c>
      <c r="J31">
        <v>2322.5841505381491</v>
      </c>
    </row>
    <row r="32" spans="1:10">
      <c r="I32">
        <f t="shared" si="0"/>
        <v>140404.54</v>
      </c>
      <c r="J32">
        <v>2759.8913009855964</v>
      </c>
    </row>
    <row r="33" spans="9:10">
      <c r="I33">
        <f t="shared" si="0"/>
        <v>145404.54</v>
      </c>
      <c r="J33">
        <v>3253.867878185089</v>
      </c>
    </row>
    <row r="34" spans="9:10">
      <c r="I34">
        <f t="shared" si="0"/>
        <v>150404.54</v>
      </c>
      <c r="J34">
        <v>3808.9249000223845</v>
      </c>
    </row>
    <row r="35" spans="9:10">
      <c r="I35">
        <f t="shared" si="0"/>
        <v>155404.54</v>
      </c>
      <c r="J35">
        <v>4429.6311974920382</v>
      </c>
    </row>
    <row r="36" spans="9:10">
      <c r="I36">
        <f t="shared" si="0"/>
        <v>160404.54</v>
      </c>
      <c r="J36">
        <v>5120.7133792806399</v>
      </c>
    </row>
    <row r="37" spans="9:10">
      <c r="I37">
        <f t="shared" si="0"/>
        <v>165404.54</v>
      </c>
      <c r="J37">
        <v>5887.0558030082429</v>
      </c>
    </row>
    <row r="38" spans="9:10">
      <c r="I38">
        <f t="shared" si="0"/>
        <v>170404.54</v>
      </c>
      <c r="J38">
        <v>6733.7005517141552</v>
      </c>
    </row>
    <row r="39" spans="9:10">
      <c r="I39">
        <f t="shared" si="0"/>
        <v>175404.54</v>
      </c>
      <c r="J39">
        <v>7665.8474145060072</v>
      </c>
    </row>
    <row r="40" spans="9:10">
      <c r="I40">
        <f t="shared" si="0"/>
        <v>180404.54</v>
      </c>
      <c r="J40">
        <v>8688.853870537796</v>
      </c>
    </row>
    <row r="41" spans="9:10">
      <c r="I41">
        <f t="shared" si="0"/>
        <v>185404.54</v>
      </c>
      <c r="J41">
        <v>9808.2350756684627</v>
      </c>
    </row>
    <row r="42" spans="9:10">
      <c r="I42">
        <f t="shared" si="0"/>
        <v>190404.54</v>
      </c>
      <c r="J42">
        <v>11029.663851292467</v>
      </c>
    </row>
    <row r="43" spans="9:10">
      <c r="I43">
        <f t="shared" si="0"/>
        <v>195404.54</v>
      </c>
      <c r="J43">
        <v>12358.970674941416</v>
      </c>
    </row>
    <row r="44" spans="9:10">
      <c r="I44">
        <f t="shared" si="0"/>
        <v>200404.54</v>
      </c>
      <c r="J44">
        <v>13802.143672337785</v>
      </c>
    </row>
    <row r="45" spans="9:10">
      <c r="I45">
        <f t="shared" si="0"/>
        <v>205404.54</v>
      </c>
      <c r="J45">
        <v>15365.32861064592</v>
      </c>
    </row>
    <row r="46" spans="9:10">
      <c r="I46">
        <f t="shared" si="0"/>
        <v>210404.54</v>
      </c>
      <c r="J46">
        <v>17054.82889271525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G54"/>
  <sheetViews>
    <sheetView workbookViewId="0">
      <selection activeCell="C34" sqref="C34"/>
    </sheetView>
  </sheetViews>
  <sheetFormatPr baseColWidth="10" defaultRowHeight="15" x14ac:dyDescent="0"/>
  <sheetData>
    <row r="1" spans="1:7">
      <c r="A1" t="s">
        <v>123</v>
      </c>
      <c r="B1" t="s">
        <v>109</v>
      </c>
      <c r="C1" t="s">
        <v>124</v>
      </c>
    </row>
    <row r="2" spans="1:7">
      <c r="A2" t="s">
        <v>122</v>
      </c>
      <c r="B2" t="s">
        <v>105</v>
      </c>
      <c r="C2">
        <f>SV_DW_I</f>
        <v>724.82726832177605</v>
      </c>
    </row>
    <row r="3" spans="1:7">
      <c r="A3" t="s">
        <v>160</v>
      </c>
      <c r="B3" t="s">
        <v>5</v>
      </c>
      <c r="C3">
        <f>Inputs!O8</f>
        <v>18</v>
      </c>
    </row>
    <row r="4" spans="1:7">
      <c r="A4" t="s">
        <v>4</v>
      </c>
      <c r="B4" t="s">
        <v>44</v>
      </c>
      <c r="C4">
        <f>SSG</f>
        <v>1.0150107219442459</v>
      </c>
    </row>
    <row r="5" spans="1:7">
      <c r="A5" t="s">
        <v>125</v>
      </c>
      <c r="B5" t="s">
        <v>5</v>
      </c>
      <c r="C5">
        <v>60</v>
      </c>
    </row>
    <row r="6" spans="1:7">
      <c r="A6" t="s">
        <v>126</v>
      </c>
      <c r="B6" t="s">
        <v>12</v>
      </c>
      <c r="C6">
        <v>24</v>
      </c>
      <c r="F6">
        <v>7250</v>
      </c>
      <c r="G6">
        <f>(ACCI+COSTOMI)/TDSSI</f>
        <v>2708.2647128675453</v>
      </c>
    </row>
    <row r="7" spans="1:7">
      <c r="A7" t="s">
        <v>127</v>
      </c>
      <c r="B7" t="s">
        <v>128</v>
      </c>
      <c r="C7">
        <v>360</v>
      </c>
      <c r="F7">
        <v>8000</v>
      </c>
      <c r="G7">
        <f t="dataTable" ref="G7:G54" dt2D="0" dtr="0" r1="C2"/>
        <v>555.65470917908112</v>
      </c>
    </row>
    <row r="8" spans="1:7">
      <c r="A8" t="s">
        <v>129</v>
      </c>
      <c r="B8" t="s">
        <v>130</v>
      </c>
      <c r="C8">
        <f>(SVI*365*8.34*SSI*SSG)/(DPY*HPD*100)</f>
        <v>559.89176130228952</v>
      </c>
      <c r="F8">
        <v>8750</v>
      </c>
      <c r="G8">
        <v>536.04636259920233</v>
      </c>
    </row>
    <row r="9" spans="1:7">
      <c r="A9" t="s">
        <v>131</v>
      </c>
      <c r="B9" t="s">
        <v>132</v>
      </c>
      <c r="C9">
        <f>-0.00000000009886*SVI^3+0.00000128*SVI^2+0.38*SVI+1708</f>
        <v>1984.0691949477357</v>
      </c>
      <c r="F9">
        <v>9500</v>
      </c>
      <c r="G9">
        <v>519.29853276517372</v>
      </c>
    </row>
    <row r="10" spans="1:7">
      <c r="A10" t="s">
        <v>133</v>
      </c>
      <c r="B10" t="s">
        <v>134</v>
      </c>
      <c r="C10">
        <f>(LR*VSS*10000)/100</f>
        <v>3359350.5678137373</v>
      </c>
      <c r="F10">
        <v>10250</v>
      </c>
      <c r="G10">
        <v>504.77746971348944</v>
      </c>
    </row>
    <row r="11" spans="1:7">
      <c r="A11" t="s">
        <v>135</v>
      </c>
      <c r="B11" t="s">
        <v>136</v>
      </c>
      <c r="C11">
        <f>(HV*7.5*2)/10000</f>
        <v>5039.0258517206057</v>
      </c>
      <c r="F11">
        <v>11000</v>
      </c>
      <c r="G11">
        <v>492.02226437978067</v>
      </c>
    </row>
    <row r="12" spans="1:7">
      <c r="A12" t="s">
        <v>137</v>
      </c>
      <c r="B12" t="s">
        <v>134</v>
      </c>
      <c r="C12">
        <f>AIR*1340*(0.256+0.13*0.5)</f>
        <v>2167486.5798591012</v>
      </c>
      <c r="F12">
        <v>11750</v>
      </c>
      <c r="G12">
        <v>480.68968660973076</v>
      </c>
    </row>
    <row r="13" spans="1:7">
      <c r="A13" t="s">
        <v>138</v>
      </c>
      <c r="B13" t="s">
        <v>134</v>
      </c>
      <c r="C13">
        <f>LR*0.25*1340</f>
        <v>187563.740036267</v>
      </c>
      <c r="F13">
        <v>12500</v>
      </c>
      <c r="G13">
        <v>470.51888148605872</v>
      </c>
    </row>
    <row r="14" spans="1:7">
      <c r="A14" t="s">
        <v>139</v>
      </c>
      <c r="B14" t="s">
        <v>134</v>
      </c>
      <c r="C14">
        <f>((SVI*SSG*8.34)/(HPD))*1716</f>
        <v>1754838.8354241624</v>
      </c>
      <c r="F14">
        <v>13250</v>
      </c>
      <c r="G14">
        <v>461.30805558218884</v>
      </c>
    </row>
    <row r="15" spans="1:7">
      <c r="A15" t="s">
        <v>140</v>
      </c>
      <c r="B15" t="s">
        <v>134</v>
      </c>
      <c r="C15">
        <f>0.0782*(HAIR+HSS+HW)</f>
        <v>321393.3319459873</v>
      </c>
      <c r="F15">
        <v>14000</v>
      </c>
      <c r="G15">
        <v>452.89865692009738</v>
      </c>
    </row>
    <row r="16" spans="1:7">
      <c r="A16" t="s">
        <v>141</v>
      </c>
      <c r="B16" t="s">
        <v>134</v>
      </c>
      <c r="C16">
        <f>0.05*(HAIR+HSS+HW+HCW)</f>
        <v>221564.12436327591</v>
      </c>
      <c r="F16">
        <v>14750</v>
      </c>
      <c r="G16">
        <v>445.16438138169764</v>
      </c>
    </row>
    <row r="17" spans="1:7">
      <c r="A17" t="s">
        <v>142</v>
      </c>
      <c r="B17" t="s">
        <v>134</v>
      </c>
      <c r="C17">
        <f>(HAIR+HSS+HW+HCW+HL)-(HV)</f>
        <v>1293496.0438150568</v>
      </c>
      <c r="F17">
        <v>15500</v>
      </c>
      <c r="G17">
        <v>438.00337080724216</v>
      </c>
    </row>
    <row r="18" spans="1:7">
      <c r="A18" t="s">
        <v>143</v>
      </c>
      <c r="B18" t="s">
        <v>144</v>
      </c>
      <c r="C18">
        <f>((SH*DPY*HPD)/(144000))*2*1.1</f>
        <v>14228.456481965626</v>
      </c>
      <c r="F18">
        <v>16250</v>
      </c>
      <c r="G18">
        <v>431.33257162032152</v>
      </c>
    </row>
    <row r="19" spans="1:7">
      <c r="A19" t="s">
        <v>145</v>
      </c>
      <c r="B19" t="s">
        <v>146</v>
      </c>
      <c r="C19">
        <f>-0.0000000268*SVI^3+0.00151*SVI^2+25.4*SVI+189400</f>
        <v>208593.72261861124</v>
      </c>
      <c r="F19">
        <v>17000</v>
      </c>
      <c r="G19">
        <v>425.08358675801037</v>
      </c>
    </row>
    <row r="20" spans="1:7">
      <c r="A20" t="s">
        <v>54</v>
      </c>
      <c r="B20" t="s">
        <v>96</v>
      </c>
      <c r="C20">
        <f>ENRCCI</f>
        <v>8390.5</v>
      </c>
      <c r="F20">
        <v>17750</v>
      </c>
      <c r="G20">
        <v>419.19957922435668</v>
      </c>
    </row>
    <row r="21" spans="1:7">
      <c r="A21" t="s">
        <v>43</v>
      </c>
      <c r="B21" t="s">
        <v>96</v>
      </c>
      <c r="C21">
        <f>MSECI</f>
        <v>1479.8340000000026</v>
      </c>
      <c r="F21">
        <v>18500</v>
      </c>
      <c r="G21">
        <v>413.63292883356257</v>
      </c>
    </row>
    <row r="22" spans="1:7">
      <c r="A22" t="s">
        <v>46</v>
      </c>
      <c r="B22" t="s">
        <v>47</v>
      </c>
      <c r="C22">
        <f>COSTL</f>
        <v>24.58</v>
      </c>
      <c r="F22">
        <v>19250</v>
      </c>
      <c r="G22">
        <v>408.34343672748753</v>
      </c>
    </row>
    <row r="23" spans="1:7">
      <c r="A23" t="s">
        <v>147</v>
      </c>
      <c r="B23" t="s">
        <v>50</v>
      </c>
      <c r="C23">
        <f>FUELO_I</f>
        <v>1.546</v>
      </c>
      <c r="F23">
        <v>20000</v>
      </c>
      <c r="G23">
        <v>403.29693387671131</v>
      </c>
    </row>
    <row r="24" spans="1:7">
      <c r="A24" t="s">
        <v>81</v>
      </c>
      <c r="B24" t="s">
        <v>148</v>
      </c>
      <c r="C24">
        <f>COSTE_I</f>
        <v>0.14480000000000001</v>
      </c>
      <c r="F24">
        <v>20750</v>
      </c>
      <c r="G24">
        <v>398.46419135245344</v>
      </c>
    </row>
    <row r="25" spans="1:7">
      <c r="A25" t="s">
        <v>149</v>
      </c>
      <c r="B25" t="s">
        <v>150</v>
      </c>
      <c r="C25">
        <f>COSTL*LI</f>
        <v>48768.42081181534</v>
      </c>
      <c r="F25">
        <v>21500</v>
      </c>
      <c r="G25">
        <v>393.82005868111185</v>
      </c>
    </row>
    <row r="26" spans="1:7">
      <c r="A26" t="s">
        <v>151</v>
      </c>
      <c r="B26" t="s">
        <v>150</v>
      </c>
      <c r="C26">
        <f>FO*COSTFO</f>
        <v>21997.19372111886</v>
      </c>
      <c r="F26">
        <v>22250</v>
      </c>
      <c r="G26">
        <v>389.3427764641765</v>
      </c>
    </row>
    <row r="27" spans="1:7">
      <c r="A27" t="s">
        <v>152</v>
      </c>
      <c r="B27" t="s">
        <v>150</v>
      </c>
      <c r="C27">
        <f>EI*COSTE</f>
        <v>30204.371035174911</v>
      </c>
      <c r="F27">
        <v>23000</v>
      </c>
      <c r="G27">
        <v>385.01342348555255</v>
      </c>
    </row>
    <row r="28" spans="1:7">
      <c r="A28" t="s">
        <v>153</v>
      </c>
      <c r="B28" t="s">
        <v>150</v>
      </c>
      <c r="C28">
        <f>(-0.00000000013*SVI^3-0.000003*SVI^2+0.87*SVI+8166)*(MSECI/751)</f>
        <v>17330.361777452603</v>
      </c>
      <c r="F28">
        <v>23750</v>
      </c>
      <c r="G28">
        <v>380.81546857749345</v>
      </c>
    </row>
    <row r="29" spans="1:7">
      <c r="A29" t="s">
        <v>154</v>
      </c>
      <c r="B29" t="s">
        <v>107</v>
      </c>
      <c r="C29">
        <f>(-0.0027*SVI^2+231.5*SVI+1681000)*(MSECI/751)</f>
        <v>3640232.0332634663</v>
      </c>
      <c r="F29">
        <v>24500</v>
      </c>
      <c r="G29">
        <v>376.73440479687463</v>
      </c>
    </row>
    <row r="30" spans="1:7">
      <c r="A30" t="s">
        <v>155</v>
      </c>
      <c r="B30" t="s">
        <v>150</v>
      </c>
      <c r="C30">
        <f>TBCCI*CRF</f>
        <v>427580.28871212807</v>
      </c>
      <c r="F30">
        <v>25250</v>
      </c>
      <c r="G30">
        <v>372.75744879777449</v>
      </c>
    </row>
    <row r="31" spans="1:7">
      <c r="A31" t="s">
        <v>156</v>
      </c>
      <c r="B31" t="s">
        <v>157</v>
      </c>
      <c r="C31">
        <f>(SVI*SSG*SSI*8.34*365)/(2000*100)</f>
        <v>201.56103406882423</v>
      </c>
      <c r="F31">
        <v>26000</v>
      </c>
      <c r="G31">
        <v>368.87329223572425</v>
      </c>
    </row>
    <row r="32" spans="1:7">
      <c r="A32" t="s">
        <v>158</v>
      </c>
      <c r="B32" t="s">
        <v>106</v>
      </c>
      <c r="C32">
        <f>(ACCI+COSTOMI)/TDSSI</f>
        <v>2708.2647128675453</v>
      </c>
      <c r="F32">
        <v>26750</v>
      </c>
      <c r="G32">
        <v>365.07189499180242</v>
      </c>
    </row>
    <row r="33" spans="1:7">
      <c r="A33" t="s">
        <v>159</v>
      </c>
      <c r="B33" t="s">
        <v>150</v>
      </c>
      <c r="C33">
        <f>(COSTLBI+COSTELI+COSTMPI+COSTFUELI)</f>
        <v>118300.34734556172</v>
      </c>
      <c r="F33">
        <v>27500</v>
      </c>
      <c r="G33">
        <v>361.3443122327887</v>
      </c>
    </row>
    <row r="34" spans="1:7">
      <c r="A34" t="s">
        <v>494</v>
      </c>
      <c r="B34" t="s">
        <v>162</v>
      </c>
      <c r="C34">
        <f>(ACCI+COSTOMI)/(SVI*8.34*365*SSG/2000)</f>
        <v>487.48764831615819</v>
      </c>
      <c r="F34">
        <v>28250</v>
      </c>
      <c r="G34">
        <v>357.68254901925565</v>
      </c>
    </row>
    <row r="35" spans="1:7">
      <c r="F35">
        <v>29000</v>
      </c>
      <c r="G35">
        <v>354.07943747447518</v>
      </c>
    </row>
    <row r="36" spans="1:7">
      <c r="F36">
        <v>29750</v>
      </c>
      <c r="G36">
        <v>350.5285325328183</v>
      </c>
    </row>
    <row r="37" spans="1:7">
      <c r="F37">
        <v>30500</v>
      </c>
      <c r="G37">
        <v>347.02402306953718</v>
      </c>
    </row>
    <row r="38" spans="1:7">
      <c r="F38">
        <v>31250</v>
      </c>
      <c r="G38">
        <v>343.56065582785988</v>
      </c>
    </row>
    <row r="39" spans="1:7">
      <c r="F39">
        <v>32000</v>
      </c>
      <c r="G39">
        <v>340.13367004383656</v>
      </c>
    </row>
    <row r="40" spans="1:7">
      <c r="F40">
        <v>32750</v>
      </c>
      <c r="G40">
        <v>336.7387410540324</v>
      </c>
    </row>
    <row r="41" spans="1:7">
      <c r="F41">
        <v>33500</v>
      </c>
      <c r="G41">
        <v>333.37193147830493</v>
      </c>
    </row>
    <row r="42" spans="1:7">
      <c r="F42">
        <v>34250</v>
      </c>
      <c r="G42">
        <v>330.02964881652395</v>
      </c>
    </row>
    <row r="43" spans="1:7">
      <c r="F43">
        <v>35000</v>
      </c>
      <c r="G43">
        <v>326.70860849714262</v>
      </c>
    </row>
    <row r="44" spans="1:7">
      <c r="F44">
        <v>35750</v>
      </c>
      <c r="G44">
        <v>323.40580157699463</v>
      </c>
    </row>
    <row r="45" spans="1:7">
      <c r="F45">
        <v>36500</v>
      </c>
      <c r="G45">
        <v>320.11846642331159</v>
      </c>
    </row>
    <row r="46" spans="1:7">
      <c r="F46">
        <v>37250</v>
      </c>
      <c r="G46">
        <v>316.84406381670232</v>
      </c>
    </row>
    <row r="47" spans="1:7">
      <c r="F47">
        <v>38000</v>
      </c>
      <c r="G47">
        <v>313.58025500246424</v>
      </c>
    </row>
    <row r="48" spans="1:7">
      <c r="F48">
        <v>38750</v>
      </c>
      <c r="G48">
        <v>310.32488229077518</v>
      </c>
    </row>
    <row r="49" spans="6:7">
      <c r="F49">
        <v>39500</v>
      </c>
      <c r="G49">
        <v>307.07595186698916</v>
      </c>
    </row>
    <row r="50" spans="6:7">
      <c r="F50">
        <v>40250</v>
      </c>
      <c r="G50">
        <v>303.83161852376287</v>
      </c>
    </row>
    <row r="51" spans="6:7">
      <c r="F51">
        <v>41000</v>
      </c>
      <c r="G51">
        <v>300.59017206892491</v>
      </c>
    </row>
    <row r="52" spans="6:7">
      <c r="F52">
        <v>41750</v>
      </c>
      <c r="G52">
        <v>297.35002519836394</v>
      </c>
    </row>
    <row r="53" spans="6:7">
      <c r="F53">
        <v>42500</v>
      </c>
      <c r="G53">
        <v>294.10970265296442</v>
      </c>
    </row>
    <row r="54" spans="6:7">
      <c r="F54">
        <v>43250</v>
      </c>
      <c r="G54">
        <v>290.86783150372321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H94"/>
  <sheetViews>
    <sheetView tabSelected="1" workbookViewId="0">
      <selection activeCell="C26" sqref="C26"/>
    </sheetView>
  </sheetViews>
  <sheetFormatPr baseColWidth="10" defaultRowHeight="15" x14ac:dyDescent="0"/>
  <cols>
    <col min="2" max="2" width="13.33203125" customWidth="1"/>
  </cols>
  <sheetData>
    <row r="1" spans="1:8">
      <c r="A1" t="s">
        <v>400</v>
      </c>
    </row>
    <row r="2" spans="1:8">
      <c r="A2" t="s">
        <v>401</v>
      </c>
    </row>
    <row r="3" spans="1:8">
      <c r="A3" t="s">
        <v>402</v>
      </c>
    </row>
    <row r="4" spans="1:8">
      <c r="A4" t="s">
        <v>403</v>
      </c>
    </row>
    <row r="6" spans="1:8">
      <c r="A6" t="s">
        <v>404</v>
      </c>
      <c r="B6" t="s">
        <v>212</v>
      </c>
      <c r="C6" t="s">
        <v>213</v>
      </c>
      <c r="F6" t="s">
        <v>429</v>
      </c>
      <c r="G6" t="s">
        <v>212</v>
      </c>
      <c r="H6" t="s">
        <v>213</v>
      </c>
    </row>
    <row r="7" spans="1:8">
      <c r="A7" t="s">
        <v>405</v>
      </c>
      <c r="B7" t="s">
        <v>105</v>
      </c>
      <c r="C7">
        <f>SV_DW_I</f>
        <v>724.82726832177605</v>
      </c>
      <c r="F7" t="s">
        <v>430</v>
      </c>
      <c r="G7" t="s">
        <v>105</v>
      </c>
      <c r="H7">
        <f>SV_DW_I</f>
        <v>724.82726832177605</v>
      </c>
    </row>
    <row r="8" spans="1:8">
      <c r="A8" t="s">
        <v>406</v>
      </c>
      <c r="B8" t="s">
        <v>5</v>
      </c>
      <c r="C8">
        <f>Inputs!K8</f>
        <v>5</v>
      </c>
      <c r="F8" t="s">
        <v>431</v>
      </c>
      <c r="G8" t="s">
        <v>5</v>
      </c>
      <c r="H8">
        <f>SS_BF</f>
        <v>5</v>
      </c>
    </row>
    <row r="9" spans="1:8">
      <c r="A9" t="s">
        <v>407</v>
      </c>
      <c r="B9" t="s">
        <v>44</v>
      </c>
      <c r="C9">
        <f>1/(((100-SS_BF)/100)+(SS_BF/(1.41*100)))</f>
        <v>1.0147535084562793</v>
      </c>
      <c r="F9" t="s">
        <v>432</v>
      </c>
      <c r="G9" t="s">
        <v>44</v>
      </c>
      <c r="H9">
        <f>1/(((100-SS_C)/100)+(SS_C/(1.41*100)))</f>
        <v>1.0147535084562793</v>
      </c>
    </row>
    <row r="10" spans="1:8">
      <c r="A10" t="s">
        <v>408</v>
      </c>
      <c r="B10" t="s">
        <v>409</v>
      </c>
      <c r="C10">
        <v>800</v>
      </c>
      <c r="D10" t="s">
        <v>410</v>
      </c>
      <c r="F10" t="s">
        <v>433</v>
      </c>
      <c r="G10" t="s">
        <v>12</v>
      </c>
      <c r="H10">
        <v>8</v>
      </c>
    </row>
    <row r="11" spans="1:8">
      <c r="A11" t="s">
        <v>411</v>
      </c>
      <c r="B11" t="s">
        <v>412</v>
      </c>
      <c r="C11">
        <v>8</v>
      </c>
      <c r="F11" t="s">
        <v>434</v>
      </c>
      <c r="G11" t="s">
        <v>436</v>
      </c>
      <c r="H11">
        <v>365</v>
      </c>
    </row>
    <row r="12" spans="1:8">
      <c r="A12" t="s">
        <v>413</v>
      </c>
      <c r="B12" t="s">
        <v>221</v>
      </c>
      <c r="C12">
        <v>365</v>
      </c>
      <c r="F12" t="s">
        <v>435</v>
      </c>
      <c r="G12" t="s">
        <v>437</v>
      </c>
      <c r="H12">
        <f>SV_C*365/HPD_C/DPY_C/60</f>
        <v>1.5100568090037003</v>
      </c>
    </row>
    <row r="13" spans="1:8">
      <c r="A13" t="s">
        <v>414</v>
      </c>
      <c r="B13" t="s">
        <v>179</v>
      </c>
      <c r="C13">
        <f>SV_BF*SS_BF*SSG_BF*8.34/100</f>
        <v>306.71226265214443</v>
      </c>
      <c r="F13" t="s">
        <v>439</v>
      </c>
      <c r="H13">
        <f>IF(MSV&lt;70,(0.028*MSV^2+0.265*MSV+744),0)</f>
        <v>744.46401265824568</v>
      </c>
    </row>
    <row r="14" spans="1:8">
      <c r="A14" t="s">
        <v>415</v>
      </c>
      <c r="B14" t="s">
        <v>416</v>
      </c>
      <c r="C14">
        <f>(DSS_BF*365)/BFLR/HPD_BF/DPY_BF</f>
        <v>4.7923791039397569E-2</v>
      </c>
      <c r="F14" t="s">
        <v>439</v>
      </c>
      <c r="H14">
        <f>IF(AND(MSV&gt;70,MSV&lt;500),0.0000175*MSV^3-0.019*MSV^2+8.205*MSV+426,0)</f>
        <v>0</v>
      </c>
    </row>
    <row r="15" spans="1:8">
      <c r="A15" t="s">
        <v>417</v>
      </c>
      <c r="B15" t="s">
        <v>132</v>
      </c>
      <c r="C15">
        <f>IF(TBFW&lt;0.5,(1773*(TBFW/0.5)),(-0.34*TBFW^3+3734*TBFW^2+441.5*TBFW+619))</f>
        <v>169.93776302570379</v>
      </c>
      <c r="F15" t="s">
        <v>439</v>
      </c>
      <c r="H15">
        <f>IF(MSV&gt;500,-0.00000021*MSV^3+0.00066*MSV^2+0.035*MSV+1686,0)</f>
        <v>0</v>
      </c>
    </row>
    <row r="16" spans="1:8">
      <c r="A16" t="s">
        <v>418</v>
      </c>
      <c r="B16" t="s">
        <v>184</v>
      </c>
      <c r="C16">
        <f>IF(TBFW&lt;0.5,(22065*(TBFW/0.5)),(-5.42*TBFW^3+234.6*TBFW^2+16020*TBFW+13997))</f>
        <v>2114.8768985686147</v>
      </c>
      <c r="F16" t="s">
        <v>438</v>
      </c>
      <c r="G16" t="s">
        <v>132</v>
      </c>
      <c r="H16">
        <f>MAX(H13:H15)</f>
        <v>744.46401265824568</v>
      </c>
    </row>
    <row r="17" spans="1:8">
      <c r="A17" t="s">
        <v>419</v>
      </c>
      <c r="B17" t="s">
        <v>150</v>
      </c>
      <c r="C17">
        <f>L_BF*COSTL_I</f>
        <v>4177.0702151717987</v>
      </c>
      <c r="F17" t="s">
        <v>79</v>
      </c>
      <c r="H17">
        <f>IF(MSV&lt;70,-5.91*MSV^2+2695*MSV+500,0)</f>
        <v>4556.1266953074391</v>
      </c>
    </row>
    <row r="18" spans="1:8">
      <c r="A18" t="s">
        <v>420</v>
      </c>
      <c r="B18" t="s">
        <v>150</v>
      </c>
      <c r="C18">
        <f>COSTE_BF*E_BF</f>
        <v>306.23417491273545</v>
      </c>
      <c r="F18" t="s">
        <v>79</v>
      </c>
      <c r="H18">
        <f>IF(AND(MSV&gt;70,MSV&lt;500),0.0006671*MSV^3-0.513*MSV^2+2041*MSV+24253,0)</f>
        <v>0</v>
      </c>
    </row>
    <row r="19" spans="1:8">
      <c r="A19" t="s">
        <v>421</v>
      </c>
      <c r="B19" t="s">
        <v>148</v>
      </c>
      <c r="C19">
        <f>COSTE_I</f>
        <v>0.14480000000000001</v>
      </c>
      <c r="F19" t="s">
        <v>79</v>
      </c>
      <c r="H19">
        <f>IF(MSV&gt;500,0.001493*MSV^3-5.313*MSV^2+7435*MSV-1557500,0)</f>
        <v>0</v>
      </c>
    </row>
    <row r="20" spans="1:8">
      <c r="A20" t="s">
        <v>422</v>
      </c>
      <c r="B20" t="s">
        <v>150</v>
      </c>
      <c r="C20">
        <f>IF(TBFW&lt;=0.5,(1784*(TBFW/0.5)*(MSECI/751)),((-0.708*TBFW^3+30.6*TBFW^2+2371*TBFW+1184)*(MSECI/751)))</f>
        <v>336.93728792002355</v>
      </c>
      <c r="F20" t="s">
        <v>441</v>
      </c>
      <c r="G20" t="s">
        <v>184</v>
      </c>
      <c r="H20">
        <f>MAX(H17:H19)</f>
        <v>4556.1266953074391</v>
      </c>
    </row>
    <row r="21" spans="1:8">
      <c r="A21" t="s">
        <v>423</v>
      </c>
      <c r="B21" t="s">
        <v>107</v>
      </c>
      <c r="C21">
        <f>IF(TBFW&lt;=0.5,(243000*(MSECI/751)),((-158.6*TBFW^3+5496*TBFW^2+98269*TBFW+192630)*(MSECI/751)))</f>
        <v>478827.7789613856</v>
      </c>
      <c r="F21" t="s">
        <v>442</v>
      </c>
      <c r="H21">
        <f>IF(MSV&lt;70,-14.015*MSV^2+1867*MSV+67917,0)</f>
        <v>70704.318056406555</v>
      </c>
    </row>
    <row r="22" spans="1:8">
      <c r="A22" t="s">
        <v>424</v>
      </c>
      <c r="B22" t="s">
        <v>150</v>
      </c>
      <c r="C22">
        <f>COSTLB_BF+COSTEL_BF+COSTPM_BF</f>
        <v>4820.2416780045578</v>
      </c>
      <c r="F22" t="s">
        <v>442</v>
      </c>
      <c r="H22">
        <f>IF(AND(MSV&gt;70,MSV&lt;500),0.001748*MSV^3-1.797*MSV^2+675.6*MSV+93530,0)</f>
        <v>0</v>
      </c>
    </row>
    <row r="23" spans="1:8">
      <c r="A23" t="s">
        <v>425</v>
      </c>
      <c r="B23" t="s">
        <v>107</v>
      </c>
      <c r="C23">
        <f>TBCC_BF*CRF</f>
        <v>56242.931247475834</v>
      </c>
      <c r="F23" t="s">
        <v>442</v>
      </c>
      <c r="H23">
        <f>IF(MSV&gt;500,-0.0000111*MSV^3+0.033*MSV^2+118.4*MSV+139140,0)</f>
        <v>0</v>
      </c>
    </row>
    <row r="24" spans="1:8">
      <c r="A24" t="s">
        <v>426</v>
      </c>
      <c r="B24" t="s">
        <v>427</v>
      </c>
      <c r="C24">
        <f>(SV_BF*8.34*SS_BF*SSG_BF*365)/((2000*100))</f>
        <v>55.974987934016355</v>
      </c>
      <c r="F24" t="s">
        <v>443</v>
      </c>
      <c r="G24" t="s">
        <v>184</v>
      </c>
      <c r="H24">
        <f>MAX(H21:H23)</f>
        <v>70704.318056406555</v>
      </c>
    </row>
    <row r="25" spans="1:8">
      <c r="A25" t="s">
        <v>428</v>
      </c>
      <c r="B25" t="s">
        <v>106</v>
      </c>
      <c r="C25">
        <f>(ACC_BF+COSTOM_BF)/TDSS_BF</f>
        <v>1090.9010466864597</v>
      </c>
      <c r="F25" t="s">
        <v>440</v>
      </c>
      <c r="G25" t="s">
        <v>184</v>
      </c>
      <c r="H25">
        <f>PE_C+BE_C</f>
        <v>75260.444751713992</v>
      </c>
    </row>
    <row r="26" spans="1:8">
      <c r="A26" t="s">
        <v>495</v>
      </c>
      <c r="B26" t="s">
        <v>496</v>
      </c>
      <c r="C26">
        <f>(ACC_BF+COSTOM_BF)/(SV_BF+8.34*365*SSG_BF/2000)</f>
        <v>84.066004654448477</v>
      </c>
      <c r="F26" t="s">
        <v>444</v>
      </c>
      <c r="G26" t="s">
        <v>150</v>
      </c>
      <c r="H26">
        <f>COSTL_I*L_C</f>
        <v>18298.925431139676</v>
      </c>
    </row>
    <row r="27" spans="1:8">
      <c r="F27" t="s">
        <v>445</v>
      </c>
      <c r="G27" t="s">
        <v>150</v>
      </c>
      <c r="H27">
        <f>COSTE_I*E_C</f>
        <v>10897.712400048187</v>
      </c>
    </row>
    <row r="28" spans="1:8">
      <c r="F28" t="s">
        <v>446</v>
      </c>
      <c r="G28" t="s">
        <v>150</v>
      </c>
      <c r="H28">
        <f>(0.0000192*MSV^3-0.0055*MSV^2+13.053*MSV+2113)*(MSECI/751)</f>
        <v>4202.4493347264479</v>
      </c>
    </row>
    <row r="29" spans="1:8">
      <c r="F29" t="s">
        <v>447</v>
      </c>
      <c r="G29" t="s">
        <v>107</v>
      </c>
      <c r="H29">
        <f>MAX(H30:H32)</f>
        <v>326966.02817362791</v>
      </c>
    </row>
    <row r="30" spans="1:8">
      <c r="A30">
        <v>2000</v>
      </c>
      <c r="B30">
        <f>(ACC_BF+COSTOM_BF)/TDSS_BF</f>
        <v>1090.9010466864597</v>
      </c>
      <c r="F30" t="s">
        <v>448</v>
      </c>
      <c r="H30">
        <f>IF(MSV&lt;70,(-10.538*MSV^2+3023.6*MSV+161390)*(MSECI/751),0)</f>
        <v>326966.02817362791</v>
      </c>
    </row>
    <row r="31" spans="1:8">
      <c r="A31">
        <v>2750</v>
      </c>
      <c r="B31">
        <f t="dataTable" ref="B31:B85" dt2D="0" dtr="0" r1="C7" ca="1"/>
        <v>350.94944319651177</v>
      </c>
      <c r="F31" t="s">
        <v>448</v>
      </c>
      <c r="H31">
        <f>IF(AND(MSV&gt;70,MSV&lt;500),(-0.00094*MSV^3-0.5*MSV^2+1653*MSV+217840)*(MSECI/751),0)</f>
        <v>0</v>
      </c>
    </row>
    <row r="32" spans="1:8">
      <c r="A32">
        <v>3500</v>
      </c>
      <c r="B32">
        <v>294.19903536444048</v>
      </c>
      <c r="F32" t="s">
        <v>448</v>
      </c>
      <c r="H32">
        <f>IF(MSV&gt;500,(0.00068*MSV^3-2.5*MSV^2+3803*MSV-520470)*(MSECI/751),0)</f>
        <v>0</v>
      </c>
    </row>
    <row r="33" spans="1:8">
      <c r="A33">
        <v>4250</v>
      </c>
      <c r="B33">
        <v>257.47818323780604</v>
      </c>
      <c r="F33" t="s">
        <v>449</v>
      </c>
      <c r="G33" t="s">
        <v>150</v>
      </c>
      <c r="H33">
        <f>COSTEL_C+COSTLB_C+COSTPM_C</f>
        <v>33399.087165914316</v>
      </c>
    </row>
    <row r="34" spans="1:8">
      <c r="A34">
        <v>5000</v>
      </c>
      <c r="B34">
        <v>231.77358674916192</v>
      </c>
      <c r="F34" t="s">
        <v>450</v>
      </c>
      <c r="G34" t="s">
        <v>107</v>
      </c>
      <c r="H34">
        <f>TBCC_C*CRF</f>
        <v>38405.306982643961</v>
      </c>
    </row>
    <row r="35" spans="1:8">
      <c r="A35">
        <v>5750</v>
      </c>
      <c r="B35">
        <v>212.77453717059885</v>
      </c>
      <c r="F35" t="s">
        <v>451</v>
      </c>
      <c r="G35" t="s">
        <v>427</v>
      </c>
      <c r="H35">
        <f>(SV_C*8.34*SS_C*SSG_C*365)/((2000*100))</f>
        <v>55.974987934016355</v>
      </c>
    </row>
    <row r="36" spans="1:8">
      <c r="A36">
        <v>6500</v>
      </c>
      <c r="B36">
        <v>198.15988364862724</v>
      </c>
      <c r="F36" t="s">
        <v>452</v>
      </c>
      <c r="G36" t="s">
        <v>106</v>
      </c>
      <c r="H36">
        <f>(ACC_C+COSTOM_C)/TDSS_C</f>
        <v>1282.7942764936674</v>
      </c>
    </row>
    <row r="37" spans="1:8">
      <c r="A37">
        <v>7250</v>
      </c>
      <c r="B37">
        <v>186.56895154499469</v>
      </c>
      <c r="F37" t="s">
        <v>497</v>
      </c>
      <c r="G37" t="s">
        <v>162</v>
      </c>
      <c r="H37">
        <f>(ACC_C+COSTOM_C)/(SV_C*8.34*365*SSG_C/2000)</f>
        <v>64.139713824683355</v>
      </c>
    </row>
    <row r="38" spans="1:8">
      <c r="A38">
        <v>8000</v>
      </c>
      <c r="B38">
        <v>180.77323444739099</v>
      </c>
    </row>
    <row r="39" spans="1:8">
      <c r="A39">
        <v>8750</v>
      </c>
      <c r="B39">
        <v>175.82413718845663</v>
      </c>
      <c r="F39">
        <v>2000</v>
      </c>
      <c r="G39">
        <f>(ACC_C+COSTOM_C)/TDSS_C</f>
        <v>1282.7942764936674</v>
      </c>
    </row>
    <row r="40" spans="1:8">
      <c r="A40">
        <v>9500</v>
      </c>
      <c r="B40">
        <v>172.28034619458202</v>
      </c>
      <c r="F40">
        <v>2750</v>
      </c>
      <c r="G40">
        <f t="dataTable" ref="G40:G94" dt2D="0" dtr="0" r1="H7" ca="1"/>
        <v>365.10955264805767</v>
      </c>
    </row>
    <row r="41" spans="1:8">
      <c r="A41">
        <v>10250</v>
      </c>
      <c r="B41">
        <v>169.83333593485855</v>
      </c>
      <c r="F41">
        <v>3500</v>
      </c>
      <c r="G41">
        <v>294.57265691213911</v>
      </c>
    </row>
    <row r="42" spans="1:8">
      <c r="A42">
        <v>11000</v>
      </c>
      <c r="B42">
        <v>168.25872420498894</v>
      </c>
      <c r="F42">
        <v>4250</v>
      </c>
      <c r="G42">
        <v>248.86201726604892</v>
      </c>
    </row>
    <row r="43" spans="1:8">
      <c r="A43">
        <v>11750</v>
      </c>
      <c r="B43">
        <v>167.38941787411366</v>
      </c>
      <c r="F43">
        <v>5000</v>
      </c>
      <c r="G43">
        <v>216.8058207119866</v>
      </c>
    </row>
    <row r="44" spans="1:8">
      <c r="A44">
        <v>12500</v>
      </c>
      <c r="B44">
        <v>167.09842616277933</v>
      </c>
      <c r="F44">
        <v>5750</v>
      </c>
      <c r="G44">
        <v>193.06102625100399</v>
      </c>
    </row>
    <row r="45" spans="1:8">
      <c r="A45">
        <v>13250</v>
      </c>
      <c r="B45">
        <v>167.28751092084281</v>
      </c>
      <c r="F45">
        <v>6500</v>
      </c>
      <c r="G45">
        <v>174.75061180674456</v>
      </c>
    </row>
    <row r="46" spans="1:8">
      <c r="A46">
        <v>14000</v>
      </c>
      <c r="B46">
        <v>167.87948503033456</v>
      </c>
      <c r="F46">
        <v>7250</v>
      </c>
      <c r="G46">
        <v>160.18804719651649</v>
      </c>
    </row>
    <row r="47" spans="1:8">
      <c r="A47">
        <v>14750</v>
      </c>
      <c r="B47">
        <v>168.81286044812617</v>
      </c>
      <c r="F47">
        <v>8000</v>
      </c>
      <c r="G47">
        <v>148.3192510561374</v>
      </c>
    </row>
    <row r="48" spans="1:8">
      <c r="A48">
        <v>15500</v>
      </c>
      <c r="B48">
        <v>170.03805004266258</v>
      </c>
      <c r="F48">
        <v>8750</v>
      </c>
      <c r="G48">
        <v>138.45154134628734</v>
      </c>
    </row>
    <row r="49" spans="1:7">
      <c r="A49">
        <v>16250</v>
      </c>
      <c r="B49">
        <v>171.51462122975272</v>
      </c>
      <c r="F49">
        <v>9500</v>
      </c>
      <c r="G49">
        <v>130.11097772427385</v>
      </c>
    </row>
    <row r="50" spans="1:7">
      <c r="A50">
        <v>17000</v>
      </c>
      <c r="B50">
        <v>173.20927658712162</v>
      </c>
      <c r="F50">
        <v>10250</v>
      </c>
      <c r="G50">
        <v>122.96233409404616</v>
      </c>
    </row>
    <row r="51" spans="1:7">
      <c r="A51">
        <v>17750</v>
      </c>
      <c r="B51">
        <v>175.09434642583642</v>
      </c>
      <c r="F51">
        <v>11000</v>
      </c>
      <c r="G51">
        <v>116.76180965847625</v>
      </c>
    </row>
    <row r="52" spans="1:7">
      <c r="A52">
        <v>18500</v>
      </c>
      <c r="B52">
        <v>177.14664803354808</v>
      </c>
      <c r="F52">
        <v>11750</v>
      </c>
      <c r="G52">
        <v>111.32785063246904</v>
      </c>
    </row>
    <row r="53" spans="1:7">
      <c r="A53">
        <v>19250</v>
      </c>
      <c r="B53">
        <v>179.34661158814379</v>
      </c>
      <c r="F53">
        <v>12500</v>
      </c>
      <c r="G53">
        <v>106.52247613935209</v>
      </c>
    </row>
    <row r="54" spans="1:7">
      <c r="A54">
        <v>20000</v>
      </c>
      <c r="B54">
        <v>181.67760274082772</v>
      </c>
      <c r="F54">
        <v>13250</v>
      </c>
      <c r="G54">
        <v>102.2389462556619</v>
      </c>
    </row>
    <row r="55" spans="1:7">
      <c r="A55">
        <v>20750</v>
      </c>
      <c r="B55">
        <v>184.12539210889472</v>
      </c>
      <c r="F55">
        <v>14000</v>
      </c>
      <c r="G55">
        <v>98.393393898677132</v>
      </c>
    </row>
    <row r="56" spans="1:7">
      <c r="A56">
        <v>21500</v>
      </c>
      <c r="B56">
        <v>186.67773580490112</v>
      </c>
      <c r="F56">
        <v>14750</v>
      </c>
      <c r="G56">
        <v>94.919009697416385</v>
      </c>
    </row>
    <row r="57" spans="1:7">
      <c r="A57">
        <v>22250</v>
      </c>
      <c r="B57">
        <v>189.32404080263157</v>
      </c>
      <c r="F57">
        <v>15500</v>
      </c>
      <c r="G57">
        <v>91.761915126894607</v>
      </c>
    </row>
    <row r="58" spans="1:7">
      <c r="A58">
        <v>23000</v>
      </c>
      <c r="B58">
        <v>192.05509577494215</v>
      </c>
      <c r="F58">
        <v>16250</v>
      </c>
      <c r="G58">
        <v>88.878178466739428</v>
      </c>
    </row>
    <row r="59" spans="1:7">
      <c r="A59">
        <v>23750</v>
      </c>
      <c r="B59">
        <v>194.86285293074931</v>
      </c>
      <c r="F59">
        <v>17000</v>
      </c>
      <c r="G59">
        <v>86.231620653114788</v>
      </c>
    </row>
    <row r="60" spans="1:7">
      <c r="A60">
        <v>24500</v>
      </c>
      <c r="B60">
        <v>197.74024992277558</v>
      </c>
      <c r="F60">
        <v>17750</v>
      </c>
      <c r="G60">
        <v>83.792177393537145</v>
      </c>
    </row>
    <row r="61" spans="1:7">
      <c r="A61">
        <v>25250</v>
      </c>
      <c r="B61">
        <v>200.68106349450929</v>
      </c>
      <c r="F61">
        <v>18500</v>
      </c>
      <c r="G61">
        <v>81.53465968619598</v>
      </c>
    </row>
    <row r="62" spans="1:7">
      <c r="A62">
        <v>26000</v>
      </c>
      <c r="B62">
        <v>203.67978845749747</v>
      </c>
      <c r="F62">
        <v>19250</v>
      </c>
      <c r="G62">
        <v>79.437804088004569</v>
      </c>
    </row>
    <row r="63" spans="1:7">
      <c r="A63">
        <v>26750</v>
      </c>
      <c r="B63">
        <v>206.73153702760027</v>
      </c>
      <c r="F63">
        <v>20000</v>
      </c>
      <c r="G63">
        <v>77.483536672339085</v>
      </c>
    </row>
    <row r="64" spans="1:7">
      <c r="A64">
        <v>27500</v>
      </c>
      <c r="B64">
        <v>209.83195463349244</v>
      </c>
      <c r="F64">
        <v>20750</v>
      </c>
      <c r="G64">
        <v>75.656396610400847</v>
      </c>
    </row>
    <row r="65" spans="1:7">
      <c r="A65">
        <v>28250</v>
      </c>
      <c r="B65">
        <v>212.97714913620212</v>
      </c>
      <c r="F65">
        <v>21500</v>
      </c>
      <c r="G65">
        <v>73.94308039833993</v>
      </c>
    </row>
    <row r="66" spans="1:7">
      <c r="A66">
        <v>29000</v>
      </c>
      <c r="B66">
        <v>216.16363103182354</v>
      </c>
      <c r="F66">
        <v>22250</v>
      </c>
      <c r="G66">
        <v>72.332078263162472</v>
      </c>
    </row>
    <row r="67" spans="1:7">
      <c r="A67">
        <v>29750</v>
      </c>
      <c r="B67">
        <v>219.38826269919758</v>
      </c>
      <c r="F67">
        <v>23000</v>
      </c>
      <c r="G67">
        <v>70.813381706612958</v>
      </c>
    </row>
    <row r="68" spans="1:7">
      <c r="A68">
        <v>30500</v>
      </c>
      <c r="B68">
        <v>222.64821513564019</v>
      </c>
      <c r="F68">
        <v>23750</v>
      </c>
      <c r="G68">
        <v>69.378246461794546</v>
      </c>
    </row>
    <row r="69" spans="1:7">
      <c r="A69">
        <v>31250</v>
      </c>
      <c r="B69">
        <v>225.94093092272414</v>
      </c>
      <c r="F69">
        <v>24500</v>
      </c>
      <c r="G69">
        <v>68.018998988369049</v>
      </c>
    </row>
    <row r="70" spans="1:7">
      <c r="A70">
        <v>32000</v>
      </c>
      <c r="B70">
        <v>229.26409240000092</v>
      </c>
      <c r="F70">
        <v>25250</v>
      </c>
      <c r="G70">
        <v>66.728877453761385</v>
      </c>
    </row>
    <row r="71" spans="1:7">
      <c r="A71">
        <v>32750</v>
      </c>
      <c r="B71">
        <v>232.61559421179484</v>
      </c>
      <c r="F71">
        <v>26000</v>
      </c>
      <c r="G71">
        <v>65.501900236847305</v>
      </c>
    </row>
    <row r="72" spans="1:7">
      <c r="A72">
        <v>33500</v>
      </c>
      <c r="B72">
        <v>235.99351954174531</v>
      </c>
      <c r="F72">
        <v>26750</v>
      </c>
      <c r="G72">
        <v>64.332756552516642</v>
      </c>
    </row>
    <row r="73" spans="1:7">
      <c r="A73">
        <v>34250</v>
      </c>
      <c r="B73">
        <v>239.39611946981455</v>
      </c>
      <c r="F73">
        <v>27500</v>
      </c>
      <c r="G73">
        <v>63.216714974034709</v>
      </c>
    </row>
    <row r="74" spans="1:7">
      <c r="A74">
        <v>35000</v>
      </c>
      <c r="B74">
        <v>242.82179498339721</v>
      </c>
      <c r="F74">
        <v>28250</v>
      </c>
      <c r="G74">
        <v>62.149546527063599</v>
      </c>
    </row>
    <row r="75" spans="1:7">
      <c r="A75">
        <v>35750</v>
      </c>
      <c r="B75">
        <v>246.26908125276344</v>
      </c>
      <c r="F75">
        <v>29000</v>
      </c>
      <c r="G75">
        <v>61.127459717369184</v>
      </c>
    </row>
    <row r="76" spans="1:7">
      <c r="A76">
        <v>36500</v>
      </c>
      <c r="B76">
        <v>249.73663384514799</v>
      </c>
      <c r="F76">
        <v>29750</v>
      </c>
      <c r="G76">
        <v>60.147045386270435</v>
      </c>
    </row>
    <row r="77" spans="1:7">
      <c r="A77">
        <v>37250</v>
      </c>
      <c r="B77">
        <v>253.22321660424933</v>
      </c>
      <c r="F77">
        <v>30500</v>
      </c>
      <c r="G77">
        <v>59.20522970216971</v>
      </c>
    </row>
    <row r="78" spans="1:7">
      <c r="A78">
        <v>38000</v>
      </c>
      <c r="B78">
        <v>256.72769096505323</v>
      </c>
      <c r="F78">
        <v>31250</v>
      </c>
      <c r="G78">
        <v>58.299233921302665</v>
      </c>
    </row>
    <row r="79" spans="1:7">
      <c r="A79">
        <v>38750</v>
      </c>
      <c r="B79">
        <v>260.24900650951452</v>
      </c>
      <c r="F79">
        <v>32000</v>
      </c>
      <c r="G79">
        <v>57.42653980713294</v>
      </c>
    </row>
    <row r="80" spans="1:7">
      <c r="A80">
        <v>39500</v>
      </c>
      <c r="B80">
        <v>263.78619259817339</v>
      </c>
      <c r="F80">
        <v>32750</v>
      </c>
      <c r="G80">
        <v>56.584859801280182</v>
      </c>
    </row>
    <row r="81" spans="1:7">
      <c r="A81">
        <v>40250</v>
      </c>
      <c r="B81">
        <v>267.33835093736815</v>
      </c>
      <c r="F81">
        <v>33500</v>
      </c>
      <c r="G81">
        <v>55.772111201338291</v>
      </c>
    </row>
    <row r="82" spans="1:7">
      <c r="A82">
        <v>41000</v>
      </c>
      <c r="B82">
        <v>270.90464896224216</v>
      </c>
      <c r="F82">
        <v>34250</v>
      </c>
      <c r="G82">
        <v>56.407383133444625</v>
      </c>
    </row>
    <row r="83" spans="1:7">
      <c r="A83">
        <v>41750</v>
      </c>
      <c r="B83">
        <v>274.48431393295778</v>
      </c>
      <c r="F83">
        <v>35000</v>
      </c>
      <c r="G83">
        <v>55.70669232470528</v>
      </c>
    </row>
    <row r="84" spans="1:7">
      <c r="A84">
        <v>42500</v>
      </c>
      <c r="B84">
        <v>278.07662765601964</v>
      </c>
      <c r="F84">
        <v>35750</v>
      </c>
      <c r="G84">
        <v>55.03399190346979</v>
      </c>
    </row>
    <row r="85" spans="1:7">
      <c r="A85">
        <v>43250</v>
      </c>
      <c r="B85">
        <v>281.68092175482127</v>
      </c>
      <c r="F85">
        <v>36500</v>
      </c>
      <c r="G85">
        <v>54.387561307936373</v>
      </c>
    </row>
    <row r="86" spans="1:7">
      <c r="F86">
        <v>37250</v>
      </c>
      <c r="G86">
        <v>53.765818545038933</v>
      </c>
    </row>
    <row r="87" spans="1:7">
      <c r="F87">
        <v>38000</v>
      </c>
      <c r="G87">
        <v>53.167306515900847</v>
      </c>
    </row>
    <row r="88" spans="1:7">
      <c r="F88">
        <v>38750</v>
      </c>
      <c r="G88">
        <v>52.590680929300397</v>
      </c>
    </row>
    <row r="89" spans="1:7">
      <c r="F89">
        <v>39500</v>
      </c>
      <c r="G89">
        <v>52.034699592083427</v>
      </c>
    </row>
    <row r="90" spans="1:7">
      <c r="F90">
        <v>40250</v>
      </c>
      <c r="G90">
        <v>51.498212896920833</v>
      </c>
    </row>
    <row r="91" spans="1:7">
      <c r="F91">
        <v>41000</v>
      </c>
      <c r="G91">
        <v>50.980155354093029</v>
      </c>
    </row>
    <row r="92" spans="1:7">
      <c r="F92">
        <v>41750</v>
      </c>
      <c r="G92">
        <v>50.479538036015924</v>
      </c>
    </row>
    <row r="93" spans="1:7">
      <c r="F93">
        <v>42500</v>
      </c>
      <c r="G93">
        <v>49.995441821758483</v>
      </c>
    </row>
    <row r="94" spans="1:7">
      <c r="F94">
        <v>43250</v>
      </c>
      <c r="G94">
        <v>49.527011344442613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Q84"/>
  <sheetViews>
    <sheetView workbookViewId="0">
      <selection activeCell="C55" sqref="C55"/>
    </sheetView>
  </sheetViews>
  <sheetFormatPr baseColWidth="10" defaultRowHeight="15" x14ac:dyDescent="0"/>
  <cols>
    <col min="1" max="1" width="14.5" customWidth="1"/>
  </cols>
  <sheetData>
    <row r="1" spans="1:17">
      <c r="A1" t="s">
        <v>123</v>
      </c>
      <c r="B1" t="s">
        <v>109</v>
      </c>
      <c r="C1" t="s">
        <v>124</v>
      </c>
    </row>
    <row r="2" spans="1:17">
      <c r="A2" t="s">
        <v>295</v>
      </c>
      <c r="B2" t="s">
        <v>105</v>
      </c>
      <c r="C2" s="11">
        <f>SV_DWH_I</f>
        <v>724.82726832177605</v>
      </c>
    </row>
    <row r="3" spans="1:17">
      <c r="A3" t="s">
        <v>296</v>
      </c>
      <c r="B3" t="s">
        <v>215</v>
      </c>
      <c r="C3" s="11">
        <v>0.5</v>
      </c>
      <c r="G3" s="15">
        <v>725</v>
      </c>
      <c r="H3">
        <f>(ACC_DW+COSTOM_DW)/TDSS_DW</f>
        <v>211.05827729388466</v>
      </c>
      <c r="I3">
        <f>(ACC_DW+COSTOM_DW)/(SV_DW*8.34*365*SSG/2000)</f>
        <v>39.495890436241261</v>
      </c>
    </row>
    <row r="4" spans="1:17">
      <c r="A4" t="s">
        <v>297</v>
      </c>
      <c r="B4" t="s">
        <v>215</v>
      </c>
      <c r="C4">
        <f>MAX(C10:C15)</f>
        <v>1</v>
      </c>
      <c r="G4" s="15">
        <v>825</v>
      </c>
      <c r="H4">
        <f t="dataTable" ref="H4:I70" dt2D="0" dtr="0" r1="C2" ca="1"/>
        <v>193.87961126289733</v>
      </c>
      <c r="I4">
        <v>36.28120148824086</v>
      </c>
    </row>
    <row r="5" spans="1:17">
      <c r="A5" t="s">
        <v>298</v>
      </c>
      <c r="B5" t="s">
        <v>215</v>
      </c>
      <c r="C5">
        <f>RTHD_DW/MAX(C17:C19)</f>
        <v>0.55555555555555558</v>
      </c>
      <c r="G5" s="15">
        <v>925</v>
      </c>
      <c r="H5">
        <v>180.75606419927004</v>
      </c>
      <c r="I5">
        <v>33.825357616085384</v>
      </c>
      <c r="Q5" t="s">
        <v>222</v>
      </c>
    </row>
    <row r="6" spans="1:17">
      <c r="A6" t="s">
        <v>299</v>
      </c>
      <c r="B6" t="s">
        <v>12</v>
      </c>
      <c r="C6" s="16">
        <v>7</v>
      </c>
      <c r="G6" s="15">
        <v>1025</v>
      </c>
      <c r="H6">
        <v>170.19320924561885</v>
      </c>
      <c r="I6">
        <v>31.848702792155365</v>
      </c>
      <c r="Q6" t="s">
        <v>223</v>
      </c>
    </row>
    <row r="7" spans="1:17">
      <c r="A7" t="s">
        <v>300</v>
      </c>
      <c r="B7" t="s">
        <v>218</v>
      </c>
      <c r="C7" s="11">
        <f>HAUL_DIST</f>
        <v>25</v>
      </c>
      <c r="G7" s="15">
        <v>1125</v>
      </c>
      <c r="H7">
        <v>161.50819517261672</v>
      </c>
      <c r="I7">
        <v>30.223453270257345</v>
      </c>
      <c r="Q7" t="s">
        <v>224</v>
      </c>
    </row>
    <row r="8" spans="1:17">
      <c r="A8" t="s">
        <v>301</v>
      </c>
      <c r="B8" t="s">
        <v>221</v>
      </c>
      <c r="C8" s="16">
        <v>180</v>
      </c>
      <c r="G8" s="15">
        <v>1225</v>
      </c>
      <c r="H8">
        <v>154.24114258092109</v>
      </c>
      <c r="I8">
        <v>28.863550609077375</v>
      </c>
      <c r="Q8" t="s">
        <v>225</v>
      </c>
    </row>
    <row r="9" spans="1:17">
      <c r="A9" t="s">
        <v>234</v>
      </c>
      <c r="B9" t="s">
        <v>44</v>
      </c>
      <c r="C9" s="37" t="str">
        <f>Inputs!A9</f>
        <v>Agricultural Utilization</v>
      </c>
      <c r="D9" s="37"/>
      <c r="G9" s="15">
        <v>1325</v>
      </c>
      <c r="H9">
        <v>148.07100358797192</v>
      </c>
      <c r="I9">
        <v>27.708916274113243</v>
      </c>
      <c r="Q9" t="s">
        <v>226</v>
      </c>
    </row>
    <row r="10" spans="1:17">
      <c r="A10" t="s">
        <v>302</v>
      </c>
      <c r="B10" t="s">
        <v>215</v>
      </c>
      <c r="C10">
        <f>IF(C9="Landfill",0.4,0)</f>
        <v>0</v>
      </c>
      <c r="G10" s="15">
        <v>1425</v>
      </c>
      <c r="H10">
        <v>146.25878462608844</v>
      </c>
      <c r="I10">
        <v>27.369790974301544</v>
      </c>
      <c r="Q10" t="s">
        <v>227</v>
      </c>
    </row>
    <row r="11" spans="1:17">
      <c r="A11" t="s">
        <v>303</v>
      </c>
      <c r="B11" t="s">
        <v>215</v>
      </c>
      <c r="C11">
        <f>IF(C9="Storage Lagoon at Disposal Site",0.4,0)</f>
        <v>0</v>
      </c>
      <c r="G11" s="15">
        <v>1525</v>
      </c>
      <c r="H11">
        <v>140.1159658337105</v>
      </c>
      <c r="I11">
        <v>26.220269140312464</v>
      </c>
    </row>
    <row r="12" spans="1:17">
      <c r="A12" t="s">
        <v>304</v>
      </c>
      <c r="B12" t="s">
        <v>215</v>
      </c>
      <c r="C12">
        <f>IF(C9="Agricultural Utilization",1,0)</f>
        <v>1</v>
      </c>
      <c r="G12" s="15">
        <v>1625</v>
      </c>
      <c r="H12">
        <v>134.72918627731752</v>
      </c>
      <c r="I12">
        <v>25.212226916660494</v>
      </c>
      <c r="Q12" t="s">
        <v>236</v>
      </c>
    </row>
    <row r="13" spans="1:17">
      <c r="A13" t="s">
        <v>305</v>
      </c>
      <c r="B13" t="s">
        <v>215</v>
      </c>
      <c r="C13">
        <f>IF(C9="Forest Land Utilization",1.5,0)</f>
        <v>0</v>
      </c>
      <c r="G13" s="15">
        <v>1725</v>
      </c>
      <c r="H13">
        <v>129.96696087239042</v>
      </c>
      <c r="I13">
        <v>24.321059153721798</v>
      </c>
      <c r="Q13" t="s">
        <v>237</v>
      </c>
    </row>
    <row r="14" spans="1:17">
      <c r="A14" t="s">
        <v>306</v>
      </c>
      <c r="B14" t="s">
        <v>215</v>
      </c>
      <c r="C14">
        <f>IF(C9="Land Reclamation Utilization",1,0)</f>
        <v>0</v>
      </c>
      <c r="G14" s="15">
        <v>1825</v>
      </c>
      <c r="H14">
        <v>125.72662318307175</v>
      </c>
      <c r="I14">
        <v>23.527553611379126</v>
      </c>
      <c r="Q14" t="s">
        <v>238</v>
      </c>
    </row>
    <row r="15" spans="1:17">
      <c r="A15" t="s">
        <v>307</v>
      </c>
      <c r="B15" t="s">
        <v>215</v>
      </c>
      <c r="C15">
        <f>IF(C9="Dedicated Disposal Site",0.6,0)</f>
        <v>0</v>
      </c>
      <c r="G15" s="15">
        <v>1925</v>
      </c>
      <c r="H15">
        <v>121.92684005887709</v>
      </c>
      <c r="I15">
        <v>22.816490203305822</v>
      </c>
    </row>
    <row r="16" spans="1:17">
      <c r="A16" t="s">
        <v>235</v>
      </c>
      <c r="B16" t="s">
        <v>44</v>
      </c>
      <c r="C16" s="37" t="str">
        <f>Inputs!A12</f>
        <v>Highway Travel</v>
      </c>
      <c r="D16" s="37"/>
      <c r="G16" s="15">
        <v>2025</v>
      </c>
      <c r="H16">
        <v>115.06092720781861</v>
      </c>
      <c r="I16">
        <v>21.531653876642384</v>
      </c>
    </row>
    <row r="17" spans="1:9">
      <c r="A17" t="s">
        <v>239</v>
      </c>
      <c r="B17" t="s">
        <v>242</v>
      </c>
      <c r="C17">
        <f>IF(C16="Urban Travel",25,0)</f>
        <v>0</v>
      </c>
      <c r="G17" s="15">
        <v>2125</v>
      </c>
      <c r="H17">
        <v>111.36648193782423</v>
      </c>
      <c r="I17">
        <v>20.840302618225685</v>
      </c>
    </row>
    <row r="18" spans="1:9">
      <c r="A18" t="s">
        <v>240</v>
      </c>
      <c r="B18" t="s">
        <v>242</v>
      </c>
      <c r="C18">
        <f>IF(C16="Rural Travel",35,0)</f>
        <v>0</v>
      </c>
      <c r="G18" s="15">
        <v>2225</v>
      </c>
      <c r="H18">
        <v>108.14102787269988</v>
      </c>
      <c r="I18">
        <v>20.236714917252012</v>
      </c>
    </row>
    <row r="19" spans="1:9">
      <c r="A19" t="s">
        <v>241</v>
      </c>
      <c r="B19" t="s">
        <v>242</v>
      </c>
      <c r="C19">
        <f>IF(C16="Highway Travel",45,0)</f>
        <v>45</v>
      </c>
      <c r="G19" s="15">
        <v>2325</v>
      </c>
      <c r="H19">
        <v>105.06201442529076</v>
      </c>
      <c r="I19">
        <v>19.660531034156765</v>
      </c>
    </row>
    <row r="20" spans="1:9">
      <c r="A20" t="s">
        <v>308</v>
      </c>
      <c r="B20" t="s">
        <v>309</v>
      </c>
      <c r="C20">
        <f>SV_DW*365/202</f>
        <v>1309.7126383041993</v>
      </c>
      <c r="G20" s="15">
        <v>2425</v>
      </c>
      <c r="H20">
        <v>102.23694023127619</v>
      </c>
      <c r="I20">
        <v>19.131867471316795</v>
      </c>
    </row>
    <row r="21" spans="1:9">
      <c r="A21" t="s">
        <v>310</v>
      </c>
      <c r="B21" t="s">
        <v>245</v>
      </c>
      <c r="C21">
        <f>(SVCY*(LT_DW+ULT_DW+RTHT_DW))/(HPD*DPY)</f>
        <v>3.7391487358993345</v>
      </c>
      <c r="G21" s="15">
        <v>2525</v>
      </c>
      <c r="H21">
        <v>99.635634290252895</v>
      </c>
      <c r="I21">
        <v>18.645078250087909</v>
      </c>
    </row>
    <row r="22" spans="1:9">
      <c r="A22" t="s">
        <v>252</v>
      </c>
      <c r="B22" t="s">
        <v>341</v>
      </c>
      <c r="C22">
        <f>IF(FACTOR_DW&lt;7,1,0)</f>
        <v>1</v>
      </c>
      <c r="D22" t="s">
        <v>311</v>
      </c>
      <c r="G22" s="15">
        <v>2625</v>
      </c>
      <c r="H22">
        <v>97.232523087593293</v>
      </c>
      <c r="I22">
        <v>18.195377731428845</v>
      </c>
    </row>
    <row r="23" spans="1:9">
      <c r="A23" t="s">
        <v>252</v>
      </c>
      <c r="B23" t="s">
        <v>341</v>
      </c>
      <c r="C23">
        <f>IF(AND(FACTOR_DW&gt;7,FACTOR_DW&lt;10),1,0)</f>
        <v>0</v>
      </c>
      <c r="D23" t="s">
        <v>312</v>
      </c>
      <c r="G23" s="15">
        <v>2725</v>
      </c>
      <c r="H23">
        <v>95.005787019073821</v>
      </c>
      <c r="I23">
        <v>17.77868275542366</v>
      </c>
    </row>
    <row r="24" spans="1:9">
      <c r="A24" t="s">
        <v>252</v>
      </c>
      <c r="B24" t="s">
        <v>341</v>
      </c>
      <c r="C24">
        <f>IF(AND(FACTOR_DW&gt;10,FACTOR_DW&lt;15),1,0)</f>
        <v>0</v>
      </c>
      <c r="D24" t="s">
        <v>313</v>
      </c>
      <c r="G24" s="15">
        <v>2825</v>
      </c>
      <c r="H24">
        <v>95.083980006000161</v>
      </c>
      <c r="I24">
        <v>17.793315214686203</v>
      </c>
    </row>
    <row r="25" spans="1:9">
      <c r="A25" t="s">
        <v>252</v>
      </c>
      <c r="B25" t="s">
        <v>341</v>
      </c>
      <c r="C25">
        <f>IF(AND(FACTOR_DW&gt;15,FACTOR_DW&lt;25),1,0)</f>
        <v>0</v>
      </c>
      <c r="D25" t="s">
        <v>314</v>
      </c>
      <c r="G25" s="15">
        <v>2925</v>
      </c>
      <c r="H25">
        <v>90.993617733626479</v>
      </c>
      <c r="I25">
        <v>17.027874966497052</v>
      </c>
    </row>
    <row r="26" spans="1:9">
      <c r="A26" t="s">
        <v>252</v>
      </c>
      <c r="B26" t="s">
        <v>341</v>
      </c>
      <c r="C26">
        <f>IF(AND(FACTOR_DW&gt;25,FACTOR_DW&lt;36),1,0)</f>
        <v>0</v>
      </c>
      <c r="D26" t="s">
        <v>315</v>
      </c>
      <c r="G26" s="15">
        <v>3025</v>
      </c>
      <c r="H26">
        <v>88.734289169447521</v>
      </c>
      <c r="I26">
        <v>16.605080871072737</v>
      </c>
    </row>
    <row r="27" spans="1:9">
      <c r="A27" t="s">
        <v>252</v>
      </c>
      <c r="B27" t="s">
        <v>341</v>
      </c>
      <c r="C27">
        <f>IF(AND(FACTOR_DW&gt;36,FACTOR_DW&lt;50),2,0)</f>
        <v>0</v>
      </c>
      <c r="D27" t="s">
        <v>316</v>
      </c>
      <c r="G27" s="15">
        <v>3125</v>
      </c>
      <c r="H27">
        <v>86.619557633376033</v>
      </c>
      <c r="I27">
        <v>16.209345597755576</v>
      </c>
    </row>
    <row r="28" spans="1:9">
      <c r="A28" t="s">
        <v>252</v>
      </c>
      <c r="B28" t="s">
        <v>341</v>
      </c>
      <c r="C28">
        <f>IF(AND(FACTOR_DW&gt;50,FACTOR_DW&lt;72),2,0)</f>
        <v>0</v>
      </c>
      <c r="D28" t="s">
        <v>317</v>
      </c>
      <c r="G28" s="15">
        <v>3225</v>
      </c>
      <c r="H28">
        <v>84.736299719329864</v>
      </c>
      <c r="I28">
        <v>15.85692659201916</v>
      </c>
    </row>
    <row r="29" spans="1:9">
      <c r="A29" t="s">
        <v>252</v>
      </c>
      <c r="B29" t="s">
        <v>341</v>
      </c>
      <c r="C29">
        <f>IF(FACTOR_DW&gt;72,ROUNDUP((FACTOR_DW/36),0),0)</f>
        <v>0</v>
      </c>
      <c r="D29" t="s">
        <v>318</v>
      </c>
      <c r="G29" s="15">
        <v>3325</v>
      </c>
      <c r="H29">
        <v>82.86901036437898</v>
      </c>
      <c r="I29">
        <v>15.507495824737727</v>
      </c>
    </row>
    <row r="30" spans="1:9">
      <c r="A30" t="s">
        <v>319</v>
      </c>
      <c r="B30" t="s">
        <v>320</v>
      </c>
      <c r="C30">
        <f>MAX(C22:C29)</f>
        <v>1</v>
      </c>
      <c r="G30" s="15">
        <v>3425</v>
      </c>
      <c r="H30">
        <v>81.110759803877798</v>
      </c>
      <c r="I30">
        <v>15.178469773793898</v>
      </c>
    </row>
    <row r="31" spans="1:9">
      <c r="A31" t="s">
        <v>255</v>
      </c>
      <c r="B31" t="s">
        <v>256</v>
      </c>
      <c r="C31">
        <f>C22*7</f>
        <v>7</v>
      </c>
      <c r="G31" s="15">
        <v>3525</v>
      </c>
      <c r="H31">
        <v>79.452268140426312</v>
      </c>
      <c r="I31">
        <v>14.868111867584469</v>
      </c>
    </row>
    <row r="32" spans="1:9">
      <c r="A32" t="s">
        <v>255</v>
      </c>
      <c r="B32" t="s">
        <v>256</v>
      </c>
      <c r="C32">
        <f>C23*10</f>
        <v>0</v>
      </c>
      <c r="G32" s="15">
        <v>3625</v>
      </c>
      <c r="H32">
        <v>77.974536327045911</v>
      </c>
      <c r="I32">
        <v>14.591580027451272</v>
      </c>
    </row>
    <row r="33" spans="1:9">
      <c r="A33" t="s">
        <v>255</v>
      </c>
      <c r="B33" t="s">
        <v>256</v>
      </c>
      <c r="C33">
        <f>C24*15</f>
        <v>0</v>
      </c>
      <c r="G33" s="15">
        <v>3725</v>
      </c>
      <c r="H33">
        <v>76.489285114701431</v>
      </c>
      <c r="I33">
        <v>14.31364106241665</v>
      </c>
    </row>
    <row r="34" spans="1:9">
      <c r="A34" t="s">
        <v>255</v>
      </c>
      <c r="B34" t="s">
        <v>256</v>
      </c>
      <c r="C34">
        <f>C25*25</f>
        <v>0</v>
      </c>
      <c r="G34" s="15">
        <v>3825</v>
      </c>
      <c r="H34">
        <v>75.081694096466435</v>
      </c>
      <c r="I34">
        <v>14.050234853723707</v>
      </c>
    </row>
    <row r="35" spans="1:9">
      <c r="A35" t="s">
        <v>255</v>
      </c>
      <c r="B35" t="s">
        <v>256</v>
      </c>
      <c r="C35">
        <f>C26*36</f>
        <v>0</v>
      </c>
      <c r="G35" s="15">
        <v>3925</v>
      </c>
      <c r="H35">
        <v>73.745827461326229</v>
      </c>
      <c r="I35">
        <v>13.80025061744824</v>
      </c>
    </row>
    <row r="36" spans="1:9">
      <c r="A36" t="s">
        <v>255</v>
      </c>
      <c r="B36" t="s">
        <v>256</v>
      </c>
      <c r="C36">
        <f>C27*25</f>
        <v>0</v>
      </c>
      <c r="G36" s="15">
        <v>4025</v>
      </c>
      <c r="H36">
        <v>72.476339292528408</v>
      </c>
      <c r="I36">
        <v>13.562687958130557</v>
      </c>
    </row>
    <row r="37" spans="1:9">
      <c r="A37" t="s">
        <v>255</v>
      </c>
      <c r="B37" t="s">
        <v>256</v>
      </c>
      <c r="C37">
        <f>C28*36</f>
        <v>0</v>
      </c>
      <c r="G37" s="15">
        <v>4125</v>
      </c>
      <c r="H37">
        <v>71.346839913446189</v>
      </c>
      <c r="I37">
        <v>13.351321769151784</v>
      </c>
    </row>
    <row r="38" spans="1:9">
      <c r="A38" t="s">
        <v>255</v>
      </c>
      <c r="B38" t="s">
        <v>256</v>
      </c>
      <c r="C38">
        <f>C29*36</f>
        <v>0</v>
      </c>
      <c r="G38" s="15">
        <v>4225</v>
      </c>
      <c r="H38">
        <v>70.194226629511689</v>
      </c>
      <c r="I38">
        <v>13.135630214376864</v>
      </c>
    </row>
    <row r="39" spans="1:9">
      <c r="A39" t="s">
        <v>321</v>
      </c>
      <c r="B39" t="s">
        <v>322</v>
      </c>
      <c r="C39">
        <f>MAX(C31:C38)</f>
        <v>7</v>
      </c>
      <c r="G39" s="15">
        <v>4325</v>
      </c>
      <c r="H39">
        <v>69.094913381828476</v>
      </c>
      <c r="I39">
        <v>12.929912835545299</v>
      </c>
    </row>
    <row r="40" spans="1:9">
      <c r="A40" t="s">
        <v>323</v>
      </c>
      <c r="B40" t="s">
        <v>259</v>
      </c>
      <c r="C40">
        <f>ROUNDUP(SVCY/CAP_DW,0)</f>
        <v>188</v>
      </c>
      <c r="G40" s="15">
        <v>4425</v>
      </c>
      <c r="H40">
        <v>68.045286608616834</v>
      </c>
      <c r="I40">
        <v>12.733493417338886</v>
      </c>
    </row>
    <row r="41" spans="1:9">
      <c r="A41" t="s">
        <v>324</v>
      </c>
      <c r="B41" t="s">
        <v>132</v>
      </c>
      <c r="C41">
        <f>(LT_DW+ULT_DW+RTHT_DW)*NRT_DW</f>
        <v>386.4444444444444</v>
      </c>
      <c r="G41" s="15">
        <v>4525</v>
      </c>
      <c r="H41">
        <v>67.1135562947333</v>
      </c>
      <c r="I41">
        <v>12.5591362735912</v>
      </c>
    </row>
    <row r="42" spans="1:9">
      <c r="A42" t="s">
        <v>325</v>
      </c>
      <c r="B42" t="s">
        <v>261</v>
      </c>
      <c r="C42">
        <f>C22*9</f>
        <v>9</v>
      </c>
      <c r="G42" s="15">
        <v>4625</v>
      </c>
      <c r="H42">
        <v>66.152158940624773</v>
      </c>
      <c r="I42">
        <v>12.379227458592721</v>
      </c>
    </row>
    <row r="43" spans="1:9">
      <c r="A43" t="s">
        <v>326</v>
      </c>
      <c r="B43" t="s">
        <v>261</v>
      </c>
      <c r="C43">
        <f>C23*8</f>
        <v>0</v>
      </c>
      <c r="G43" s="15">
        <v>4725</v>
      </c>
      <c r="H43">
        <v>65.231455654415001</v>
      </c>
      <c r="I43">
        <v>12.206933831530687</v>
      </c>
    </row>
    <row r="44" spans="1:9">
      <c r="A44" t="s">
        <v>327</v>
      </c>
      <c r="B44" t="s">
        <v>261</v>
      </c>
      <c r="C44">
        <f>C24*7</f>
        <v>0</v>
      </c>
      <c r="G44" s="15">
        <v>4825</v>
      </c>
      <c r="H44">
        <v>64.348916234991137</v>
      </c>
      <c r="I44">
        <v>12.041781909217335</v>
      </c>
    </row>
    <row r="45" spans="1:9">
      <c r="A45" t="s">
        <v>328</v>
      </c>
      <c r="B45" t="s">
        <v>261</v>
      </c>
      <c r="C45">
        <f>MAX(C25,C27)*6</f>
        <v>0</v>
      </c>
      <c r="G45" s="15">
        <v>4925</v>
      </c>
      <c r="H45">
        <v>64.457567327610633</v>
      </c>
      <c r="I45">
        <v>12.062114073891941</v>
      </c>
    </row>
    <row r="46" spans="1:9">
      <c r="A46" t="s">
        <v>329</v>
      </c>
      <c r="B46" t="s">
        <v>261</v>
      </c>
      <c r="C46">
        <f>MAX(C26,C28,C29)*5</f>
        <v>0</v>
      </c>
      <c r="G46" s="15">
        <v>5025</v>
      </c>
      <c r="H46">
        <v>63.517734186504605</v>
      </c>
      <c r="I46">
        <v>11.886240626778633</v>
      </c>
    </row>
    <row r="47" spans="1:9">
      <c r="A47" t="s">
        <v>330</v>
      </c>
      <c r="B47" t="s">
        <v>144</v>
      </c>
      <c r="C47">
        <f>RTHD_DW*NRT_DW/FC_DW</f>
        <v>522.22222222222217</v>
      </c>
      <c r="G47" s="15">
        <v>5125</v>
      </c>
      <c r="H47">
        <v>62.614577460661259</v>
      </c>
      <c r="I47">
        <v>11.717230533699015</v>
      </c>
    </row>
    <row r="48" spans="1:9">
      <c r="A48" t="s">
        <v>331</v>
      </c>
      <c r="B48" t="s">
        <v>261</v>
      </c>
      <c r="C48">
        <f>MAX(C42:C46)</f>
        <v>9</v>
      </c>
      <c r="G48" s="15">
        <v>5225</v>
      </c>
      <c r="H48">
        <v>61.745991327194695</v>
      </c>
      <c r="I48">
        <v>11.554689726478905</v>
      </c>
    </row>
    <row r="49" spans="1:9">
      <c r="A49" t="s">
        <v>332</v>
      </c>
      <c r="B49" t="s">
        <v>269</v>
      </c>
      <c r="C49">
        <f>65000*C22</f>
        <v>65000</v>
      </c>
      <c r="G49" s="15">
        <v>5325</v>
      </c>
      <c r="H49">
        <v>60.910028147097762</v>
      </c>
      <c r="I49">
        <v>11.398253738309313</v>
      </c>
    </row>
    <row r="50" spans="1:9">
      <c r="A50" t="s">
        <v>333</v>
      </c>
      <c r="B50" t="s">
        <v>269</v>
      </c>
      <c r="C50">
        <f>C23*98000</f>
        <v>0</v>
      </c>
      <c r="G50" s="15">
        <v>5425</v>
      </c>
      <c r="H50">
        <v>60.104883886082746</v>
      </c>
      <c r="I50">
        <v>11.247584975510032</v>
      </c>
    </row>
    <row r="51" spans="1:9">
      <c r="A51" t="s">
        <v>334</v>
      </c>
      <c r="B51" t="s">
        <v>269</v>
      </c>
      <c r="C51">
        <f>C24*130000</f>
        <v>0</v>
      </c>
      <c r="G51" s="15">
        <v>5525</v>
      </c>
      <c r="H51">
        <v>59.328885118679125</v>
      </c>
      <c r="I51">
        <v>11.102370285572261</v>
      </c>
    </row>
    <row r="52" spans="1:9">
      <c r="A52" t="s">
        <v>335</v>
      </c>
      <c r="B52" t="s">
        <v>269</v>
      </c>
      <c r="C52">
        <f>MAX(C25,C27)*171000</f>
        <v>0</v>
      </c>
      <c r="G52" s="15">
        <v>5625</v>
      </c>
      <c r="H52">
        <v>65.050959944353579</v>
      </c>
      <c r="I52">
        <v>12.17315719466905</v>
      </c>
    </row>
    <row r="53" spans="1:9">
      <c r="A53" t="s">
        <v>336</v>
      </c>
      <c r="B53" t="s">
        <v>269</v>
      </c>
      <c r="C53">
        <f>MAX(C26,C28,C29)*214000</f>
        <v>0</v>
      </c>
      <c r="G53" s="15">
        <v>5725</v>
      </c>
      <c r="H53">
        <v>64.215675962566294</v>
      </c>
      <c r="I53">
        <v>12.016848306665191</v>
      </c>
    </row>
    <row r="54" spans="1:9">
      <c r="A54" t="s">
        <v>337</v>
      </c>
      <c r="B54" t="s">
        <v>269</v>
      </c>
      <c r="C54">
        <f>MAX(C49:C53)</f>
        <v>65000</v>
      </c>
      <c r="G54" s="15">
        <v>5825</v>
      </c>
      <c r="H54">
        <v>63.409071259123671</v>
      </c>
      <c r="I54">
        <v>11.865906247433999</v>
      </c>
    </row>
    <row r="55" spans="1:9">
      <c r="A55" t="s">
        <v>338</v>
      </c>
      <c r="B55" t="s">
        <v>107</v>
      </c>
      <c r="C55">
        <f>NTR_DW*COSTTRK_DW*(MSECI/751)</f>
        <v>128081.50466045295</v>
      </c>
      <c r="G55" s="15">
        <v>5925</v>
      </c>
      <c r="H55">
        <v>62.629693718666452</v>
      </c>
      <c r="I55">
        <v>11.720059278809767</v>
      </c>
    </row>
    <row r="56" spans="1:9">
      <c r="A56" t="s">
        <v>276</v>
      </c>
      <c r="B56" t="s">
        <v>107</v>
      </c>
      <c r="C56">
        <f>IF(AND(SVCY&gt;500,SVCY&lt;2500),40000,0)</f>
        <v>40000</v>
      </c>
      <c r="G56" s="15">
        <v>6025</v>
      </c>
      <c r="H56">
        <v>61.876187631834355</v>
      </c>
      <c r="I56">
        <v>11.579053703334887</v>
      </c>
    </row>
    <row r="57" spans="1:9">
      <c r="A57" t="s">
        <v>276</v>
      </c>
      <c r="B57" t="s">
        <v>107</v>
      </c>
      <c r="C57">
        <f>IF(AND(SVCY&gt;2500,SVCY&lt;5000),45000,0)</f>
        <v>0</v>
      </c>
      <c r="G57" s="15">
        <v>6125</v>
      </c>
      <c r="H57">
        <v>61.147285825388622</v>
      </c>
      <c r="I57">
        <v>11.442652391548982</v>
      </c>
    </row>
    <row r="58" spans="1:9">
      <c r="A58" t="s">
        <v>276</v>
      </c>
      <c r="B58" t="s">
        <v>107</v>
      </c>
      <c r="C58">
        <f>IF(AND(SVCY&gt;5000,SVCY&lt;10000),50000,0)</f>
        <v>0</v>
      </c>
      <c r="G58" s="15">
        <v>6225</v>
      </c>
      <c r="H58">
        <v>60.441802550876893</v>
      </c>
      <c r="I58">
        <v>11.310633451226082</v>
      </c>
    </row>
    <row r="59" spans="1:9">
      <c r="A59" t="s">
        <v>276</v>
      </c>
      <c r="B59" t="s">
        <v>107</v>
      </c>
      <c r="C59">
        <f>IF(AND(SVCY&gt;10000,SVCY&lt;20000),80000,0)</f>
        <v>0</v>
      </c>
      <c r="G59" s="15">
        <v>6325</v>
      </c>
      <c r="H59">
        <v>59.758627047891217</v>
      </c>
      <c r="I59">
        <v>11.182789022850143</v>
      </c>
    </row>
    <row r="60" spans="1:9">
      <c r="A60" t="s">
        <v>276</v>
      </c>
      <c r="B60" t="s">
        <v>107</v>
      </c>
      <c r="C60">
        <f>IF(AND(SVCY&gt;20000,SVCY&lt;40000),90000,0)</f>
        <v>0</v>
      </c>
      <c r="G60" s="15">
        <v>6425</v>
      </c>
      <c r="H60">
        <v>59.096717708422602</v>
      </c>
      <c r="I60">
        <v>11.058924187575405</v>
      </c>
    </row>
    <row r="61" spans="1:9">
      <c r="A61" t="s">
        <v>276</v>
      </c>
      <c r="B61" t="s">
        <v>107</v>
      </c>
      <c r="C61">
        <f>IF(AND(SVCY&gt;40000,SVCY&lt;60000),100000,0)</f>
        <v>0</v>
      </c>
      <c r="G61" s="15">
        <v>6525</v>
      </c>
      <c r="H61">
        <v>58.455096777826597</v>
      </c>
      <c r="I61">
        <v>10.938855975604106</v>
      </c>
    </row>
    <row r="62" spans="1:9">
      <c r="A62" t="s">
        <v>276</v>
      </c>
      <c r="B62" t="s">
        <v>107</v>
      </c>
      <c r="C62">
        <f>IF(AND(SVCY&gt;60000,SVCY&lt;80000),150000,0)</f>
        <v>0</v>
      </c>
      <c r="G62" s="15">
        <v>6625</v>
      </c>
      <c r="H62">
        <v>57.832845535701409</v>
      </c>
      <c r="I62">
        <v>10.822412464371565</v>
      </c>
    </row>
    <row r="63" spans="1:9">
      <c r="A63" t="s">
        <v>276</v>
      </c>
      <c r="B63" t="s">
        <v>107</v>
      </c>
      <c r="C63">
        <f>IF(AND(SVCY&gt;80000,SVCY&lt;100000),185000,0)</f>
        <v>0</v>
      </c>
      <c r="G63" s="15">
        <v>6725</v>
      </c>
      <c r="H63">
        <v>57.229099906724919</v>
      </c>
      <c r="I63">
        <v>10.709431957190549</v>
      </c>
    </row>
    <row r="64" spans="1:9">
      <c r="A64" t="s">
        <v>276</v>
      </c>
      <c r="B64" t="s">
        <v>107</v>
      </c>
      <c r="C64">
        <f>IF(SVCY&gt;100000,220000,0)</f>
        <v>0</v>
      </c>
      <c r="G64" s="15">
        <v>6825</v>
      </c>
      <c r="H64">
        <v>56.643046457352156</v>
      </c>
      <c r="I64">
        <v>10.59976223410275</v>
      </c>
    </row>
    <row r="65" spans="1:9">
      <c r="A65" t="s">
        <v>339</v>
      </c>
      <c r="B65" t="s">
        <v>107</v>
      </c>
      <c r="C65">
        <f>MAX(C56:C64)</f>
        <v>40000</v>
      </c>
      <c r="G65" s="15">
        <v>6925</v>
      </c>
      <c r="H65">
        <v>56.073918739369205</v>
      </c>
      <c r="I65">
        <v>10.493259867638425</v>
      </c>
    </row>
    <row r="66" spans="1:9">
      <c r="A66" t="s">
        <v>340</v>
      </c>
      <c r="B66" t="s">
        <v>107</v>
      </c>
      <c r="C66">
        <f>COSTLAB_DW*(ENRCCI/4006)</f>
        <v>83779.33100349475</v>
      </c>
      <c r="G66" s="15">
        <v>7025</v>
      </c>
      <c r="H66">
        <v>102.79407688680982</v>
      </c>
      <c r="I66">
        <v>19.236125918732853</v>
      </c>
    </row>
    <row r="67" spans="1:9">
      <c r="A67" t="s">
        <v>342</v>
      </c>
      <c r="B67" t="s">
        <v>283</v>
      </c>
      <c r="C67">
        <f>C22*0.26</f>
        <v>0.26</v>
      </c>
      <c r="G67" s="15">
        <v>7125</v>
      </c>
      <c r="H67">
        <v>101.5225689420497</v>
      </c>
      <c r="I67">
        <v>18.998185293428079</v>
      </c>
    </row>
    <row r="68" spans="1:9">
      <c r="A68" t="s">
        <v>343</v>
      </c>
      <c r="B68" t="s">
        <v>283</v>
      </c>
      <c r="C68">
        <f>C23*0.32</f>
        <v>0</v>
      </c>
      <c r="G68" s="15">
        <v>7225</v>
      </c>
      <c r="H68">
        <v>100.28625844904766</v>
      </c>
      <c r="I68">
        <v>18.766831259827242</v>
      </c>
    </row>
    <row r="69" spans="1:9">
      <c r="A69" t="s">
        <v>344</v>
      </c>
      <c r="B69" t="s">
        <v>283</v>
      </c>
      <c r="C69">
        <f>C24*0.37</f>
        <v>0</v>
      </c>
      <c r="G69" s="15">
        <v>7325</v>
      </c>
      <c r="H69">
        <v>99.042068598098055</v>
      </c>
      <c r="I69">
        <v>18.534002741253847</v>
      </c>
    </row>
    <row r="70" spans="1:9">
      <c r="A70" t="s">
        <v>345</v>
      </c>
      <c r="B70" t="s">
        <v>283</v>
      </c>
      <c r="C70">
        <f>IF(SUM(C25,C27)&gt;0,0.45,0)</f>
        <v>0</v>
      </c>
      <c r="G70" s="15">
        <v>7425</v>
      </c>
      <c r="H70">
        <v>97.872466809876585</v>
      </c>
      <c r="I70">
        <v>18.31513208299814</v>
      </c>
    </row>
    <row r="71" spans="1:9">
      <c r="A71" t="s">
        <v>346</v>
      </c>
      <c r="B71" t="s">
        <v>283</v>
      </c>
      <c r="C71">
        <f>IF(SUM(C26,C28,C29)&gt;0,0.53,0)</f>
        <v>0</v>
      </c>
    </row>
    <row r="72" spans="1:9">
      <c r="A72" t="s">
        <v>347</v>
      </c>
      <c r="B72" t="s">
        <v>283</v>
      </c>
      <c r="C72">
        <f>MAX(C67:C71)</f>
        <v>0.26</v>
      </c>
    </row>
    <row r="73" spans="1:9">
      <c r="A73" t="s">
        <v>348</v>
      </c>
      <c r="B73" t="s">
        <v>150</v>
      </c>
      <c r="C73">
        <f>RTHD_DW*NRT_DW*MCM_DW*(MSECI/751)</f>
        <v>2407.9322876165152</v>
      </c>
    </row>
    <row r="74" spans="1:9">
      <c r="A74" t="s">
        <v>349</v>
      </c>
      <c r="B74" t="s">
        <v>150</v>
      </c>
      <c r="C74">
        <f>COSTLA_DW*0.05</f>
        <v>4188.9665501747377</v>
      </c>
    </row>
    <row r="75" spans="1:9">
      <c r="A75" t="s">
        <v>350</v>
      </c>
      <c r="B75" t="s">
        <v>150</v>
      </c>
      <c r="C75">
        <f>DT_DW*COSTL*1.2</f>
        <v>11398.56533333333</v>
      </c>
    </row>
    <row r="76" spans="1:9">
      <c r="A76" t="s">
        <v>351</v>
      </c>
      <c r="B76" t="s">
        <v>150</v>
      </c>
      <c r="C76">
        <f>FU_DW*COSTDF_I</f>
        <v>1346.2888888888888</v>
      </c>
    </row>
    <row r="77" spans="1:9">
      <c r="A77" t="s">
        <v>352</v>
      </c>
      <c r="B77" t="s">
        <v>107</v>
      </c>
      <c r="C77">
        <f>TCOSTTRK_DW+COSTLA_DW</f>
        <v>211860.83566394768</v>
      </c>
    </row>
    <row r="78" spans="1:9">
      <c r="A78" t="s">
        <v>353</v>
      </c>
      <c r="B78" t="s">
        <v>150</v>
      </c>
      <c r="C78">
        <f>VMC_DW+MCOSTLA_DW+COSTLB_DW+COSTDL_DW</f>
        <v>19341.753060013471</v>
      </c>
    </row>
    <row r="79" spans="1:9">
      <c r="A79" t="s">
        <v>354</v>
      </c>
      <c r="B79" t="s">
        <v>150</v>
      </c>
      <c r="C79">
        <f>TBCC_DW*CRF</f>
        <v>24885.094261085276</v>
      </c>
    </row>
    <row r="80" spans="1:9">
      <c r="A80" t="s">
        <v>355</v>
      </c>
      <c r="B80" t="s">
        <v>110</v>
      </c>
      <c r="C80">
        <f>(SV_DW*8.34*SS_DW*SSG_DW*365)/((2000)*(100))</f>
        <v>209.54803520695751</v>
      </c>
    </row>
    <row r="81" spans="1:3">
      <c r="A81" t="s">
        <v>356</v>
      </c>
      <c r="B81" t="s">
        <v>5</v>
      </c>
      <c r="C81">
        <f>SS_DWH_I</f>
        <v>18</v>
      </c>
    </row>
    <row r="82" spans="1:3">
      <c r="A82" t="s">
        <v>357</v>
      </c>
      <c r="B82" t="s">
        <v>106</v>
      </c>
      <c r="C82">
        <f>(ACC_DW+COSTOM_DW)/TDSS_DW</f>
        <v>211.05827729388466</v>
      </c>
    </row>
    <row r="83" spans="1:3">
      <c r="A83" t="s">
        <v>358</v>
      </c>
      <c r="B83" t="s">
        <v>162</v>
      </c>
      <c r="C83">
        <f>(ACC_DW+COSTOM_DW)/(SV_DW*8.34*365*SSG_DW/2000)</f>
        <v>37.990489912899235</v>
      </c>
    </row>
    <row r="84" spans="1:3">
      <c r="A84" t="s">
        <v>498</v>
      </c>
      <c r="C84">
        <f>1/(((100-SS_DW)/100)+(SS_DW/(1.41*100)))</f>
        <v>1.0552312528064662</v>
      </c>
    </row>
  </sheetData>
  <mergeCells count="2">
    <mergeCell ref="C9:D9"/>
    <mergeCell ref="C16:D16"/>
  </mergeCells>
  <dataValidations xWindow="64502" yWindow="100" count="2">
    <dataValidation allowBlank="1" showInputMessage="1" showErrorMessage="1" prompt="Disposal Method" sqref="C9:D9"/>
    <dataValidation allowBlank="1" showInputMessage="1" showErrorMessage="1" prompt="Type of Travel" sqref="C16:D16"/>
  </dataValidations>
  <pageMargins left="0.75" right="0.75" top="1" bottom="1" header="0.5" footer="0.5"/>
  <pageSetup orientation="portrait" horizontalDpi="4294967292" verticalDpi="4294967292"/>
  <ignoredErrors>
    <ignoredError sqref="C35:C36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Q83"/>
  <sheetViews>
    <sheetView workbookViewId="0">
      <selection activeCell="C82" sqref="C82"/>
    </sheetView>
  </sheetViews>
  <sheetFormatPr baseColWidth="10" defaultRowHeight="15" x14ac:dyDescent="0"/>
  <cols>
    <col min="1" max="1" width="14.5" customWidth="1"/>
  </cols>
  <sheetData>
    <row r="1" spans="1:17">
      <c r="A1" t="s">
        <v>123</v>
      </c>
      <c r="B1" t="s">
        <v>109</v>
      </c>
      <c r="C1" t="s">
        <v>124</v>
      </c>
    </row>
    <row r="2" spans="1:17">
      <c r="A2" t="s">
        <v>295</v>
      </c>
      <c r="B2" t="s">
        <v>105</v>
      </c>
      <c r="C2" s="11">
        <f>SV_DWH_I</f>
        <v>724.82726832177605</v>
      </c>
    </row>
    <row r="3" spans="1:17">
      <c r="A3" t="s">
        <v>296</v>
      </c>
      <c r="B3" t="s">
        <v>215</v>
      </c>
      <c r="C3" s="11">
        <v>0.7</v>
      </c>
      <c r="G3" s="15">
        <v>725</v>
      </c>
      <c r="H3">
        <f>(ACC_DW+COSTOM_DW)/TDSS_DW</f>
        <v>208.41701033719943</v>
      </c>
      <c r="I3">
        <f>(ACC_DW+COSTOM_DW)/(SV_DW*8.34*365*SSG/2000)</f>
        <v>37.515061860695894</v>
      </c>
    </row>
    <row r="4" spans="1:17">
      <c r="A4" t="s">
        <v>297</v>
      </c>
      <c r="B4" t="s">
        <v>215</v>
      </c>
      <c r="C4">
        <f>MAX(C10:C15)</f>
        <v>0.4</v>
      </c>
      <c r="G4" s="15">
        <v>825</v>
      </c>
      <c r="H4">
        <f t="dataTable" ref="H4:I70" dt2D="0" dtr="0" r1="C2"/>
        <v>190.60813010926157</v>
      </c>
      <c r="I4">
        <v>34.309463419667075</v>
      </c>
    </row>
    <row r="5" spans="1:17">
      <c r="A5" t="s">
        <v>298</v>
      </c>
      <c r="B5" t="s">
        <v>215</v>
      </c>
      <c r="C5">
        <f>RTHD_DW/MAX(C17:C19)</f>
        <v>0.55555555555555558</v>
      </c>
      <c r="G5" s="15">
        <v>925</v>
      </c>
      <c r="H5">
        <v>176.95621341449018</v>
      </c>
      <c r="I5">
        <v>31.852118414608231</v>
      </c>
      <c r="Q5" t="s">
        <v>222</v>
      </c>
    </row>
    <row r="6" spans="1:17">
      <c r="A6" t="s">
        <v>299</v>
      </c>
      <c r="B6" t="s">
        <v>12</v>
      </c>
      <c r="C6" s="16">
        <v>7</v>
      </c>
      <c r="G6" s="15">
        <v>1025</v>
      </c>
      <c r="H6">
        <v>165.96808534308883</v>
      </c>
      <c r="I6">
        <v>29.874255361755992</v>
      </c>
      <c r="Q6" t="s">
        <v>223</v>
      </c>
    </row>
    <row r="7" spans="1:17">
      <c r="A7" t="s">
        <v>300</v>
      </c>
      <c r="B7" t="s">
        <v>218</v>
      </c>
      <c r="C7" s="11">
        <f>HAUL_DIST</f>
        <v>25</v>
      </c>
      <c r="G7" s="15">
        <v>1125</v>
      </c>
      <c r="H7">
        <v>156.93340226215884</v>
      </c>
      <c r="I7">
        <v>28.24801240718859</v>
      </c>
      <c r="Q7" t="s">
        <v>224</v>
      </c>
    </row>
    <row r="8" spans="1:17">
      <c r="A8" t="s">
        <v>301</v>
      </c>
      <c r="B8" t="s">
        <v>221</v>
      </c>
      <c r="C8" s="16">
        <v>180</v>
      </c>
      <c r="G8" s="15">
        <v>1225</v>
      </c>
      <c r="H8">
        <v>149.37376948015614</v>
      </c>
      <c r="I8">
        <v>26.88727850642811</v>
      </c>
      <c r="Q8" t="s">
        <v>225</v>
      </c>
    </row>
    <row r="9" spans="1:17">
      <c r="A9" t="s">
        <v>234</v>
      </c>
      <c r="B9" t="s">
        <v>44</v>
      </c>
      <c r="C9" s="37" t="s">
        <v>222</v>
      </c>
      <c r="D9" s="37"/>
      <c r="G9" s="15">
        <v>1325</v>
      </c>
      <c r="H9">
        <v>142.95521334449353</v>
      </c>
      <c r="I9">
        <v>25.731938402008836</v>
      </c>
      <c r="Q9" t="s">
        <v>226</v>
      </c>
    </row>
    <row r="10" spans="1:17">
      <c r="A10" t="s">
        <v>302</v>
      </c>
      <c r="B10" t="s">
        <v>215</v>
      </c>
      <c r="C10">
        <f>IF(C9="Landfill",0.4,0)</f>
        <v>0.4</v>
      </c>
      <c r="G10" s="15">
        <v>1425</v>
      </c>
      <c r="H10">
        <v>141.6894616136714</v>
      </c>
      <c r="I10">
        <v>25.504103090460852</v>
      </c>
      <c r="Q10" t="s">
        <v>227</v>
      </c>
    </row>
    <row r="11" spans="1:17">
      <c r="A11" t="s">
        <v>303</v>
      </c>
      <c r="B11" t="s">
        <v>215</v>
      </c>
      <c r="C11">
        <f>IF(C9="Storage Lagoon at Disposal Site",0.4,0)</f>
        <v>0</v>
      </c>
      <c r="G11" s="15">
        <v>1525</v>
      </c>
      <c r="H11">
        <v>136.61657237229136</v>
      </c>
      <c r="I11">
        <v>24.590983027012449</v>
      </c>
    </row>
    <row r="12" spans="1:17">
      <c r="A12" t="s">
        <v>304</v>
      </c>
      <c r="B12" t="s">
        <v>215</v>
      </c>
      <c r="C12">
        <f>IF(C9="Agricultural Utilization",1,0)</f>
        <v>0</v>
      </c>
      <c r="G12" s="15">
        <v>1625</v>
      </c>
      <c r="H12">
        <v>132.16803872985048</v>
      </c>
      <c r="I12">
        <v>23.790246971373087</v>
      </c>
      <c r="Q12" t="s">
        <v>236</v>
      </c>
    </row>
    <row r="13" spans="1:17">
      <c r="A13" t="s">
        <v>305</v>
      </c>
      <c r="B13" t="s">
        <v>215</v>
      </c>
      <c r="C13">
        <f>IF(C9="Forest Land Utilization",1.5,0)</f>
        <v>0</v>
      </c>
      <c r="G13" s="15">
        <v>1725</v>
      </c>
      <c r="H13">
        <v>127.44308786684117</v>
      </c>
      <c r="I13">
        <v>22.939755816031408</v>
      </c>
      <c r="Q13" t="s">
        <v>237</v>
      </c>
    </row>
    <row r="14" spans="1:17">
      <c r="A14" t="s">
        <v>306</v>
      </c>
      <c r="B14" t="s">
        <v>215</v>
      </c>
      <c r="C14">
        <f>IF(C9="Land Reclamation Utilization",1,0)</f>
        <v>0</v>
      </c>
      <c r="G14" s="15">
        <v>1825</v>
      </c>
      <c r="H14">
        <v>123.0367453200154</v>
      </c>
      <c r="I14">
        <v>22.146614157602777</v>
      </c>
      <c r="Q14" t="s">
        <v>238</v>
      </c>
    </row>
    <row r="15" spans="1:17">
      <c r="A15" t="s">
        <v>307</v>
      </c>
      <c r="B15" t="s">
        <v>215</v>
      </c>
      <c r="C15">
        <f>IF(C9="Dedicated Disposal Site",0.6,0)</f>
        <v>0</v>
      </c>
      <c r="G15" s="15">
        <v>1925</v>
      </c>
      <c r="H15">
        <v>119.08820459623649</v>
      </c>
      <c r="I15">
        <v>21.43587682732257</v>
      </c>
    </row>
    <row r="16" spans="1:17">
      <c r="A16" t="s">
        <v>235</v>
      </c>
      <c r="B16" t="s">
        <v>44</v>
      </c>
      <c r="C16" s="37" t="str">
        <f>Inputs!A12</f>
        <v>Highway Travel</v>
      </c>
      <c r="D16" s="37"/>
      <c r="G16" s="15">
        <v>2025</v>
      </c>
      <c r="H16">
        <v>115.52964320320118</v>
      </c>
      <c r="I16">
        <v>20.795335776576209</v>
      </c>
    </row>
    <row r="17" spans="1:9">
      <c r="A17" t="s">
        <v>239</v>
      </c>
      <c r="B17" t="s">
        <v>242</v>
      </c>
      <c r="C17">
        <f>IF(C16="Urban Travel",25,0)</f>
        <v>0</v>
      </c>
      <c r="G17" s="15">
        <v>2125</v>
      </c>
      <c r="H17">
        <v>112.3060052353927</v>
      </c>
      <c r="I17">
        <v>20.215080942370683</v>
      </c>
    </row>
    <row r="18" spans="1:9">
      <c r="A18" t="s">
        <v>240</v>
      </c>
      <c r="B18" t="s">
        <v>242</v>
      </c>
      <c r="C18">
        <f>IF(C16="Rural Travel",35,0)</f>
        <v>0</v>
      </c>
      <c r="G18" s="15">
        <v>2225</v>
      </c>
      <c r="H18">
        <v>109.48955404218692</v>
      </c>
      <c r="I18">
        <v>19.708119727593647</v>
      </c>
    </row>
    <row r="19" spans="1:9">
      <c r="A19" t="s">
        <v>241</v>
      </c>
      <c r="B19" t="s">
        <v>242</v>
      </c>
      <c r="C19">
        <f>IF(C16="Highway Travel",45,0)</f>
        <v>45</v>
      </c>
      <c r="G19" s="15">
        <v>2325</v>
      </c>
      <c r="H19">
        <v>106.80300704627656</v>
      </c>
      <c r="I19">
        <v>19.22454126832978</v>
      </c>
    </row>
    <row r="20" spans="1:9">
      <c r="A20" t="s">
        <v>308</v>
      </c>
      <c r="B20" t="s">
        <v>309</v>
      </c>
      <c r="C20">
        <f>SV_DW*365/202</f>
        <v>1309.7126383041993</v>
      </c>
      <c r="G20" s="15">
        <v>2425</v>
      </c>
      <c r="H20">
        <v>101.16181814364055</v>
      </c>
      <c r="I20">
        <v>18.209127265855301</v>
      </c>
    </row>
    <row r="21" spans="1:9">
      <c r="A21" t="s">
        <v>310</v>
      </c>
      <c r="B21" t="s">
        <v>245</v>
      </c>
      <c r="C21">
        <f>(SVCY*(LT_DW+ULT_DW+RTHT_DW))/(HPD*DPY)</f>
        <v>3.0115306035081133</v>
      </c>
      <c r="G21" s="15">
        <v>2525</v>
      </c>
      <c r="H21">
        <v>98.45881940479039</v>
      </c>
      <c r="I21">
        <v>17.722587492862271</v>
      </c>
    </row>
    <row r="22" spans="1:9">
      <c r="A22" t="s">
        <v>252</v>
      </c>
      <c r="B22" t="s">
        <v>341</v>
      </c>
      <c r="C22">
        <f>IF(FACTOR_DW&lt;7,1,0)</f>
        <v>1</v>
      </c>
      <c r="D22" t="s">
        <v>311</v>
      </c>
      <c r="G22" s="15">
        <v>2625</v>
      </c>
      <c r="H22">
        <v>95.961763426995518</v>
      </c>
      <c r="I22">
        <v>17.27311741685919</v>
      </c>
    </row>
    <row r="23" spans="1:9">
      <c r="A23" t="s">
        <v>252</v>
      </c>
      <c r="B23" t="s">
        <v>341</v>
      </c>
      <c r="C23">
        <f>IF(AND(FACTOR_DW&gt;7,FACTOR_DW&lt;10),1,0)</f>
        <v>0</v>
      </c>
      <c r="D23" t="s">
        <v>312</v>
      </c>
      <c r="G23" s="15">
        <v>2725</v>
      </c>
      <c r="H23">
        <v>93.647977612708488</v>
      </c>
      <c r="I23">
        <v>16.856635970287527</v>
      </c>
    </row>
    <row r="24" spans="1:9">
      <c r="A24" t="s">
        <v>252</v>
      </c>
      <c r="B24" t="s">
        <v>341</v>
      </c>
      <c r="C24">
        <f>IF(AND(FACTOR_DW&gt;10,FACTOR_DW&lt;15),1,0)</f>
        <v>0</v>
      </c>
      <c r="D24" t="s">
        <v>313</v>
      </c>
      <c r="G24" s="15">
        <v>2825</v>
      </c>
      <c r="H24">
        <v>93.730371343641991</v>
      </c>
      <c r="I24">
        <v>16.871466841855558</v>
      </c>
    </row>
    <row r="25" spans="1:9">
      <c r="A25" t="s">
        <v>252</v>
      </c>
      <c r="B25" t="s">
        <v>341</v>
      </c>
      <c r="C25">
        <f>IF(AND(FACTOR_DW&gt;15,FACTOR_DW&lt;25),1,0)</f>
        <v>0</v>
      </c>
      <c r="D25" t="s">
        <v>314</v>
      </c>
      <c r="G25" s="15">
        <v>2925</v>
      </c>
      <c r="H25">
        <v>91.651080015232836</v>
      </c>
      <c r="I25">
        <v>16.497194402741911</v>
      </c>
    </row>
    <row r="26" spans="1:9">
      <c r="A26" t="s">
        <v>252</v>
      </c>
      <c r="B26" t="s">
        <v>341</v>
      </c>
      <c r="C26">
        <f>IF(AND(FACTOR_DW&gt;25,FACTOR_DW&lt;36),1,0)</f>
        <v>0</v>
      </c>
      <c r="D26" t="s">
        <v>315</v>
      </c>
      <c r="G26" s="15">
        <v>3025</v>
      </c>
      <c r="H26">
        <v>89.709262493660674</v>
      </c>
      <c r="I26">
        <v>16.147667248858919</v>
      </c>
    </row>
    <row r="27" spans="1:9">
      <c r="A27" t="s">
        <v>252</v>
      </c>
      <c r="B27" t="s">
        <v>341</v>
      </c>
      <c r="C27">
        <f>IF(AND(FACTOR_DW&gt;36,FACTOR_DW&lt;50),2,0)</f>
        <v>0</v>
      </c>
      <c r="D27" t="s">
        <v>316</v>
      </c>
      <c r="G27" s="15">
        <v>3125</v>
      </c>
      <c r="H27">
        <v>87.891721293469104</v>
      </c>
      <c r="I27">
        <v>15.820509832824436</v>
      </c>
    </row>
    <row r="28" spans="1:9">
      <c r="A28" t="s">
        <v>252</v>
      </c>
      <c r="B28" t="s">
        <v>341</v>
      </c>
      <c r="C28">
        <f>IF(AND(FACTOR_DW&gt;50,FACTOR_DW&lt;72),2,0)</f>
        <v>0</v>
      </c>
      <c r="D28" t="s">
        <v>317</v>
      </c>
      <c r="G28" s="15">
        <v>3225</v>
      </c>
      <c r="H28">
        <v>86.186895826622759</v>
      </c>
      <c r="I28">
        <v>15.513641248792098</v>
      </c>
    </row>
    <row r="29" spans="1:9">
      <c r="A29" t="s">
        <v>252</v>
      </c>
      <c r="B29" t="s">
        <v>341</v>
      </c>
      <c r="C29">
        <f>IF(FACTOR_DW&gt;72,ROUNDUP((FACTOR_DW/36),0),0)</f>
        <v>0</v>
      </c>
      <c r="D29" t="s">
        <v>318</v>
      </c>
      <c r="G29" s="15">
        <v>3325</v>
      </c>
      <c r="H29">
        <v>84.584616252519027</v>
      </c>
      <c r="I29">
        <v>15.225230925453426</v>
      </c>
    </row>
    <row r="30" spans="1:9">
      <c r="A30" t="s">
        <v>319</v>
      </c>
      <c r="B30" t="s">
        <v>320</v>
      </c>
      <c r="C30">
        <f>MAX(C22:C29)</f>
        <v>1</v>
      </c>
      <c r="G30" s="15">
        <v>3425</v>
      </c>
      <c r="H30">
        <v>83.075900449165886</v>
      </c>
      <c r="I30">
        <v>14.95366208084986</v>
      </c>
    </row>
    <row r="31" spans="1:9">
      <c r="A31" t="s">
        <v>255</v>
      </c>
      <c r="B31" t="s">
        <v>256</v>
      </c>
      <c r="C31">
        <f>C22*7</f>
        <v>7</v>
      </c>
      <c r="G31" s="15">
        <v>3525</v>
      </c>
      <c r="H31">
        <v>81.652785542456911</v>
      </c>
      <c r="I31">
        <v>14.697501397642245</v>
      </c>
    </row>
    <row r="32" spans="1:9">
      <c r="A32" t="s">
        <v>255</v>
      </c>
      <c r="B32" t="s">
        <v>256</v>
      </c>
      <c r="C32">
        <f>C23*10</f>
        <v>0</v>
      </c>
      <c r="G32" s="15">
        <v>3625</v>
      </c>
      <c r="H32">
        <v>77.986119556541439</v>
      </c>
      <c r="I32">
        <v>14.037501520177457</v>
      </c>
    </row>
    <row r="33" spans="1:9">
      <c r="A33" t="s">
        <v>255</v>
      </c>
      <c r="B33" t="s">
        <v>256</v>
      </c>
      <c r="C33">
        <f>C24*15</f>
        <v>0</v>
      </c>
      <c r="G33" s="15">
        <v>3725</v>
      </c>
      <c r="H33">
        <v>76.444920616127149</v>
      </c>
      <c r="I33">
        <v>13.760085710902883</v>
      </c>
    </row>
    <row r="34" spans="1:9">
      <c r="A34" t="s">
        <v>255</v>
      </c>
      <c r="B34" t="s">
        <v>256</v>
      </c>
      <c r="C34">
        <f>C25*25</f>
        <v>0</v>
      </c>
      <c r="G34" s="15">
        <v>3825</v>
      </c>
      <c r="H34">
        <v>74.984307241224698</v>
      </c>
      <c r="I34">
        <v>13.497175303420448</v>
      </c>
    </row>
    <row r="35" spans="1:9">
      <c r="A35" t="s">
        <v>255</v>
      </c>
      <c r="B35" t="s">
        <v>256</v>
      </c>
      <c r="C35">
        <f>C26*36</f>
        <v>0</v>
      </c>
      <c r="G35" s="15">
        <v>3925</v>
      </c>
      <c r="H35">
        <v>73.598120025552959</v>
      </c>
      <c r="I35">
        <v>13.247661604599534</v>
      </c>
    </row>
    <row r="36" spans="1:9">
      <c r="A36" t="s">
        <v>255</v>
      </c>
      <c r="B36" t="s">
        <v>256</v>
      </c>
      <c r="C36">
        <f>C27*25</f>
        <v>0</v>
      </c>
      <c r="G36" s="15">
        <v>4025</v>
      </c>
      <c r="H36">
        <v>72.280811677740715</v>
      </c>
      <c r="I36">
        <v>13.010546101993327</v>
      </c>
    </row>
    <row r="37" spans="1:9">
      <c r="A37" t="s">
        <v>255</v>
      </c>
      <c r="B37" t="s">
        <v>256</v>
      </c>
      <c r="C37">
        <f>C28*36</f>
        <v>0</v>
      </c>
      <c r="G37" s="15">
        <v>4125</v>
      </c>
      <c r="H37">
        <v>71.098633289739624</v>
      </c>
      <c r="I37">
        <v>12.797753992153135</v>
      </c>
    </row>
    <row r="38" spans="1:9">
      <c r="A38" t="s">
        <v>255</v>
      </c>
      <c r="B38" t="s">
        <v>256</v>
      </c>
      <c r="C38">
        <f>C29*36</f>
        <v>0</v>
      </c>
      <c r="G38" s="15">
        <v>4225</v>
      </c>
      <c r="H38">
        <v>69.902842182908145</v>
      </c>
      <c r="I38">
        <v>12.582511592923465</v>
      </c>
    </row>
    <row r="39" spans="1:9">
      <c r="A39" t="s">
        <v>321</v>
      </c>
      <c r="B39" t="s">
        <v>322</v>
      </c>
      <c r="C39">
        <f>MAX(C31:C38)</f>
        <v>7</v>
      </c>
      <c r="G39" s="15">
        <v>4325</v>
      </c>
      <c r="H39">
        <v>68.762347774658451</v>
      </c>
      <c r="I39">
        <v>12.377222599438522</v>
      </c>
    </row>
    <row r="40" spans="1:9">
      <c r="A40" t="s">
        <v>323</v>
      </c>
      <c r="B40" t="s">
        <v>259</v>
      </c>
      <c r="C40">
        <f>ROUNDUP(SVCY/CAP_DW,0)</f>
        <v>188</v>
      </c>
      <c r="G40" s="15">
        <v>4425</v>
      </c>
      <c r="H40">
        <v>67.673401136273156</v>
      </c>
      <c r="I40">
        <v>12.181212204529169</v>
      </c>
    </row>
    <row r="41" spans="1:9">
      <c r="A41" t="s">
        <v>324</v>
      </c>
      <c r="B41" t="s">
        <v>132</v>
      </c>
      <c r="C41">
        <f>(LT_DW+ULT_DW+RTHT_DW)*NRT_DW</f>
        <v>311.24444444444447</v>
      </c>
      <c r="G41" s="15">
        <v>4525</v>
      </c>
      <c r="H41">
        <v>66.697545932658201</v>
      </c>
      <c r="I41">
        <v>12.005558267878477</v>
      </c>
    </row>
    <row r="42" spans="1:9">
      <c r="A42" t="s">
        <v>325</v>
      </c>
      <c r="B42" t="s">
        <v>261</v>
      </c>
      <c r="C42">
        <f>C22*9</f>
        <v>9</v>
      </c>
      <c r="G42" s="15">
        <v>4625</v>
      </c>
      <c r="H42">
        <v>65.700333242786868</v>
      </c>
      <c r="I42">
        <v>11.826059983701638</v>
      </c>
    </row>
    <row r="43" spans="1:9">
      <c r="A43" t="s">
        <v>326</v>
      </c>
      <c r="B43" t="s">
        <v>261</v>
      </c>
      <c r="C43">
        <f>C23*8</f>
        <v>0</v>
      </c>
      <c r="G43" s="15">
        <v>4725</v>
      </c>
      <c r="H43">
        <v>64.745330613862478</v>
      </c>
      <c r="I43">
        <v>11.654159510495246</v>
      </c>
    </row>
    <row r="44" spans="1:9">
      <c r="A44" t="s">
        <v>327</v>
      </c>
      <c r="B44" t="s">
        <v>261</v>
      </c>
      <c r="C44">
        <f>C24*7</f>
        <v>0</v>
      </c>
      <c r="G44" s="15">
        <v>4825</v>
      </c>
      <c r="H44">
        <v>63.82991358613701</v>
      </c>
      <c r="I44">
        <v>11.489384445504662</v>
      </c>
    </row>
    <row r="45" spans="1:9">
      <c r="A45" t="s">
        <v>328</v>
      </c>
      <c r="B45" t="s">
        <v>261</v>
      </c>
      <c r="C45">
        <f>MAX(C25,C27)*6</f>
        <v>0</v>
      </c>
      <c r="G45" s="15">
        <v>4925</v>
      </c>
      <c r="H45">
        <v>62.951670853953715</v>
      </c>
      <c r="I45">
        <v>11.33130075371167</v>
      </c>
    </row>
    <row r="46" spans="1:9">
      <c r="A46" t="s">
        <v>329</v>
      </c>
      <c r="B46" t="s">
        <v>261</v>
      </c>
      <c r="C46">
        <f>MAX(C26,C28,C29)*5</f>
        <v>0</v>
      </c>
      <c r="G46" s="15">
        <v>5025</v>
      </c>
      <c r="H46">
        <v>62.166880452336649</v>
      </c>
      <c r="I46">
        <v>11.190038481420597</v>
      </c>
    </row>
    <row r="47" spans="1:9">
      <c r="A47" t="s">
        <v>330</v>
      </c>
      <c r="B47" t="s">
        <v>144</v>
      </c>
      <c r="C47">
        <f>RTHD_DW*NRT_DW/FC_DW</f>
        <v>522.22222222222217</v>
      </c>
      <c r="G47" s="15">
        <v>5125</v>
      </c>
      <c r="H47">
        <v>61.355360034263924</v>
      </c>
      <c r="I47">
        <v>11.043964806167505</v>
      </c>
    </row>
    <row r="48" spans="1:9">
      <c r="A48" t="s">
        <v>331</v>
      </c>
      <c r="B48" t="s">
        <v>261</v>
      </c>
      <c r="C48">
        <f>MAX(C42:C46)</f>
        <v>9</v>
      </c>
      <c r="G48" s="15">
        <v>5225</v>
      </c>
      <c r="H48">
        <v>60.574902598701151</v>
      </c>
      <c r="I48">
        <v>10.903482467766207</v>
      </c>
    </row>
    <row r="49" spans="1:9">
      <c r="A49" t="s">
        <v>332</v>
      </c>
      <c r="B49" t="s">
        <v>269</v>
      </c>
      <c r="C49">
        <f>65000*C22</f>
        <v>65000</v>
      </c>
      <c r="G49" s="15">
        <v>5325</v>
      </c>
      <c r="H49">
        <v>59.823758118464688</v>
      </c>
      <c r="I49">
        <v>10.768276461323641</v>
      </c>
    </row>
    <row r="50" spans="1:9">
      <c r="A50" t="s">
        <v>333</v>
      </c>
      <c r="B50" t="s">
        <v>269</v>
      </c>
      <c r="C50">
        <f>C23*98000</f>
        <v>0</v>
      </c>
      <c r="G50" s="15">
        <v>5425</v>
      </c>
      <c r="H50">
        <v>59.154489824533456</v>
      </c>
      <c r="I50">
        <v>10.647808168416024</v>
      </c>
    </row>
    <row r="51" spans="1:9">
      <c r="A51" t="s">
        <v>334</v>
      </c>
      <c r="B51" t="s">
        <v>269</v>
      </c>
      <c r="C51">
        <f>C24*130000</f>
        <v>0</v>
      </c>
      <c r="G51" s="15">
        <v>5525</v>
      </c>
      <c r="H51">
        <v>58.456244923204522</v>
      </c>
      <c r="I51">
        <v>10.522124086176817</v>
      </c>
    </row>
    <row r="52" spans="1:9">
      <c r="A52" t="s">
        <v>335</v>
      </c>
      <c r="B52" t="s">
        <v>269</v>
      </c>
      <c r="C52">
        <f>MAX(C25,C27)*171000</f>
        <v>0</v>
      </c>
      <c r="G52" s="15">
        <v>5625</v>
      </c>
      <c r="H52">
        <v>64.509706563139474</v>
      </c>
      <c r="I52">
        <v>11.611747181365105</v>
      </c>
    </row>
    <row r="53" spans="1:9">
      <c r="A53" t="s">
        <v>336</v>
      </c>
      <c r="B53" t="s">
        <v>269</v>
      </c>
      <c r="C53">
        <f>MAX(C26,C28,C29)*214000</f>
        <v>0</v>
      </c>
      <c r="G53" s="15">
        <v>5725</v>
      </c>
      <c r="H53">
        <v>63.742313593060352</v>
      </c>
      <c r="I53">
        <v>11.473616446750862</v>
      </c>
    </row>
    <row r="54" spans="1:9">
      <c r="A54" t="s">
        <v>337</v>
      </c>
      <c r="B54" t="s">
        <v>269</v>
      </c>
      <c r="C54">
        <f>MAX(C49:C53)</f>
        <v>65000</v>
      </c>
      <c r="G54" s="15">
        <v>5825</v>
      </c>
      <c r="H54">
        <v>63.051732298290155</v>
      </c>
      <c r="I54">
        <v>11.349311813692227</v>
      </c>
    </row>
    <row r="55" spans="1:9">
      <c r="A55" t="s">
        <v>338</v>
      </c>
      <c r="B55" t="s">
        <v>107</v>
      </c>
      <c r="C55">
        <f>NTR_DW*COSTTRK_DW*(MSECI/751)</f>
        <v>128081.50466045295</v>
      </c>
      <c r="G55" s="15">
        <v>5925</v>
      </c>
      <c r="H55">
        <v>62.334850048970644</v>
      </c>
      <c r="I55">
        <v>11.220273008814715</v>
      </c>
    </row>
    <row r="56" spans="1:9">
      <c r="A56" t="s">
        <v>276</v>
      </c>
      <c r="B56" t="s">
        <v>107</v>
      </c>
      <c r="C56">
        <f>IF(AND(SVCY&gt;500,SVCY&lt;2500),40000,0)</f>
        <v>40000</v>
      </c>
      <c r="G56" s="15">
        <v>6025</v>
      </c>
      <c r="H56">
        <v>62.194360007275009</v>
      </c>
      <c r="I56">
        <v>11.1949848013095</v>
      </c>
    </row>
    <row r="57" spans="1:9">
      <c r="A57" t="s">
        <v>276</v>
      </c>
      <c r="B57" t="s">
        <v>107</v>
      </c>
      <c r="C57">
        <f>IF(AND(SVCY&gt;2500,SVCY&lt;5000),45000,0)</f>
        <v>0</v>
      </c>
      <c r="G57" s="15">
        <v>6125</v>
      </c>
      <c r="H57">
        <v>61.436776140866336</v>
      </c>
      <c r="I57">
        <v>11.058619705355941</v>
      </c>
    </row>
    <row r="58" spans="1:9">
      <c r="A58" t="s">
        <v>276</v>
      </c>
      <c r="B58" t="s">
        <v>107</v>
      </c>
      <c r="C58">
        <f>IF(AND(SVCY&gt;5000,SVCY&lt;10000),50000,0)</f>
        <v>0</v>
      </c>
      <c r="G58" s="15">
        <v>6225</v>
      </c>
      <c r="H58">
        <v>60.703532318358349</v>
      </c>
      <c r="I58">
        <v>10.926635817304506</v>
      </c>
    </row>
    <row r="59" spans="1:9">
      <c r="A59" t="s">
        <v>276</v>
      </c>
      <c r="B59" t="s">
        <v>107</v>
      </c>
      <c r="C59">
        <f>IF(AND(SVCY&gt;10000,SVCY&lt;20000),80000,0)</f>
        <v>0</v>
      </c>
      <c r="G59" s="15">
        <v>6325</v>
      </c>
      <c r="H59">
        <v>59.993474071265631</v>
      </c>
      <c r="I59">
        <v>10.798825332827814</v>
      </c>
    </row>
    <row r="60" spans="1:9">
      <c r="A60" t="s">
        <v>276</v>
      </c>
      <c r="B60" t="s">
        <v>107</v>
      </c>
      <c r="C60">
        <f>IF(AND(SVCY&gt;20000,SVCY&lt;40000),90000,0)</f>
        <v>0</v>
      </c>
      <c r="G60" s="15">
        <v>6425</v>
      </c>
      <c r="H60">
        <v>59.305518804627177</v>
      </c>
      <c r="I60">
        <v>10.674993384832892</v>
      </c>
    </row>
    <row r="61" spans="1:9">
      <c r="A61" t="s">
        <v>276</v>
      </c>
      <c r="B61" t="s">
        <v>107</v>
      </c>
      <c r="C61">
        <f>IF(AND(SVCY&gt;40000,SVCY&lt;60000),100000,0)</f>
        <v>0</v>
      </c>
      <c r="G61" s="15">
        <v>6525</v>
      </c>
      <c r="H61">
        <v>58.638650289456557</v>
      </c>
      <c r="I61">
        <v>10.554957052102178</v>
      </c>
    </row>
    <row r="62" spans="1:9">
      <c r="A62" t="s">
        <v>276</v>
      </c>
      <c r="B62" t="s">
        <v>107</v>
      </c>
      <c r="C62">
        <f>IF(AND(SVCY&gt;60000,SVCY&lt;80000),150000,0)</f>
        <v>0</v>
      </c>
      <c r="G62" s="15">
        <v>6625</v>
      </c>
      <c r="H62">
        <v>57.991913653989215</v>
      </c>
      <c r="I62">
        <v>10.438544457718058</v>
      </c>
    </row>
    <row r="63" spans="1:9">
      <c r="A63" t="s">
        <v>276</v>
      </c>
      <c r="B63" t="s">
        <v>107</v>
      </c>
      <c r="C63">
        <f>IF(AND(SVCY&gt;80000,SVCY&lt;100000),185000,0)</f>
        <v>0</v>
      </c>
      <c r="G63" s="15">
        <v>6725</v>
      </c>
      <c r="H63">
        <v>57.364410821807141</v>
      </c>
      <c r="I63">
        <v>10.325593947925285</v>
      </c>
    </row>
    <row r="64" spans="1:9">
      <c r="A64" t="s">
        <v>276</v>
      </c>
      <c r="B64" t="s">
        <v>107</v>
      </c>
      <c r="C64">
        <f>IF(SVCY&gt;100000,220000,0)</f>
        <v>0</v>
      </c>
      <c r="G64" s="15">
        <v>6825</v>
      </c>
      <c r="H64">
        <v>56.755296351007665</v>
      </c>
      <c r="I64">
        <v>10.215953343181381</v>
      </c>
    </row>
    <row r="65" spans="1:9">
      <c r="A65" t="s">
        <v>339</v>
      </c>
      <c r="B65" t="s">
        <v>107</v>
      </c>
      <c r="C65">
        <f>MAX(C56:C64)</f>
        <v>40000</v>
      </c>
      <c r="G65" s="15">
        <v>6925</v>
      </c>
      <c r="H65">
        <v>56.163773633877526</v>
      </c>
      <c r="I65">
        <v>10.109479254097955</v>
      </c>
    </row>
    <row r="66" spans="1:9">
      <c r="A66" t="s">
        <v>340</v>
      </c>
      <c r="B66" t="s">
        <v>107</v>
      </c>
      <c r="C66">
        <f>COSTLAB_DW*(ENRCCI/4006)</f>
        <v>83779.33100349475</v>
      </c>
      <c r="G66" s="15">
        <v>7025</v>
      </c>
      <c r="H66">
        <v>55.589091421149647</v>
      </c>
      <c r="I66">
        <v>10.006036455806937</v>
      </c>
    </row>
    <row r="67" spans="1:9">
      <c r="A67" t="s">
        <v>342</v>
      </c>
      <c r="B67" t="s">
        <v>283</v>
      </c>
      <c r="C67">
        <f>C22*0.26</f>
        <v>0.26</v>
      </c>
      <c r="G67" s="15">
        <v>7125</v>
      </c>
      <c r="H67">
        <v>55.030540638954491</v>
      </c>
      <c r="I67">
        <v>9.9054973150118073</v>
      </c>
    </row>
    <row r="68" spans="1:9">
      <c r="A68" t="s">
        <v>343</v>
      </c>
      <c r="B68" t="s">
        <v>283</v>
      </c>
      <c r="C68">
        <f>C23*0.32</f>
        <v>0</v>
      </c>
      <c r="G68" s="15">
        <v>7225</v>
      </c>
      <c r="H68">
        <v>54.487451470107295</v>
      </c>
      <c r="I68">
        <v>9.8077412646193114</v>
      </c>
    </row>
    <row r="69" spans="1:9">
      <c r="A69" t="s">
        <v>344</v>
      </c>
      <c r="B69" t="s">
        <v>283</v>
      </c>
      <c r="C69">
        <f>C24*0.37</f>
        <v>0</v>
      </c>
      <c r="G69" s="15">
        <v>7325</v>
      </c>
      <c r="H69">
        <v>53.959190674470932</v>
      </c>
      <c r="I69">
        <v>9.71265432140477</v>
      </c>
    </row>
    <row r="70" spans="1:9">
      <c r="A70" t="s">
        <v>345</v>
      </c>
      <c r="B70" t="s">
        <v>283</v>
      </c>
      <c r="C70">
        <f>IF(SUM(C25,C27)&gt;0,0.45,0)</f>
        <v>0</v>
      </c>
      <c r="G70" s="15">
        <v>7425</v>
      </c>
      <c r="H70">
        <v>53.445159125855099</v>
      </c>
      <c r="I70">
        <v>9.620128642653917</v>
      </c>
    </row>
    <row r="71" spans="1:9">
      <c r="A71" t="s">
        <v>346</v>
      </c>
      <c r="B71" t="s">
        <v>283</v>
      </c>
      <c r="C71">
        <f>IF(SUM(C26,C28,C29)&gt;0,0.53,0)</f>
        <v>0</v>
      </c>
    </row>
    <row r="72" spans="1:9">
      <c r="A72" t="s">
        <v>347</v>
      </c>
      <c r="B72" t="s">
        <v>283</v>
      </c>
      <c r="C72">
        <f>MAX(C67:C71)</f>
        <v>0.26</v>
      </c>
    </row>
    <row r="73" spans="1:9">
      <c r="A73" t="s">
        <v>348</v>
      </c>
      <c r="B73" t="s">
        <v>150</v>
      </c>
      <c r="C73">
        <f>RTHD_DW*NRT_DW*MCM_DW*(MSECI/751)</f>
        <v>2407.9322876165152</v>
      </c>
    </row>
    <row r="74" spans="1:9">
      <c r="A74" t="s">
        <v>349</v>
      </c>
      <c r="B74" t="s">
        <v>150</v>
      </c>
      <c r="C74">
        <f>COSTLA_DW*0.05</f>
        <v>4188.9665501747377</v>
      </c>
    </row>
    <row r="75" spans="1:9">
      <c r="A75" t="s">
        <v>350</v>
      </c>
      <c r="B75" t="s">
        <v>150</v>
      </c>
      <c r="C75">
        <f>DT_DW*COSTL*1.2</f>
        <v>9180.4661333333333</v>
      </c>
    </row>
    <row r="76" spans="1:9">
      <c r="A76" t="s">
        <v>351</v>
      </c>
      <c r="B76" t="s">
        <v>150</v>
      </c>
      <c r="C76">
        <f>FU_DW*COSTDF_I</f>
        <v>1346.2888888888888</v>
      </c>
    </row>
    <row r="77" spans="1:9">
      <c r="A77" t="s">
        <v>352</v>
      </c>
      <c r="B77" t="s">
        <v>107</v>
      </c>
      <c r="C77">
        <f>TCOSTTRK_DW+COSTLA_DW</f>
        <v>211860.83566394768</v>
      </c>
    </row>
    <row r="78" spans="1:9">
      <c r="A78" t="s">
        <v>353</v>
      </c>
      <c r="B78" t="s">
        <v>150</v>
      </c>
      <c r="C78">
        <f>VMC_DW+MCOSTLA_DW+COSTLB_DW+COSTDL_DW</f>
        <v>17123.653860013474</v>
      </c>
    </row>
    <row r="79" spans="1:9">
      <c r="A79" t="s">
        <v>354</v>
      </c>
      <c r="B79" t="s">
        <v>150</v>
      </c>
      <c r="C79">
        <f>TBCC_DW*CRF</f>
        <v>24885.094261085276</v>
      </c>
    </row>
    <row r="80" spans="1:9">
      <c r="A80" t="s">
        <v>355</v>
      </c>
      <c r="B80" t="s">
        <v>110</v>
      </c>
      <c r="C80">
        <f>(SV_DW*8.34*SS_DW*SSG*365)/((2000)*(100))</f>
        <v>201.56103406882423</v>
      </c>
    </row>
    <row r="81" spans="1:3">
      <c r="A81" t="s">
        <v>356</v>
      </c>
      <c r="B81" t="s">
        <v>5</v>
      </c>
      <c r="C81">
        <f>SS_DWH_I</f>
        <v>18</v>
      </c>
    </row>
    <row r="82" spans="1:3">
      <c r="A82" t="s">
        <v>357</v>
      </c>
      <c r="B82" t="s">
        <v>106</v>
      </c>
      <c r="C82">
        <f>((ACC_DW+COSTOM_DW)/TDSS_DW)</f>
        <v>208.41701033719943</v>
      </c>
    </row>
    <row r="83" spans="1:3">
      <c r="A83" t="s">
        <v>358</v>
      </c>
      <c r="B83" t="s">
        <v>162</v>
      </c>
      <c r="C83">
        <f>(ACC_DW+COSTOM_DW)/(SV_DW*8.34*365*SSG/2000)</f>
        <v>37.515061860695894</v>
      </c>
    </row>
  </sheetData>
  <mergeCells count="2">
    <mergeCell ref="C9:D9"/>
    <mergeCell ref="C16:D16"/>
  </mergeCells>
  <dataValidations count="2">
    <dataValidation allowBlank="1" showInputMessage="1" showErrorMessage="1" prompt="Type of Travel" sqref="C16:D16"/>
    <dataValidation allowBlank="1" showInputMessage="1" showErrorMessage="1" prompt="Disposal Method" sqref="C9:D9"/>
  </dataValidations>
  <pageMargins left="0.75" right="0.75" top="1" bottom="1" header="0.5" footer="0.5"/>
  <pageSetup orientation="portrait" horizontalDpi="4294967292" verticalDpi="4294967292"/>
  <ignoredErrors>
    <ignoredError sqref="C35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Q80"/>
  <sheetViews>
    <sheetView workbookViewId="0">
      <selection activeCell="C2" sqref="C2"/>
    </sheetView>
  </sheetViews>
  <sheetFormatPr baseColWidth="10" defaultRowHeight="15" x14ac:dyDescent="0"/>
  <cols>
    <col min="1" max="1" width="15.83203125" customWidth="1"/>
  </cols>
  <sheetData>
    <row r="1" spans="1:17">
      <c r="A1" t="s">
        <v>211</v>
      </c>
      <c r="B1" t="s">
        <v>212</v>
      </c>
      <c r="C1" t="s">
        <v>213</v>
      </c>
    </row>
    <row r="2" spans="1:17">
      <c r="A2" t="s">
        <v>214</v>
      </c>
      <c r="B2" t="s">
        <v>105</v>
      </c>
      <c r="C2">
        <v>725</v>
      </c>
    </row>
    <row r="3" spans="1:17">
      <c r="A3" t="s">
        <v>90</v>
      </c>
      <c r="B3" t="s">
        <v>215</v>
      </c>
      <c r="C3" s="14">
        <v>0.7</v>
      </c>
    </row>
    <row r="4" spans="1:17">
      <c r="A4" t="s">
        <v>91</v>
      </c>
      <c r="B4" t="s">
        <v>215</v>
      </c>
      <c r="C4" s="14">
        <f>MAX(C10:C15)</f>
        <v>1</v>
      </c>
    </row>
    <row r="5" spans="1:17">
      <c r="A5" t="s">
        <v>216</v>
      </c>
      <c r="B5" t="s">
        <v>215</v>
      </c>
      <c r="C5">
        <f>RTHD/(MAX(C17:C19))</f>
        <v>0.22222222222222221</v>
      </c>
      <c r="Q5" t="s">
        <v>222</v>
      </c>
    </row>
    <row r="6" spans="1:17">
      <c r="A6" t="s">
        <v>217</v>
      </c>
      <c r="B6" t="s">
        <v>218</v>
      </c>
      <c r="C6">
        <v>10</v>
      </c>
      <c r="Q6" t="s">
        <v>223</v>
      </c>
    </row>
    <row r="7" spans="1:17">
      <c r="A7" t="s">
        <v>219</v>
      </c>
      <c r="B7" t="s">
        <v>12</v>
      </c>
      <c r="C7">
        <v>7</v>
      </c>
      <c r="Q7" t="s">
        <v>224</v>
      </c>
    </row>
    <row r="8" spans="1:17">
      <c r="A8" t="s">
        <v>220</v>
      </c>
      <c r="B8" t="s">
        <v>221</v>
      </c>
      <c r="C8">
        <v>180</v>
      </c>
      <c r="D8" t="s">
        <v>243</v>
      </c>
      <c r="Q8" t="s">
        <v>225</v>
      </c>
    </row>
    <row r="9" spans="1:17">
      <c r="A9" t="s">
        <v>234</v>
      </c>
      <c r="B9" t="s">
        <v>44</v>
      </c>
      <c r="C9" s="38" t="s">
        <v>224</v>
      </c>
      <c r="D9" s="38"/>
      <c r="Q9" t="s">
        <v>226</v>
      </c>
    </row>
    <row r="10" spans="1:17">
      <c r="A10" t="s">
        <v>228</v>
      </c>
      <c r="B10" t="s">
        <v>215</v>
      </c>
      <c r="C10">
        <f>IF(C9="Landfill",0.4,0)</f>
        <v>0</v>
      </c>
      <c r="Q10" t="s">
        <v>227</v>
      </c>
    </row>
    <row r="11" spans="1:17">
      <c r="A11" t="s">
        <v>229</v>
      </c>
      <c r="B11" t="s">
        <v>215</v>
      </c>
      <c r="C11">
        <f>IF(C9="Storage Lagoon at Disposal Site",0.4,0)</f>
        <v>0</v>
      </c>
    </row>
    <row r="12" spans="1:17">
      <c r="A12" t="s">
        <v>230</v>
      </c>
      <c r="B12" t="s">
        <v>215</v>
      </c>
      <c r="C12">
        <f>IF(C9="Agricultural Utilization",1,0)</f>
        <v>1</v>
      </c>
      <c r="Q12" t="s">
        <v>236</v>
      </c>
    </row>
    <row r="13" spans="1:17">
      <c r="A13" t="s">
        <v>231</v>
      </c>
      <c r="B13" t="s">
        <v>215</v>
      </c>
      <c r="C13">
        <f>IF(C9="Forest Land Utilization",1.5,0)</f>
        <v>0</v>
      </c>
      <c r="Q13" t="s">
        <v>237</v>
      </c>
    </row>
    <row r="14" spans="1:17">
      <c r="A14" t="s">
        <v>232</v>
      </c>
      <c r="B14" t="s">
        <v>215</v>
      </c>
      <c r="C14">
        <f>IF(C9="Land Reclamation Utilization",1,0)</f>
        <v>0</v>
      </c>
      <c r="Q14" t="s">
        <v>238</v>
      </c>
    </row>
    <row r="15" spans="1:17">
      <c r="A15" t="s">
        <v>233</v>
      </c>
      <c r="B15" t="s">
        <v>215</v>
      </c>
      <c r="C15">
        <f>IF(C9="Dedicated Disposal Site",0.6,0)</f>
        <v>0</v>
      </c>
    </row>
    <row r="16" spans="1:17">
      <c r="A16" t="s">
        <v>235</v>
      </c>
      <c r="B16" t="s">
        <v>44</v>
      </c>
      <c r="C16" s="38" t="s">
        <v>238</v>
      </c>
      <c r="D16" s="38"/>
    </row>
    <row r="17" spans="1:4">
      <c r="A17" t="s">
        <v>239</v>
      </c>
      <c r="B17" t="s">
        <v>242</v>
      </c>
      <c r="C17">
        <f>IF(C16="Urban Travel",25,0)</f>
        <v>0</v>
      </c>
    </row>
    <row r="18" spans="1:4">
      <c r="A18" t="s">
        <v>240</v>
      </c>
      <c r="B18" t="s">
        <v>242</v>
      </c>
      <c r="C18">
        <f>IF(C16="Rural Travel",35,0)</f>
        <v>0</v>
      </c>
    </row>
    <row r="19" spans="1:4">
      <c r="A19" t="s">
        <v>241</v>
      </c>
      <c r="B19" t="s">
        <v>242</v>
      </c>
      <c r="C19">
        <f>IF(C16="Highway Travel",45,0)</f>
        <v>45</v>
      </c>
    </row>
    <row r="20" spans="1:4">
      <c r="A20" t="s">
        <v>244</v>
      </c>
      <c r="B20" t="s">
        <v>245</v>
      </c>
      <c r="C20">
        <f>((SV_HL*(LT+ULT+RTHT)*365)/(HPD_HL*DPY_HL))</f>
        <v>403.70480599647266</v>
      </c>
    </row>
    <row r="21" spans="1:4">
      <c r="A21" t="s">
        <v>252</v>
      </c>
      <c r="C21">
        <f>IF(FACTOR&lt;1600,1,0)</f>
        <v>1</v>
      </c>
      <c r="D21" t="s">
        <v>246</v>
      </c>
    </row>
    <row r="22" spans="1:4">
      <c r="A22" t="s">
        <v>252</v>
      </c>
      <c r="C22">
        <f>IF(AND(FACTOR&gt;1600,FACTOR&lt;2500),1,0)</f>
        <v>0</v>
      </c>
      <c r="D22" t="s">
        <v>247</v>
      </c>
    </row>
    <row r="23" spans="1:4">
      <c r="A23" t="s">
        <v>252</v>
      </c>
      <c r="C23">
        <f>IF(AND(FACTOR&gt;2500,FACTOR&lt;4000),1,0)</f>
        <v>0</v>
      </c>
      <c r="D23" t="s">
        <v>248</v>
      </c>
    </row>
    <row r="24" spans="1:4">
      <c r="A24" t="s">
        <v>252</v>
      </c>
      <c r="C24">
        <f>IF(AND(FACTOR&gt;4000,FACTOR&lt;8000),2,0)</f>
        <v>0</v>
      </c>
      <c r="D24" t="s">
        <v>249</v>
      </c>
    </row>
    <row r="25" spans="1:4">
      <c r="A25" t="s">
        <v>252</v>
      </c>
      <c r="C25">
        <f>IF(AND(FACTOR&gt;8000,FACTOR&lt;12000),2,0)</f>
        <v>0</v>
      </c>
      <c r="D25" t="s">
        <v>250</v>
      </c>
    </row>
    <row r="26" spans="1:4">
      <c r="A26" t="s">
        <v>252</v>
      </c>
      <c r="C26">
        <f>IF(FACTOR&gt;12000,ROUNDUP((FACTOR/6000),0),0)</f>
        <v>0</v>
      </c>
      <c r="D26" t="s">
        <v>251</v>
      </c>
    </row>
    <row r="27" spans="1:4">
      <c r="A27" t="s">
        <v>254</v>
      </c>
      <c r="B27" t="s">
        <v>253</v>
      </c>
      <c r="C27">
        <f>MAX(C21:C26)</f>
        <v>1</v>
      </c>
    </row>
    <row r="28" spans="1:4">
      <c r="A28" t="s">
        <v>255</v>
      </c>
      <c r="B28" t="s">
        <v>256</v>
      </c>
      <c r="C28">
        <f>1600*C21</f>
        <v>1600</v>
      </c>
    </row>
    <row r="29" spans="1:4">
      <c r="A29" t="s">
        <v>255</v>
      </c>
      <c r="B29" t="s">
        <v>256</v>
      </c>
      <c r="C29">
        <f>C22*2500</f>
        <v>0</v>
      </c>
    </row>
    <row r="30" spans="1:4">
      <c r="A30" t="s">
        <v>255</v>
      </c>
      <c r="B30" t="s">
        <v>256</v>
      </c>
      <c r="C30">
        <f>C23*4000</f>
        <v>0</v>
      </c>
    </row>
    <row r="31" spans="1:4">
      <c r="A31" t="s">
        <v>255</v>
      </c>
      <c r="B31" t="s">
        <v>256</v>
      </c>
      <c r="C31">
        <f>C24*4000</f>
        <v>0</v>
      </c>
    </row>
    <row r="32" spans="1:4">
      <c r="A32" t="s">
        <v>255</v>
      </c>
      <c r="B32" t="s">
        <v>256</v>
      </c>
      <c r="C32">
        <f>C25*6000</f>
        <v>0</v>
      </c>
    </row>
    <row r="33" spans="1:3">
      <c r="A33" t="s">
        <v>255</v>
      </c>
      <c r="B33" t="s">
        <v>256</v>
      </c>
      <c r="C33">
        <f>C26*6000</f>
        <v>0</v>
      </c>
    </row>
    <row r="34" spans="1:3">
      <c r="A34" t="s">
        <v>257</v>
      </c>
      <c r="B34" t="s">
        <v>256</v>
      </c>
      <c r="C34">
        <f>MAX(C28:C33)</f>
        <v>1600</v>
      </c>
    </row>
    <row r="35" spans="1:3">
      <c r="A35" t="s">
        <v>258</v>
      </c>
      <c r="B35" t="s">
        <v>259</v>
      </c>
      <c r="C35">
        <f>ROUNDUP((SV_HL*365)/CAP_HL,0)</f>
        <v>166</v>
      </c>
    </row>
    <row r="36" spans="1:3">
      <c r="A36" t="s">
        <v>260</v>
      </c>
      <c r="B36" t="s">
        <v>132</v>
      </c>
      <c r="C36">
        <f>(LT+ULT+RTHT)*NRT_HL</f>
        <v>319.08888888888885</v>
      </c>
    </row>
    <row r="37" spans="1:3">
      <c r="A37" t="s">
        <v>262</v>
      </c>
      <c r="B37" t="s">
        <v>261</v>
      </c>
      <c r="C37">
        <f>C21*8</f>
        <v>8</v>
      </c>
    </row>
    <row r="38" spans="1:3">
      <c r="A38" t="s">
        <v>263</v>
      </c>
      <c r="B38" t="s">
        <v>261</v>
      </c>
      <c r="C38">
        <f>C22*7</f>
        <v>0</v>
      </c>
    </row>
    <row r="39" spans="1:3">
      <c r="A39" t="s">
        <v>264</v>
      </c>
      <c r="B39" t="s">
        <v>261</v>
      </c>
      <c r="C39">
        <f>MAX(C23:C24)*6</f>
        <v>0</v>
      </c>
    </row>
    <row r="40" spans="1:3">
      <c r="A40" t="s">
        <v>265</v>
      </c>
      <c r="B40" t="s">
        <v>261</v>
      </c>
      <c r="C40">
        <f>MAX(C25:C26)*5</f>
        <v>0</v>
      </c>
    </row>
    <row r="41" spans="1:3">
      <c r="A41" t="s">
        <v>266</v>
      </c>
      <c r="B41" t="s">
        <v>144</v>
      </c>
      <c r="C41">
        <f>RTHD*NRT_HL/FC</f>
        <v>207.5</v>
      </c>
    </row>
    <row r="42" spans="1:3">
      <c r="A42" t="s">
        <v>267</v>
      </c>
      <c r="B42" t="s">
        <v>261</v>
      </c>
      <c r="C42">
        <f>MAX(C37:C40)</f>
        <v>8</v>
      </c>
    </row>
    <row r="43" spans="1:3">
      <c r="A43" t="s">
        <v>54</v>
      </c>
      <c r="B43" t="s">
        <v>96</v>
      </c>
      <c r="C43">
        <f>ENRCCI</f>
        <v>8390.5</v>
      </c>
    </row>
    <row r="44" spans="1:3">
      <c r="A44" t="s">
        <v>43</v>
      </c>
      <c r="B44" t="s">
        <v>96</v>
      </c>
      <c r="C44">
        <f>MSECI</f>
        <v>1479.8340000000026</v>
      </c>
    </row>
    <row r="45" spans="1:3">
      <c r="A45" t="s">
        <v>49</v>
      </c>
      <c r="B45" t="s">
        <v>50</v>
      </c>
      <c r="C45">
        <f>COSTDF</f>
        <v>2.5779999999999998</v>
      </c>
    </row>
    <row r="46" spans="1:3">
      <c r="A46" t="s">
        <v>46</v>
      </c>
      <c r="B46" t="s">
        <v>47</v>
      </c>
      <c r="C46">
        <f>COSTL</f>
        <v>24.58</v>
      </c>
    </row>
    <row r="47" spans="1:3">
      <c r="A47" t="s">
        <v>268</v>
      </c>
      <c r="B47" t="s">
        <v>107</v>
      </c>
      <c r="C47">
        <f>NTR_HL*COSTSTT_HL*(MSECI/751)</f>
        <v>118229.08122503349</v>
      </c>
    </row>
    <row r="48" spans="1:3">
      <c r="A48" t="s">
        <v>270</v>
      </c>
      <c r="B48" t="s">
        <v>269</v>
      </c>
      <c r="C48">
        <f>MAX(C49:C52)</f>
        <v>60000</v>
      </c>
    </row>
    <row r="49" spans="1:3">
      <c r="A49" t="s">
        <v>271</v>
      </c>
      <c r="B49" t="s">
        <v>269</v>
      </c>
      <c r="C49">
        <f>60000*C21</f>
        <v>60000</v>
      </c>
    </row>
    <row r="50" spans="1:3">
      <c r="A50" t="s">
        <v>272</v>
      </c>
      <c r="B50" t="s">
        <v>269</v>
      </c>
      <c r="C50">
        <f>C22*80000</f>
        <v>0</v>
      </c>
    </row>
    <row r="51" spans="1:3">
      <c r="A51" t="s">
        <v>273</v>
      </c>
      <c r="B51" t="s">
        <v>269</v>
      </c>
      <c r="C51">
        <f>MAX(C23:C24)*100000</f>
        <v>0</v>
      </c>
    </row>
    <row r="52" spans="1:3">
      <c r="A52" t="s">
        <v>274</v>
      </c>
      <c r="B52" t="s">
        <v>269</v>
      </c>
      <c r="C52">
        <f>MAX(C25:C26)*120000</f>
        <v>0</v>
      </c>
    </row>
    <row r="53" spans="1:3">
      <c r="A53" t="s">
        <v>275</v>
      </c>
      <c r="B53" t="s">
        <v>144</v>
      </c>
      <c r="C53">
        <f>SV_HL*365</f>
        <v>264625</v>
      </c>
    </row>
    <row r="54" spans="1:3">
      <c r="A54" t="s">
        <v>276</v>
      </c>
      <c r="B54" t="s">
        <v>107</v>
      </c>
      <c r="C54">
        <f>IF(AND(SV_HL_YR&gt;100000,SV_HL_YR&lt;500000),20000,0)</f>
        <v>20000</v>
      </c>
    </row>
    <row r="55" spans="1:3">
      <c r="A55" t="s">
        <v>276</v>
      </c>
      <c r="B55" t="s">
        <v>107</v>
      </c>
      <c r="C55">
        <f>IF(AND(SV_HL_YR&gt;500000,SV_HL_YR&lt;1000000),30000,0)</f>
        <v>0</v>
      </c>
    </row>
    <row r="56" spans="1:3">
      <c r="A56" t="s">
        <v>276</v>
      </c>
      <c r="B56" t="s">
        <v>107</v>
      </c>
      <c r="C56">
        <f>IF(AND(SV_HL_YR&gt;1000000,SV_HL_YR&lt;2000000),40000,0)</f>
        <v>0</v>
      </c>
    </row>
    <row r="57" spans="1:3">
      <c r="A57" t="s">
        <v>276</v>
      </c>
      <c r="B57" t="s">
        <v>107</v>
      </c>
      <c r="C57">
        <f>IF(AND(SV_HL_YR&gt;2000000,SV_HL_YR&lt;4000000),50000,0)</f>
        <v>0</v>
      </c>
    </row>
    <row r="58" spans="1:3">
      <c r="A58" t="s">
        <v>276</v>
      </c>
      <c r="B58" t="s">
        <v>107</v>
      </c>
      <c r="C58">
        <f>IF(AND(SV_HL_YR&gt;4000000,SV_HL_YR&lt;8000000),60000,0)</f>
        <v>0</v>
      </c>
    </row>
    <row r="59" spans="1:3">
      <c r="A59" t="s">
        <v>276</v>
      </c>
      <c r="B59" t="s">
        <v>107</v>
      </c>
      <c r="C59">
        <f>IF(AND(SV_HL_YR&gt;8000000,SV_HL_YR&lt;12000000),70000,0)</f>
        <v>0</v>
      </c>
    </row>
    <row r="60" spans="1:3">
      <c r="A60" t="s">
        <v>276</v>
      </c>
      <c r="B60" t="s">
        <v>107</v>
      </c>
      <c r="C60">
        <f>IF(AND(SV_HL_YR&gt;12000000,SV_HL_YR&lt;16000000),80000,0)</f>
        <v>0</v>
      </c>
    </row>
    <row r="61" spans="1:3">
      <c r="A61" t="s">
        <v>276</v>
      </c>
      <c r="B61" t="s">
        <v>107</v>
      </c>
      <c r="C61">
        <f>IF(AND(SV_HL_YR&gt;16000000,SV_HL_YR&lt;20000000),90000,0)</f>
        <v>0</v>
      </c>
    </row>
    <row r="62" spans="1:3">
      <c r="A62" t="s">
        <v>276</v>
      </c>
      <c r="B62" t="s">
        <v>107</v>
      </c>
      <c r="C62">
        <f>IF(SV_HL_YR&gt;20000000,100000,0)</f>
        <v>0</v>
      </c>
    </row>
    <row r="63" spans="1:3">
      <c r="A63" t="s">
        <v>277</v>
      </c>
      <c r="B63" t="s">
        <v>107</v>
      </c>
      <c r="C63">
        <f>MAX(C54:C62)</f>
        <v>20000</v>
      </c>
    </row>
    <row r="64" spans="1:3">
      <c r="A64" t="s">
        <v>278</v>
      </c>
      <c r="B64" t="s">
        <v>107</v>
      </c>
      <c r="C64">
        <f>CSTLAB_HL*(ENRCCI/4006)</f>
        <v>41889.665501747375</v>
      </c>
    </row>
    <row r="65" spans="1:3">
      <c r="A65" t="s">
        <v>279</v>
      </c>
      <c r="B65" t="s">
        <v>283</v>
      </c>
      <c r="C65">
        <f>C21*0.28</f>
        <v>0.28000000000000003</v>
      </c>
    </row>
    <row r="66" spans="1:3">
      <c r="A66" t="s">
        <v>280</v>
      </c>
      <c r="B66" t="s">
        <v>283</v>
      </c>
      <c r="C66">
        <f>C22*0.32</f>
        <v>0</v>
      </c>
    </row>
    <row r="67" spans="1:3">
      <c r="A67" t="s">
        <v>281</v>
      </c>
      <c r="B67" t="s">
        <v>283</v>
      </c>
      <c r="C67">
        <f>IF(SUM(C23,C24)&gt;0,0.36,0)</f>
        <v>0</v>
      </c>
    </row>
    <row r="68" spans="1:3">
      <c r="A68" t="s">
        <v>282</v>
      </c>
      <c r="B68" t="s">
        <v>283</v>
      </c>
      <c r="C68">
        <f>IF(SUM(C25,C26)&gt;0,0.4,0)</f>
        <v>0</v>
      </c>
    </row>
    <row r="69" spans="1:3">
      <c r="A69" t="s">
        <v>284</v>
      </c>
      <c r="B69" t="s">
        <v>283</v>
      </c>
      <c r="C69">
        <f>MAX(C65:C68)</f>
        <v>0.28000000000000003</v>
      </c>
    </row>
    <row r="70" spans="1:3">
      <c r="A70" t="s">
        <v>285</v>
      </c>
      <c r="B70" t="s">
        <v>107</v>
      </c>
      <c r="C70">
        <f>RTHD*NRT_HL*MCM*(MSECI/751)</f>
        <v>915.88128255659285</v>
      </c>
    </row>
    <row r="71" spans="1:3">
      <c r="A71" t="s">
        <v>286</v>
      </c>
      <c r="B71" t="s">
        <v>150</v>
      </c>
      <c r="C71">
        <f>COSTLA_HL*0.05</f>
        <v>2094.4832750873688</v>
      </c>
    </row>
    <row r="72" spans="1:3">
      <c r="A72" t="s">
        <v>287</v>
      </c>
      <c r="B72" t="s">
        <v>150</v>
      </c>
      <c r="C72">
        <f>DT*COSTL*1.2</f>
        <v>9411.8458666666647</v>
      </c>
    </row>
    <row r="73" spans="1:3">
      <c r="A73" t="s">
        <v>288</v>
      </c>
      <c r="B73" t="s">
        <v>150</v>
      </c>
      <c r="C73">
        <f>FU_HL*COSTDF</f>
        <v>534.93499999999995</v>
      </c>
    </row>
    <row r="74" spans="1:3">
      <c r="A74" t="s">
        <v>289</v>
      </c>
      <c r="B74" t="s">
        <v>150</v>
      </c>
      <c r="C74">
        <f>VMC_HL+MCOSTLA_HL+COSTLB_HL+COSTDSL_HL</f>
        <v>12957.145424310625</v>
      </c>
    </row>
    <row r="75" spans="1:3">
      <c r="A75" t="s">
        <v>290</v>
      </c>
      <c r="B75" t="s">
        <v>150</v>
      </c>
      <c r="C75">
        <f>CRF*TBCC_HL</f>
        <v>18807.487909577972</v>
      </c>
    </row>
    <row r="76" spans="1:3">
      <c r="A76" t="s">
        <v>291</v>
      </c>
      <c r="B76" t="s">
        <v>107</v>
      </c>
      <c r="C76">
        <f>TTCOST+COSTLA_HL</f>
        <v>160118.74672678087</v>
      </c>
    </row>
    <row r="77" spans="1:3">
      <c r="A77" t="s">
        <v>292</v>
      </c>
      <c r="B77" t="s">
        <v>110</v>
      </c>
      <c r="C77">
        <f>(SV_HL*8.34*SS_HL*SSG*365)/((2000)*(100))</f>
        <v>56.002518763402428</v>
      </c>
    </row>
    <row r="78" spans="1:3">
      <c r="A78" t="s">
        <v>293</v>
      </c>
      <c r="B78" t="s">
        <v>5</v>
      </c>
      <c r="C78">
        <v>5</v>
      </c>
    </row>
    <row r="79" spans="1:3">
      <c r="A79" t="s">
        <v>294</v>
      </c>
      <c r="B79" t="s">
        <v>106</v>
      </c>
      <c r="C79">
        <f>(ACC_HL+COSTOM_HL)/TDSS_HL</f>
        <v>567.20008376920975</v>
      </c>
    </row>
    <row r="80" spans="1:3">
      <c r="A80" t="s">
        <v>161</v>
      </c>
      <c r="B80" t="s">
        <v>162</v>
      </c>
      <c r="C80">
        <f>(ACC_HL+COSTOM_HL)/(SV_HL*8.34*365*SSG/2000)</f>
        <v>28.360004188460486</v>
      </c>
    </row>
  </sheetData>
  <mergeCells count="2">
    <mergeCell ref="C9:D9"/>
    <mergeCell ref="C16:D16"/>
  </mergeCells>
  <dataValidations count="2">
    <dataValidation type="list" allowBlank="1" showInputMessage="1" showErrorMessage="1" prompt="Type of Travel" sqref="C16">
      <formula1>$Q$12:$Q$14</formula1>
    </dataValidation>
    <dataValidation type="list" allowBlank="1" showInputMessage="1" showErrorMessage="1" prompt="Disposal Method" sqref="C9:D9">
      <formula1>Q5:Q10</formula1>
    </dataValidation>
  </dataValidations>
  <pageMargins left="0.75" right="0.75" top="1" bottom="1" header="0.5" footer="0.5"/>
  <pageSetup orientation="portrait" horizontalDpi="4294967292" verticalDpi="4294967292"/>
  <ignoredErrors>
    <ignoredError sqref="C23 C55" formula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T391"/>
  <sheetViews>
    <sheetView workbookViewId="0">
      <selection activeCell="A391" sqref="A391"/>
    </sheetView>
  </sheetViews>
  <sheetFormatPr baseColWidth="10" defaultRowHeight="15" x14ac:dyDescent="0"/>
  <cols>
    <col min="1" max="1" width="18.6640625" customWidth="1"/>
  </cols>
  <sheetData>
    <row r="1" spans="1:20">
      <c r="A1" s="39" t="s">
        <v>60</v>
      </c>
      <c r="B1" s="41"/>
      <c r="C1" s="41"/>
      <c r="D1" s="40"/>
      <c r="E1" s="3"/>
    </row>
    <row r="2" spans="1:20">
      <c r="A2" s="39" t="s">
        <v>64</v>
      </c>
      <c r="B2" s="40"/>
      <c r="C2" s="39" t="s">
        <v>59</v>
      </c>
      <c r="D2" s="40"/>
      <c r="E2" s="3"/>
    </row>
    <row r="3" spans="1:20">
      <c r="A3" s="2" t="s">
        <v>61</v>
      </c>
      <c r="B3" s="5">
        <v>75</v>
      </c>
      <c r="C3" s="2" t="s">
        <v>61</v>
      </c>
      <c r="D3" s="5">
        <v>77</v>
      </c>
      <c r="E3" s="3"/>
    </row>
    <row r="4" spans="1:20">
      <c r="A4" s="6" t="s">
        <v>62</v>
      </c>
      <c r="B4" s="5">
        <v>40</v>
      </c>
      <c r="C4" s="2"/>
      <c r="D4" s="2"/>
      <c r="E4" s="3"/>
      <c r="K4" s="33" t="s">
        <v>361</v>
      </c>
      <c r="L4" s="33"/>
      <c r="M4" s="33"/>
      <c r="N4" s="33"/>
      <c r="P4" s="33" t="s">
        <v>362</v>
      </c>
      <c r="Q4" s="33"/>
      <c r="R4" s="33"/>
      <c r="S4" s="33"/>
    </row>
    <row r="5" spans="1:20">
      <c r="A5" s="6" t="s">
        <v>63</v>
      </c>
      <c r="B5" s="5">
        <v>71</v>
      </c>
      <c r="C5" s="2"/>
      <c r="D5" s="2"/>
      <c r="E5" s="3"/>
      <c r="J5" t="s">
        <v>363</v>
      </c>
      <c r="K5" t="s">
        <v>222</v>
      </c>
      <c r="L5" t="s">
        <v>167</v>
      </c>
      <c r="M5" t="s">
        <v>364</v>
      </c>
      <c r="N5" t="s">
        <v>63</v>
      </c>
      <c r="O5" t="s">
        <v>166</v>
      </c>
      <c r="P5" t="s">
        <v>222</v>
      </c>
      <c r="Q5" t="s">
        <v>167</v>
      </c>
      <c r="R5" t="s">
        <v>364</v>
      </c>
      <c r="S5" t="s">
        <v>63</v>
      </c>
      <c r="T5" t="s">
        <v>365</v>
      </c>
    </row>
    <row r="6" spans="1:20">
      <c r="A6" s="7" t="s">
        <v>65</v>
      </c>
      <c r="B6" s="4"/>
      <c r="C6" s="3"/>
      <c r="D6" s="3"/>
      <c r="E6" s="3"/>
      <c r="J6" t="s">
        <v>366</v>
      </c>
      <c r="K6">
        <v>75</v>
      </c>
      <c r="L6">
        <v>40</v>
      </c>
      <c r="N6">
        <v>71</v>
      </c>
    </row>
    <row r="7" spans="1:20">
      <c r="A7" s="7" t="s">
        <v>66</v>
      </c>
      <c r="B7" s="3"/>
      <c r="C7" s="3"/>
      <c r="D7" s="3"/>
      <c r="E7" s="3"/>
      <c r="J7" t="s">
        <v>367</v>
      </c>
      <c r="K7">
        <v>75</v>
      </c>
      <c r="L7">
        <v>62</v>
      </c>
      <c r="N7">
        <v>71</v>
      </c>
    </row>
    <row r="8" spans="1:20">
      <c r="J8" t="s">
        <v>368</v>
      </c>
      <c r="K8">
        <v>93</v>
      </c>
    </row>
    <row r="9" spans="1:20">
      <c r="J9" t="s">
        <v>369</v>
      </c>
      <c r="P9">
        <v>280.35000000000002</v>
      </c>
      <c r="Q9">
        <v>252</v>
      </c>
    </row>
    <row r="10" spans="1:20">
      <c r="J10" t="s">
        <v>370</v>
      </c>
      <c r="L10">
        <v>41</v>
      </c>
    </row>
    <row r="11" spans="1:20">
      <c r="J11" t="s">
        <v>371</v>
      </c>
      <c r="L11">
        <v>68</v>
      </c>
    </row>
    <row r="12" spans="1:20">
      <c r="J12" t="s">
        <v>372</v>
      </c>
      <c r="L12">
        <v>87</v>
      </c>
    </row>
    <row r="13" spans="1:20">
      <c r="J13" t="s">
        <v>373</v>
      </c>
      <c r="P13">
        <v>256.08</v>
      </c>
      <c r="Q13">
        <v>201.65</v>
      </c>
    </row>
    <row r="14" spans="1:20">
      <c r="J14" t="s">
        <v>374</v>
      </c>
      <c r="P14">
        <v>260.32</v>
      </c>
      <c r="Q14">
        <v>145.16</v>
      </c>
    </row>
    <row r="15" spans="1:20">
      <c r="J15" t="s">
        <v>375</v>
      </c>
      <c r="L15">
        <v>30</v>
      </c>
    </row>
    <row r="16" spans="1:20">
      <c r="J16" t="s">
        <v>376</v>
      </c>
      <c r="K16">
        <v>170</v>
      </c>
    </row>
    <row r="17" spans="10:20">
      <c r="J17" t="s">
        <v>377</v>
      </c>
      <c r="K17">
        <v>33</v>
      </c>
    </row>
    <row r="18" spans="10:20">
      <c r="J18" t="s">
        <v>378</v>
      </c>
      <c r="L18">
        <v>60</v>
      </c>
    </row>
    <row r="19" spans="10:20">
      <c r="J19" t="s">
        <v>379</v>
      </c>
      <c r="L19">
        <v>290</v>
      </c>
    </row>
    <row r="20" spans="10:20">
      <c r="J20" t="s">
        <v>380</v>
      </c>
      <c r="L20">
        <v>115.44</v>
      </c>
      <c r="P20">
        <v>192.4</v>
      </c>
      <c r="Q20">
        <v>192.4</v>
      </c>
      <c r="S20">
        <v>277.06</v>
      </c>
      <c r="T20" t="s">
        <v>381</v>
      </c>
    </row>
    <row r="21" spans="10:20">
      <c r="J21" t="s">
        <v>380</v>
      </c>
      <c r="Q21">
        <v>97</v>
      </c>
      <c r="S21">
        <v>323</v>
      </c>
    </row>
    <row r="22" spans="10:20">
      <c r="J22" t="s">
        <v>382</v>
      </c>
      <c r="Q22">
        <v>377</v>
      </c>
      <c r="T22" t="s">
        <v>383</v>
      </c>
    </row>
    <row r="23" spans="10:20">
      <c r="J23" t="s">
        <v>384</v>
      </c>
      <c r="P23">
        <v>138</v>
      </c>
      <c r="T23" t="s">
        <v>385</v>
      </c>
    </row>
    <row r="24" spans="10:20">
      <c r="J24" t="s">
        <v>386</v>
      </c>
      <c r="P24">
        <v>100</v>
      </c>
      <c r="T24" t="s">
        <v>387</v>
      </c>
    </row>
    <row r="25" spans="10:20">
      <c r="J25" t="s">
        <v>388</v>
      </c>
      <c r="P25">
        <v>162</v>
      </c>
      <c r="T25" t="s">
        <v>389</v>
      </c>
    </row>
    <row r="26" spans="10:20">
      <c r="J26" t="s">
        <v>390</v>
      </c>
      <c r="P26">
        <v>182</v>
      </c>
      <c r="T26" t="s">
        <v>391</v>
      </c>
    </row>
    <row r="27" spans="10:20">
      <c r="J27" t="s">
        <v>392</v>
      </c>
      <c r="Q27">
        <v>127</v>
      </c>
      <c r="T27" t="s">
        <v>393</v>
      </c>
    </row>
    <row r="28" spans="10:20">
      <c r="J28" t="s">
        <v>394</v>
      </c>
      <c r="K28">
        <v>88</v>
      </c>
    </row>
    <row r="29" spans="10:20">
      <c r="J29" t="s">
        <v>395</v>
      </c>
      <c r="K29">
        <v>140</v>
      </c>
    </row>
    <row r="30" spans="10:20">
      <c r="J30" t="s">
        <v>396</v>
      </c>
      <c r="P30">
        <v>100</v>
      </c>
    </row>
    <row r="31" spans="10:20">
      <c r="J31" t="s">
        <v>397</v>
      </c>
      <c r="L31">
        <v>40</v>
      </c>
    </row>
    <row r="32" spans="10:20">
      <c r="J32" t="s">
        <v>398</v>
      </c>
      <c r="K32">
        <v>11</v>
      </c>
    </row>
    <row r="33" spans="1:14">
      <c r="J33" t="s">
        <v>399</v>
      </c>
      <c r="K33">
        <v>31</v>
      </c>
      <c r="L33">
        <v>46</v>
      </c>
      <c r="N33">
        <v>15.2</v>
      </c>
    </row>
    <row r="35" spans="1:14">
      <c r="A35" t="s">
        <v>186</v>
      </c>
    </row>
    <row r="50" spans="1:1">
      <c r="A50" t="s">
        <v>187</v>
      </c>
    </row>
    <row r="84" spans="1:1">
      <c r="A84" t="s">
        <v>188</v>
      </c>
    </row>
    <row r="120" spans="1:1">
      <c r="A120" t="s">
        <v>189</v>
      </c>
    </row>
    <row r="121" spans="1:1">
      <c r="A121" t="s">
        <v>190</v>
      </c>
    </row>
    <row r="122" spans="1:1">
      <c r="A122" t="s">
        <v>191</v>
      </c>
    </row>
    <row r="215" spans="1:14" ht="21" customHeight="1">
      <c r="A215" s="33" t="s">
        <v>192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</row>
    <row r="217" spans="1:14">
      <c r="A217" t="s">
        <v>193</v>
      </c>
    </row>
    <row r="218" spans="1:14">
      <c r="A218" t="s">
        <v>194</v>
      </c>
    </row>
    <row r="221" spans="1:14">
      <c r="A221" t="s">
        <v>360</v>
      </c>
    </row>
    <row r="222" spans="1:14">
      <c r="A222" t="s">
        <v>195</v>
      </c>
    </row>
    <row r="224" spans="1:14">
      <c r="A224" t="s">
        <v>196</v>
      </c>
    </row>
    <row r="225" spans="1:1">
      <c r="A225" t="s">
        <v>198</v>
      </c>
    </row>
    <row r="226" spans="1:1">
      <c r="A226" t="s">
        <v>199</v>
      </c>
    </row>
    <row r="227" spans="1:1">
      <c r="A227" t="s">
        <v>200</v>
      </c>
    </row>
    <row r="228" spans="1:1">
      <c r="A228" t="s">
        <v>197</v>
      </c>
    </row>
    <row r="230" spans="1:1">
      <c r="A230" t="s">
        <v>201</v>
      </c>
    </row>
    <row r="266" spans="1:1">
      <c r="A266" t="s">
        <v>203</v>
      </c>
    </row>
    <row r="290" spans="1:1">
      <c r="A290" t="s">
        <v>202</v>
      </c>
    </row>
    <row r="292" spans="1:1">
      <c r="A292" t="s">
        <v>204</v>
      </c>
    </row>
    <row r="327" spans="1:1">
      <c r="A327" t="s">
        <v>208</v>
      </c>
    </row>
    <row r="391" spans="1:1">
      <c r="A391" t="s">
        <v>359</v>
      </c>
    </row>
  </sheetData>
  <mergeCells count="6">
    <mergeCell ref="P4:S4"/>
    <mergeCell ref="C2:D2"/>
    <mergeCell ref="A2:B2"/>
    <mergeCell ref="A1:D1"/>
    <mergeCell ref="A215:N215"/>
    <mergeCell ref="K4:N4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D72"/>
  <sheetViews>
    <sheetView workbookViewId="0">
      <selection activeCell="C53" sqref="C53"/>
    </sheetView>
  </sheetViews>
  <sheetFormatPr baseColWidth="10" defaultRowHeight="15" x14ac:dyDescent="0"/>
  <sheetData>
    <row r="1" spans="1:4">
      <c r="A1" t="s">
        <v>0</v>
      </c>
    </row>
    <row r="5" spans="1:4">
      <c r="A5" s="15"/>
      <c r="B5" s="15"/>
      <c r="D5" s="15"/>
    </row>
    <row r="6" spans="1:4">
      <c r="A6" s="15"/>
      <c r="B6" s="15"/>
      <c r="D6" s="15"/>
    </row>
    <row r="7" spans="1:4">
      <c r="A7" s="15"/>
      <c r="B7" s="15"/>
      <c r="D7" s="15"/>
    </row>
    <row r="8" spans="1:4">
      <c r="A8" s="15"/>
      <c r="B8" s="15"/>
      <c r="D8" s="15"/>
    </row>
    <row r="9" spans="1:4">
      <c r="A9" s="15"/>
      <c r="B9" s="15"/>
      <c r="D9" s="15"/>
    </row>
    <row r="10" spans="1:4">
      <c r="A10" s="15"/>
      <c r="B10" s="15"/>
      <c r="D10" s="15"/>
    </row>
    <row r="11" spans="1:4">
      <c r="A11" s="15"/>
      <c r="B11" s="15"/>
      <c r="D11" s="15"/>
    </row>
    <row r="12" spans="1:4">
      <c r="A12" s="15"/>
      <c r="B12" s="15"/>
      <c r="D12" s="15"/>
    </row>
    <row r="13" spans="1:4">
      <c r="A13" s="15"/>
      <c r="B13" s="15"/>
      <c r="D13" s="15"/>
    </row>
    <row r="14" spans="1:4">
      <c r="A14" s="15"/>
      <c r="B14" s="15"/>
      <c r="D14" s="15"/>
    </row>
    <row r="15" spans="1:4">
      <c r="A15" s="15"/>
      <c r="B15" s="15"/>
      <c r="D15" s="15"/>
    </row>
    <row r="16" spans="1:4">
      <c r="A16" s="15"/>
      <c r="B16" s="15"/>
      <c r="D16" s="15"/>
    </row>
    <row r="17" spans="1:4">
      <c r="A17" s="15"/>
      <c r="B17" s="15"/>
      <c r="D17" s="15"/>
    </row>
    <row r="18" spans="1:4">
      <c r="A18" s="15"/>
      <c r="B18" s="15"/>
      <c r="D18" s="15"/>
    </row>
    <row r="19" spans="1:4">
      <c r="A19" s="15"/>
      <c r="B19" s="15"/>
      <c r="D19" s="15"/>
    </row>
    <row r="20" spans="1:4">
      <c r="A20" s="15"/>
      <c r="B20" s="15"/>
      <c r="D20" s="15"/>
    </row>
    <row r="21" spans="1:4">
      <c r="A21" s="15"/>
      <c r="B21" s="15"/>
      <c r="D21" s="15"/>
    </row>
    <row r="22" spans="1:4">
      <c r="A22" s="15"/>
      <c r="B22" s="15"/>
      <c r="D22" s="15"/>
    </row>
    <row r="23" spans="1:4">
      <c r="A23" s="15"/>
      <c r="B23" s="15"/>
      <c r="D23" s="15"/>
    </row>
    <row r="24" spans="1:4">
      <c r="A24" s="15"/>
      <c r="B24" s="15"/>
      <c r="D24" s="15"/>
    </row>
    <row r="25" spans="1:4">
      <c r="A25" s="15"/>
      <c r="B25" s="15"/>
      <c r="D25" s="15"/>
    </row>
    <row r="26" spans="1:4">
      <c r="A26" s="15"/>
      <c r="B26" s="15"/>
      <c r="D26" s="15"/>
    </row>
    <row r="27" spans="1:4">
      <c r="A27" s="15"/>
      <c r="B27" s="15"/>
      <c r="D27" s="15"/>
    </row>
    <row r="28" spans="1:4">
      <c r="A28" s="15"/>
      <c r="B28" s="15"/>
      <c r="D28" s="15"/>
    </row>
    <row r="29" spans="1:4">
      <c r="A29" s="15"/>
      <c r="B29" s="15"/>
      <c r="D29" s="15"/>
    </row>
    <row r="30" spans="1:4">
      <c r="A30" s="15"/>
      <c r="B30" s="15"/>
      <c r="D30" s="15"/>
    </row>
    <row r="31" spans="1:4">
      <c r="A31" s="15"/>
      <c r="B31" s="15"/>
      <c r="D31" s="15"/>
    </row>
    <row r="32" spans="1:4">
      <c r="A32" s="15"/>
      <c r="B32" s="15"/>
      <c r="D32" s="15"/>
    </row>
    <row r="33" spans="1:4">
      <c r="A33" s="15"/>
      <c r="B33" s="15"/>
      <c r="D33" s="15"/>
    </row>
    <row r="34" spans="1:4">
      <c r="A34" s="15"/>
      <c r="B34" s="15"/>
      <c r="D34" s="15"/>
    </row>
    <row r="35" spans="1:4">
      <c r="A35" s="15"/>
      <c r="B35" s="15"/>
      <c r="D35" s="15"/>
    </row>
    <row r="36" spans="1:4">
      <c r="A36" s="15"/>
      <c r="B36" s="15"/>
      <c r="D36" s="15"/>
    </row>
    <row r="37" spans="1:4">
      <c r="A37" s="15"/>
      <c r="B37" s="15"/>
      <c r="D37" s="15"/>
    </row>
    <row r="38" spans="1:4">
      <c r="A38" s="15"/>
      <c r="B38" s="15"/>
      <c r="D38" s="15"/>
    </row>
    <row r="39" spans="1:4">
      <c r="A39" s="15"/>
      <c r="B39" s="15"/>
      <c r="D39" s="15"/>
    </row>
    <row r="40" spans="1:4">
      <c r="A40" s="15"/>
      <c r="B40" s="15"/>
      <c r="D40" s="15"/>
    </row>
    <row r="41" spans="1:4">
      <c r="A41" s="15"/>
      <c r="B41" s="15"/>
      <c r="D41" s="15"/>
    </row>
    <row r="42" spans="1:4">
      <c r="A42" s="15"/>
      <c r="B42" s="15"/>
      <c r="D42" s="15"/>
    </row>
    <row r="43" spans="1:4">
      <c r="A43" s="15"/>
      <c r="B43" s="15"/>
      <c r="D43" s="15"/>
    </row>
    <row r="44" spans="1:4">
      <c r="A44" s="15"/>
      <c r="B44" s="15"/>
      <c r="D44" s="15"/>
    </row>
    <row r="45" spans="1:4">
      <c r="A45" s="15"/>
      <c r="B45" s="15"/>
      <c r="D45" s="15"/>
    </row>
    <row r="46" spans="1:4">
      <c r="A46" s="15"/>
      <c r="B46" s="15"/>
      <c r="D46" s="15"/>
    </row>
    <row r="47" spans="1:4">
      <c r="A47" s="15"/>
      <c r="B47" s="15"/>
      <c r="D47" s="15"/>
    </row>
    <row r="48" spans="1:4">
      <c r="A48" s="15"/>
      <c r="B48" s="15"/>
      <c r="D48" s="15"/>
    </row>
    <row r="49" spans="1:4">
      <c r="A49" s="15"/>
      <c r="B49" s="15"/>
      <c r="D49" s="15"/>
    </row>
    <row r="50" spans="1:4">
      <c r="A50" s="15"/>
      <c r="B50" s="15"/>
      <c r="D50" s="15"/>
    </row>
    <row r="51" spans="1:4">
      <c r="A51" s="15"/>
      <c r="B51" s="15"/>
      <c r="D51" s="15"/>
    </row>
    <row r="52" spans="1:4">
      <c r="A52" s="15"/>
      <c r="B52" s="15"/>
      <c r="D52" s="15"/>
    </row>
    <row r="53" spans="1:4">
      <c r="A53" s="15"/>
      <c r="B53" s="15"/>
      <c r="D53" s="15"/>
    </row>
    <row r="54" spans="1:4">
      <c r="A54" s="15"/>
      <c r="B54" s="15"/>
      <c r="D54" s="15"/>
    </row>
    <row r="55" spans="1:4">
      <c r="A55" s="15"/>
      <c r="B55" s="15"/>
      <c r="D55" s="15"/>
    </row>
    <row r="56" spans="1:4">
      <c r="A56" s="15"/>
      <c r="B56" s="15"/>
      <c r="D56" s="15"/>
    </row>
    <row r="57" spans="1:4">
      <c r="A57" s="15"/>
      <c r="B57" s="15"/>
      <c r="D57" s="15"/>
    </row>
    <row r="58" spans="1:4">
      <c r="A58" s="15"/>
      <c r="B58" s="15"/>
      <c r="D58" s="15"/>
    </row>
    <row r="59" spans="1:4">
      <c r="A59" s="15"/>
      <c r="B59" s="15"/>
      <c r="D59" s="15"/>
    </row>
    <row r="60" spans="1:4">
      <c r="A60" s="15"/>
      <c r="B60" s="15"/>
      <c r="D60" s="15"/>
    </row>
    <row r="61" spans="1:4">
      <c r="A61" s="15"/>
      <c r="B61" s="15"/>
      <c r="D61" s="15"/>
    </row>
    <row r="62" spans="1:4">
      <c r="A62" s="15"/>
      <c r="B62" s="15"/>
      <c r="D62" s="15"/>
    </row>
    <row r="63" spans="1:4">
      <c r="A63" s="15"/>
      <c r="B63" s="15"/>
      <c r="D63" s="15"/>
    </row>
    <row r="64" spans="1:4">
      <c r="A64" s="15"/>
      <c r="B64" s="15"/>
      <c r="D64" s="15"/>
    </row>
    <row r="65" spans="1:4">
      <c r="A65" s="15"/>
      <c r="B65" s="15"/>
      <c r="D65" s="15"/>
    </row>
    <row r="66" spans="1:4">
      <c r="A66" s="15"/>
      <c r="B66" s="15"/>
      <c r="D66" s="15"/>
    </row>
    <row r="67" spans="1:4">
      <c r="A67" s="15"/>
      <c r="B67" s="15"/>
      <c r="D67" s="15"/>
    </row>
    <row r="68" spans="1:4">
      <c r="A68" s="15"/>
      <c r="B68" s="15"/>
      <c r="D68" s="15"/>
    </row>
    <row r="69" spans="1:4">
      <c r="A69" s="15"/>
      <c r="B69" s="15"/>
      <c r="D69" s="15"/>
    </row>
    <row r="70" spans="1:4">
      <c r="A70" s="15"/>
      <c r="B70" s="15"/>
      <c r="D70" s="15"/>
    </row>
    <row r="71" spans="1:4">
      <c r="A71" s="15"/>
      <c r="B71" s="15"/>
      <c r="D71" s="15"/>
    </row>
    <row r="72" spans="1:4">
      <c r="A72" s="15"/>
      <c r="B72" s="15"/>
      <c r="D72" s="1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A223"/>
  <sheetViews>
    <sheetView topLeftCell="A134" workbookViewId="0">
      <selection activeCell="I229" sqref="I229"/>
    </sheetView>
  </sheetViews>
  <sheetFormatPr baseColWidth="10" defaultRowHeight="15" x14ac:dyDescent="0"/>
  <sheetData>
    <row r="1" spans="1:1" ht="20">
      <c r="A1" s="13" t="s">
        <v>205</v>
      </c>
    </row>
    <row r="42" spans="1:1">
      <c r="A42" t="s">
        <v>206</v>
      </c>
    </row>
    <row r="55" spans="1:1">
      <c r="A55" t="s">
        <v>206</v>
      </c>
    </row>
    <row r="77" spans="1:1">
      <c r="A77" t="s">
        <v>207</v>
      </c>
    </row>
    <row r="140" spans="1:1">
      <c r="A140" t="s">
        <v>209</v>
      </c>
    </row>
    <row r="223" spans="1:1">
      <c r="A223" t="s">
        <v>210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Inputs</vt:lpstr>
      <vt:lpstr>Supply Curves</vt:lpstr>
      <vt:lpstr>State Data</vt:lpstr>
      <vt:lpstr>Sensitivity Analysis</vt:lpstr>
      <vt:lpstr>Cost Index Estimation</vt:lpstr>
      <vt:lpstr>Calibration</vt:lpstr>
      <vt:lpstr>Agricultural Land Application</vt:lpstr>
      <vt:lpstr>Anaerobic Digestion</vt:lpstr>
      <vt:lpstr>Multiple Hearth Incineration</vt:lpstr>
      <vt:lpstr>Dewatering</vt:lpstr>
      <vt:lpstr>Dewatered Sludge Hauling</vt:lpstr>
      <vt:lpstr>Landfill</vt:lpstr>
      <vt:lpstr>Liquid Sludge Hauling</vt:lpstr>
      <vt:lpstr>Cost Data</vt:lpstr>
      <vt:lpstr>Workspace</vt:lpstr>
      <vt:lpstr>Regional Sludge Production Info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Badgett</dc:creator>
  <cp:lastModifiedBy>Alex Badgett</cp:lastModifiedBy>
  <dcterms:created xsi:type="dcterms:W3CDTF">2017-06-15T19:22:57Z</dcterms:created>
  <dcterms:modified xsi:type="dcterms:W3CDTF">2017-07-25T01:49:32Z</dcterms:modified>
</cp:coreProperties>
</file>