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iryap/Desktop/"/>
    </mc:Choice>
  </mc:AlternateContent>
  <xr:revisionPtr revIDLastSave="0" documentId="13_ncr:1_{60B3D209-2981-2E4E-87EB-85646BA601E0}" xr6:coauthVersionLast="43" xr6:coauthVersionMax="43" xr10:uidLastSave="{00000000-0000-0000-0000-000000000000}"/>
  <bookViews>
    <workbookView xWindow="0" yWindow="0" windowWidth="33600" windowHeight="21000" xr2:uid="{F9C33181-A1F9-FE4F-B742-EA274CA83B71}"/>
  </bookViews>
  <sheets>
    <sheet name="Sheet2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8" l="1"/>
  <c r="K5" i="8"/>
  <c r="K6" i="8"/>
  <c r="K3" i="8"/>
  <c r="G4" i="8"/>
  <c r="G5" i="8"/>
  <c r="G6" i="8"/>
  <c r="F4" i="8"/>
  <c r="F5" i="8"/>
  <c r="F6" i="8"/>
  <c r="G3" i="8"/>
  <c r="F3" i="8"/>
  <c r="E4" i="8"/>
  <c r="E5" i="8"/>
  <c r="E6" i="8"/>
  <c r="E3" i="8"/>
  <c r="AH4" i="8" l="1"/>
  <c r="AI4" i="8" s="1"/>
  <c r="AH5" i="8"/>
  <c r="AH6" i="8"/>
  <c r="AH3" i="8"/>
  <c r="AI3" i="8" s="1"/>
  <c r="AF3" i="8"/>
  <c r="I4" i="8"/>
  <c r="M4" i="8" s="1"/>
  <c r="N4" i="8" s="1"/>
  <c r="Q4" i="8" s="1"/>
  <c r="I5" i="8"/>
  <c r="M5" i="8" s="1"/>
  <c r="N5" i="8" s="1"/>
  <c r="Q5" i="8" s="1"/>
  <c r="AJ5" i="8" s="1"/>
  <c r="I6" i="8"/>
  <c r="M6" i="8" s="1"/>
  <c r="N6" i="8" s="1"/>
  <c r="Q6" i="8" s="1"/>
  <c r="I3" i="8"/>
  <c r="M3" i="8" s="1"/>
  <c r="N3" i="8" s="1"/>
  <c r="Q3" i="8" s="1"/>
  <c r="AD4" i="8"/>
  <c r="AD5" i="8"/>
  <c r="AD6" i="8"/>
  <c r="AD3" i="8"/>
  <c r="A3" i="8"/>
  <c r="H4" i="8"/>
  <c r="J4" i="8" s="1"/>
  <c r="H5" i="8"/>
  <c r="J5" i="8" s="1"/>
  <c r="H6" i="8"/>
  <c r="J6" i="8" s="1"/>
  <c r="H3" i="8"/>
  <c r="J3" i="8" s="1"/>
  <c r="AG5" i="8" l="1"/>
  <c r="AG4" i="8"/>
  <c r="R4" i="8"/>
  <c r="AJ4" i="8"/>
  <c r="R6" i="8"/>
  <c r="AJ6" i="8"/>
  <c r="R3" i="8"/>
  <c r="AJ3" i="8"/>
  <c r="AG3" i="8"/>
  <c r="AG6" i="8"/>
  <c r="AI6" i="8"/>
  <c r="AI5" i="8"/>
  <c r="R5" i="8"/>
  <c r="T5" i="8"/>
  <c r="S5" i="8"/>
  <c r="S4" i="8"/>
  <c r="S6" i="8"/>
  <c r="T6" i="8"/>
  <c r="U6" i="8" s="1"/>
  <c r="Y6" i="8" s="1"/>
  <c r="T4" i="8"/>
  <c r="U4" i="8" s="1"/>
  <c r="V4" i="8" s="1"/>
  <c r="T3" i="8"/>
  <c r="S3" i="8"/>
  <c r="U3" i="8"/>
  <c r="Z4" i="8" l="1"/>
  <c r="Y4" i="8"/>
  <c r="W4" i="8"/>
  <c r="X4" i="8"/>
  <c r="AA4" i="8" s="1"/>
  <c r="AB4" i="8" s="1"/>
  <c r="AK4" i="8" s="1"/>
  <c r="AL4" i="8" s="1"/>
  <c r="X6" i="8"/>
  <c r="V6" i="8"/>
  <c r="Z6" i="8"/>
  <c r="U5" i="8"/>
  <c r="W6" i="8"/>
  <c r="X3" i="8"/>
  <c r="W3" i="8"/>
  <c r="V3" i="8"/>
  <c r="Z3" i="8"/>
  <c r="Y3" i="8"/>
  <c r="AA6" i="8" l="1"/>
  <c r="AB6" i="8" s="1"/>
  <c r="AK6" i="8" s="1"/>
  <c r="AL6" i="8" s="1"/>
  <c r="Y5" i="8"/>
  <c r="V5" i="8"/>
  <c r="W5" i="8"/>
  <c r="X5" i="8"/>
  <c r="Z5" i="8"/>
  <c r="AA3" i="8"/>
  <c r="AB3" i="8" s="1"/>
  <c r="AK3" i="8" s="1"/>
  <c r="AL3" i="8" s="1"/>
  <c r="AC6" i="8"/>
  <c r="AE6" i="8" s="1"/>
  <c r="AC4" i="8"/>
  <c r="AE4" i="8" s="1"/>
  <c r="AA5" i="8" l="1"/>
  <c r="AC3" i="8"/>
  <c r="AE3" i="8" s="1"/>
  <c r="AB5" i="8" l="1"/>
  <c r="AK5" i="8" s="1"/>
  <c r="AL5" i="8" s="1"/>
  <c r="AC5" i="8" l="1"/>
  <c r="AE5" i="8" s="1"/>
</calcChain>
</file>

<file path=xl/sharedStrings.xml><?xml version="1.0" encoding="utf-8"?>
<sst xmlns="http://schemas.openxmlformats.org/spreadsheetml/2006/main" count="42" uniqueCount="42">
  <si>
    <t>Overal installation factor (total installed cost/ scaled uninstalled cost) (PNNL Ap.B)</t>
  </si>
  <si>
    <t xml:space="preserve">scaled unistalled cost 2014 - 110 </t>
  </si>
  <si>
    <t>Size (mln gal/ day)</t>
  </si>
  <si>
    <t xml:space="preserve">biosolids ash free in base case, tonne per year </t>
  </si>
  <si>
    <t>sixth tenth</t>
  </si>
  <si>
    <t>scaled uninstalled cost 2014 (sixth tength)</t>
  </si>
  <si>
    <t>CE 2014</t>
  </si>
  <si>
    <t>CE 2015 - base year  for WESyS</t>
  </si>
  <si>
    <t>scaled uninstalled cost 2015 (sixth tength)</t>
  </si>
  <si>
    <t>Total installed cost - scaled INSTALLED cost - 2015</t>
  </si>
  <si>
    <t>Direct cost</t>
  </si>
  <si>
    <t>buildings (4% TIC)</t>
  </si>
  <si>
    <t>site development (10% TIC)</t>
  </si>
  <si>
    <t>additional piping (4.5% TIC)</t>
  </si>
  <si>
    <t>total direct cost</t>
  </si>
  <si>
    <t>Indirect cost</t>
  </si>
  <si>
    <t>Prorated expenses (10% TDC)</t>
  </si>
  <si>
    <t xml:space="preserve">Home office &amp; construction fees (20% TDC) </t>
  </si>
  <si>
    <t xml:space="preserve">Field expenses (10% TDC) </t>
  </si>
  <si>
    <t xml:space="preserve">Project contingency (10% TDC) </t>
  </si>
  <si>
    <t xml:space="preserve">Startup and permits (10% TDC) </t>
  </si>
  <si>
    <t>total indirect cost</t>
  </si>
  <si>
    <t>Fixed Capital Investment</t>
  </si>
  <si>
    <t>Working capital (5% FCI)</t>
  </si>
  <si>
    <t>Land (0.009)</t>
  </si>
  <si>
    <t>Total Capital Investment</t>
  </si>
  <si>
    <t>scale factor-2</t>
  </si>
  <si>
    <t>scale factor - 1 (based on influx)</t>
  </si>
  <si>
    <t>HTL Variable Operating cost 2014</t>
  </si>
  <si>
    <t>HTL variable op cost scaled</t>
  </si>
  <si>
    <t>HTL - fixed op cost - labor&amp;supervision</t>
  </si>
  <si>
    <t>HTL fixed op cost- maintenance and overhead - 90% pof labor and supervision</t>
  </si>
  <si>
    <t>HTL - fixed op cost - maintenance capital (3% TIC)</t>
  </si>
  <si>
    <t>Insurance and Taxes (0.7% FCI)</t>
  </si>
  <si>
    <t>HJTL operating cost</t>
  </si>
  <si>
    <t>total operating cost</t>
  </si>
  <si>
    <t xml:space="preserve"> </t>
  </si>
  <si>
    <t>biosolids ash free, tonne/ year - old spreadsheet</t>
  </si>
  <si>
    <t>total facility influx  per year</t>
  </si>
  <si>
    <t>solids yield ash free</t>
  </si>
  <si>
    <t>Annual solids influx - tonne/ year</t>
  </si>
  <si>
    <t>scale factor 3 - based on annual solids influx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</si>
</sst>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vertical="center" wrapText="1"/>
    </xf>
    <xf numFmtId="0" fontId="0" fillId="2" borderId="0" xfId="0" applyFill="1" applyBorder="1"/>
    <xf numFmtId="0" fontId="1" fillId="2" borderId="0" xfId="0" applyFont="1" applyFill="1" applyAlignment="1">
      <alignment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E81D2-83EC-7747-92B4-4A4A6102998A}">
  <dimension ref="A1:AL15"/>
  <sheetViews>
    <sheetView tabSelected="1" topLeftCell="O1" workbookViewId="0">
      <selection activeCell="AC21" sqref="AC21"/>
    </sheetView>
  </sheetViews>
  <sheetFormatPr baseColWidth="10" defaultRowHeight="16" x14ac:dyDescent="0.2"/>
  <cols>
    <col min="1" max="1" width="24.6640625" customWidth="1"/>
    <col min="17" max="17" width="12.33203125" customWidth="1"/>
    <col min="35" max="35" width="21.6640625" customWidth="1"/>
  </cols>
  <sheetData>
    <row r="1" spans="1:38" s="2" customFormat="1" x14ac:dyDescent="0.2">
      <c r="Q1" s="5"/>
      <c r="R1" s="6" t="s">
        <v>10</v>
      </c>
      <c r="S1" s="6"/>
      <c r="T1" s="6"/>
      <c r="U1" s="6"/>
      <c r="V1" s="6" t="s">
        <v>15</v>
      </c>
      <c r="W1" s="6"/>
      <c r="X1" s="6"/>
      <c r="Y1" s="6"/>
      <c r="Z1" s="6"/>
      <c r="AA1" s="6"/>
      <c r="AB1" s="5"/>
      <c r="AC1" s="5"/>
      <c r="AD1" s="5"/>
      <c r="AE1" s="5"/>
      <c r="AF1" s="5"/>
      <c r="AG1" s="6" t="s">
        <v>34</v>
      </c>
      <c r="AH1" s="6"/>
      <c r="AI1" s="6"/>
      <c r="AJ1" s="6"/>
      <c r="AK1" s="6"/>
      <c r="AL1" s="5"/>
    </row>
    <row r="2" spans="1:38" s="3" customFormat="1" ht="102" x14ac:dyDescent="0.2">
      <c r="A2" s="3" t="s">
        <v>0</v>
      </c>
      <c r="B2" s="3" t="s">
        <v>1</v>
      </c>
      <c r="C2" s="3" t="s">
        <v>2</v>
      </c>
      <c r="D2" s="3" t="s">
        <v>37</v>
      </c>
      <c r="E2" s="3" t="s">
        <v>38</v>
      </c>
      <c r="F2" s="3" t="s">
        <v>39</v>
      </c>
      <c r="G2" s="3" t="s">
        <v>40</v>
      </c>
      <c r="H2" s="3" t="s">
        <v>3</v>
      </c>
      <c r="I2" s="9" t="s">
        <v>27</v>
      </c>
      <c r="J2" s="3" t="s">
        <v>26</v>
      </c>
      <c r="K2" s="9" t="s">
        <v>41</v>
      </c>
      <c r="L2" s="3" t="s">
        <v>4</v>
      </c>
      <c r="M2" s="3" t="s">
        <v>5</v>
      </c>
      <c r="N2" s="3" t="s">
        <v>8</v>
      </c>
      <c r="O2" s="3" t="s">
        <v>6</v>
      </c>
      <c r="P2" s="3" t="s">
        <v>7</v>
      </c>
      <c r="Q2" s="4" t="s">
        <v>9</v>
      </c>
      <c r="R2" s="4" t="s">
        <v>11</v>
      </c>
      <c r="S2" s="4" t="s">
        <v>12</v>
      </c>
      <c r="T2" s="4" t="s">
        <v>13</v>
      </c>
      <c r="U2" s="4" t="s">
        <v>14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21</v>
      </c>
      <c r="AB2" s="7" t="s">
        <v>22</v>
      </c>
      <c r="AC2" s="4" t="s">
        <v>23</v>
      </c>
      <c r="AD2" s="4" t="s">
        <v>24</v>
      </c>
      <c r="AE2" s="7" t="s">
        <v>25</v>
      </c>
      <c r="AF2" s="4" t="s">
        <v>28</v>
      </c>
      <c r="AG2" s="4" t="s">
        <v>29</v>
      </c>
      <c r="AH2" s="4" t="s">
        <v>30</v>
      </c>
      <c r="AI2" s="4" t="s">
        <v>31</v>
      </c>
      <c r="AJ2" s="4" t="s">
        <v>32</v>
      </c>
      <c r="AK2" s="4" t="s">
        <v>33</v>
      </c>
      <c r="AL2" s="7" t="s">
        <v>35</v>
      </c>
    </row>
    <row r="3" spans="1:38" x14ac:dyDescent="0.2">
      <c r="A3">
        <f>18231020/9090780</f>
        <v>2.0054406772576172</v>
      </c>
      <c r="B3">
        <v>9090780</v>
      </c>
      <c r="C3">
        <v>0.26</v>
      </c>
      <c r="D3">
        <v>126</v>
      </c>
      <c r="E3">
        <f>C3*330</f>
        <v>85.8</v>
      </c>
      <c r="F3">
        <f>1*0.85/1.1</f>
        <v>0.7727272727272726</v>
      </c>
      <c r="G3">
        <f>E3*F3</f>
        <v>66.299999999999983</v>
      </c>
      <c r="H3">
        <f>ROUND(93.5/1.10231*330,0)</f>
        <v>27991</v>
      </c>
      <c r="I3" s="10">
        <f>C3/110</f>
        <v>2.3636363636363638E-3</v>
      </c>
      <c r="J3">
        <f>D3/H3</f>
        <v>4.501446893644386E-3</v>
      </c>
      <c r="K3" s="10">
        <f>G3/H3</f>
        <v>2.3686184845128785E-3</v>
      </c>
      <c r="L3">
        <v>0.6</v>
      </c>
      <c r="M3">
        <f>$B$3*(I3^L3)</f>
        <v>241406.82571823747</v>
      </c>
      <c r="N3">
        <f>M3*($P$3/$O$3)</f>
        <v>239060.22230906866</v>
      </c>
      <c r="O3">
        <v>576.1</v>
      </c>
      <c r="P3">
        <v>570.5</v>
      </c>
      <c r="Q3" s="1">
        <f>N3*$A$3</f>
        <v>479421.09413285519</v>
      </c>
      <c r="R3" s="1">
        <f>0.04*Q3</f>
        <v>19176.843765314206</v>
      </c>
      <c r="S3" s="1">
        <f>0.1*Q3</f>
        <v>47942.109413285521</v>
      </c>
      <c r="T3" s="1">
        <f>0.045*Q3</f>
        <v>21573.949235978482</v>
      </c>
      <c r="U3" s="1">
        <f>SUM(Q3:T3)</f>
        <v>568113.99654743343</v>
      </c>
      <c r="V3" s="1">
        <f>0.1*U3</f>
        <v>56811.399654743349</v>
      </c>
      <c r="W3" s="1">
        <f>0.2*U3</f>
        <v>113622.7993094867</v>
      </c>
      <c r="X3" s="1">
        <f>0.1*U3</f>
        <v>56811.399654743349</v>
      </c>
      <c r="Y3" s="1">
        <f>0.1*U3</f>
        <v>56811.399654743349</v>
      </c>
      <c r="Z3" s="1">
        <f>0.1*U3</f>
        <v>56811.399654743349</v>
      </c>
      <c r="AA3" s="1">
        <f>SUM(V3:Z3)</f>
        <v>340868.39792846015</v>
      </c>
      <c r="AB3" s="8">
        <f>AA3+U3</f>
        <v>908982.39447589358</v>
      </c>
      <c r="AC3" s="1">
        <f>0.05*AB3</f>
        <v>45449.119723794684</v>
      </c>
      <c r="AD3" s="1">
        <f>0.009*10^6</f>
        <v>9000</v>
      </c>
      <c r="AE3" s="8">
        <f>SUM(AB3:AD3)</f>
        <v>963431.51419968822</v>
      </c>
      <c r="AF3" s="1">
        <f>1.78*10^6</f>
        <v>1780000</v>
      </c>
      <c r="AG3" s="1">
        <f>$AF$3*I3</f>
        <v>4207.2727272727279</v>
      </c>
      <c r="AH3" s="1">
        <f>0.81*10^6</f>
        <v>810000</v>
      </c>
      <c r="AI3" s="1">
        <f>0.9*AH3</f>
        <v>729000</v>
      </c>
      <c r="AJ3" s="1">
        <f>0.03*Q3</f>
        <v>14382.632823985656</v>
      </c>
      <c r="AK3" s="1">
        <f>0.007*AB3</f>
        <v>6362.8767613312548</v>
      </c>
      <c r="AL3" s="8">
        <f>SUM(AG3:AK3)</f>
        <v>1563952.7823125897</v>
      </c>
    </row>
    <row r="4" spans="1:38" x14ac:dyDescent="0.2">
      <c r="C4">
        <v>3.67</v>
      </c>
      <c r="D4">
        <v>1100</v>
      </c>
      <c r="E4">
        <f t="shared" ref="E4:E6" si="0">C4*330</f>
        <v>1211.0999999999999</v>
      </c>
      <c r="F4">
        <f t="shared" ref="F4:F6" si="1">1*0.85/1.1</f>
        <v>0.7727272727272726</v>
      </c>
      <c r="G4">
        <f t="shared" ref="G4:G6" si="2">E4*F4</f>
        <v>935.8499999999998</v>
      </c>
      <c r="H4">
        <f t="shared" ref="H4:H6" si="3">ROUND(93.5/1.10231*330,0)</f>
        <v>27991</v>
      </c>
      <c r="I4" s="10">
        <f t="shared" ref="I4:I6" si="4">C4/110</f>
        <v>3.3363636363636366E-2</v>
      </c>
      <c r="J4">
        <f>D4/H4</f>
        <v>3.9298345896895431E-2</v>
      </c>
      <c r="K4" s="10">
        <f t="shared" ref="K4:K6" si="5">G4/H4</f>
        <v>3.3433960916008712E-2</v>
      </c>
      <c r="L4">
        <v>0.6</v>
      </c>
      <c r="M4">
        <f>$B$3*(I4^L4)</f>
        <v>1181857.6625205579</v>
      </c>
      <c r="N4">
        <f t="shared" ref="N4:N6" si="6">M4*($P$3/$O$3)</f>
        <v>1170369.3741849996</v>
      </c>
      <c r="Q4" s="1">
        <f t="shared" ref="Q4:Q6" si="7">N4*$A$3</f>
        <v>2347106.3504071394</v>
      </c>
      <c r="R4" s="1">
        <f t="shared" ref="R4:R6" si="8">0.04*Q4</f>
        <v>93884.254016285573</v>
      </c>
      <c r="S4" s="1">
        <f t="shared" ref="S4:S6" si="9">0.1*Q4</f>
        <v>234710.63504071394</v>
      </c>
      <c r="T4" s="1">
        <f t="shared" ref="T4:T6" si="10">0.045*Q4</f>
        <v>105619.78576832126</v>
      </c>
      <c r="U4" s="1">
        <f t="shared" ref="U4:U6" si="11">SUM(Q4:T4)</f>
        <v>2781321.0252324603</v>
      </c>
      <c r="V4" s="1">
        <f t="shared" ref="V4:V6" si="12">0.1*U4</f>
        <v>278132.10252324602</v>
      </c>
      <c r="W4" s="1">
        <f t="shared" ref="W4:W6" si="13">0.2*U4</f>
        <v>556264.20504649205</v>
      </c>
      <c r="X4" s="1">
        <f t="shared" ref="X4:X6" si="14">0.1*U4</f>
        <v>278132.10252324602</v>
      </c>
      <c r="Y4" s="1">
        <f t="shared" ref="Y4:Y6" si="15">0.1*U4</f>
        <v>278132.10252324602</v>
      </c>
      <c r="Z4" s="1">
        <f t="shared" ref="Z4:Z6" si="16">0.1*U4</f>
        <v>278132.10252324602</v>
      </c>
      <c r="AA4" s="1">
        <f t="shared" ref="AA4:AA6" si="17">SUM(V4:Z4)</f>
        <v>1668792.6151394763</v>
      </c>
      <c r="AB4" s="8">
        <f t="shared" ref="AB4:AB6" si="18">AA4+U4</f>
        <v>4450113.6403719364</v>
      </c>
      <c r="AC4" s="1">
        <f t="shared" ref="AC4:AC6" si="19">0.05*AB4</f>
        <v>222505.68201859682</v>
      </c>
      <c r="AD4" s="1">
        <f t="shared" ref="AD4:AD6" si="20">0.009*10^6</f>
        <v>9000</v>
      </c>
      <c r="AE4" s="8">
        <f t="shared" ref="AE4:AE6" si="21">SUM(AB4:AD4)</f>
        <v>4681619.3223905331</v>
      </c>
      <c r="AF4" s="1"/>
      <c r="AG4" s="1">
        <f>$AF$3*I4</f>
        <v>59387.272727272735</v>
      </c>
      <c r="AH4" s="1">
        <f t="shared" ref="AH4:AH6" si="22">0.81*10^6</f>
        <v>810000</v>
      </c>
      <c r="AI4" s="1">
        <f t="shared" ref="AI4:AI6" si="23">0.9*AH4</f>
        <v>729000</v>
      </c>
      <c r="AJ4" s="1">
        <f t="shared" ref="AJ4:AJ5" si="24">0.03*Q4</f>
        <v>70413.190512214176</v>
      </c>
      <c r="AK4" s="1">
        <f t="shared" ref="AK4:AK6" si="25">0.007*AB4</f>
        <v>31150.795482603557</v>
      </c>
      <c r="AL4" s="8">
        <f t="shared" ref="AL4:AL6" si="26">SUM(AG4:AK4)</f>
        <v>1699951.2587220904</v>
      </c>
    </row>
    <row r="5" spans="1:38" x14ac:dyDescent="0.2">
      <c r="C5">
        <v>25.82</v>
      </c>
      <c r="D5">
        <v>7300</v>
      </c>
      <c r="E5">
        <f t="shared" si="0"/>
        <v>8520.6</v>
      </c>
      <c r="F5">
        <f t="shared" si="1"/>
        <v>0.7727272727272726</v>
      </c>
      <c r="G5">
        <f t="shared" si="2"/>
        <v>6584.0999999999995</v>
      </c>
      <c r="H5">
        <f t="shared" si="3"/>
        <v>27991</v>
      </c>
      <c r="I5" s="10">
        <f t="shared" si="4"/>
        <v>0.23472727272727273</v>
      </c>
      <c r="J5">
        <f>D5/H5</f>
        <v>0.26079811367939693</v>
      </c>
      <c r="K5" s="10">
        <f t="shared" si="5"/>
        <v>0.23522203565431743</v>
      </c>
      <c r="L5">
        <v>0.6</v>
      </c>
      <c r="M5">
        <f>$B$3*(I5^L5)</f>
        <v>3810125.4871823201</v>
      </c>
      <c r="N5">
        <f t="shared" si="6"/>
        <v>3773089.0304417871</v>
      </c>
      <c r="Q5" s="1">
        <f t="shared" si="7"/>
        <v>7566706.2205624636</v>
      </c>
      <c r="R5" s="1">
        <f t="shared" si="8"/>
        <v>302668.24882249854</v>
      </c>
      <c r="S5" s="1">
        <f t="shared" si="9"/>
        <v>756670.62205624639</v>
      </c>
      <c r="T5" s="1">
        <f t="shared" si="10"/>
        <v>340501.77992531087</v>
      </c>
      <c r="U5" s="1">
        <f t="shared" si="11"/>
        <v>8966546.8713665195</v>
      </c>
      <c r="V5" s="1">
        <f t="shared" si="12"/>
        <v>896654.68713665195</v>
      </c>
      <c r="W5" s="1">
        <f t="shared" si="13"/>
        <v>1793309.3742733039</v>
      </c>
      <c r="X5" s="1">
        <f t="shared" si="14"/>
        <v>896654.68713665195</v>
      </c>
      <c r="Y5" s="1">
        <f t="shared" si="15"/>
        <v>896654.68713665195</v>
      </c>
      <c r="Z5" s="1">
        <f t="shared" si="16"/>
        <v>896654.68713665195</v>
      </c>
      <c r="AA5" s="1">
        <f t="shared" si="17"/>
        <v>5379928.1228199117</v>
      </c>
      <c r="AB5" s="8">
        <f>AA5+U5</f>
        <v>14346474.994186431</v>
      </c>
      <c r="AC5" s="1">
        <f t="shared" si="19"/>
        <v>717323.74970932165</v>
      </c>
      <c r="AD5" s="1">
        <f t="shared" si="20"/>
        <v>9000</v>
      </c>
      <c r="AE5" s="8">
        <f t="shared" si="21"/>
        <v>15072798.743895752</v>
      </c>
      <c r="AF5" s="1"/>
      <c r="AG5" s="1">
        <f>$AF$3*I5</f>
        <v>417814.54545454547</v>
      </c>
      <c r="AH5" s="1">
        <f t="shared" si="22"/>
        <v>810000</v>
      </c>
      <c r="AI5" s="1">
        <f t="shared" si="23"/>
        <v>729000</v>
      </c>
      <c r="AJ5" s="1">
        <f t="shared" si="24"/>
        <v>227001.18661687389</v>
      </c>
      <c r="AK5" s="1">
        <f t="shared" si="25"/>
        <v>100425.32495930501</v>
      </c>
      <c r="AL5" s="8">
        <f t="shared" si="26"/>
        <v>2284241.0570307244</v>
      </c>
    </row>
    <row r="6" spans="1:38" x14ac:dyDescent="0.2">
      <c r="C6">
        <v>212.6</v>
      </c>
      <c r="D6">
        <v>60000</v>
      </c>
      <c r="E6">
        <f t="shared" si="0"/>
        <v>70158</v>
      </c>
      <c r="F6">
        <f t="shared" si="1"/>
        <v>0.7727272727272726</v>
      </c>
      <c r="G6">
        <f t="shared" si="2"/>
        <v>54212.999999999993</v>
      </c>
      <c r="H6">
        <f t="shared" si="3"/>
        <v>27991</v>
      </c>
      <c r="I6" s="10">
        <f t="shared" si="4"/>
        <v>1.9327272727272726</v>
      </c>
      <c r="J6">
        <f>D6/H6</f>
        <v>2.1435461398306597</v>
      </c>
      <c r="K6" s="10">
        <f t="shared" si="5"/>
        <v>1.9368011146439925</v>
      </c>
      <c r="L6">
        <v>0.6</v>
      </c>
      <c r="M6">
        <f>$B$3*(I6^L6)</f>
        <v>13499058.916938869</v>
      </c>
      <c r="N6">
        <f t="shared" si="6"/>
        <v>13367840.84727239</v>
      </c>
      <c r="Q6" s="1">
        <f t="shared" si="7"/>
        <v>26808411.802225981</v>
      </c>
      <c r="R6" s="1">
        <f t="shared" si="8"/>
        <v>1072336.4720890392</v>
      </c>
      <c r="S6" s="1">
        <f t="shared" si="9"/>
        <v>2680841.1802225984</v>
      </c>
      <c r="T6" s="1">
        <f t="shared" si="10"/>
        <v>1206378.5311001691</v>
      </c>
      <c r="U6" s="1">
        <f t="shared" si="11"/>
        <v>31767967.985637788</v>
      </c>
      <c r="V6" s="1">
        <f t="shared" si="12"/>
        <v>3176796.7985637789</v>
      </c>
      <c r="W6" s="1">
        <f t="shared" si="13"/>
        <v>6353593.5971275577</v>
      </c>
      <c r="X6" s="1">
        <f t="shared" si="14"/>
        <v>3176796.7985637789</v>
      </c>
      <c r="Y6" s="1">
        <f t="shared" si="15"/>
        <v>3176796.7985637789</v>
      </c>
      <c r="Z6" s="1">
        <f t="shared" si="16"/>
        <v>3176796.7985637789</v>
      </c>
      <c r="AA6" s="1">
        <f t="shared" si="17"/>
        <v>19060780.791382674</v>
      </c>
      <c r="AB6" s="8">
        <f t="shared" si="18"/>
        <v>50828748.777020462</v>
      </c>
      <c r="AC6" s="1">
        <f t="shared" si="19"/>
        <v>2541437.4388510231</v>
      </c>
      <c r="AD6" s="1">
        <f t="shared" si="20"/>
        <v>9000</v>
      </c>
      <c r="AE6" s="8">
        <f t="shared" si="21"/>
        <v>53379186.215871483</v>
      </c>
      <c r="AF6" s="1"/>
      <c r="AG6" s="1">
        <f>$AF$3*I6</f>
        <v>3440254.5454545454</v>
      </c>
      <c r="AH6" s="1">
        <f t="shared" si="22"/>
        <v>810000</v>
      </c>
      <c r="AI6" s="1">
        <f t="shared" si="23"/>
        <v>729000</v>
      </c>
      <c r="AJ6" s="1">
        <f>0.03*Q6</f>
        <v>804252.35406677937</v>
      </c>
      <c r="AK6" s="1">
        <f t="shared" si="25"/>
        <v>355801.24143914325</v>
      </c>
      <c r="AL6" s="8">
        <f t="shared" si="26"/>
        <v>6139308.140960468</v>
      </c>
    </row>
    <row r="7" spans="1:38" x14ac:dyDescent="0.2"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15" spans="1:38" x14ac:dyDescent="0.2">
      <c r="AK15" t="s">
        <v>36</v>
      </c>
    </row>
  </sheetData>
  <mergeCells count="3">
    <mergeCell ref="R1:U1"/>
    <mergeCell ref="V1:AA1"/>
    <mergeCell ref="AG1:A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Tsiryapkina</dc:creator>
  <cp:lastModifiedBy>Irina Tsiryapkina</cp:lastModifiedBy>
  <dcterms:created xsi:type="dcterms:W3CDTF">2019-08-09T19:51:17Z</dcterms:created>
  <dcterms:modified xsi:type="dcterms:W3CDTF">2019-08-27T20:48:49Z</dcterms:modified>
</cp:coreProperties>
</file>