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xr:revisionPtr revIDLastSave="0" documentId="8_{37B559AB-0A9F-4F06-A3AD-B153F7115092}" xr6:coauthVersionLast="45" xr6:coauthVersionMax="45" xr10:uidLastSave="{00000000-0000-0000-0000-000000000000}"/>
  <bookViews>
    <workbookView xWindow="-120" yWindow="-120" windowWidth="29040" windowHeight="15840" activeTab="1" xr2:uid="{BC33722C-8782-419C-88A0-60FBA73D13C8}"/>
  </bookViews>
  <sheets>
    <sheet name="JOHN 1H-5X" sheetId="2" r:id="rId1"/>
    <sheet name="Hoile 1H-25X" sheetId="1" r:id="rId2"/>
  </sheets>
  <externalReferences>
    <externalReference r:id="rId3"/>
  </externalReferences>
  <definedNames>
    <definedName name="bb">'[1]Drop Downs to Hide'!$B$2:$B$10</definedName>
    <definedName name="cc">'[1]Drop Downs to Hide'!$C$2:$C$10</definedName>
    <definedName name="ee">'[1]Drop Downs to Hide'!$E$2:$E$10</definedName>
    <definedName name="ff">'[1]Drop Downs to Hide'!$F$2:$F$10</definedName>
    <definedName name="gg">'[1]Drop Downs to Hide'!$G$2:$G$10</definedName>
    <definedName name="hh">'[1]Drop Downs to Hide'!$H$2:$H$10</definedName>
    <definedName name="ii">'[1]Drop Downs to Hide'!$I$2:$I$10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80" i="2" l="1"/>
  <c r="Z180" i="2"/>
  <c r="Y180" i="2"/>
  <c r="X180" i="2"/>
  <c r="W180" i="2"/>
  <c r="V180" i="2"/>
  <c r="U180" i="2"/>
  <c r="T180" i="2"/>
  <c r="S180" i="2"/>
  <c r="R180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N134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AB112" i="2"/>
  <c r="AA112" i="2"/>
  <c r="Z112" i="2"/>
  <c r="Y112" i="2"/>
  <c r="X112" i="2"/>
  <c r="W112" i="2"/>
  <c r="V112" i="2"/>
  <c r="U112" i="2"/>
  <c r="T112" i="2"/>
  <c r="S112" i="2"/>
  <c r="M93" i="2"/>
  <c r="M92" i="2"/>
  <c r="M91" i="2"/>
  <c r="M90" i="2"/>
  <c r="M89" i="2"/>
  <c r="M88" i="2"/>
  <c r="BS25" i="2"/>
  <c r="X15" i="2"/>
  <c r="BO52" i="2"/>
  <c r="BO87" i="2"/>
  <c r="BR25" i="2"/>
  <c r="W15" i="2"/>
  <c r="BN52" i="2"/>
  <c r="BN87" i="2"/>
  <c r="BQ25" i="2"/>
  <c r="T15" i="2"/>
  <c r="BM52" i="2"/>
  <c r="BM87" i="2"/>
  <c r="M87" i="2"/>
  <c r="BS22" i="2"/>
  <c r="X14" i="2"/>
  <c r="BO51" i="2"/>
  <c r="BO86" i="2"/>
  <c r="BR22" i="2"/>
  <c r="W14" i="2"/>
  <c r="BN51" i="2"/>
  <c r="BN86" i="2"/>
  <c r="BQ22" i="2"/>
  <c r="T14" i="2"/>
  <c r="BM51" i="2"/>
  <c r="BM86" i="2"/>
  <c r="M86" i="2"/>
  <c r="BS15" i="2"/>
  <c r="X13" i="2"/>
  <c r="BO50" i="2"/>
  <c r="BO85" i="2"/>
  <c r="BR15" i="2"/>
  <c r="W13" i="2"/>
  <c r="BN50" i="2"/>
  <c r="BN85" i="2"/>
  <c r="BQ15" i="2"/>
  <c r="T13" i="2"/>
  <c r="BM50" i="2"/>
  <c r="BM85" i="2"/>
  <c r="M85" i="2"/>
  <c r="BT10" i="2"/>
  <c r="BU10" i="2"/>
  <c r="BS10" i="2"/>
  <c r="BT12" i="2"/>
  <c r="BU12" i="2"/>
  <c r="BS12" i="2"/>
  <c r="BT13" i="2"/>
  <c r="BU13" i="2"/>
  <c r="BS13" i="2"/>
  <c r="BT14" i="2"/>
  <c r="BU14" i="2"/>
  <c r="BS14" i="2"/>
  <c r="BT16" i="2"/>
  <c r="BU16" i="2"/>
  <c r="BS16" i="2"/>
  <c r="BT17" i="2"/>
  <c r="BU17" i="2"/>
  <c r="BS17" i="2"/>
  <c r="BT18" i="2"/>
  <c r="BU18" i="2"/>
  <c r="BS18" i="2"/>
  <c r="BT35" i="2"/>
  <c r="BU35" i="2"/>
  <c r="BS35" i="2"/>
  <c r="BT19" i="2"/>
  <c r="BU19" i="2"/>
  <c r="BS19" i="2"/>
  <c r="BT20" i="2"/>
  <c r="BU20" i="2"/>
  <c r="BS20" i="2"/>
  <c r="BT23" i="2"/>
  <c r="BU23" i="2"/>
  <c r="BS23" i="2"/>
  <c r="BT24" i="2"/>
  <c r="BU24" i="2"/>
  <c r="BS24" i="2"/>
  <c r="BT36" i="2"/>
  <c r="BU36" i="2"/>
  <c r="BS36" i="2"/>
  <c r="BT21" i="2"/>
  <c r="BU21" i="2"/>
  <c r="BS21" i="2"/>
  <c r="BT26" i="2"/>
  <c r="BU26" i="2"/>
  <c r="BS26" i="2"/>
  <c r="BT27" i="2"/>
  <c r="BU27" i="2"/>
  <c r="BS27" i="2"/>
  <c r="BT28" i="2"/>
  <c r="BU28" i="2"/>
  <c r="BS28" i="2"/>
  <c r="BT37" i="2"/>
  <c r="BU37" i="2"/>
  <c r="BS37" i="2"/>
  <c r="BS41" i="2"/>
  <c r="BO84" i="2"/>
  <c r="BR10" i="2"/>
  <c r="BR12" i="2"/>
  <c r="BR13" i="2"/>
  <c r="BR14" i="2"/>
  <c r="BR16" i="2"/>
  <c r="BR17" i="2"/>
  <c r="BR18" i="2"/>
  <c r="BR35" i="2"/>
  <c r="BR19" i="2"/>
  <c r="BR20" i="2"/>
  <c r="BR23" i="2"/>
  <c r="BR24" i="2"/>
  <c r="BR36" i="2"/>
  <c r="BR21" i="2"/>
  <c r="BR26" i="2"/>
  <c r="BR27" i="2"/>
  <c r="BR28" i="2"/>
  <c r="BR37" i="2"/>
  <c r="BR41" i="2"/>
  <c r="BN84" i="2"/>
  <c r="BQ10" i="2"/>
  <c r="BQ12" i="2"/>
  <c r="BQ13" i="2"/>
  <c r="BQ14" i="2"/>
  <c r="BQ16" i="2"/>
  <c r="BQ17" i="2"/>
  <c r="BQ18" i="2"/>
  <c r="BQ35" i="2"/>
  <c r="BQ19" i="2"/>
  <c r="BQ20" i="2"/>
  <c r="BQ23" i="2"/>
  <c r="BQ24" i="2"/>
  <c r="BQ36" i="2"/>
  <c r="BQ21" i="2"/>
  <c r="BQ26" i="2"/>
  <c r="BQ27" i="2"/>
  <c r="BQ28" i="2"/>
  <c r="BQ37" i="2"/>
  <c r="BQ41" i="2"/>
  <c r="BM84" i="2"/>
  <c r="M84" i="2"/>
  <c r="BO83" i="2"/>
  <c r="BN83" i="2"/>
  <c r="BM83" i="2"/>
  <c r="M83" i="2"/>
  <c r="BO82" i="2"/>
  <c r="BN82" i="2"/>
  <c r="BM82" i="2"/>
  <c r="M82" i="2"/>
  <c r="BO81" i="2"/>
  <c r="BN81" i="2"/>
  <c r="BM81" i="2"/>
  <c r="M81" i="2"/>
  <c r="BO80" i="2"/>
  <c r="BN80" i="2"/>
  <c r="BM80" i="2"/>
  <c r="M80" i="2"/>
  <c r="BO79" i="2"/>
  <c r="BN79" i="2"/>
  <c r="BM79" i="2"/>
  <c r="M79" i="2"/>
  <c r="BS11" i="2"/>
  <c r="BO78" i="2"/>
  <c r="BR11" i="2"/>
  <c r="BN78" i="2"/>
  <c r="BQ11" i="2"/>
  <c r="BM78" i="2"/>
  <c r="M78" i="2"/>
  <c r="BS9" i="2"/>
  <c r="BO77" i="2"/>
  <c r="BR9" i="2"/>
  <c r="BN77" i="2"/>
  <c r="BQ9" i="2"/>
  <c r="BM77" i="2"/>
  <c r="M77" i="2"/>
  <c r="M76" i="2"/>
  <c r="M75" i="2"/>
  <c r="BC74" i="2"/>
  <c r="BB74" i="2"/>
  <c r="BA74" i="2"/>
  <c r="AZ74" i="2"/>
  <c r="AY74" i="2"/>
  <c r="AX74" i="2"/>
  <c r="AW74" i="2"/>
  <c r="M74" i="2"/>
  <c r="BO73" i="2"/>
  <c r="BN73" i="2"/>
  <c r="BM73" i="2"/>
  <c r="M73" i="2"/>
  <c r="BS40" i="2"/>
  <c r="X16" i="2"/>
  <c r="BO53" i="2"/>
  <c r="BO72" i="2"/>
  <c r="BR40" i="2"/>
  <c r="W16" i="2"/>
  <c r="BN53" i="2"/>
  <c r="BN72" i="2"/>
  <c r="BQ40" i="2"/>
  <c r="T16" i="2"/>
  <c r="BM53" i="2"/>
  <c r="BM72" i="2"/>
  <c r="M72" i="2"/>
  <c r="BO71" i="2"/>
  <c r="BN71" i="2"/>
  <c r="BM71" i="2"/>
  <c r="M71" i="2"/>
  <c r="BO70" i="2"/>
  <c r="BN70" i="2"/>
  <c r="BM70" i="2"/>
  <c r="M70" i="2"/>
  <c r="BO69" i="2"/>
  <c r="BN69" i="2"/>
  <c r="BM69" i="2"/>
  <c r="M69" i="2"/>
  <c r="BO68" i="2"/>
  <c r="BN68" i="2"/>
  <c r="BM68" i="2"/>
  <c r="BO67" i="2"/>
  <c r="BN67" i="2"/>
  <c r="BM67" i="2"/>
  <c r="AK67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67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67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67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67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67" i="2"/>
  <c r="BO66" i="2"/>
  <c r="BN66" i="2"/>
  <c r="BM66" i="2"/>
  <c r="BE66" i="2"/>
  <c r="AK66" i="2"/>
  <c r="BO65" i="2"/>
  <c r="BN65" i="2"/>
  <c r="BM65" i="2"/>
  <c r="BE65" i="2"/>
  <c r="AK65" i="2"/>
  <c r="I65" i="2"/>
  <c r="G65" i="2"/>
  <c r="BO64" i="2"/>
  <c r="BN64" i="2"/>
  <c r="BM64" i="2"/>
  <c r="BE64" i="2"/>
  <c r="AK64" i="2"/>
  <c r="X64" i="2"/>
  <c r="W64" i="2"/>
  <c r="V64" i="2"/>
  <c r="U64" i="2"/>
  <c r="T64" i="2"/>
  <c r="I64" i="2"/>
  <c r="G64" i="2"/>
  <c r="BO63" i="2"/>
  <c r="BN63" i="2"/>
  <c r="BM63" i="2"/>
  <c r="BE63" i="2"/>
  <c r="AK63" i="2"/>
  <c r="I63" i="2"/>
  <c r="G63" i="2"/>
  <c r="BO62" i="2"/>
  <c r="BN62" i="2"/>
  <c r="BM62" i="2"/>
  <c r="BE62" i="2"/>
  <c r="AV62" i="2"/>
  <c r="AU62" i="2"/>
  <c r="AK62" i="2"/>
  <c r="I62" i="2"/>
  <c r="G62" i="2"/>
  <c r="C62" i="2"/>
  <c r="BO61" i="2"/>
  <c r="BN61" i="2"/>
  <c r="BM61" i="2"/>
  <c r="BE61" i="2"/>
  <c r="AV61" i="2"/>
  <c r="AU61" i="2"/>
  <c r="AK61" i="2"/>
  <c r="X61" i="2"/>
  <c r="W61" i="2"/>
  <c r="V61" i="2"/>
  <c r="U61" i="2"/>
  <c r="T61" i="2"/>
  <c r="I61" i="2"/>
  <c r="G61" i="2"/>
  <c r="C61" i="2"/>
  <c r="CA60" i="2"/>
  <c r="BZ60" i="2"/>
  <c r="BO60" i="2"/>
  <c r="BN60" i="2"/>
  <c r="BM60" i="2"/>
  <c r="BE60" i="2"/>
  <c r="AV60" i="2"/>
  <c r="AU60" i="2"/>
  <c r="AK60" i="2"/>
  <c r="I60" i="2"/>
  <c r="G60" i="2"/>
  <c r="CA59" i="2"/>
  <c r="BZ59" i="2"/>
  <c r="X11" i="2"/>
  <c r="X12" i="2"/>
  <c r="BO49" i="2"/>
  <c r="BO59" i="2"/>
  <c r="W11" i="2"/>
  <c r="W12" i="2"/>
  <c r="BN49" i="2"/>
  <c r="BN59" i="2"/>
  <c r="T11" i="2"/>
  <c r="T12" i="2"/>
  <c r="BM49" i="2"/>
  <c r="BM59" i="2"/>
  <c r="BE59" i="2"/>
  <c r="AV59" i="2"/>
  <c r="AU59" i="2"/>
  <c r="AK59" i="2"/>
  <c r="T59" i="2"/>
  <c r="I59" i="2"/>
  <c r="G59" i="2"/>
  <c r="CA58" i="2"/>
  <c r="BZ58" i="2"/>
  <c r="BO58" i="2"/>
  <c r="BN58" i="2"/>
  <c r="BM58" i="2"/>
  <c r="BE58" i="2"/>
  <c r="AV58" i="2"/>
  <c r="AU58" i="2"/>
  <c r="AK58" i="2"/>
  <c r="S58" i="2"/>
  <c r="I58" i="2"/>
  <c r="G58" i="2"/>
  <c r="CA57" i="2"/>
  <c r="BZ57" i="2"/>
  <c r="BO57" i="2"/>
  <c r="BN57" i="2"/>
  <c r="BM57" i="2"/>
  <c r="BE57" i="2"/>
  <c r="AV57" i="2"/>
  <c r="AU57" i="2"/>
  <c r="AK57" i="2"/>
  <c r="S57" i="2"/>
  <c r="I57" i="2"/>
  <c r="G57" i="2"/>
  <c r="CA56" i="2"/>
  <c r="BZ56" i="2"/>
  <c r="BO56" i="2"/>
  <c r="BN56" i="2"/>
  <c r="BM56" i="2"/>
  <c r="BE56" i="2"/>
  <c r="AV56" i="2"/>
  <c r="AU56" i="2"/>
  <c r="AK56" i="2"/>
  <c r="S56" i="2"/>
  <c r="I56" i="2"/>
  <c r="G56" i="2"/>
  <c r="CA55" i="2"/>
  <c r="BZ55" i="2"/>
  <c r="BO55" i="2"/>
  <c r="BN55" i="2"/>
  <c r="BM55" i="2"/>
  <c r="BE55" i="2"/>
  <c r="AV55" i="2"/>
  <c r="AU55" i="2"/>
  <c r="AK55" i="2"/>
  <c r="I55" i="2"/>
  <c r="G55" i="2"/>
  <c r="CA54" i="2"/>
  <c r="BZ54" i="2"/>
  <c r="BO54" i="2"/>
  <c r="BN54" i="2"/>
  <c r="BM54" i="2"/>
  <c r="BE54" i="2"/>
  <c r="AV54" i="2"/>
  <c r="AU54" i="2"/>
  <c r="AK54" i="2"/>
  <c r="X54" i="2"/>
  <c r="W54" i="2"/>
  <c r="V54" i="2"/>
  <c r="U54" i="2"/>
  <c r="T54" i="2"/>
  <c r="I54" i="2"/>
  <c r="G54" i="2"/>
  <c r="B31" i="2"/>
  <c r="E54" i="2"/>
  <c r="C54" i="2"/>
  <c r="CA53" i="2"/>
  <c r="BZ53" i="2"/>
  <c r="BE53" i="2"/>
  <c r="AV53" i="2"/>
  <c r="AU53" i="2"/>
  <c r="AK53" i="2"/>
  <c r="I53" i="2"/>
  <c r="G53" i="2"/>
  <c r="E53" i="2"/>
  <c r="C53" i="2"/>
  <c r="CA52" i="2"/>
  <c r="BZ52" i="2"/>
  <c r="BE52" i="2"/>
  <c r="AV52" i="2"/>
  <c r="AU52" i="2"/>
  <c r="AK52" i="2"/>
  <c r="E52" i="2"/>
  <c r="C52" i="2"/>
  <c r="CA51" i="2"/>
  <c r="BZ51" i="2"/>
  <c r="BE51" i="2"/>
  <c r="AV51" i="2"/>
  <c r="AU51" i="2"/>
  <c r="AK51" i="2"/>
  <c r="X51" i="2"/>
  <c r="W51" i="2"/>
  <c r="V51" i="2"/>
  <c r="U51" i="2"/>
  <c r="T51" i="2"/>
  <c r="E51" i="2"/>
  <c r="C51" i="2"/>
  <c r="CA50" i="2"/>
  <c r="BZ50" i="2"/>
  <c r="BE50" i="2"/>
  <c r="AV50" i="2"/>
  <c r="AU50" i="2"/>
  <c r="AK50" i="2"/>
  <c r="E50" i="2"/>
  <c r="C50" i="2"/>
  <c r="CA49" i="2"/>
  <c r="BZ49" i="2"/>
  <c r="BE49" i="2"/>
  <c r="AV49" i="2"/>
  <c r="AU49" i="2"/>
  <c r="AK49" i="2"/>
  <c r="E49" i="2"/>
  <c r="C49" i="2"/>
  <c r="CA48" i="2"/>
  <c r="BZ48" i="2"/>
  <c r="X9" i="2"/>
  <c r="X10" i="2"/>
  <c r="BO48" i="2"/>
  <c r="W9" i="2"/>
  <c r="W10" i="2"/>
  <c r="BN48" i="2"/>
  <c r="T9" i="2"/>
  <c r="T10" i="2"/>
  <c r="BM48" i="2"/>
  <c r="BE48" i="2"/>
  <c r="AV48" i="2"/>
  <c r="AU48" i="2"/>
  <c r="AK48" i="2"/>
  <c r="X48" i="2"/>
  <c r="W48" i="2"/>
  <c r="V14" i="2"/>
  <c r="V15" i="2"/>
  <c r="V16" i="2"/>
  <c r="V48" i="2"/>
  <c r="U14" i="2"/>
  <c r="U15" i="2"/>
  <c r="U16" i="2"/>
  <c r="U48" i="2"/>
  <c r="T48" i="2"/>
  <c r="E43" i="2"/>
  <c r="F43" i="2"/>
  <c r="E42" i="2"/>
  <c r="F42" i="2"/>
  <c r="E48" i="2"/>
  <c r="C48" i="2"/>
  <c r="CA47" i="2"/>
  <c r="BZ47" i="2"/>
  <c r="BE47" i="2"/>
  <c r="AV47" i="2"/>
  <c r="AU47" i="2"/>
  <c r="AK47" i="2"/>
  <c r="E45" i="2"/>
  <c r="F45" i="2"/>
  <c r="E44" i="2"/>
  <c r="F44" i="2"/>
  <c r="E47" i="2"/>
  <c r="C47" i="2"/>
  <c r="CA46" i="2"/>
  <c r="BZ46" i="2"/>
  <c r="BS29" i="2"/>
  <c r="BS30" i="2"/>
  <c r="BS31" i="2"/>
  <c r="BS32" i="2"/>
  <c r="BS33" i="2"/>
  <c r="BS34" i="2"/>
  <c r="BS38" i="2"/>
  <c r="BS39" i="2"/>
  <c r="BS44" i="2"/>
  <c r="BS45" i="2"/>
  <c r="BS46" i="2"/>
  <c r="BR29" i="2"/>
  <c r="BR30" i="2"/>
  <c r="BR31" i="2"/>
  <c r="BR32" i="2"/>
  <c r="BR33" i="2"/>
  <c r="BR34" i="2"/>
  <c r="BR38" i="2"/>
  <c r="BR39" i="2"/>
  <c r="BR44" i="2"/>
  <c r="BR45" i="2"/>
  <c r="BR46" i="2"/>
  <c r="BQ29" i="2"/>
  <c r="BQ30" i="2"/>
  <c r="BQ31" i="2"/>
  <c r="BQ32" i="2"/>
  <c r="BQ33" i="2"/>
  <c r="BQ34" i="2"/>
  <c r="BQ38" i="2"/>
  <c r="BQ39" i="2"/>
  <c r="BQ44" i="2"/>
  <c r="BQ45" i="2"/>
  <c r="BQ46" i="2"/>
  <c r="BE46" i="2"/>
  <c r="AV46" i="2"/>
  <c r="AU46" i="2"/>
  <c r="AK46" i="2"/>
  <c r="CA45" i="2"/>
  <c r="BZ45" i="2"/>
  <c r="BE45" i="2"/>
  <c r="AV45" i="2"/>
  <c r="AU45" i="2"/>
  <c r="AK45" i="2"/>
  <c r="X45" i="2"/>
  <c r="W45" i="2"/>
  <c r="V13" i="2"/>
  <c r="V45" i="2"/>
  <c r="U13" i="2"/>
  <c r="U45" i="2"/>
  <c r="T45" i="2"/>
  <c r="CA44" i="2"/>
  <c r="BZ44" i="2"/>
  <c r="BE44" i="2"/>
  <c r="AV44" i="2"/>
  <c r="AU44" i="2"/>
  <c r="AK44" i="2"/>
  <c r="CA43" i="2"/>
  <c r="BZ43" i="2"/>
  <c r="BE43" i="2"/>
  <c r="AV43" i="2"/>
  <c r="AU43" i="2"/>
  <c r="AK43" i="2"/>
  <c r="X3" i="2"/>
  <c r="X4" i="2"/>
  <c r="X5" i="2"/>
  <c r="X6" i="2"/>
  <c r="X7" i="2"/>
  <c r="X8" i="2"/>
  <c r="Y42" i="2"/>
  <c r="Y43" i="2"/>
  <c r="CA42" i="2"/>
  <c r="BZ42" i="2"/>
  <c r="BE42" i="2"/>
  <c r="AV42" i="2"/>
  <c r="AU42" i="2"/>
  <c r="AK42" i="2"/>
  <c r="CA41" i="2"/>
  <c r="BZ41" i="2"/>
  <c r="BE41" i="2"/>
  <c r="AV41" i="2"/>
  <c r="AU41" i="2"/>
  <c r="AK41" i="2"/>
  <c r="CA40" i="2"/>
  <c r="BZ40" i="2"/>
  <c r="BT40" i="2"/>
  <c r="BU40" i="2"/>
  <c r="BE40" i="2"/>
  <c r="AV40" i="2"/>
  <c r="AU40" i="2"/>
  <c r="AK40" i="2"/>
  <c r="X40" i="2"/>
  <c r="W3" i="2"/>
  <c r="W4" i="2"/>
  <c r="W5" i="2"/>
  <c r="W6" i="2"/>
  <c r="W7" i="2"/>
  <c r="W8" i="2"/>
  <c r="W40" i="2"/>
  <c r="V3" i="2"/>
  <c r="V4" i="2"/>
  <c r="V5" i="2"/>
  <c r="V6" i="2"/>
  <c r="V7" i="2"/>
  <c r="V8" i="2"/>
  <c r="V9" i="2"/>
  <c r="V10" i="2"/>
  <c r="V11" i="2"/>
  <c r="V12" i="2"/>
  <c r="V40" i="2"/>
  <c r="U3" i="2"/>
  <c r="U4" i="2"/>
  <c r="U5" i="2"/>
  <c r="U6" i="2"/>
  <c r="U7" i="2"/>
  <c r="U8" i="2"/>
  <c r="U9" i="2"/>
  <c r="U10" i="2"/>
  <c r="U11" i="2"/>
  <c r="U12" i="2"/>
  <c r="U40" i="2"/>
  <c r="T3" i="2"/>
  <c r="T4" i="2"/>
  <c r="T5" i="2"/>
  <c r="T6" i="2"/>
  <c r="T7" i="2"/>
  <c r="T8" i="2"/>
  <c r="T40" i="2"/>
  <c r="CA39" i="2"/>
  <c r="BZ39" i="2"/>
  <c r="BU39" i="2"/>
  <c r="BT39" i="2"/>
  <c r="BE39" i="2"/>
  <c r="AV39" i="2"/>
  <c r="AU39" i="2"/>
  <c r="AK39" i="2"/>
  <c r="CA38" i="2"/>
  <c r="BZ38" i="2"/>
  <c r="BU38" i="2"/>
  <c r="BT38" i="2"/>
  <c r="BE38" i="2"/>
  <c r="AV38" i="2"/>
  <c r="AU38" i="2"/>
  <c r="AK38" i="2"/>
  <c r="I38" i="2"/>
  <c r="CA37" i="2"/>
  <c r="BZ37" i="2"/>
  <c r="BE37" i="2"/>
  <c r="AV37" i="2"/>
  <c r="AU37" i="2"/>
  <c r="AK37" i="2"/>
  <c r="I37" i="2"/>
  <c r="CA36" i="2"/>
  <c r="BZ36" i="2"/>
  <c r="BE36" i="2"/>
  <c r="AV36" i="2"/>
  <c r="AU36" i="2"/>
  <c r="AK36" i="2"/>
  <c r="CA35" i="2"/>
  <c r="BZ35" i="2"/>
  <c r="BE35" i="2"/>
  <c r="AV35" i="2"/>
  <c r="AU35" i="2"/>
  <c r="AK35" i="2"/>
  <c r="CA34" i="2"/>
  <c r="BZ34" i="2"/>
  <c r="BT34" i="2"/>
  <c r="BU34" i="2"/>
  <c r="BE34" i="2"/>
  <c r="AV34" i="2"/>
  <c r="AU34" i="2"/>
  <c r="AK34" i="2"/>
  <c r="O34" i="2"/>
  <c r="H34" i="2"/>
  <c r="CA33" i="2"/>
  <c r="BZ33" i="2"/>
  <c r="BT33" i="2"/>
  <c r="BU33" i="2"/>
  <c r="BE33" i="2"/>
  <c r="AV33" i="2"/>
  <c r="AU33" i="2"/>
  <c r="AK33" i="2"/>
  <c r="O33" i="2"/>
  <c r="CA32" i="2"/>
  <c r="BZ32" i="2"/>
  <c r="BU32" i="2"/>
  <c r="BT32" i="2"/>
  <c r="BE32" i="2"/>
  <c r="AV32" i="2"/>
  <c r="AU32" i="2"/>
  <c r="AK32" i="2"/>
  <c r="O32" i="2"/>
  <c r="B32" i="2"/>
  <c r="CA31" i="2"/>
  <c r="BZ31" i="2"/>
  <c r="BU31" i="2"/>
  <c r="BT31" i="2"/>
  <c r="BE31" i="2"/>
  <c r="AV31" i="2"/>
  <c r="AU31" i="2"/>
  <c r="AK31" i="2"/>
  <c r="O31" i="2"/>
  <c r="CA30" i="2"/>
  <c r="BZ30" i="2"/>
  <c r="BU30" i="2"/>
  <c r="BT30" i="2"/>
  <c r="BE30" i="2"/>
  <c r="AV30" i="2"/>
  <c r="AU30" i="2"/>
  <c r="AK30" i="2"/>
  <c r="O30" i="2"/>
  <c r="B30" i="2"/>
  <c r="CA29" i="2"/>
  <c r="BZ29" i="2"/>
  <c r="BU29" i="2"/>
  <c r="BT29" i="2"/>
  <c r="BE29" i="2"/>
  <c r="AV29" i="2"/>
  <c r="AU29" i="2"/>
  <c r="AK29" i="2"/>
  <c r="O29" i="2"/>
  <c r="B29" i="2"/>
  <c r="CA28" i="2"/>
  <c r="BZ28" i="2"/>
  <c r="BE28" i="2"/>
  <c r="AV28" i="2"/>
  <c r="AU28" i="2"/>
  <c r="AK28" i="2"/>
  <c r="O28" i="2"/>
  <c r="B28" i="2"/>
  <c r="CA27" i="2"/>
  <c r="BZ27" i="2"/>
  <c r="BE27" i="2"/>
  <c r="AV27" i="2"/>
  <c r="AU27" i="2"/>
  <c r="AK27" i="2"/>
  <c r="O27" i="2"/>
  <c r="CA26" i="2"/>
  <c r="BZ26" i="2"/>
  <c r="BE26" i="2"/>
  <c r="AV26" i="2"/>
  <c r="AU26" i="2"/>
  <c r="AK26" i="2"/>
  <c r="O26" i="2"/>
  <c r="H26" i="2"/>
  <c r="CA25" i="2"/>
  <c r="BZ25" i="2"/>
  <c r="BU25" i="2"/>
  <c r="BT25" i="2"/>
  <c r="BE25" i="2"/>
  <c r="AV25" i="2"/>
  <c r="AU25" i="2"/>
  <c r="AK25" i="2"/>
  <c r="O25" i="2"/>
  <c r="H25" i="2"/>
  <c r="CA24" i="2"/>
  <c r="BZ24" i="2"/>
  <c r="BE24" i="2"/>
  <c r="AV24" i="2"/>
  <c r="AU24" i="2"/>
  <c r="AK24" i="2"/>
  <c r="O24" i="2"/>
  <c r="H24" i="2"/>
  <c r="CA23" i="2"/>
  <c r="BZ23" i="2"/>
  <c r="BE23" i="2"/>
  <c r="AV23" i="2"/>
  <c r="AU23" i="2"/>
  <c r="AK23" i="2"/>
  <c r="O23" i="2"/>
  <c r="H23" i="2"/>
  <c r="CA22" i="2"/>
  <c r="BZ22" i="2"/>
  <c r="BU22" i="2"/>
  <c r="BT22" i="2"/>
  <c r="BE22" i="2"/>
  <c r="AV22" i="2"/>
  <c r="AU22" i="2"/>
  <c r="AK22" i="2"/>
  <c r="O22" i="2"/>
  <c r="H22" i="2"/>
  <c r="CA21" i="2"/>
  <c r="BZ21" i="2"/>
  <c r="BE21" i="2"/>
  <c r="AV21" i="2"/>
  <c r="AU21" i="2"/>
  <c r="AK21" i="2"/>
  <c r="O21" i="2"/>
  <c r="H21" i="2"/>
  <c r="CA20" i="2"/>
  <c r="BZ20" i="2"/>
  <c r="BE20" i="2"/>
  <c r="AV20" i="2"/>
  <c r="AU20" i="2"/>
  <c r="AK20" i="2"/>
  <c r="O20" i="2"/>
  <c r="H20" i="2"/>
  <c r="CA19" i="2"/>
  <c r="BZ19" i="2"/>
  <c r="BE19" i="2"/>
  <c r="AV19" i="2"/>
  <c r="AU19" i="2"/>
  <c r="AK19" i="2"/>
  <c r="O19" i="2"/>
  <c r="CA18" i="2"/>
  <c r="BZ18" i="2"/>
  <c r="BE18" i="2"/>
  <c r="AV18" i="2"/>
  <c r="AU18" i="2"/>
  <c r="AK18" i="2"/>
  <c r="O18" i="2"/>
  <c r="CA17" i="2"/>
  <c r="BZ17" i="2"/>
  <c r="BE17" i="2"/>
  <c r="AV17" i="2"/>
  <c r="AU17" i="2"/>
  <c r="AK17" i="2"/>
  <c r="CA16" i="2"/>
  <c r="BZ16" i="2"/>
  <c r="BE16" i="2"/>
  <c r="AV16" i="2"/>
  <c r="AU16" i="2"/>
  <c r="AK16" i="2"/>
  <c r="CA15" i="2"/>
  <c r="BZ15" i="2"/>
  <c r="BU15" i="2"/>
  <c r="BT15" i="2"/>
  <c r="BE15" i="2"/>
  <c r="AV15" i="2"/>
  <c r="AU15" i="2"/>
  <c r="AK15" i="2"/>
  <c r="CA14" i="2"/>
  <c r="BZ14" i="2"/>
  <c r="BE14" i="2"/>
  <c r="AV14" i="2"/>
  <c r="AU14" i="2"/>
  <c r="AK14" i="2"/>
  <c r="CA13" i="2"/>
  <c r="BZ13" i="2"/>
  <c r="BE13" i="2"/>
  <c r="AV13" i="2"/>
  <c r="AU13" i="2"/>
  <c r="AK13" i="2"/>
  <c r="CA12" i="2"/>
  <c r="BZ12" i="2"/>
  <c r="BE12" i="2"/>
  <c r="AV12" i="2"/>
  <c r="AU12" i="2"/>
  <c r="AK12" i="2"/>
  <c r="M8" i="2"/>
  <c r="N12" i="2"/>
  <c r="CA11" i="2"/>
  <c r="BZ11" i="2"/>
  <c r="BT11" i="2"/>
  <c r="BU11" i="2"/>
  <c r="BE11" i="2"/>
  <c r="AV11" i="2"/>
  <c r="AU11" i="2"/>
  <c r="AK11" i="2"/>
  <c r="CA10" i="2"/>
  <c r="BZ10" i="2"/>
  <c r="BE10" i="2"/>
  <c r="AV10" i="2"/>
  <c r="AU10" i="2"/>
  <c r="AK10" i="2"/>
  <c r="CA9" i="2"/>
  <c r="BZ9" i="2"/>
  <c r="BT9" i="2"/>
  <c r="BU9" i="2"/>
  <c r="BE9" i="2"/>
  <c r="AV9" i="2"/>
  <c r="AU9" i="2"/>
  <c r="B8" i="2"/>
  <c r="B7" i="2"/>
  <c r="B6" i="2"/>
  <c r="B5" i="2"/>
  <c r="AA180" i="1"/>
  <c r="Z180" i="1"/>
  <c r="Y180" i="1"/>
  <c r="X180" i="1"/>
  <c r="W180" i="1"/>
  <c r="V180" i="1"/>
  <c r="U180" i="1"/>
  <c r="T180" i="1"/>
  <c r="S180" i="1"/>
  <c r="R180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N134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AB112" i="1"/>
  <c r="AA112" i="1"/>
  <c r="Z112" i="1"/>
  <c r="Y112" i="1"/>
  <c r="X112" i="1"/>
  <c r="W112" i="1"/>
  <c r="V112" i="1"/>
  <c r="U112" i="1"/>
  <c r="T112" i="1"/>
  <c r="S112" i="1"/>
  <c r="M93" i="1"/>
  <c r="M92" i="1"/>
  <c r="M91" i="1"/>
  <c r="M90" i="1"/>
  <c r="M89" i="1"/>
  <c r="M88" i="1"/>
  <c r="BS25" i="1"/>
  <c r="X15" i="1"/>
  <c r="BO52" i="1"/>
  <c r="BO87" i="1"/>
  <c r="BR25" i="1"/>
  <c r="W15" i="1"/>
  <c r="BN52" i="1"/>
  <c r="BN87" i="1"/>
  <c r="BQ25" i="1"/>
  <c r="T15" i="1"/>
  <c r="BM52" i="1"/>
  <c r="BM87" i="1"/>
  <c r="M87" i="1"/>
  <c r="BS22" i="1"/>
  <c r="X14" i="1"/>
  <c r="BO51" i="1"/>
  <c r="BO86" i="1"/>
  <c r="BR22" i="1"/>
  <c r="W14" i="1"/>
  <c r="BN51" i="1"/>
  <c r="BN86" i="1"/>
  <c r="BQ22" i="1"/>
  <c r="T14" i="1"/>
  <c r="BM51" i="1"/>
  <c r="BM86" i="1"/>
  <c r="M86" i="1"/>
  <c r="BS15" i="1"/>
  <c r="X13" i="1"/>
  <c r="BO50" i="1"/>
  <c r="BO85" i="1"/>
  <c r="BR15" i="1"/>
  <c r="W13" i="1"/>
  <c r="BN50" i="1"/>
  <c r="BN85" i="1"/>
  <c r="BQ15" i="1"/>
  <c r="T13" i="1"/>
  <c r="BM50" i="1"/>
  <c r="BM85" i="1"/>
  <c r="M85" i="1"/>
  <c r="BT10" i="1"/>
  <c r="BU10" i="1"/>
  <c r="BS10" i="1"/>
  <c r="BT12" i="1"/>
  <c r="BU12" i="1"/>
  <c r="BS12" i="1"/>
  <c r="BT13" i="1"/>
  <c r="BU13" i="1"/>
  <c r="BS13" i="1"/>
  <c r="BT14" i="1"/>
  <c r="BU14" i="1"/>
  <c r="BS14" i="1"/>
  <c r="BT16" i="1"/>
  <c r="BU16" i="1"/>
  <c r="BS16" i="1"/>
  <c r="BT17" i="1"/>
  <c r="BU17" i="1"/>
  <c r="BS17" i="1"/>
  <c r="BT18" i="1"/>
  <c r="BU18" i="1"/>
  <c r="BS18" i="1"/>
  <c r="BT35" i="1"/>
  <c r="BU35" i="1"/>
  <c r="BS35" i="1"/>
  <c r="BT19" i="1"/>
  <c r="BU19" i="1"/>
  <c r="BS19" i="1"/>
  <c r="BT20" i="1"/>
  <c r="BU20" i="1"/>
  <c r="BS20" i="1"/>
  <c r="BT23" i="1"/>
  <c r="BU23" i="1"/>
  <c r="BS23" i="1"/>
  <c r="BT24" i="1"/>
  <c r="BU24" i="1"/>
  <c r="BS24" i="1"/>
  <c r="BT36" i="1"/>
  <c r="BU36" i="1"/>
  <c r="BS36" i="1"/>
  <c r="BT21" i="1"/>
  <c r="BU21" i="1"/>
  <c r="BS21" i="1"/>
  <c r="BT26" i="1"/>
  <c r="BU26" i="1"/>
  <c r="BS26" i="1"/>
  <c r="BT27" i="1"/>
  <c r="BU27" i="1"/>
  <c r="BS27" i="1"/>
  <c r="BT28" i="1"/>
  <c r="BU28" i="1"/>
  <c r="BS28" i="1"/>
  <c r="BT37" i="1"/>
  <c r="BU37" i="1"/>
  <c r="BS37" i="1"/>
  <c r="BS41" i="1"/>
  <c r="BO84" i="1"/>
  <c r="BR10" i="1"/>
  <c r="BR12" i="1"/>
  <c r="BR13" i="1"/>
  <c r="BR14" i="1"/>
  <c r="BR16" i="1"/>
  <c r="BR17" i="1"/>
  <c r="BR18" i="1"/>
  <c r="BR35" i="1"/>
  <c r="BR19" i="1"/>
  <c r="BR20" i="1"/>
  <c r="BR23" i="1"/>
  <c r="BR24" i="1"/>
  <c r="BR36" i="1"/>
  <c r="BR21" i="1"/>
  <c r="BR26" i="1"/>
  <c r="BR27" i="1"/>
  <c r="BR28" i="1"/>
  <c r="BR37" i="1"/>
  <c r="BR41" i="1"/>
  <c r="BN84" i="1"/>
  <c r="BQ10" i="1"/>
  <c r="BQ12" i="1"/>
  <c r="BQ13" i="1"/>
  <c r="BQ14" i="1"/>
  <c r="BQ16" i="1"/>
  <c r="BQ17" i="1"/>
  <c r="BQ18" i="1"/>
  <c r="BQ35" i="1"/>
  <c r="BQ19" i="1"/>
  <c r="BQ20" i="1"/>
  <c r="BQ23" i="1"/>
  <c r="BQ24" i="1"/>
  <c r="BQ36" i="1"/>
  <c r="BQ21" i="1"/>
  <c r="BQ26" i="1"/>
  <c r="BQ27" i="1"/>
  <c r="BQ28" i="1"/>
  <c r="BQ37" i="1"/>
  <c r="BQ41" i="1"/>
  <c r="BM84" i="1"/>
  <c r="M84" i="1"/>
  <c r="BO83" i="1"/>
  <c r="BN83" i="1"/>
  <c r="BM83" i="1"/>
  <c r="M83" i="1"/>
  <c r="BO82" i="1"/>
  <c r="BN82" i="1"/>
  <c r="BM82" i="1"/>
  <c r="M82" i="1"/>
  <c r="BO81" i="1"/>
  <c r="BN81" i="1"/>
  <c r="BM81" i="1"/>
  <c r="M81" i="1"/>
  <c r="BO80" i="1"/>
  <c r="BN80" i="1"/>
  <c r="BM80" i="1"/>
  <c r="M80" i="1"/>
  <c r="BO79" i="1"/>
  <c r="BN79" i="1"/>
  <c r="BM79" i="1"/>
  <c r="M79" i="1"/>
  <c r="BS11" i="1"/>
  <c r="BO78" i="1"/>
  <c r="BR11" i="1"/>
  <c r="BN78" i="1"/>
  <c r="BQ11" i="1"/>
  <c r="BM78" i="1"/>
  <c r="M78" i="1"/>
  <c r="BS9" i="1"/>
  <c r="BO77" i="1"/>
  <c r="BR9" i="1"/>
  <c r="BN77" i="1"/>
  <c r="BQ9" i="1"/>
  <c r="BM77" i="1"/>
  <c r="M77" i="1"/>
  <c r="M76" i="1"/>
  <c r="M75" i="1"/>
  <c r="BC74" i="1"/>
  <c r="BB74" i="1"/>
  <c r="BA74" i="1"/>
  <c r="AZ74" i="1"/>
  <c r="AY74" i="1"/>
  <c r="AX74" i="1"/>
  <c r="AW74" i="1"/>
  <c r="M74" i="1"/>
  <c r="BO73" i="1"/>
  <c r="BN73" i="1"/>
  <c r="BM73" i="1"/>
  <c r="M73" i="1"/>
  <c r="BS40" i="1"/>
  <c r="X16" i="1"/>
  <c r="BO53" i="1"/>
  <c r="BO72" i="1"/>
  <c r="BR40" i="1"/>
  <c r="W16" i="1"/>
  <c r="BN53" i="1"/>
  <c r="BN72" i="1"/>
  <c r="BQ40" i="1"/>
  <c r="T16" i="1"/>
  <c r="BM53" i="1"/>
  <c r="BM72" i="1"/>
  <c r="M72" i="1"/>
  <c r="BO71" i="1"/>
  <c r="BN71" i="1"/>
  <c r="BM71" i="1"/>
  <c r="M71" i="1"/>
  <c r="BO70" i="1"/>
  <c r="BN70" i="1"/>
  <c r="BM70" i="1"/>
  <c r="M70" i="1"/>
  <c r="BO69" i="1"/>
  <c r="BN69" i="1"/>
  <c r="BM69" i="1"/>
  <c r="M69" i="1"/>
  <c r="BO68" i="1"/>
  <c r="BN68" i="1"/>
  <c r="BM68" i="1"/>
  <c r="BO67" i="1"/>
  <c r="BN67" i="1"/>
  <c r="BM67" i="1"/>
  <c r="AK67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7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7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7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7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7" i="1"/>
  <c r="BO66" i="1"/>
  <c r="BN66" i="1"/>
  <c r="BM66" i="1"/>
  <c r="BE66" i="1"/>
  <c r="AK66" i="1"/>
  <c r="BO65" i="1"/>
  <c r="BN65" i="1"/>
  <c r="BM65" i="1"/>
  <c r="BE65" i="1"/>
  <c r="AK65" i="1"/>
  <c r="I65" i="1"/>
  <c r="G65" i="1"/>
  <c r="BO64" i="1"/>
  <c r="BN64" i="1"/>
  <c r="BM64" i="1"/>
  <c r="BE64" i="1"/>
  <c r="AK64" i="1"/>
  <c r="X64" i="1"/>
  <c r="W64" i="1"/>
  <c r="V64" i="1"/>
  <c r="U64" i="1"/>
  <c r="T64" i="1"/>
  <c r="I64" i="1"/>
  <c r="G64" i="1"/>
  <c r="BO63" i="1"/>
  <c r="BN63" i="1"/>
  <c r="BM63" i="1"/>
  <c r="BE63" i="1"/>
  <c r="AK63" i="1"/>
  <c r="I63" i="1"/>
  <c r="G63" i="1"/>
  <c r="BO62" i="1"/>
  <c r="BN62" i="1"/>
  <c r="BM62" i="1"/>
  <c r="BE62" i="1"/>
  <c r="AV62" i="1"/>
  <c r="AU62" i="1"/>
  <c r="AK62" i="1"/>
  <c r="I62" i="1"/>
  <c r="G62" i="1"/>
  <c r="C62" i="1"/>
  <c r="BO61" i="1"/>
  <c r="BN61" i="1"/>
  <c r="BM61" i="1"/>
  <c r="BE61" i="1"/>
  <c r="AV61" i="1"/>
  <c r="AU61" i="1"/>
  <c r="AK61" i="1"/>
  <c r="X61" i="1"/>
  <c r="W61" i="1"/>
  <c r="V61" i="1"/>
  <c r="U61" i="1"/>
  <c r="T61" i="1"/>
  <c r="I61" i="1"/>
  <c r="G61" i="1"/>
  <c r="C61" i="1"/>
  <c r="CA60" i="1"/>
  <c r="BZ60" i="1"/>
  <c r="BO60" i="1"/>
  <c r="BN60" i="1"/>
  <c r="BM60" i="1"/>
  <c r="BE60" i="1"/>
  <c r="AV60" i="1"/>
  <c r="AU60" i="1"/>
  <c r="AK60" i="1"/>
  <c r="I60" i="1"/>
  <c r="G60" i="1"/>
  <c r="CA59" i="1"/>
  <c r="BZ59" i="1"/>
  <c r="X11" i="1"/>
  <c r="X12" i="1"/>
  <c r="BO49" i="1"/>
  <c r="BO59" i="1"/>
  <c r="W11" i="1"/>
  <c r="W12" i="1"/>
  <c r="BN49" i="1"/>
  <c r="BN59" i="1"/>
  <c r="T11" i="1"/>
  <c r="T12" i="1"/>
  <c r="BM49" i="1"/>
  <c r="BM59" i="1"/>
  <c r="BE59" i="1"/>
  <c r="AV59" i="1"/>
  <c r="AU59" i="1"/>
  <c r="AK59" i="1"/>
  <c r="T59" i="1"/>
  <c r="I59" i="1"/>
  <c r="G59" i="1"/>
  <c r="CA58" i="1"/>
  <c r="BZ58" i="1"/>
  <c r="BO58" i="1"/>
  <c r="BN58" i="1"/>
  <c r="BM58" i="1"/>
  <c r="BE58" i="1"/>
  <c r="AV58" i="1"/>
  <c r="AU58" i="1"/>
  <c r="AK58" i="1"/>
  <c r="S58" i="1"/>
  <c r="I58" i="1"/>
  <c r="G58" i="1"/>
  <c r="CA57" i="1"/>
  <c r="BZ57" i="1"/>
  <c r="BO57" i="1"/>
  <c r="BN57" i="1"/>
  <c r="BM57" i="1"/>
  <c r="BE57" i="1"/>
  <c r="AV57" i="1"/>
  <c r="AU57" i="1"/>
  <c r="AK57" i="1"/>
  <c r="S57" i="1"/>
  <c r="I57" i="1"/>
  <c r="G57" i="1"/>
  <c r="CA56" i="1"/>
  <c r="BZ56" i="1"/>
  <c r="BO56" i="1"/>
  <c r="BN56" i="1"/>
  <c r="BM56" i="1"/>
  <c r="BE56" i="1"/>
  <c r="AV56" i="1"/>
  <c r="AU56" i="1"/>
  <c r="AK56" i="1"/>
  <c r="S56" i="1"/>
  <c r="I56" i="1"/>
  <c r="G56" i="1"/>
  <c r="CA55" i="1"/>
  <c r="BZ55" i="1"/>
  <c r="BO55" i="1"/>
  <c r="BN55" i="1"/>
  <c r="BM55" i="1"/>
  <c r="BE55" i="1"/>
  <c r="AV55" i="1"/>
  <c r="AU55" i="1"/>
  <c r="AK55" i="1"/>
  <c r="I55" i="1"/>
  <c r="G55" i="1"/>
  <c r="CA54" i="1"/>
  <c r="BZ54" i="1"/>
  <c r="BO54" i="1"/>
  <c r="BN54" i="1"/>
  <c r="BM54" i="1"/>
  <c r="BE54" i="1"/>
  <c r="AV54" i="1"/>
  <c r="AU54" i="1"/>
  <c r="AK54" i="1"/>
  <c r="X54" i="1"/>
  <c r="W54" i="1"/>
  <c r="V54" i="1"/>
  <c r="U54" i="1"/>
  <c r="T54" i="1"/>
  <c r="I54" i="1"/>
  <c r="G54" i="1"/>
  <c r="B31" i="1"/>
  <c r="E54" i="1"/>
  <c r="C54" i="1"/>
  <c r="CA53" i="1"/>
  <c r="BZ53" i="1"/>
  <c r="BE53" i="1"/>
  <c r="AV53" i="1"/>
  <c r="AU53" i="1"/>
  <c r="AK53" i="1"/>
  <c r="I53" i="1"/>
  <c r="G53" i="1"/>
  <c r="E53" i="1"/>
  <c r="C53" i="1"/>
  <c r="CA52" i="1"/>
  <c r="BZ52" i="1"/>
  <c r="BE52" i="1"/>
  <c r="AV52" i="1"/>
  <c r="AU52" i="1"/>
  <c r="AK52" i="1"/>
  <c r="E52" i="1"/>
  <c r="C52" i="1"/>
  <c r="CA51" i="1"/>
  <c r="BZ51" i="1"/>
  <c r="BE51" i="1"/>
  <c r="AV51" i="1"/>
  <c r="AU51" i="1"/>
  <c r="AK51" i="1"/>
  <c r="X51" i="1"/>
  <c r="W51" i="1"/>
  <c r="V51" i="1"/>
  <c r="U51" i="1"/>
  <c r="T51" i="1"/>
  <c r="E51" i="1"/>
  <c r="C51" i="1"/>
  <c r="CA50" i="1"/>
  <c r="BZ50" i="1"/>
  <c r="BE50" i="1"/>
  <c r="AV50" i="1"/>
  <c r="AU50" i="1"/>
  <c r="AK50" i="1"/>
  <c r="E50" i="1"/>
  <c r="C50" i="1"/>
  <c r="CA49" i="1"/>
  <c r="BZ49" i="1"/>
  <c r="BE49" i="1"/>
  <c r="AV49" i="1"/>
  <c r="AU49" i="1"/>
  <c r="AK49" i="1"/>
  <c r="E49" i="1"/>
  <c r="C49" i="1"/>
  <c r="CA48" i="1"/>
  <c r="BZ48" i="1"/>
  <c r="X9" i="1"/>
  <c r="X10" i="1"/>
  <c r="BO48" i="1"/>
  <c r="W9" i="1"/>
  <c r="W10" i="1"/>
  <c r="BN48" i="1"/>
  <c r="T9" i="1"/>
  <c r="T10" i="1"/>
  <c r="BM48" i="1"/>
  <c r="BE48" i="1"/>
  <c r="AV48" i="1"/>
  <c r="AU48" i="1"/>
  <c r="AK48" i="1"/>
  <c r="X48" i="1"/>
  <c r="W48" i="1"/>
  <c r="V14" i="1"/>
  <c r="V15" i="1"/>
  <c r="V16" i="1"/>
  <c r="V48" i="1"/>
  <c r="U14" i="1"/>
  <c r="U15" i="1"/>
  <c r="U16" i="1"/>
  <c r="U48" i="1"/>
  <c r="T48" i="1"/>
  <c r="E43" i="1"/>
  <c r="F43" i="1"/>
  <c r="E42" i="1"/>
  <c r="F42" i="1"/>
  <c r="E48" i="1"/>
  <c r="C48" i="1"/>
  <c r="CA47" i="1"/>
  <c r="BZ47" i="1"/>
  <c r="BE47" i="1"/>
  <c r="AV47" i="1"/>
  <c r="AU47" i="1"/>
  <c r="AK47" i="1"/>
  <c r="E45" i="1"/>
  <c r="F45" i="1"/>
  <c r="E44" i="1"/>
  <c r="F44" i="1"/>
  <c r="E47" i="1"/>
  <c r="C47" i="1"/>
  <c r="CA46" i="1"/>
  <c r="BZ46" i="1"/>
  <c r="BS29" i="1"/>
  <c r="BS30" i="1"/>
  <c r="BS31" i="1"/>
  <c r="BS32" i="1"/>
  <c r="BS33" i="1"/>
  <c r="BS34" i="1"/>
  <c r="BS38" i="1"/>
  <c r="BS39" i="1"/>
  <c r="BS44" i="1"/>
  <c r="BS45" i="1"/>
  <c r="BS46" i="1"/>
  <c r="BR29" i="1"/>
  <c r="BR30" i="1"/>
  <c r="BR31" i="1"/>
  <c r="BR32" i="1"/>
  <c r="BR33" i="1"/>
  <c r="BR34" i="1"/>
  <c r="BR38" i="1"/>
  <c r="BR39" i="1"/>
  <c r="BR44" i="1"/>
  <c r="BR45" i="1"/>
  <c r="BR46" i="1"/>
  <c r="BQ29" i="1"/>
  <c r="BQ30" i="1"/>
  <c r="BQ31" i="1"/>
  <c r="BQ32" i="1"/>
  <c r="BQ33" i="1"/>
  <c r="BQ34" i="1"/>
  <c r="BQ38" i="1"/>
  <c r="BQ39" i="1"/>
  <c r="BQ44" i="1"/>
  <c r="BQ45" i="1"/>
  <c r="BQ46" i="1"/>
  <c r="BE46" i="1"/>
  <c r="AV46" i="1"/>
  <c r="AU46" i="1"/>
  <c r="AK46" i="1"/>
  <c r="CA45" i="1"/>
  <c r="BZ45" i="1"/>
  <c r="BE45" i="1"/>
  <c r="AV45" i="1"/>
  <c r="AU45" i="1"/>
  <c r="AK45" i="1"/>
  <c r="X45" i="1"/>
  <c r="W45" i="1"/>
  <c r="V13" i="1"/>
  <c r="V45" i="1"/>
  <c r="U13" i="1"/>
  <c r="U45" i="1"/>
  <c r="T45" i="1"/>
  <c r="CA44" i="1"/>
  <c r="BZ44" i="1"/>
  <c r="BE44" i="1"/>
  <c r="AV44" i="1"/>
  <c r="AU44" i="1"/>
  <c r="AK44" i="1"/>
  <c r="CA43" i="1"/>
  <c r="BZ43" i="1"/>
  <c r="BE43" i="1"/>
  <c r="AV43" i="1"/>
  <c r="AU43" i="1"/>
  <c r="AK43" i="1"/>
  <c r="X3" i="1"/>
  <c r="X4" i="1"/>
  <c r="X5" i="1"/>
  <c r="X6" i="1"/>
  <c r="X7" i="1"/>
  <c r="X8" i="1"/>
  <c r="Y42" i="1"/>
  <c r="Y43" i="1"/>
  <c r="CA42" i="1"/>
  <c r="BZ42" i="1"/>
  <c r="BE42" i="1"/>
  <c r="AV42" i="1"/>
  <c r="AU42" i="1"/>
  <c r="AK42" i="1"/>
  <c r="CA41" i="1"/>
  <c r="BZ41" i="1"/>
  <c r="BE41" i="1"/>
  <c r="AV41" i="1"/>
  <c r="AU41" i="1"/>
  <c r="AK41" i="1"/>
  <c r="CA40" i="1"/>
  <c r="BZ40" i="1"/>
  <c r="BT40" i="1"/>
  <c r="BU40" i="1"/>
  <c r="BE40" i="1"/>
  <c r="AV40" i="1"/>
  <c r="AU40" i="1"/>
  <c r="AK40" i="1"/>
  <c r="X40" i="1"/>
  <c r="W3" i="1"/>
  <c r="W4" i="1"/>
  <c r="W5" i="1"/>
  <c r="W6" i="1"/>
  <c r="W7" i="1"/>
  <c r="W8" i="1"/>
  <c r="W40" i="1"/>
  <c r="V3" i="1"/>
  <c r="V4" i="1"/>
  <c r="V5" i="1"/>
  <c r="V6" i="1"/>
  <c r="V7" i="1"/>
  <c r="V8" i="1"/>
  <c r="V9" i="1"/>
  <c r="V10" i="1"/>
  <c r="V11" i="1"/>
  <c r="V12" i="1"/>
  <c r="V40" i="1"/>
  <c r="U3" i="1"/>
  <c r="U4" i="1"/>
  <c r="U5" i="1"/>
  <c r="U6" i="1"/>
  <c r="U7" i="1"/>
  <c r="U8" i="1"/>
  <c r="U9" i="1"/>
  <c r="U10" i="1"/>
  <c r="U11" i="1"/>
  <c r="U12" i="1"/>
  <c r="U40" i="1"/>
  <c r="T3" i="1"/>
  <c r="T4" i="1"/>
  <c r="T5" i="1"/>
  <c r="T6" i="1"/>
  <c r="T7" i="1"/>
  <c r="T8" i="1"/>
  <c r="T40" i="1"/>
  <c r="CA39" i="1"/>
  <c r="BZ39" i="1"/>
  <c r="BU39" i="1"/>
  <c r="BT39" i="1"/>
  <c r="BE39" i="1"/>
  <c r="AV39" i="1"/>
  <c r="AU39" i="1"/>
  <c r="AK39" i="1"/>
  <c r="CA38" i="1"/>
  <c r="BZ38" i="1"/>
  <c r="BU38" i="1"/>
  <c r="BT38" i="1"/>
  <c r="BE38" i="1"/>
  <c r="AV38" i="1"/>
  <c r="AU38" i="1"/>
  <c r="AK38" i="1"/>
  <c r="I38" i="1"/>
  <c r="CA37" i="1"/>
  <c r="BZ37" i="1"/>
  <c r="BE37" i="1"/>
  <c r="AV37" i="1"/>
  <c r="AU37" i="1"/>
  <c r="AK37" i="1"/>
  <c r="I37" i="1"/>
  <c r="CA36" i="1"/>
  <c r="BZ36" i="1"/>
  <c r="BE36" i="1"/>
  <c r="AV36" i="1"/>
  <c r="AU36" i="1"/>
  <c r="AK36" i="1"/>
  <c r="CA35" i="1"/>
  <c r="BZ35" i="1"/>
  <c r="BE35" i="1"/>
  <c r="AV35" i="1"/>
  <c r="AU35" i="1"/>
  <c r="AK35" i="1"/>
  <c r="CA34" i="1"/>
  <c r="BZ34" i="1"/>
  <c r="BT34" i="1"/>
  <c r="BU34" i="1"/>
  <c r="BE34" i="1"/>
  <c r="AV34" i="1"/>
  <c r="AU34" i="1"/>
  <c r="AK34" i="1"/>
  <c r="O34" i="1"/>
  <c r="H34" i="1"/>
  <c r="CA33" i="1"/>
  <c r="BZ33" i="1"/>
  <c r="BT33" i="1"/>
  <c r="BU33" i="1"/>
  <c r="BE33" i="1"/>
  <c r="AV33" i="1"/>
  <c r="AU33" i="1"/>
  <c r="AK33" i="1"/>
  <c r="O33" i="1"/>
  <c r="CA32" i="1"/>
  <c r="BZ32" i="1"/>
  <c r="BU32" i="1"/>
  <c r="BT32" i="1"/>
  <c r="BE32" i="1"/>
  <c r="AV32" i="1"/>
  <c r="AU32" i="1"/>
  <c r="AK32" i="1"/>
  <c r="O32" i="1"/>
  <c r="B32" i="1"/>
  <c r="CA31" i="1"/>
  <c r="BZ31" i="1"/>
  <c r="BU31" i="1"/>
  <c r="BT31" i="1"/>
  <c r="BE31" i="1"/>
  <c r="AV31" i="1"/>
  <c r="AU31" i="1"/>
  <c r="AK31" i="1"/>
  <c r="O31" i="1"/>
  <c r="CA30" i="1"/>
  <c r="BZ30" i="1"/>
  <c r="BU30" i="1"/>
  <c r="BT30" i="1"/>
  <c r="BE30" i="1"/>
  <c r="AV30" i="1"/>
  <c r="AU30" i="1"/>
  <c r="AK30" i="1"/>
  <c r="O30" i="1"/>
  <c r="B30" i="1"/>
  <c r="CA29" i="1"/>
  <c r="BZ29" i="1"/>
  <c r="BU29" i="1"/>
  <c r="BT29" i="1"/>
  <c r="BE29" i="1"/>
  <c r="AV29" i="1"/>
  <c r="AU29" i="1"/>
  <c r="AK29" i="1"/>
  <c r="O29" i="1"/>
  <c r="B29" i="1"/>
  <c r="CA28" i="1"/>
  <c r="BZ28" i="1"/>
  <c r="BE28" i="1"/>
  <c r="AV28" i="1"/>
  <c r="AU28" i="1"/>
  <c r="AK28" i="1"/>
  <c r="O28" i="1"/>
  <c r="B28" i="1"/>
  <c r="CA27" i="1"/>
  <c r="BZ27" i="1"/>
  <c r="BE27" i="1"/>
  <c r="AV27" i="1"/>
  <c r="AU27" i="1"/>
  <c r="AK27" i="1"/>
  <c r="O27" i="1"/>
  <c r="CA26" i="1"/>
  <c r="BZ26" i="1"/>
  <c r="BE26" i="1"/>
  <c r="AV26" i="1"/>
  <c r="AU26" i="1"/>
  <c r="AK26" i="1"/>
  <c r="O26" i="1"/>
  <c r="H26" i="1"/>
  <c r="CA25" i="1"/>
  <c r="BZ25" i="1"/>
  <c r="BU25" i="1"/>
  <c r="BT25" i="1"/>
  <c r="BE25" i="1"/>
  <c r="AV25" i="1"/>
  <c r="AU25" i="1"/>
  <c r="AK25" i="1"/>
  <c r="O25" i="1"/>
  <c r="H25" i="1"/>
  <c r="CA24" i="1"/>
  <c r="BZ24" i="1"/>
  <c r="BE24" i="1"/>
  <c r="AV24" i="1"/>
  <c r="AU24" i="1"/>
  <c r="AK24" i="1"/>
  <c r="O24" i="1"/>
  <c r="H24" i="1"/>
  <c r="CA23" i="1"/>
  <c r="BZ23" i="1"/>
  <c r="BE23" i="1"/>
  <c r="AV23" i="1"/>
  <c r="AU23" i="1"/>
  <c r="AK23" i="1"/>
  <c r="O23" i="1"/>
  <c r="H23" i="1"/>
  <c r="CA22" i="1"/>
  <c r="BZ22" i="1"/>
  <c r="BU22" i="1"/>
  <c r="BT22" i="1"/>
  <c r="BE22" i="1"/>
  <c r="AV22" i="1"/>
  <c r="AU22" i="1"/>
  <c r="AK22" i="1"/>
  <c r="O22" i="1"/>
  <c r="H22" i="1"/>
  <c r="CA21" i="1"/>
  <c r="BZ21" i="1"/>
  <c r="BE21" i="1"/>
  <c r="AV21" i="1"/>
  <c r="AU21" i="1"/>
  <c r="AK21" i="1"/>
  <c r="O21" i="1"/>
  <c r="H21" i="1"/>
  <c r="CA20" i="1"/>
  <c r="BZ20" i="1"/>
  <c r="BE20" i="1"/>
  <c r="AV20" i="1"/>
  <c r="AU20" i="1"/>
  <c r="AK20" i="1"/>
  <c r="O20" i="1"/>
  <c r="H20" i="1"/>
  <c r="CA19" i="1"/>
  <c r="BZ19" i="1"/>
  <c r="BE19" i="1"/>
  <c r="AV19" i="1"/>
  <c r="AU19" i="1"/>
  <c r="AK19" i="1"/>
  <c r="O19" i="1"/>
  <c r="CA18" i="1"/>
  <c r="BZ18" i="1"/>
  <c r="BE18" i="1"/>
  <c r="AV18" i="1"/>
  <c r="AU18" i="1"/>
  <c r="AK18" i="1"/>
  <c r="O18" i="1"/>
  <c r="CA17" i="1"/>
  <c r="BZ17" i="1"/>
  <c r="BE17" i="1"/>
  <c r="AV17" i="1"/>
  <c r="AU17" i="1"/>
  <c r="AK17" i="1"/>
  <c r="CA16" i="1"/>
  <c r="BZ16" i="1"/>
  <c r="BE16" i="1"/>
  <c r="AV16" i="1"/>
  <c r="AU16" i="1"/>
  <c r="AK16" i="1"/>
  <c r="CA15" i="1"/>
  <c r="BZ15" i="1"/>
  <c r="BU15" i="1"/>
  <c r="BT15" i="1"/>
  <c r="BE15" i="1"/>
  <c r="AV15" i="1"/>
  <c r="AU15" i="1"/>
  <c r="AK15" i="1"/>
  <c r="CA14" i="1"/>
  <c r="BZ14" i="1"/>
  <c r="BE14" i="1"/>
  <c r="AV14" i="1"/>
  <c r="AU14" i="1"/>
  <c r="AK14" i="1"/>
  <c r="CA13" i="1"/>
  <c r="BZ13" i="1"/>
  <c r="BE13" i="1"/>
  <c r="AV13" i="1"/>
  <c r="AU13" i="1"/>
  <c r="AK13" i="1"/>
  <c r="CA12" i="1"/>
  <c r="BZ12" i="1"/>
  <c r="BE12" i="1"/>
  <c r="AV12" i="1"/>
  <c r="AU12" i="1"/>
  <c r="AK12" i="1"/>
  <c r="M8" i="1"/>
  <c r="N12" i="1"/>
  <c r="CA11" i="1"/>
  <c r="BZ11" i="1"/>
  <c r="BT11" i="1"/>
  <c r="BU11" i="1"/>
  <c r="BE11" i="1"/>
  <c r="AV11" i="1"/>
  <c r="AU11" i="1"/>
  <c r="AK11" i="1"/>
  <c r="CA10" i="1"/>
  <c r="BZ10" i="1"/>
  <c r="BE10" i="1"/>
  <c r="AV10" i="1"/>
  <c r="AU10" i="1"/>
  <c r="AK10" i="1"/>
  <c r="CA9" i="1"/>
  <c r="BZ9" i="1"/>
  <c r="BT9" i="1"/>
  <c r="BU9" i="1"/>
  <c r="BE9" i="1"/>
  <c r="AV9" i="1"/>
  <c r="AU9" i="1"/>
  <c r="B8" i="1"/>
  <c r="B7" i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Shah, Rohan V.</author>
    <author>Mansoori, John</author>
  </authors>
  <commentList>
    <comment ref="A2" authorId="0" shapeId="0" xr:uid="{904CFD8E-7E6A-456F-B47D-8DBFCD0D534D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Must be entered for formulas</t>
        </r>
      </text>
    </comment>
    <comment ref="B2" authorId="0" shapeId="0" xr:uid="{A67C8B8C-3A97-49AE-ABED-8FCEE96CF45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Must be entered for formulas</t>
        </r>
      </text>
    </comment>
    <comment ref="Y2" authorId="1" shapeId="0" xr:uid="{0CEAB57B-8E40-4145-86F9-B8CFAF798DEF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from winprop library</t>
        </r>
      </text>
    </comment>
    <comment ref="AA6" authorId="0" shapeId="0" xr:uid="{9F2443A5-1BBB-495A-B299-AEE29B32CCC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Copy over composition name and formula columns into AA &amp; AB; columns R-S will sum families of hydrocarbons together</t>
        </r>
      </text>
    </comment>
    <comment ref="AB7" authorId="0" shapeId="0" xr:uid="{26A89B5F-45CA-4E8B-ABA4-79B100C4F8E4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Make c6H12-&gt;C6; remove + signs; make iso: i-,n-</t>
        </r>
      </text>
    </comment>
    <comment ref="G8" authorId="0" shapeId="0" xr:uid="{CD26075C-FC94-4FD3-8183-8FF4BDF2055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Columns F-I has data not caputred in conventional reports</t>
        </r>
      </text>
    </comment>
    <comment ref="Z8" authorId="0" shapeId="0" xr:uid="{1926F8E9-ACBE-4C81-89BB-8C673C042811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Not necessary for PVT analysis; can leave oclumn blank</t>
        </r>
      </text>
    </comment>
    <comment ref="CB8" authorId="0" shapeId="0" xr:uid="{3EFA127D-3DB8-4F84-AF11-2AFA78175F1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ex. Montney  data</t>
        </r>
      </text>
    </comment>
    <comment ref="CC8" authorId="0" shapeId="0" xr:uid="{D194AEBF-63B8-4B02-81C7-19E02AB1017A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Compiling sep oil compositions; WF may only report dead oil (left column)</t>
        </r>
      </text>
    </comment>
    <comment ref="BL11" authorId="0" shapeId="0" xr:uid="{8F4DA344-2E0E-4C62-9B56-4C6458B9F2A2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Adjust name in column AA, not here
</t>
        </r>
      </text>
    </comment>
    <comment ref="A13" authorId="0" shapeId="0" xr:uid="{FD4608C5-26E3-4E42-8D7F-967F5CAEB7B5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General info from first few pages of report</t>
        </r>
      </text>
    </comment>
    <comment ref="S13" authorId="0" shapeId="0" xr:uid="{C5B721BD-CB22-4EFF-B7B5-84F29A5C81D1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Will sum both C6 and benzene etc.</t>
        </r>
      </text>
    </comment>
    <comment ref="F14" authorId="0" shapeId="0" xr:uid="{16231652-53B3-4B07-BE68-0863817AE794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report not included in conventional tests; weatherford has same column names</t>
        </r>
      </text>
    </comment>
    <comment ref="M16" authorId="0" shapeId="0" xr:uid="{63919BDD-E1C9-46B8-A9EE-0A21D46D84A2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Not utilizeed yet, but data is available in reports</t>
        </r>
      </text>
    </comment>
    <comment ref="G34" authorId="0" shapeId="0" xr:uid="{291A913C-8DE0-495A-93D3-6BED8DA58949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someone Mark Tobey knows</t>
        </r>
      </text>
    </comment>
    <comment ref="H35" authorId="0" shapeId="0" xr:uid="{63579246-30A7-4F40-A208-28911DB57656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0" authorId="0" shapeId="0" xr:uid="{D2954486-7DBF-4D3D-BD65-E74088B7E7BF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Should equal 1; serves as check for comp data</t>
        </r>
      </text>
    </comment>
    <comment ref="M42" authorId="0" shapeId="0" xr:uid="{8BBC4A58-5F42-4575-953B-D8D73C1CD270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Calc MW at every step; TomS was looking at this</t>
        </r>
      </text>
    </comment>
    <comment ref="R42" authorId="0" shapeId="0" xr:uid="{39B2AB76-E81A-4DA8-82B5-24DB99609F22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Potentially to the right of composition data</t>
        </r>
      </text>
    </comment>
    <comment ref="Y42" authorId="1" shapeId="0" xr:uid="{430DD376-7FEB-4C0B-8E60-F36FF4A5F8D8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sep gas mole weight</t>
        </r>
      </text>
    </comment>
    <comment ref="Y43" authorId="1" shapeId="0" xr:uid="{DBF49221-1B35-45AE-BB34-127D4FA2C17B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sep gas specific gravity</t>
        </r>
      </text>
    </comment>
    <comment ref="B46" authorId="0" shapeId="0" xr:uid="{25D2959D-3B2E-4998-8707-87A73271318D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diff lib summary table; 
</t>
        </r>
      </text>
    </comment>
    <comment ref="BL46" authorId="0" shapeId="0" xr:uid="{19EFECEC-F56B-40F6-8B0B-A011CDC95474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If negative (-): indicates mismatch with names (cyclopentane vs cyclopentanes etc.)</t>
        </r>
      </text>
    </comment>
    <comment ref="B49" authorId="0" shapeId="0" xr:uid="{60AD94A6-4753-4FD3-827C-8432C788ACF4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Dependent on A31 (Y/N)</t>
        </r>
      </text>
    </comment>
    <comment ref="G51" authorId="0" shapeId="0" xr:uid="{C920FBDB-41C7-49CB-8A6B-08F4A3C0057E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Quickly converts units as needed</t>
        </r>
      </text>
    </comment>
    <comment ref="B52" authorId="0" shapeId="0" xr:uid="{25E07249-6DB7-4402-9409-E30782A9CC75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Searching a range of cells for psat and pull dif lib data from dif lib table</t>
        </r>
      </text>
    </comment>
    <comment ref="B55" authorId="0" shapeId="0" xr:uid="{1FA6619B-9CA3-4E30-B255-F93A809387D0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Stock tank</t>
        </r>
      </text>
    </comment>
    <comment ref="B58" authorId="0" shapeId="0" xr:uid="{80AE0D88-FC47-4785-B1B4-3C29DCB8DA6D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 xr:uid="{E2FE44D1-F2E2-42B6-81A7-34AE406B91B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Residual oil density is the same as stock tank oil density or dead oil density</t>
        </r>
      </text>
    </comment>
    <comment ref="T59" authorId="0" shapeId="0" xr:uid="{93A5C4B5-ADA7-4518-89CD-CB621EF394F7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Change this to reference highest fraction carbon</t>
        </r>
      </text>
    </comment>
    <comment ref="R60" authorId="0" shapeId="0" xr:uid="{709F275B-D60E-45E2-B35F-FC461A6F08A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Fesco reports</t>
        </r>
      </text>
    </comment>
    <comment ref="A69" authorId="0" shapeId="0" xr:uid="{027C6BEB-440F-4B05-9B7A-BB11129FC3E5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Make sure to verify units; they can vary lab to lab</t>
        </r>
      </text>
    </comment>
    <comment ref="B148" authorId="0" shapeId="0" xr:uid="{B66C1360-CBCB-4355-9E39-9B6EC6FB076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V/Vsat</t>
        </r>
      </text>
    </comment>
    <comment ref="H148" authorId="0" shapeId="0" xr:uid="{E13ADC65-8E34-4DC5-A988-5D7FE12E6DFD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Convert lab units in table above; units here are necessary for Winprop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Shah, Rohan V.</author>
    <author>Mansoori, John</author>
  </authors>
  <commentList>
    <comment ref="A2" authorId="0" shapeId="0" xr:uid="{323E19B7-6EF9-4F9A-BF27-4C8F4A907EC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Must be entered for formulas</t>
        </r>
      </text>
    </comment>
    <comment ref="B2" authorId="0" shapeId="0" xr:uid="{D5453BF7-7D0F-46F9-AC13-B7FF4C16A404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Must be entered for formulas</t>
        </r>
      </text>
    </comment>
    <comment ref="Y2" authorId="1" shapeId="0" xr:uid="{8FA2C12D-2154-4BE9-ACE2-4D919BF1148F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from winprop library</t>
        </r>
      </text>
    </comment>
    <comment ref="AA6" authorId="0" shapeId="0" xr:uid="{390B3171-2F58-4E2A-A24A-E79F53775AFE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Copy over composition name and formula columns into AA &amp; AB; columns R-S will sum families of hydrocarbons together</t>
        </r>
      </text>
    </comment>
    <comment ref="AB7" authorId="0" shapeId="0" xr:uid="{A1172836-F3A1-4445-9BE7-E5D80AA8C2D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Make c6H12-&gt;C6; remove + signs; make iso: i-,n-</t>
        </r>
      </text>
    </comment>
    <comment ref="G8" authorId="0" shapeId="0" xr:uid="{02A3579E-0D80-436E-B2D4-97C9A90F1721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Columns F-I has data not caputred in conventional reports</t>
        </r>
      </text>
    </comment>
    <comment ref="Z8" authorId="0" shapeId="0" xr:uid="{E08ADCEB-FCE4-46DC-AC08-46B12A8CFE09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Not necessary for PVT analysis; can leave oclumn blank</t>
        </r>
      </text>
    </comment>
    <comment ref="CB8" authorId="0" shapeId="0" xr:uid="{32969813-5698-411C-A188-2FDC15971158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ex. Montney  data</t>
        </r>
      </text>
    </comment>
    <comment ref="CC8" authorId="0" shapeId="0" xr:uid="{6AC0937E-4815-4DB4-8849-A40D2158C562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Compiling sep oil compositions; WF may only report dead oil (left column)</t>
        </r>
      </text>
    </comment>
    <comment ref="BL11" authorId="0" shapeId="0" xr:uid="{3FFDAC16-3126-4BB2-916B-1770787478FB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Adjust name in column AA, not here
</t>
        </r>
      </text>
    </comment>
    <comment ref="A13" authorId="0" shapeId="0" xr:uid="{D93F0C5F-C560-4923-9199-68B033A2428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General info from first few pages of report</t>
        </r>
      </text>
    </comment>
    <comment ref="S13" authorId="0" shapeId="0" xr:uid="{88972D58-94F7-4557-BB5E-C7E82EF3A082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Will sum both C6 and benzene etc.</t>
        </r>
      </text>
    </comment>
    <comment ref="F14" authorId="0" shapeId="0" xr:uid="{53CF9BA1-54B5-4FDE-AE80-C17734C2741E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report not included in conventional tests; weatherford has same column names</t>
        </r>
      </text>
    </comment>
    <comment ref="M16" authorId="0" shapeId="0" xr:uid="{89F24EBD-CD93-4517-AAF6-D274A323B1C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Not utilizeed yet, but data is available in reports</t>
        </r>
      </text>
    </comment>
    <comment ref="G34" authorId="0" shapeId="0" xr:uid="{0CA66DDF-FA3F-4538-BD3E-21762B451FF0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someone Mark Tobey knows</t>
        </r>
      </text>
    </comment>
    <comment ref="H35" authorId="0" shapeId="0" xr:uid="{1F4DEF81-8F7B-4871-B7BC-0944E1AC5A2A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0" authorId="0" shapeId="0" xr:uid="{FD964172-9509-4A8D-A48C-60D219CB4F1F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Should equal 1; serves as check for comp data</t>
        </r>
      </text>
    </comment>
    <comment ref="M42" authorId="0" shapeId="0" xr:uid="{DDC8571C-145E-4354-A90C-38799ED5C7BD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Calc MW at every step; TomS was looking at this</t>
        </r>
      </text>
    </comment>
    <comment ref="R42" authorId="0" shapeId="0" xr:uid="{A16E70B6-3B72-4C3B-ADAB-5314DEF2A949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Potentially to the right of composition data</t>
        </r>
      </text>
    </comment>
    <comment ref="Y42" authorId="1" shapeId="0" xr:uid="{377CDC7C-500E-4F41-954F-75005EFD0D8B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sep gas mole weight</t>
        </r>
      </text>
    </comment>
    <comment ref="Y43" authorId="1" shapeId="0" xr:uid="{AF109F18-BA33-4DF4-ABAD-E8772BDAFF91}">
      <text>
        <r>
          <rPr>
            <b/>
            <sz val="9"/>
            <color indexed="81"/>
            <rFont val="Tahoma"/>
            <family val="2"/>
          </rPr>
          <t>Mansoori, John:</t>
        </r>
        <r>
          <rPr>
            <sz val="9"/>
            <color indexed="81"/>
            <rFont val="Tahoma"/>
            <family val="2"/>
          </rPr>
          <t xml:space="preserve">
sep gas specific gravity</t>
        </r>
      </text>
    </comment>
    <comment ref="B46" authorId="0" shapeId="0" xr:uid="{3B8F3032-D2FE-4E8D-BCE5-8C947B79B468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From diff lib summary table; 
</t>
        </r>
      </text>
    </comment>
    <comment ref="BL46" authorId="0" shapeId="0" xr:uid="{164F6C1B-1C43-40BA-B932-F8BBC2BC3547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If negative (-): indicates mismatch with names (cyclopentane vs cyclopentanes etc.)</t>
        </r>
      </text>
    </comment>
    <comment ref="B49" authorId="0" shapeId="0" xr:uid="{2D1648B9-B960-48EF-88F2-0611B39B0E45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Dependent on A31 (Y/N)</t>
        </r>
      </text>
    </comment>
    <comment ref="G51" authorId="0" shapeId="0" xr:uid="{2283556C-7F57-43B7-AC86-E91B870AED91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Quickly converts units as needed</t>
        </r>
      </text>
    </comment>
    <comment ref="B52" authorId="0" shapeId="0" xr:uid="{C8335347-1424-4C0A-AFFE-BF5EB4B82BC0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Searching a range of cells for psat and pull dif lib data from dif lib table</t>
        </r>
      </text>
    </comment>
    <comment ref="B55" authorId="0" shapeId="0" xr:uid="{3D3CDD15-5E6E-457C-B332-43DF211F98D6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Stock tank</t>
        </r>
      </text>
    </comment>
    <comment ref="B58" authorId="0" shapeId="0" xr:uid="{60E0D72F-56DD-4CD7-B734-813C42704933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 xr:uid="{925D4BB0-04C8-42A9-8BBB-3321A8A26AAF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Residual oil density is the same as stock tank oil density or dead oil density</t>
        </r>
      </text>
    </comment>
    <comment ref="T59" authorId="0" shapeId="0" xr:uid="{B4F821EE-B2D8-4174-8507-D08779DC80C3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Change this to reference highest fraction carbon</t>
        </r>
      </text>
    </comment>
    <comment ref="R60" authorId="0" shapeId="0" xr:uid="{69983BF4-801F-4538-9B49-3AB32AEF5067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Fesco reports</t>
        </r>
      </text>
    </comment>
    <comment ref="A69" authorId="0" shapeId="0" xr:uid="{D06C6378-EBE9-470C-AF7D-398EAEF4FD38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Make sure to verify units; they can vary lab to lab</t>
        </r>
      </text>
    </comment>
    <comment ref="B148" authorId="0" shapeId="0" xr:uid="{3F73B7A5-D447-4D44-B24B-76057AB06610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V/Vsat</t>
        </r>
      </text>
    </comment>
    <comment ref="H148" authorId="0" shapeId="0" xr:uid="{B2F1E696-D4F8-4DE6-9479-1837474ECEAC}">
      <text>
        <r>
          <rPr>
            <b/>
            <sz val="9"/>
            <color indexed="81"/>
            <rFont val="Tahoma"/>
            <family val="2"/>
          </rPr>
          <t>Shah, Rohan V.:</t>
        </r>
        <r>
          <rPr>
            <sz val="9"/>
            <color indexed="81"/>
            <rFont val="Tahoma"/>
            <family val="2"/>
          </rPr>
          <t xml:space="preserve">
Convert lab units in table above; units here are necessary for Winprop</t>
        </r>
      </text>
    </comment>
  </commentList>
</comments>
</file>

<file path=xl/sharedStrings.xml><?xml version="1.0" encoding="utf-8"?>
<sst xmlns="http://schemas.openxmlformats.org/spreadsheetml/2006/main" count="2070" uniqueCount="582">
  <si>
    <t>Winprop inputs</t>
  </si>
  <si>
    <t>Required Entries</t>
  </si>
  <si>
    <t>Component Name</t>
  </si>
  <si>
    <t>Chemical Symbol</t>
  </si>
  <si>
    <t>RECOMBINED_RESERVOIR_FLUID_MOLE_FRACTION</t>
  </si>
  <si>
    <t>FLASHED_OIL_MOLE_FRACTION</t>
  </si>
  <si>
    <t>FLASHED_GAS_MOLE_FRACTION</t>
  </si>
  <si>
    <t>SEPARATOR_OIL_MOLE_FRACTION</t>
  </si>
  <si>
    <t>SEPARATOR_GAS_MOLE_FRACTION</t>
  </si>
  <si>
    <t>MW</t>
  </si>
  <si>
    <t>Do not edit</t>
  </si>
  <si>
    <t>Winprop Formulas</t>
  </si>
  <si>
    <t>Formulas</t>
  </si>
  <si>
    <t>Hydrogen Sulphide</t>
  </si>
  <si>
    <t>H2S</t>
  </si>
  <si>
    <t>Symbols Used by Company</t>
  </si>
  <si>
    <t>Summary of Main Properties</t>
  </si>
  <si>
    <t>Information Regarding Data</t>
  </si>
  <si>
    <t>Carbon Dioxide</t>
  </si>
  <si>
    <t>CO2</t>
  </si>
  <si>
    <t>Change Component Name and symbol even if blue</t>
  </si>
  <si>
    <t>FESCO</t>
  </si>
  <si>
    <t>Weatherford</t>
  </si>
  <si>
    <t>Core Lab</t>
  </si>
  <si>
    <t>Westport</t>
  </si>
  <si>
    <t>Schlumberger</t>
  </si>
  <si>
    <t>GOR scf/stb</t>
  </si>
  <si>
    <t>Data_Source</t>
  </si>
  <si>
    <t>Nitrogen</t>
  </si>
  <si>
    <t>N2</t>
  </si>
  <si>
    <r>
      <t>N</t>
    </r>
    <r>
      <rPr>
        <vertAlign val="subscript"/>
        <sz val="10"/>
        <rFont val="Times New Roman"/>
        <family val="1"/>
      </rPr>
      <t>2</t>
    </r>
  </si>
  <si>
    <t>Table 3: Mass Percent</t>
  </si>
  <si>
    <t>FVF rb/stb</t>
  </si>
  <si>
    <t>Data_Security</t>
  </si>
  <si>
    <t>GOR Conversion</t>
  </si>
  <si>
    <t>Methane</t>
  </si>
  <si>
    <t>C1</t>
  </si>
  <si>
    <t>Table 3: COMPOSITIONAL ANALYSIS OF RESERVOIR FLUID</t>
  </si>
  <si>
    <r>
      <t>CO</t>
    </r>
    <r>
      <rPr>
        <vertAlign val="subscript"/>
        <sz val="10"/>
        <rFont val="Times New Roman"/>
        <family val="1"/>
      </rPr>
      <t>2</t>
    </r>
  </si>
  <si>
    <t>MW Comp</t>
  </si>
  <si>
    <t>Component</t>
  </si>
  <si>
    <t>Chemical</t>
  </si>
  <si>
    <t>Mole Fraction</t>
  </si>
  <si>
    <t>Mole Fract</t>
  </si>
  <si>
    <t>API_Gravity</t>
  </si>
  <si>
    <t>Data_Trade_Expiry_Date</t>
  </si>
  <si>
    <t>Composition --&gt;</t>
  </si>
  <si>
    <t>scf/stb</t>
  </si>
  <si>
    <t>Ethane</t>
  </si>
  <si>
    <t>C2</t>
  </si>
  <si>
    <t>Comp</t>
  </si>
  <si>
    <t>Separator</t>
  </si>
  <si>
    <t xml:space="preserve">Comp </t>
  </si>
  <si>
    <r>
      <t>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S</t>
    </r>
  </si>
  <si>
    <t>From</t>
  </si>
  <si>
    <t>Name</t>
  </si>
  <si>
    <t>Symbol</t>
  </si>
  <si>
    <t>Recombined Wellstream</t>
  </si>
  <si>
    <t>Sep Oil</t>
  </si>
  <si>
    <t>Sep Gas</t>
  </si>
  <si>
    <t>SG Comp</t>
  </si>
  <si>
    <t>Conversion to Fraction</t>
  </si>
  <si>
    <t>Data</t>
  </si>
  <si>
    <t>No</t>
  </si>
  <si>
    <t>&gt;3 Extra Components</t>
  </si>
  <si>
    <t>Oil_or_Gas</t>
  </si>
  <si>
    <t>Confidence</t>
  </si>
  <si>
    <t>Reservoir Properties and Flash Results</t>
  </si>
  <si>
    <t>cc/cc</t>
  </si>
  <si>
    <t>Propane</t>
  </si>
  <si>
    <t>C3</t>
  </si>
  <si>
    <t>Flashed Oil</t>
  </si>
  <si>
    <t>Flashed Gas</t>
  </si>
  <si>
    <t>Oil</t>
  </si>
  <si>
    <t>Gas</t>
  </si>
  <si>
    <t>SG</t>
  </si>
  <si>
    <r>
      <t>C</t>
    </r>
    <r>
      <rPr>
        <vertAlign val="subscript"/>
        <sz val="10"/>
        <rFont val="Times New Roman"/>
        <family val="1"/>
      </rPr>
      <t>1</t>
    </r>
  </si>
  <si>
    <t>Liq Sep</t>
  </si>
  <si>
    <t>From Liq Sep</t>
  </si>
  <si>
    <t>(Sep Gas)</t>
  </si>
  <si>
    <t>Fraction</t>
  </si>
  <si>
    <t>Input Mole %</t>
  </si>
  <si>
    <t>Density</t>
  </si>
  <si>
    <t>Tb</t>
  </si>
  <si>
    <t>Reservoir Fluid</t>
  </si>
  <si>
    <t>Separator Oil</t>
  </si>
  <si>
    <t>Separator Gas</t>
  </si>
  <si>
    <t>Specific Gravity</t>
  </si>
  <si>
    <t>Watson's Characterization Factor</t>
  </si>
  <si>
    <t>Multi-Stage Separator Comp</t>
  </si>
  <si>
    <t>Dead Oil Composition</t>
  </si>
  <si>
    <r>
      <t xml:space="preserve">Saturation Pressure </t>
    </r>
    <r>
      <rPr>
        <b/>
        <sz val="11"/>
        <color rgb="FFFF0000"/>
        <rFont val="Calibri"/>
        <family val="2"/>
        <scheme val="minor"/>
      </rPr>
      <t>(psia)</t>
    </r>
  </si>
  <si>
    <t>Separator GOR (sep scf/sep bbl)</t>
  </si>
  <si>
    <t>i-Butane</t>
  </si>
  <si>
    <t>i-C4</t>
  </si>
  <si>
    <r>
      <t>C</t>
    </r>
    <r>
      <rPr>
        <vertAlign val="subscript"/>
        <sz val="10"/>
        <rFont val="Times New Roman"/>
        <family val="1"/>
      </rPr>
      <t>2</t>
    </r>
  </si>
  <si>
    <t>2-2 Dimethylpropane</t>
  </si>
  <si>
    <t>C5H12</t>
  </si>
  <si>
    <r>
      <t xml:space="preserve">Reservoir Pressure </t>
    </r>
    <r>
      <rPr>
        <b/>
        <sz val="11"/>
        <color rgb="FFFF0000"/>
        <rFont val="Calibri"/>
        <family val="2"/>
        <scheme val="minor"/>
      </rPr>
      <t>(psia)</t>
    </r>
  </si>
  <si>
    <t>Psat Z Factor</t>
  </si>
  <si>
    <t>Recombined Reservoir Properties</t>
  </si>
  <si>
    <t>n-Butane</t>
  </si>
  <si>
    <t>n-C4</t>
  </si>
  <si>
    <r>
      <t>C</t>
    </r>
    <r>
      <rPr>
        <vertAlign val="subscript"/>
        <sz val="10"/>
        <rFont val="Times New Roman"/>
        <family val="1"/>
      </rPr>
      <t>3</t>
    </r>
  </si>
  <si>
    <t>2-2 Dimethylbutane</t>
  </si>
  <si>
    <t>C6H14</t>
  </si>
  <si>
    <t>Reservoir Temperature (F)</t>
  </si>
  <si>
    <t>Psat Expansion Factor ( Mscf/bbl)</t>
  </si>
  <si>
    <t>Recombined Temperature (F)</t>
  </si>
  <si>
    <t>i-Pentane</t>
  </si>
  <si>
    <t>i-C5</t>
  </si>
  <si>
    <r>
      <t>i-C</t>
    </r>
    <r>
      <rPr>
        <vertAlign val="subscript"/>
        <sz val="10"/>
        <rFont val="Times New Roman"/>
        <family val="1"/>
      </rPr>
      <t>4</t>
    </r>
  </si>
  <si>
    <t>Cyclopentanes</t>
  </si>
  <si>
    <t>C5H10</t>
  </si>
  <si>
    <r>
      <t>Oil Compressibility at Pres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(1/psia)</t>
    </r>
  </si>
  <si>
    <t>Pres Z Factor</t>
  </si>
  <si>
    <r>
      <t xml:space="preserve">Recombined GOR </t>
    </r>
    <r>
      <rPr>
        <b/>
        <sz val="12"/>
        <color rgb="FFFF0000"/>
        <rFont val="Calibri"/>
        <family val="2"/>
        <scheme val="minor"/>
      </rPr>
      <t>(cc/cc)</t>
    </r>
  </si>
  <si>
    <t>n-Pentane</t>
  </si>
  <si>
    <t>n-C5</t>
  </si>
  <si>
    <r>
      <t>n-C</t>
    </r>
    <r>
      <rPr>
        <vertAlign val="subscript"/>
        <sz val="10"/>
        <rFont val="Times New Roman"/>
        <family val="1"/>
      </rPr>
      <t>4</t>
    </r>
  </si>
  <si>
    <t>2-3 Dimethylbutane</t>
  </si>
  <si>
    <t>Table 1: Properties</t>
  </si>
  <si>
    <r>
      <t>Oil Compressibility at Psat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(1/psia)</t>
    </r>
  </si>
  <si>
    <t>Pres Expansion Factor ( Mscf/bbl)</t>
  </si>
  <si>
    <t>Recombined Dead Oil Density (g/cc)</t>
  </si>
  <si>
    <t>Hexanes</t>
  </si>
  <si>
    <t>C6</t>
  </si>
  <si>
    <r>
      <t>i-C</t>
    </r>
    <r>
      <rPr>
        <vertAlign val="subscript"/>
        <sz val="10"/>
        <rFont val="Times New Roman"/>
        <family val="1"/>
      </rPr>
      <t>5</t>
    </r>
  </si>
  <si>
    <t>2 Methylpentane</t>
  </si>
  <si>
    <t>Unique ID</t>
  </si>
  <si>
    <t>Flash Results</t>
  </si>
  <si>
    <t>At Test Condition</t>
  </si>
  <si>
    <t>Flash Oil FVF @ Psat (rb/stb)</t>
  </si>
  <si>
    <t>Recombined Dead Oil MW (g/mol)</t>
  </si>
  <si>
    <t>Heptanes</t>
  </si>
  <si>
    <t>C7</t>
  </si>
  <si>
    <r>
      <t>n-C</t>
    </r>
    <r>
      <rPr>
        <vertAlign val="subscript"/>
        <sz val="10"/>
        <rFont val="Times New Roman"/>
        <family val="1"/>
      </rPr>
      <t>5</t>
    </r>
  </si>
  <si>
    <t>3 Methylpentane</t>
  </si>
  <si>
    <t>API</t>
  </si>
  <si>
    <t>Flash GOR @ Psat (scf/stb)</t>
  </si>
  <si>
    <t>Octanes</t>
  </si>
  <si>
    <t>C8</t>
  </si>
  <si>
    <r>
      <t>C</t>
    </r>
    <r>
      <rPr>
        <vertAlign val="subscript"/>
        <sz val="10"/>
        <rFont val="Times New Roman"/>
        <family val="1"/>
      </rPr>
      <t>6</t>
    </r>
  </si>
  <si>
    <t>Other Hexanes</t>
  </si>
  <si>
    <t>Depth (TVD)</t>
  </si>
  <si>
    <t>Flash Oil Density @ Psat(g/cc)</t>
  </si>
  <si>
    <t>Oil Compressibility</t>
  </si>
  <si>
    <t>Nonanes</t>
  </si>
  <si>
    <t>C9</t>
  </si>
  <si>
    <r>
      <t>C</t>
    </r>
    <r>
      <rPr>
        <vertAlign val="subscript"/>
        <sz val="10"/>
        <rFont val="Times New Roman"/>
        <family val="1"/>
      </rPr>
      <t>7</t>
    </r>
  </si>
  <si>
    <t>Methylcyclopentane</t>
  </si>
  <si>
    <t>C6H12</t>
  </si>
  <si>
    <t>Lat</t>
  </si>
  <si>
    <t>At Stock Tank Conditions</t>
  </si>
  <si>
    <t>Flash Residual Oil Density @ ST (g/cc)</t>
  </si>
  <si>
    <t>From Pressure (psia)</t>
  </si>
  <si>
    <t>To Pressure (psia)</t>
  </si>
  <si>
    <t>Avg Pressure (psia)</t>
  </si>
  <si>
    <t>Average Compressibility (psi-1)</t>
  </si>
  <si>
    <t>Decanes</t>
  </si>
  <si>
    <t>C10</t>
  </si>
  <si>
    <r>
      <t>C</t>
    </r>
    <r>
      <rPr>
        <vertAlign val="subscript"/>
        <sz val="10"/>
        <rFont val="Times New Roman"/>
        <family val="1"/>
      </rPr>
      <t>8</t>
    </r>
  </si>
  <si>
    <t>Benzene</t>
  </si>
  <si>
    <t>C6H6</t>
  </si>
  <si>
    <t>Long</t>
  </si>
  <si>
    <t>Flash Residual API Gravity @ ST (API)</t>
  </si>
  <si>
    <t>Undecanes</t>
  </si>
  <si>
    <t>C11</t>
  </si>
  <si>
    <r>
      <t>C</t>
    </r>
    <r>
      <rPr>
        <vertAlign val="subscript"/>
        <sz val="10"/>
        <rFont val="Times New Roman"/>
        <family val="1"/>
      </rPr>
      <t>9</t>
    </r>
  </si>
  <si>
    <t>Cyclohexane</t>
  </si>
  <si>
    <t>Well Name</t>
  </si>
  <si>
    <t>Hoile 1H-25X</t>
  </si>
  <si>
    <t>Flash Oil Molecular Weight @ ST (g/mol)</t>
  </si>
  <si>
    <t>Dodecanes</t>
  </si>
  <si>
    <t>C12</t>
  </si>
  <si>
    <r>
      <t>C</t>
    </r>
    <r>
      <rPr>
        <vertAlign val="subscript"/>
        <sz val="10"/>
        <rFont val="Times New Roman"/>
        <family val="1"/>
      </rPr>
      <t>10</t>
    </r>
  </si>
  <si>
    <t>2-Methylhexane</t>
  </si>
  <si>
    <t>C7H16</t>
  </si>
  <si>
    <t>Play</t>
  </si>
  <si>
    <t>STACK</t>
  </si>
  <si>
    <t>Multi-Stage Sep Test</t>
  </si>
  <si>
    <t>Multi-Stage Separator Total GOR (scf/stb)</t>
  </si>
  <si>
    <t>Tridecanes</t>
  </si>
  <si>
    <t>C13</t>
  </si>
  <si>
    <r>
      <t>C</t>
    </r>
    <r>
      <rPr>
        <vertAlign val="subscript"/>
        <sz val="10"/>
        <rFont val="Times New Roman"/>
        <family val="1"/>
      </rPr>
      <t>11</t>
    </r>
  </si>
  <si>
    <t>3-Methylhexane</t>
  </si>
  <si>
    <t>Zone</t>
  </si>
  <si>
    <t>Mississippi</t>
  </si>
  <si>
    <t>Multi-Stage Separator Oil Gravity (API)</t>
  </si>
  <si>
    <t>Tetradecanes</t>
  </si>
  <si>
    <t>C14</t>
  </si>
  <si>
    <r>
      <t>C</t>
    </r>
    <r>
      <rPr>
        <vertAlign val="subscript"/>
        <sz val="10"/>
        <rFont val="Times New Roman"/>
        <family val="1"/>
      </rPr>
      <t>12</t>
    </r>
  </si>
  <si>
    <t>2,2,4 Trimethylpentane</t>
  </si>
  <si>
    <t>C8H18</t>
  </si>
  <si>
    <t>County/Area</t>
  </si>
  <si>
    <t>Multi Stage Separator Oil FVF (rb/stb)</t>
  </si>
  <si>
    <t>Pentadecanes</t>
  </si>
  <si>
    <t>C15</t>
  </si>
  <si>
    <r>
      <t>C</t>
    </r>
    <r>
      <rPr>
        <vertAlign val="subscript"/>
        <sz val="10"/>
        <rFont val="Times New Roman"/>
        <family val="1"/>
      </rPr>
      <t>13</t>
    </r>
  </si>
  <si>
    <t>Other Heptanes</t>
  </si>
  <si>
    <t>State</t>
  </si>
  <si>
    <t>OK</t>
  </si>
  <si>
    <t>Balance Ratio</t>
  </si>
  <si>
    <t>Balance Ratio of Reservoir Fluid</t>
  </si>
  <si>
    <t>Hexadecanes</t>
  </si>
  <si>
    <t>C16</t>
  </si>
  <si>
    <r>
      <t>C</t>
    </r>
    <r>
      <rPr>
        <vertAlign val="subscript"/>
        <sz val="10"/>
        <rFont val="Times New Roman"/>
        <family val="1"/>
      </rPr>
      <t>14</t>
    </r>
  </si>
  <si>
    <t>Methylcyclohexane</t>
  </si>
  <si>
    <t>C7H14</t>
  </si>
  <si>
    <t>Operator</t>
  </si>
  <si>
    <t>Encana</t>
  </si>
  <si>
    <t>Gas Wetness Ratio</t>
  </si>
  <si>
    <t>Wetness of Reservoir Fluid</t>
  </si>
  <si>
    <t>Heptadecanes</t>
  </si>
  <si>
    <t>C17</t>
  </si>
  <si>
    <r>
      <t>C</t>
    </r>
    <r>
      <rPr>
        <vertAlign val="subscript"/>
        <sz val="10"/>
        <rFont val="Times New Roman"/>
        <family val="1"/>
      </rPr>
      <t>15</t>
    </r>
  </si>
  <si>
    <t>Toluene</t>
  </si>
  <si>
    <t>C7H8</t>
  </si>
  <si>
    <t>Dew Point or Bubble Point</t>
  </si>
  <si>
    <t>Bubble Point</t>
  </si>
  <si>
    <t>CCE Dew Point</t>
  </si>
  <si>
    <t>CCE Maximum Liquid Dropout (%)</t>
  </si>
  <si>
    <t>Octadecanes</t>
  </si>
  <si>
    <t>C18</t>
  </si>
  <si>
    <r>
      <t>C</t>
    </r>
    <r>
      <rPr>
        <vertAlign val="subscript"/>
        <sz val="10"/>
        <rFont val="Times New Roman"/>
        <family val="1"/>
      </rPr>
      <t>16</t>
    </r>
  </si>
  <si>
    <t>Other C8's</t>
  </si>
  <si>
    <t>Fluid Designation by ECA</t>
  </si>
  <si>
    <t>VO</t>
  </si>
  <si>
    <t>CVD Dew Point</t>
  </si>
  <si>
    <t>CVD Maximum Liquid Dropout (%)</t>
  </si>
  <si>
    <t>Nonadecanes</t>
  </si>
  <si>
    <t>C19</t>
  </si>
  <si>
    <r>
      <t>C</t>
    </r>
    <r>
      <rPr>
        <vertAlign val="subscript"/>
        <sz val="10"/>
        <rFont val="Times New Roman"/>
        <family val="1"/>
      </rPr>
      <t>17</t>
    </r>
  </si>
  <si>
    <t>Ethylbenzene</t>
  </si>
  <si>
    <t>C8H10</t>
  </si>
  <si>
    <t>Sample Location</t>
  </si>
  <si>
    <t>Gas FVF at Pres (ft3 at P/T / scf)</t>
  </si>
  <si>
    <t>Eicosanes</t>
  </si>
  <si>
    <t>C20</t>
  </si>
  <si>
    <r>
      <t>C</t>
    </r>
    <r>
      <rPr>
        <vertAlign val="subscript"/>
        <sz val="10"/>
        <rFont val="Times New Roman"/>
        <family val="1"/>
      </rPr>
      <t>18</t>
    </r>
  </si>
  <si>
    <t>M&amp;P-Xylene</t>
  </si>
  <si>
    <t>Flash Test?</t>
  </si>
  <si>
    <t>Gas FVF at Psat (ft3 at P/T / scf)</t>
  </si>
  <si>
    <t>Heneicosanes</t>
  </si>
  <si>
    <t>C21</t>
  </si>
  <si>
    <r>
      <t>C</t>
    </r>
    <r>
      <rPr>
        <vertAlign val="subscript"/>
        <sz val="10"/>
        <rFont val="Times New Roman"/>
        <family val="1"/>
      </rPr>
      <t>19</t>
    </r>
  </si>
  <si>
    <t>o-Xylene</t>
  </si>
  <si>
    <t>CCE?</t>
  </si>
  <si>
    <t>Paraffin Content (wt%)</t>
  </si>
  <si>
    <t>Docosanes</t>
  </si>
  <si>
    <t>C22</t>
  </si>
  <si>
    <r>
      <t>C</t>
    </r>
    <r>
      <rPr>
        <vertAlign val="subscript"/>
        <sz val="10"/>
        <rFont val="Times New Roman"/>
        <family val="1"/>
      </rPr>
      <t>20</t>
    </r>
  </si>
  <si>
    <t>Other C-9's</t>
  </si>
  <si>
    <t>CVD?</t>
  </si>
  <si>
    <t xml:space="preserve"> Asphaltene Content (wt%)</t>
  </si>
  <si>
    <t>Tricosanes</t>
  </si>
  <si>
    <t>C23</t>
  </si>
  <si>
    <r>
      <t>C</t>
    </r>
    <r>
      <rPr>
        <vertAlign val="subscript"/>
        <sz val="10"/>
        <rFont val="Times New Roman"/>
        <family val="1"/>
      </rPr>
      <t>21</t>
    </r>
  </si>
  <si>
    <t>Other C10's</t>
  </si>
  <si>
    <t>Diff Lib?</t>
  </si>
  <si>
    <t xml:space="preserve"> Sulfur Content (wt%)</t>
  </si>
  <si>
    <t>Tetracosanes</t>
  </si>
  <si>
    <t>C24</t>
  </si>
  <si>
    <r>
      <t>C</t>
    </r>
    <r>
      <rPr>
        <vertAlign val="subscript"/>
        <sz val="10"/>
        <rFont val="Times New Roman"/>
        <family val="1"/>
      </rPr>
      <t>22</t>
    </r>
  </si>
  <si>
    <t>C4</t>
  </si>
  <si>
    <t>Single Stage Separator Test?</t>
  </si>
  <si>
    <t>Viscosity at Pres</t>
  </si>
  <si>
    <t>Pentacosanes</t>
  </si>
  <si>
    <t>C25</t>
  </si>
  <si>
    <r>
      <t>C</t>
    </r>
    <r>
      <rPr>
        <vertAlign val="subscript"/>
        <sz val="10"/>
        <rFont val="Times New Roman"/>
        <family val="1"/>
      </rPr>
      <t>23</t>
    </r>
  </si>
  <si>
    <t>Specialty Tests?</t>
  </si>
  <si>
    <t>Viscosity at Psat</t>
  </si>
  <si>
    <t>Hexacosanes</t>
  </si>
  <si>
    <t>C26</t>
  </si>
  <si>
    <r>
      <t>C</t>
    </r>
    <r>
      <rPr>
        <vertAlign val="subscript"/>
        <sz val="10"/>
        <rFont val="Times New Roman"/>
        <family val="1"/>
      </rPr>
      <t>24</t>
    </r>
  </si>
  <si>
    <t>C5</t>
  </si>
  <si>
    <t>Sampling date:</t>
  </si>
  <si>
    <t>?</t>
  </si>
  <si>
    <t>Character Ratio</t>
  </si>
  <si>
    <t>Heptacosanes</t>
  </si>
  <si>
    <t>C27</t>
  </si>
  <si>
    <r>
      <t>C</t>
    </r>
    <r>
      <rPr>
        <vertAlign val="subscript"/>
        <sz val="10"/>
        <rFont val="Times New Roman"/>
        <family val="1"/>
      </rPr>
      <t>25</t>
    </r>
  </si>
  <si>
    <t>Sampled by:</t>
  </si>
  <si>
    <t>Multi-Stage Separator Test</t>
  </si>
  <si>
    <t>Octacosanes</t>
  </si>
  <si>
    <t>C28</t>
  </si>
  <si>
    <r>
      <t>C</t>
    </r>
    <r>
      <rPr>
        <vertAlign val="subscript"/>
        <sz val="10"/>
        <rFont val="Times New Roman"/>
        <family val="1"/>
      </rPr>
      <t>26</t>
    </r>
  </si>
  <si>
    <t>Sample Type:</t>
  </si>
  <si>
    <t>Saturation P</t>
  </si>
  <si>
    <t>Separator 1</t>
  </si>
  <si>
    <t>Separator 2</t>
  </si>
  <si>
    <t>Stock Tank</t>
  </si>
  <si>
    <t>Nonacosanes</t>
  </si>
  <si>
    <t>C29</t>
  </si>
  <si>
    <r>
      <t>C</t>
    </r>
    <r>
      <rPr>
        <vertAlign val="subscript"/>
        <sz val="10"/>
        <rFont val="Times New Roman"/>
        <family val="1"/>
      </rPr>
      <t>27</t>
    </r>
  </si>
  <si>
    <t>Sampling Pressure:</t>
  </si>
  <si>
    <t>psia</t>
  </si>
  <si>
    <t>Pressure (psia)</t>
  </si>
  <si>
    <t>Tricontanes Plus (30+)</t>
  </si>
  <si>
    <t>C30+</t>
  </si>
  <si>
    <r>
      <t>C</t>
    </r>
    <r>
      <rPr>
        <vertAlign val="subscript"/>
        <sz val="10"/>
        <rFont val="Times New Roman"/>
        <family val="1"/>
      </rPr>
      <t>28</t>
    </r>
  </si>
  <si>
    <t>Sampling Temperature:</t>
  </si>
  <si>
    <t>°F</t>
  </si>
  <si>
    <t>Temp (F)</t>
  </si>
  <si>
    <r>
      <t>C</t>
    </r>
    <r>
      <rPr>
        <vertAlign val="subscript"/>
        <sz val="10"/>
        <rFont val="Times New Roman"/>
        <family val="1"/>
      </rPr>
      <t>29</t>
    </r>
  </si>
  <si>
    <t>Note About Sample</t>
  </si>
  <si>
    <t>GOR (scf/stb)</t>
  </si>
  <si>
    <r>
      <t>C</t>
    </r>
    <r>
      <rPr>
        <vertAlign val="subscript"/>
        <sz val="10"/>
        <rFont val="Times New Roman"/>
        <family val="1"/>
      </rPr>
      <t>30</t>
    </r>
  </si>
  <si>
    <t>C30</t>
  </si>
  <si>
    <t>Attempted Recombination GOR (scf/stb)</t>
  </si>
  <si>
    <t>Oil FVF (rb/stb)</t>
  </si>
  <si>
    <t>Sum</t>
  </si>
  <si>
    <r>
      <t>C</t>
    </r>
    <r>
      <rPr>
        <vertAlign val="subscript"/>
        <sz val="10"/>
        <rFont val="Times New Roman"/>
        <family val="1"/>
      </rPr>
      <t>31+</t>
    </r>
  </si>
  <si>
    <t>1, 2, 4-Trimethylbenzene</t>
  </si>
  <si>
    <t>C9H12</t>
  </si>
  <si>
    <t>used in C47 &amp; C48</t>
  </si>
  <si>
    <t>Oil API</t>
  </si>
  <si>
    <t>Ethylbenzene &amp; p,m-Xylene</t>
  </si>
  <si>
    <t>Gas SG (Air=1)</t>
  </si>
  <si>
    <t>Stock Tank Oil Molecular Weight Comparison</t>
  </si>
  <si>
    <t>Total Sample</t>
  </si>
  <si>
    <t>TOTAL_SAMPLE_MW</t>
  </si>
  <si>
    <t>Oil Density (g/cc)</t>
  </si>
  <si>
    <t>Carbon</t>
  </si>
  <si>
    <t>Measured</t>
  </si>
  <si>
    <t>Katz &amp; Firoozabadi</t>
  </si>
  <si>
    <t>Normals</t>
  </si>
  <si>
    <t>TOTAL_SAMPLE_DENSITY_g/cc</t>
  </si>
  <si>
    <t>Gas Z Factor</t>
  </si>
  <si>
    <t>No.</t>
  </si>
  <si>
    <t>C6_PLUS</t>
  </si>
  <si>
    <t>C6_PLUS_MW</t>
  </si>
  <si>
    <t>Tricontanes</t>
  </si>
  <si>
    <t>Total Check</t>
  </si>
  <si>
    <t>Table 4: Recombined Sample PVT Results (Wfd = Summary II)</t>
  </si>
  <si>
    <t>Gas FVF (rcf/scf)</t>
  </si>
  <si>
    <t>hexane</t>
  </si>
  <si>
    <t>C6_PLUS_MOLE_FRACTION</t>
  </si>
  <si>
    <t>Hentriacontanes</t>
  </si>
  <si>
    <t>Sum from Sheet</t>
  </si>
  <si>
    <t>Differential Liberation</t>
  </si>
  <si>
    <t>Gas Density (g/cc)</t>
  </si>
  <si>
    <t>heptane</t>
  </si>
  <si>
    <t>C6_PLUS_DENSITY_g/cc</t>
  </si>
  <si>
    <t>Dotriacontanes</t>
  </si>
  <si>
    <t>Check</t>
  </si>
  <si>
    <t>Diff Lib Reservoir Pres Fluid Viscosity (cP)</t>
  </si>
  <si>
    <t>cp</t>
  </si>
  <si>
    <t>Gas Expansion Factor</t>
  </si>
  <si>
    <t>octane</t>
  </si>
  <si>
    <t>C7_PLUS</t>
  </si>
  <si>
    <t>C7_PLUS_MW</t>
  </si>
  <si>
    <t>Tritriacontanes</t>
  </si>
  <si>
    <t>Diff Lib Reservoir Pres Fluid Density (g/cc)</t>
  </si>
  <si>
    <t>g/cc</t>
  </si>
  <si>
    <t>nonane</t>
  </si>
  <si>
    <t>C7_PLUS_MOLE_FRACTION</t>
  </si>
  <si>
    <t>Tetratriacontanes</t>
  </si>
  <si>
    <t>Diff Lib Oil FVF at Psat (rb/stb)</t>
  </si>
  <si>
    <t>res.bbl/STB</t>
  </si>
  <si>
    <t>decane</t>
  </si>
  <si>
    <t>C7_PLUS_DENSITY_g/cc</t>
  </si>
  <si>
    <t>Pentatriacontanes</t>
  </si>
  <si>
    <t>Diff Lib GOR at Psat (scf/STB)</t>
  </si>
  <si>
    <t>scf/STB</t>
  </si>
  <si>
    <t>C12_PLUS</t>
  </si>
  <si>
    <t>C12_PLUS_MW</t>
  </si>
  <si>
    <t>Hexatriacontanes plus</t>
  </si>
  <si>
    <t>Diff Lib Oil Density at Psat (g/cc)</t>
  </si>
  <si>
    <t>g/cm3</t>
  </si>
  <si>
    <t>Gas FVF Conversion</t>
  </si>
  <si>
    <t>C12_PLUS_MOLE_FRACTION</t>
  </si>
  <si>
    <t>Diff Lib Oil Viscosity at Psat (cp)</t>
  </si>
  <si>
    <t>rcf/scf</t>
  </si>
  <si>
    <t>rb/mmscf</t>
  </si>
  <si>
    <t>rb/mscf</t>
  </si>
  <si>
    <t>Stock Tank Oil Specific Gravity Comparison</t>
  </si>
  <si>
    <t>C12_PLUS_DENSITY_g/cc</t>
  </si>
  <si>
    <t>Diff Lib Residual Oil Density at Min P (g/cc)</t>
  </si>
  <si>
    <t>C30_PLUS</t>
  </si>
  <si>
    <t>C30_PLUS_MW</t>
  </si>
  <si>
    <t>Diff Lib Residual Oil Viscosity at Min P (cp)</t>
  </si>
  <si>
    <t>C30_PLUS_MOLE_FRACTION</t>
  </si>
  <si>
    <t>Diff Lib Residual Oil Density @ ST (g/cc)</t>
  </si>
  <si>
    <t>C30_PLUS_DENSITY_g/cc</t>
  </si>
  <si>
    <t>Benzene %</t>
  </si>
  <si>
    <t>Diff Lib Residual Oil API @ ST</t>
  </si>
  <si>
    <t>C36_PLUS</t>
  </si>
  <si>
    <t>Toluene %</t>
  </si>
  <si>
    <t>SINGLE-STAGE SEPARATOR TEST 
(Not same as Multi-Stage Values)</t>
  </si>
  <si>
    <t>Single Stage Separator Oil FVF @ Psat (rb/stb)</t>
  </si>
  <si>
    <t>2,2 Dimethylpropane %</t>
  </si>
  <si>
    <t>Single Stage Separator GOR @ Psat (scf/STB)</t>
  </si>
  <si>
    <t>2,2 Dimethylbutane %</t>
  </si>
  <si>
    <t>Single Stage Separator Residual Oil Density (g/cc)</t>
  </si>
  <si>
    <t>Highest + Fraction Carbon</t>
  </si>
  <si>
    <t>Cyclopentane %</t>
  </si>
  <si>
    <t>Single Stage Separator API Gravity @ ST (API)</t>
  </si>
  <si>
    <t>C11_PLUS</t>
  </si>
  <si>
    <t>C11_PLUS_MW</t>
  </si>
  <si>
    <t>2,3 Dimethylbutane %</t>
  </si>
  <si>
    <t>Separator Pressure</t>
  </si>
  <si>
    <t>psi</t>
  </si>
  <si>
    <t>C11_PLUS_MOLE_FRACTION</t>
  </si>
  <si>
    <t>2 Methylpentane %</t>
  </si>
  <si>
    <t>Separator Temperature</t>
  </si>
  <si>
    <t>C11_PLUS_DENSITY_g/cc</t>
  </si>
  <si>
    <t>C31+</t>
  </si>
  <si>
    <t>3 Methylpentane %</t>
  </si>
  <si>
    <t>Measured SG</t>
  </si>
  <si>
    <t>C20_PLUS</t>
  </si>
  <si>
    <t>C20_PLUS_MW</t>
  </si>
  <si>
    <t>Methylcyclopentane %</t>
  </si>
  <si>
    <t>Measured MW</t>
  </si>
  <si>
    <t>C20_PLUS_MOLE_FRACTION</t>
  </si>
  <si>
    <t>Cyclohexane %</t>
  </si>
  <si>
    <t>Calculated SG</t>
  </si>
  <si>
    <t>C20_PLUS_DENSITY_g/cc</t>
  </si>
  <si>
    <t>2 Methylhexane %</t>
  </si>
  <si>
    <t>Calculated MW</t>
  </si>
  <si>
    <t>C10_PLUS</t>
  </si>
  <si>
    <t>C10_PLUS_MW</t>
  </si>
  <si>
    <t>3 Methylhexane %</t>
  </si>
  <si>
    <t>PSIA Conversion</t>
  </si>
  <si>
    <t>C10_PLUS_MOLE_FRACTION</t>
  </si>
  <si>
    <t>2,2,4 Trimethylpentane %</t>
  </si>
  <si>
    <t>Correction</t>
  </si>
  <si>
    <t>C10_PLUS_DENSITY_g/cc</t>
  </si>
  <si>
    <t>Methylcyclohexane %</t>
  </si>
  <si>
    <t>Table 6:Differential Liberation Oil Properties</t>
  </si>
  <si>
    <t>Ethylbenzene %</t>
  </si>
  <si>
    <r>
      <t xml:space="preserve">Pressure </t>
    </r>
    <r>
      <rPr>
        <b/>
        <sz val="10"/>
        <color rgb="FFFF0000"/>
        <rFont val="Times New Roman"/>
        <family val="1"/>
      </rPr>
      <t>(psia)</t>
    </r>
  </si>
  <si>
    <t>Solution GOR (scf/stb)</t>
  </si>
  <si>
    <t>Oil SG (-)</t>
  </si>
  <si>
    <t>Gas Z Factor (-)</t>
  </si>
  <si>
    <t>Incr. Gas SG (-)</t>
  </si>
  <si>
    <t>Oil Viscosity (cp)</t>
  </si>
  <si>
    <t>Gas Viscosity (cp)</t>
  </si>
  <si>
    <t>Total FVF (rb/scf)</t>
  </si>
  <si>
    <t>m,p-Xylene %</t>
  </si>
  <si>
    <t>o-Xylene %</t>
  </si>
  <si>
    <t>1,2,4 Trimethylbenzene %</t>
  </si>
  <si>
    <t>Gas Properties</t>
  </si>
  <si>
    <t>SG (Air=1)</t>
  </si>
  <si>
    <t>Ethylbenzene &amp; p,m-Xylene %</t>
  </si>
  <si>
    <t>Z</t>
  </si>
  <si>
    <t>Quick Check</t>
  </si>
  <si>
    <t>Yes</t>
  </si>
  <si>
    <t>Paraffins</t>
  </si>
  <si>
    <t>Naphthenes</t>
  </si>
  <si>
    <t>Aromatics</t>
  </si>
  <si>
    <t>Watson Characterization Factor C6</t>
  </si>
  <si>
    <t>Watson Characterization Factor C7</t>
  </si>
  <si>
    <t>Watson Characterization Factor C6 and C7</t>
  </si>
  <si>
    <t>Watson Characterization Factor C8</t>
  </si>
  <si>
    <t>Watson Characterization Factor C6 C7 C8</t>
  </si>
  <si>
    <t>Other Hexanes %</t>
  </si>
  <si>
    <t>Other Heptanes %</t>
  </si>
  <si>
    <t>Other Octanes %</t>
  </si>
  <si>
    <t>c11</t>
  </si>
  <si>
    <t>End Differential Lib (if need additional have to insert rows)</t>
  </si>
  <si>
    <t>c12</t>
  </si>
  <si>
    <t>Table 7: Constant Volume Depetion Test</t>
  </si>
  <si>
    <t>Cum. Gas Produced (%)</t>
  </si>
  <si>
    <t>Liquid Saturation (%)</t>
  </si>
  <si>
    <t>2-Phase Z Factor (-)</t>
  </si>
  <si>
    <t>Total</t>
  </si>
  <si>
    <t>Calculated Properties of Total Sample @ Standard Conditions</t>
  </si>
  <si>
    <t>MW (g/mol)</t>
  </si>
  <si>
    <t>Gravity (Air=1.0)</t>
  </si>
  <si>
    <t>Compressibility Conversion</t>
  </si>
  <si>
    <t>Density Conversion</t>
  </si>
  <si>
    <t>Calculated Properties of C7+ @ Standard Conditions</t>
  </si>
  <si>
    <t>1/psia</t>
  </si>
  <si>
    <t>1/psia 10^6</t>
  </si>
  <si>
    <t>lbm/ft3</t>
  </si>
  <si>
    <t>Density (g/cc)</t>
  </si>
  <si>
    <t>Table 8: CVD Components</t>
  </si>
  <si>
    <t>Macro Count P</t>
  </si>
  <si>
    <t>Dew Point Pressure</t>
  </si>
  <si>
    <t>Pressure 1</t>
  </si>
  <si>
    <t>Pressure 2</t>
  </si>
  <si>
    <t>Pressure 3</t>
  </si>
  <si>
    <t>Pressure 4</t>
  </si>
  <si>
    <t>Pressure 5</t>
  </si>
  <si>
    <t>Pressure 6</t>
  </si>
  <si>
    <t>Pressure 7</t>
  </si>
  <si>
    <t>Pressure 8</t>
  </si>
  <si>
    <t>Pressure 9</t>
  </si>
  <si>
    <t>Macro Count Sym</t>
  </si>
  <si>
    <r>
      <t>N</t>
    </r>
    <r>
      <rPr>
        <vertAlign val="subscript"/>
        <sz val="9"/>
        <rFont val="Tahoma"/>
        <family val="2"/>
      </rPr>
      <t>2</t>
    </r>
  </si>
  <si>
    <r>
      <t>CO</t>
    </r>
    <r>
      <rPr>
        <vertAlign val="subscript"/>
        <sz val="9"/>
        <rFont val="Tahoma"/>
        <family val="2"/>
      </rPr>
      <t>2</t>
    </r>
  </si>
  <si>
    <r>
      <t>H</t>
    </r>
    <r>
      <rPr>
        <vertAlign val="subscript"/>
        <sz val="9"/>
        <rFont val="Tahoma"/>
        <family val="2"/>
      </rPr>
      <t>2</t>
    </r>
    <r>
      <rPr>
        <sz val="9"/>
        <rFont val="Tahoma"/>
        <family val="2"/>
      </rPr>
      <t>S</t>
    </r>
  </si>
  <si>
    <r>
      <t>C</t>
    </r>
    <r>
      <rPr>
        <vertAlign val="subscript"/>
        <sz val="9"/>
        <rFont val="Tahoma"/>
        <family val="2"/>
      </rPr>
      <t>1</t>
    </r>
  </si>
  <si>
    <r>
      <t>C</t>
    </r>
    <r>
      <rPr>
        <vertAlign val="subscript"/>
        <sz val="9"/>
        <rFont val="Tahoma"/>
        <family val="2"/>
      </rPr>
      <t>2</t>
    </r>
  </si>
  <si>
    <r>
      <t>C</t>
    </r>
    <r>
      <rPr>
        <vertAlign val="subscript"/>
        <sz val="9"/>
        <rFont val="Tahoma"/>
        <family val="2"/>
      </rPr>
      <t>3</t>
    </r>
  </si>
  <si>
    <r>
      <t>i-C</t>
    </r>
    <r>
      <rPr>
        <vertAlign val="subscript"/>
        <sz val="9"/>
        <rFont val="Tahoma"/>
        <family val="2"/>
      </rPr>
      <t>4</t>
    </r>
  </si>
  <si>
    <r>
      <t>n-C</t>
    </r>
    <r>
      <rPr>
        <vertAlign val="subscript"/>
        <sz val="9"/>
        <rFont val="Tahoma"/>
        <family val="2"/>
      </rPr>
      <t>4</t>
    </r>
  </si>
  <si>
    <t>End CVD Test (if need additional have to insert rows)</t>
  </si>
  <si>
    <r>
      <t>i-C</t>
    </r>
    <r>
      <rPr>
        <vertAlign val="subscript"/>
        <sz val="9"/>
        <rFont val="Tahoma"/>
        <family val="2"/>
      </rPr>
      <t>5</t>
    </r>
  </si>
  <si>
    <r>
      <t>n-C</t>
    </r>
    <r>
      <rPr>
        <vertAlign val="subscript"/>
        <sz val="9"/>
        <rFont val="Tahoma"/>
        <family val="2"/>
      </rPr>
      <t>5</t>
    </r>
  </si>
  <si>
    <r>
      <t>C</t>
    </r>
    <r>
      <rPr>
        <vertAlign val="subscript"/>
        <sz val="9"/>
        <rFont val="Tahoma"/>
        <family val="2"/>
      </rPr>
      <t>6</t>
    </r>
  </si>
  <si>
    <t>Heptanes Plus</t>
  </si>
  <si>
    <t>C7+</t>
  </si>
  <si>
    <t>Table 9: Constant Composition Expansion (CCE)</t>
  </si>
  <si>
    <t>Exp. ROV (Relative V) (-)</t>
  </si>
  <si>
    <t>Liq. Volume (% of CV)</t>
  </si>
  <si>
    <t>Oil Z Factor (-)</t>
  </si>
  <si>
    <r>
      <t>Gas Density</t>
    </r>
    <r>
      <rPr>
        <b/>
        <sz val="9"/>
        <color rgb="FFFF0000"/>
        <rFont val="Tahoma"/>
        <family val="2"/>
      </rPr>
      <t xml:space="preserve"> (lbm/ft3)</t>
    </r>
  </si>
  <si>
    <r>
      <t>Oil Density</t>
    </r>
    <r>
      <rPr>
        <b/>
        <sz val="9"/>
        <color rgb="FFFF0000"/>
        <rFont val="Tahoma"/>
        <family val="2"/>
      </rPr>
      <t xml:space="preserve"> (lbm/ft3)</t>
    </r>
  </si>
  <si>
    <r>
      <t xml:space="preserve">Oil Compressibility </t>
    </r>
    <r>
      <rPr>
        <b/>
        <sz val="9"/>
        <color rgb="FFFF0000"/>
        <rFont val="Tahoma"/>
        <family val="2"/>
      </rPr>
      <t>(1/psia)</t>
    </r>
  </si>
  <si>
    <t>Y Function</t>
  </si>
  <si>
    <t xml:space="preserve">   Calculated Properties of Total Sample @ Standard Conditions</t>
  </si>
  <si>
    <t>Total Sample MW at Std Cond</t>
  </si>
  <si>
    <t>Total Sample Density at Std Cond</t>
  </si>
  <si>
    <t xml:space="preserve">   Calculated Properties of C7+ Fraction @ Standard Conditions
Can Change if Want to input Heaviest</t>
  </si>
  <si>
    <t>C7+ MW at Std Cond</t>
  </si>
  <si>
    <t>C7+ Mole Fraction at Std Cond</t>
  </si>
  <si>
    <t>C7+ Density at Std Cond (g/cc)</t>
  </si>
  <si>
    <t>End of CCE (Insert rows if needed)</t>
  </si>
  <si>
    <t>[1]      Volume at indicated pressure per volume at saturation pressure (Dew Point Pressure)</t>
  </si>
  <si>
    <t>[2]      Y Function = ((Psat-P)/P)/(Relative Volume - 1)</t>
  </si>
  <si>
    <t>[3]      Vd = volume at dew point pressure</t>
  </si>
  <si>
    <t>Pres - reservoir pressure</t>
  </si>
  <si>
    <t>Table 6:Separator Adjusted Differential Liberation Data</t>
  </si>
  <si>
    <t>*Most reports don't have this</t>
  </si>
  <si>
    <t>Depletion test (Gas)</t>
  </si>
  <si>
    <t>(D.P.)</t>
  </si>
  <si>
    <t>Reservoir Pressure, psig</t>
  </si>
  <si>
    <t>Wellstream Components</t>
  </si>
  <si>
    <t>mole %</t>
  </si>
  <si>
    <t>Hydrogen Sulfide</t>
  </si>
  <si>
    <t>Iso-butane</t>
  </si>
  <si>
    <t>N-butane</t>
  </si>
  <si>
    <t>Iso-pentane</t>
  </si>
  <si>
    <t>N-pentane</t>
  </si>
  <si>
    <r>
      <t>HEPTANES PLUS (C</t>
    </r>
    <r>
      <rPr>
        <b/>
        <vertAlign val="subscript"/>
        <sz val="13"/>
        <color theme="1"/>
        <rFont val="Arial"/>
        <family val="2"/>
      </rPr>
      <t>7+</t>
    </r>
    <r>
      <rPr>
        <b/>
        <sz val="9.5"/>
        <color theme="1"/>
        <rFont val="Arial"/>
        <family val="2"/>
      </rPr>
      <t>) FRACTION CHARACTERISTICS</t>
    </r>
  </si>
  <si>
    <t>Molecular Weight</t>
  </si>
  <si>
    <t>CONDENSED RETROGRADE LIQUID VOLUME</t>
  </si>
  <si>
    <t>HC Pore Volume %</t>
  </si>
  <si>
    <t>Bbls/MMscf of DP Gas</t>
  </si>
  <si>
    <t>GAS DEVIATION FACTOR</t>
  </si>
  <si>
    <t>Equilibrium Gas</t>
  </si>
  <si>
    <t>Two-Phase</t>
  </si>
  <si>
    <t>CUMULATIVE PRODUCED WELLSTREAM VOLUME</t>
  </si>
  <si>
    <t>Vol % of Initial DP Gas</t>
  </si>
  <si>
    <t>GPM FROM CVD WELLSTREAM COMPOSITIONS</t>
  </si>
  <si>
    <t>Propane plus</t>
  </si>
  <si>
    <r>
      <t>(C</t>
    </r>
    <r>
      <rPr>
        <vertAlign val="subscript"/>
        <sz val="13"/>
        <color theme="1"/>
        <rFont val="Times New Roman"/>
        <family val="1"/>
      </rPr>
      <t>3 +</t>
    </r>
    <r>
      <rPr>
        <sz val="9.5"/>
        <color theme="1"/>
        <rFont val="Times New Roman"/>
        <family val="1"/>
      </rPr>
      <t>)</t>
    </r>
  </si>
  <si>
    <t>Butanes plus</t>
  </si>
  <si>
    <r>
      <t>(C</t>
    </r>
    <r>
      <rPr>
        <vertAlign val="subscript"/>
        <sz val="13"/>
        <color theme="1"/>
        <rFont val="Times New Roman"/>
        <family val="1"/>
      </rPr>
      <t>4 +</t>
    </r>
    <r>
      <rPr>
        <sz val="9.5"/>
        <color theme="1"/>
        <rFont val="Times New Roman"/>
        <family val="1"/>
      </rPr>
      <t>)</t>
    </r>
  </si>
  <si>
    <r>
      <t>Pentanes plus (C</t>
    </r>
    <r>
      <rPr>
        <vertAlign val="subscript"/>
        <sz val="13"/>
        <color theme="1"/>
        <rFont val="Times New Roman"/>
        <family val="1"/>
      </rPr>
      <t>5 +</t>
    </r>
    <r>
      <rPr>
        <sz val="9.5"/>
        <color theme="1"/>
        <rFont val="Times New Roman"/>
        <family val="1"/>
      </rPr>
      <t>)</t>
    </r>
  </si>
  <si>
    <t>Cumulative Fluid Recovery</t>
  </si>
  <si>
    <t>Reservoir Pressure - psig</t>
  </si>
  <si>
    <t>per MMScf of Original</t>
  </si>
  <si>
    <t>Initial Gas</t>
  </si>
  <si>
    <t>Dew Point Gas</t>
  </si>
  <si>
    <t>in Place</t>
  </si>
  <si>
    <t>Well Stream (Mcf)</t>
  </si>
  <si>
    <t>* Normal Temperature Separation</t>
  </si>
  <si>
    <t>Stock Tank Liquid (Bbls)</t>
  </si>
  <si>
    <t>Primary Separator Gas (Mcf)</t>
  </si>
  <si>
    <t>Second Stage Gas (Mcf)</t>
  </si>
  <si>
    <t>Third Stage Gas (Mcf)</t>
  </si>
  <si>
    <t>Stock Tank Gas (Mcf)</t>
  </si>
  <si>
    <t>Cumulative Total GOR (Scf/STB)</t>
  </si>
  <si>
    <t>Instantaneous Total GOR (Scf/STB)</t>
  </si>
  <si>
    <t>Total Gallons of Ethane Plus</t>
  </si>
  <si>
    <r>
      <t xml:space="preserve">(C </t>
    </r>
    <r>
      <rPr>
        <b/>
        <vertAlign val="subscript"/>
        <sz val="10.5"/>
        <color theme="1"/>
        <rFont val="Times New Roman"/>
        <family val="1"/>
      </rPr>
      <t>2+</t>
    </r>
    <r>
      <rPr>
        <b/>
        <sz val="8.5"/>
        <color theme="1"/>
        <rFont val="Times New Roman"/>
        <family val="1"/>
      </rPr>
      <t>) Plant Products Produced in:</t>
    </r>
  </si>
  <si>
    <t>Well Stream</t>
  </si>
  <si>
    <t>Primary Separator Gas</t>
  </si>
  <si>
    <t>Second Stage Gas</t>
  </si>
  <si>
    <t>Third Stage Gas</t>
  </si>
  <si>
    <t>Stock Tank Gas</t>
  </si>
  <si>
    <t>Condensed Retrograde</t>
  </si>
  <si>
    <t>Pressure</t>
  </si>
  <si>
    <t>Liquid Volume</t>
  </si>
  <si>
    <t>psig</t>
  </si>
  <si>
    <t>Al-Marhoun Method</t>
  </si>
  <si>
    <t>Source</t>
  </si>
  <si>
    <t>Single Stage</t>
  </si>
  <si>
    <t>JOHN 1H-5X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</si>
</sst>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0.0000"/>
    <numFmt numFmtId="167" formatCode="0.0000E+00"/>
    <numFmt numFmtId="168" formatCode="0.000000"/>
    <numFmt numFmtId="169" formatCode="??0.0000"/>
    <numFmt numFmtId="170" formatCode="??0.000_)"/>
    <numFmt numFmtId="171" formatCode="0.0000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0"/>
      <color rgb="FF0070C0"/>
      <name val="Arial"/>
      <family val="2"/>
    </font>
    <font>
      <b/>
      <sz val="2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9"/>
      <name val="Tahoma"/>
      <family val="2"/>
    </font>
    <font>
      <sz val="11"/>
      <name val="Tahoma"/>
      <family val="2"/>
    </font>
    <font>
      <b/>
      <sz val="10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Times New Roman"/>
      <family val="1"/>
    </font>
    <font>
      <b/>
      <u/>
      <sz val="10"/>
      <color theme="4" tint="-0.249977111117893"/>
      <name val="Times New Roman"/>
      <family val="1"/>
    </font>
    <font>
      <sz val="11"/>
      <color theme="1" tint="0.249977111117893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 tint="0.249977111117893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indexed="18"/>
      <name val="Times New Roman"/>
      <family val="1"/>
    </font>
    <font>
      <sz val="12"/>
      <color indexed="8"/>
      <name val="Arial"/>
      <family val="2"/>
    </font>
    <font>
      <sz val="11"/>
      <name val="Calibri Light"/>
      <family val="2"/>
      <scheme val="major"/>
    </font>
    <font>
      <b/>
      <sz val="9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9"/>
      <name val="Tahoma"/>
      <family val="2"/>
    </font>
    <font>
      <b/>
      <sz val="9"/>
      <color indexed="56"/>
      <name val="Times New Roman"/>
      <family val="1"/>
    </font>
    <font>
      <vertAlign val="subscript"/>
      <sz val="9"/>
      <name val="Tahoma"/>
      <family val="2"/>
    </font>
    <font>
      <b/>
      <sz val="9"/>
      <color rgb="FFFF0000"/>
      <name val="Tahoma"/>
      <family val="2"/>
    </font>
    <font>
      <sz val="11.5"/>
      <color theme="1"/>
      <name val="Times New Roman"/>
      <family val="1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sz val="10.5"/>
      <color theme="1"/>
      <name val="Times New Roman"/>
      <family val="1"/>
    </font>
    <font>
      <b/>
      <sz val="9.5"/>
      <color theme="1"/>
      <name val="Arial"/>
      <family val="2"/>
    </font>
    <font>
      <b/>
      <vertAlign val="subscript"/>
      <sz val="13"/>
      <color theme="1"/>
      <name val="Arial"/>
      <family val="2"/>
    </font>
    <font>
      <vertAlign val="subscript"/>
      <sz val="13"/>
      <color theme="1"/>
      <name val="Times New Roman"/>
      <family val="1"/>
    </font>
    <font>
      <b/>
      <sz val="8.5"/>
      <color theme="1"/>
      <name val="Times New Roman"/>
      <family val="1"/>
    </font>
    <font>
      <sz val="10"/>
      <color theme="1"/>
      <name val="Times New Roman"/>
      <family val="1"/>
    </font>
    <font>
      <sz val="8.5"/>
      <color theme="1"/>
      <name val="Times New Roman"/>
      <family val="1"/>
    </font>
    <font>
      <b/>
      <vertAlign val="subscript"/>
      <sz val="10.5"/>
      <color theme="1"/>
      <name val="Times New Roman"/>
      <family val="1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9"/>
      </patternFill>
    </fill>
    <fill>
      <patternFill patternType="solid">
        <fgColor rgb="FFFFFF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FFC0"/>
      </right>
      <top/>
      <bottom style="medium">
        <color indexed="64"/>
      </bottom>
      <diagonal/>
    </border>
    <border>
      <left style="medium">
        <color rgb="FFFFFFC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C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FFFFC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C0"/>
      </bottom>
      <diagonal/>
    </border>
    <border>
      <left/>
      <right style="medium">
        <color indexed="64"/>
      </right>
      <top style="medium">
        <color indexed="64"/>
      </top>
      <bottom style="medium">
        <color rgb="FFFFFFC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FFFFC0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0" borderId="0"/>
    <xf numFmtId="0" fontId="8" fillId="0" borderId="0"/>
  </cellStyleXfs>
  <cellXfs count="489">
    <xf numFmtId="0" fontId="0" fillId="0" borderId="0" xfId="0"/>
    <xf numFmtId="0" fontId="0" fillId="3" borderId="0" xfId="2" applyFont="1"/>
    <xf numFmtId="0" fontId="0" fillId="4" borderId="0" xfId="2" applyFont="1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164" fontId="3" fillId="9" borderId="0" xfId="2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4" borderId="1" xfId="0" applyFill="1" applyBorder="1"/>
    <xf numFmtId="0" fontId="0" fillId="4" borderId="2" xfId="0" applyFill="1" applyBorder="1"/>
    <xf numFmtId="0" fontId="7" fillId="0" borderId="0" xfId="1" applyFont="1" applyFill="1"/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3" xfId="0" applyBorder="1"/>
    <xf numFmtId="0" fontId="6" fillId="6" borderId="0" xfId="0" applyFont="1" applyFill="1" applyAlignment="1">
      <alignment horizontal="center"/>
    </xf>
    <xf numFmtId="0" fontId="9" fillId="6" borderId="4" xfId="3" applyFont="1" applyFill="1" applyBorder="1" applyAlignment="1">
      <alignment horizontal="left" indent="1"/>
    </xf>
    <xf numFmtId="166" fontId="6" fillId="6" borderId="0" xfId="0" applyNumberFormat="1" applyFont="1" applyFill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2" fontId="0" fillId="0" borderId="0" xfId="0" applyNumberFormat="1"/>
    <xf numFmtId="0" fontId="11" fillId="0" borderId="0" xfId="0" applyFont="1" applyAlignment="1">
      <alignment horizontal="center"/>
    </xf>
    <xf numFmtId="0" fontId="0" fillId="13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9" fillId="6" borderId="0" xfId="3" applyFont="1" applyFill="1" applyAlignment="1">
      <alignment horizontal="left" indent="1"/>
    </xf>
    <xf numFmtId="0" fontId="12" fillId="0" borderId="0" xfId="0" applyFont="1" applyAlignment="1">
      <alignment horizontal="center"/>
    </xf>
    <xf numFmtId="0" fontId="11" fillId="0" borderId="4" xfId="0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2" fontId="9" fillId="0" borderId="0" xfId="0" applyNumberFormat="1" applyFont="1"/>
    <xf numFmtId="0" fontId="0" fillId="0" borderId="0" xfId="0" applyAlignment="1">
      <alignment horizontal="center"/>
    </xf>
    <xf numFmtId="0" fontId="14" fillId="0" borderId="9" xfId="0" applyFont="1" applyBorder="1"/>
    <xf numFmtId="0" fontId="11" fillId="0" borderId="10" xfId="0" applyFont="1" applyBorder="1" applyAlignment="1">
      <alignment horizontal="center"/>
    </xf>
    <xf numFmtId="0" fontId="14" fillId="0" borderId="0" xfId="0" applyFont="1"/>
    <xf numFmtId="0" fontId="9" fillId="6" borderId="11" xfId="3" applyFont="1" applyFill="1" applyBorder="1" applyAlignment="1">
      <alignment horizontal="left" indent="1"/>
    </xf>
    <xf numFmtId="0" fontId="0" fillId="5" borderId="0" xfId="0" applyFill="1" applyAlignment="1">
      <alignment horizontal="center"/>
    </xf>
    <xf numFmtId="0" fontId="0" fillId="14" borderId="0" xfId="0" applyFill="1"/>
    <xf numFmtId="0" fontId="15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2" fontId="9" fillId="9" borderId="0" xfId="0" applyNumberFormat="1" applyFont="1" applyFill="1"/>
    <xf numFmtId="0" fontId="0" fillId="15" borderId="4" xfId="0" applyFill="1" applyBorder="1"/>
    <xf numFmtId="0" fontId="0" fillId="15" borderId="0" xfId="0" applyFill="1"/>
    <xf numFmtId="0" fontId="0" fillId="6" borderId="3" xfId="0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1" fillId="3" borderId="3" xfId="2" applyNumberFormat="1" applyBorder="1" applyAlignment="1">
      <alignment horizontal="center" vertical="center"/>
    </xf>
    <xf numFmtId="0" fontId="2" fillId="0" borderId="0" xfId="0" applyFont="1"/>
    <xf numFmtId="0" fontId="0" fillId="15" borderId="10" xfId="0" applyFill="1" applyBorder="1"/>
    <xf numFmtId="0" fontId="17" fillId="9" borderId="4" xfId="0" applyFont="1" applyFill="1" applyBorder="1" applyAlignment="1">
      <alignment horizontal="center"/>
    </xf>
    <xf numFmtId="0" fontId="3" fillId="0" borderId="0" xfId="0" applyFont="1"/>
    <xf numFmtId="0" fontId="18" fillId="0" borderId="3" xfId="0" applyFont="1" applyBorder="1" applyAlignment="1">
      <alignment horizontal="left"/>
    </xf>
    <xf numFmtId="166" fontId="19" fillId="9" borderId="3" xfId="0" applyNumberFormat="1" applyFont="1" applyFill="1" applyBorder="1"/>
    <xf numFmtId="0" fontId="0" fillId="9" borderId="0" xfId="0" applyFill="1"/>
    <xf numFmtId="1" fontId="0" fillId="9" borderId="0" xfId="0" applyNumberFormat="1" applyFill="1"/>
    <xf numFmtId="0" fontId="1" fillId="3" borderId="3" xfId="2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0" fillId="0" borderId="0" xfId="0" applyFont="1" applyAlignment="1">
      <alignment horizontal="left"/>
    </xf>
    <xf numFmtId="0" fontId="0" fillId="16" borderId="0" xfId="0" applyFill="1"/>
    <xf numFmtId="0" fontId="0" fillId="0" borderId="10" xfId="0" applyBorder="1"/>
    <xf numFmtId="0" fontId="0" fillId="0" borderId="3" xfId="0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3" xfId="2" applyBorder="1"/>
    <xf numFmtId="0" fontId="19" fillId="0" borderId="3" xfId="0" applyFont="1" applyBorder="1"/>
    <xf numFmtId="167" fontId="7" fillId="17" borderId="3" xfId="3" applyNumberFormat="1" applyFont="1" applyFill="1" applyBorder="1" applyAlignment="1">
      <alignment horizontal="center"/>
    </xf>
    <xf numFmtId="166" fontId="1" fillId="9" borderId="3" xfId="2" applyNumberFormat="1" applyFill="1" applyBorder="1"/>
    <xf numFmtId="0" fontId="3" fillId="5" borderId="6" xfId="0" applyFont="1" applyFill="1" applyBorder="1"/>
    <xf numFmtId="11" fontId="1" fillId="0" borderId="3" xfId="0" applyNumberFormat="1" applyFont="1" applyBorder="1" applyAlignment="1">
      <alignment horizontal="center" vertical="center"/>
    </xf>
    <xf numFmtId="0" fontId="0" fillId="0" borderId="9" xfId="0" applyBorder="1"/>
    <xf numFmtId="168" fontId="0" fillId="0" borderId="0" xfId="0" applyNumberFormat="1" applyAlignment="1">
      <alignment horizontal="left"/>
    </xf>
    <xf numFmtId="0" fontId="22" fillId="0" borderId="12" xfId="0" applyFont="1" applyBorder="1" applyAlignment="1">
      <alignment horizontal="right" vertical="center" textRotation="90"/>
    </xf>
    <xf numFmtId="0" fontId="1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7" fillId="0" borderId="3" xfId="4" applyNumberFormat="1" applyFont="1" applyBorder="1" applyAlignment="1">
      <alignment horizontal="center" vertical="center"/>
    </xf>
    <xf numFmtId="164" fontId="1" fillId="3" borderId="3" xfId="2" applyNumberFormat="1" applyBorder="1"/>
    <xf numFmtId="1" fontId="0" fillId="0" borderId="9" xfId="0" applyNumberFormat="1" applyBorder="1"/>
    <xf numFmtId="1" fontId="0" fillId="0" borderId="0" xfId="0" applyNumberFormat="1" applyAlignment="1">
      <alignment horizontal="left"/>
    </xf>
    <xf numFmtId="166" fontId="7" fillId="0" borderId="3" xfId="0" applyNumberFormat="1" applyFont="1" applyBorder="1" applyAlignment="1">
      <alignment horizontal="center" vertical="center"/>
    </xf>
    <xf numFmtId="0" fontId="9" fillId="0" borderId="0" xfId="3" applyFont="1" applyFill="1" applyAlignment="1">
      <alignment horizontal="right"/>
    </xf>
    <xf numFmtId="2" fontId="0" fillId="0" borderId="0" xfId="0" applyNumberFormat="1" applyAlignment="1">
      <alignment horizontal="left"/>
    </xf>
    <xf numFmtId="0" fontId="9" fillId="0" borderId="0" xfId="3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Alignment="1">
      <alignment horizontal="left"/>
    </xf>
    <xf numFmtId="2" fontId="7" fillId="0" borderId="3" xfId="4" applyNumberFormat="1" applyFont="1" applyBorder="1" applyAlignment="1">
      <alignment horizontal="center" vertical="center"/>
    </xf>
    <xf numFmtId="2" fontId="9" fillId="0" borderId="0" xfId="4" applyNumberFormat="1" applyFont="1" applyAlignment="1">
      <alignment horizontal="center"/>
    </xf>
    <xf numFmtId="0" fontId="23" fillId="0" borderId="0" xfId="3" applyFont="1" applyFill="1" applyAlignment="1">
      <alignment horizontal="center"/>
    </xf>
    <xf numFmtId="0" fontId="0" fillId="0" borderId="13" xfId="0" applyBorder="1"/>
    <xf numFmtId="0" fontId="24" fillId="0" borderId="13" xfId="4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/>
    </xf>
    <xf numFmtId="0" fontId="9" fillId="0" borderId="0" xfId="4" applyFont="1" applyAlignment="1">
      <alignment horizontal="center"/>
    </xf>
    <xf numFmtId="0" fontId="23" fillId="0" borderId="0" xfId="4" applyFont="1" applyAlignment="1">
      <alignment horizontal="center"/>
    </xf>
    <xf numFmtId="0" fontId="0" fillId="9" borderId="3" xfId="0" applyFill="1" applyBorder="1" applyAlignment="1">
      <alignment horizontal="center" wrapText="1"/>
    </xf>
    <xf numFmtId="164" fontId="9" fillId="0" borderId="0" xfId="4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indent="1"/>
    </xf>
    <xf numFmtId="0" fontId="7" fillId="0" borderId="11" xfId="0" applyFont="1" applyBorder="1" applyAlignment="1">
      <alignment horizontal="center" vertical="center"/>
    </xf>
    <xf numFmtId="2" fontId="1" fillId="9" borderId="3" xfId="0" applyNumberFormat="1" applyFont="1" applyFill="1" applyBorder="1" applyAlignment="1">
      <alignment horizontal="center"/>
    </xf>
    <xf numFmtId="165" fontId="23" fillId="0" borderId="0" xfId="4" applyNumberFormat="1" applyFont="1"/>
    <xf numFmtId="2" fontId="23" fillId="0" borderId="0" xfId="4" applyNumberFormat="1" applyFont="1"/>
    <xf numFmtId="0" fontId="3" fillId="0" borderId="3" xfId="0" applyFont="1" applyBorder="1" applyAlignment="1">
      <alignment horizontal="center"/>
    </xf>
    <xf numFmtId="2" fontId="1" fillId="9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18" borderId="0" xfId="0" applyFill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9" fillId="0" borderId="0" xfId="3" applyFont="1" applyFill="1" applyAlignment="1">
      <alignment horizontal="left"/>
    </xf>
    <xf numFmtId="0" fontId="0" fillId="9" borderId="0" xfId="0" applyFill="1" applyAlignment="1">
      <alignment horizontal="left"/>
    </xf>
    <xf numFmtId="0" fontId="7" fillId="0" borderId="3" xfId="4" applyFont="1" applyBorder="1" applyAlignment="1">
      <alignment horizontal="left" indent="1"/>
    </xf>
    <xf numFmtId="166" fontId="7" fillId="0" borderId="3" xfId="4" applyNumberFormat="1" applyFont="1" applyBorder="1" applyAlignment="1">
      <alignment horizontal="left" indent="2"/>
    </xf>
    <xf numFmtId="0" fontId="9" fillId="0" borderId="0" xfId="4" applyFont="1" applyAlignment="1">
      <alignment horizontal="left"/>
    </xf>
    <xf numFmtId="164" fontId="17" fillId="0" borderId="0" xfId="0" applyNumberFormat="1" applyFont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4" xfId="0" applyBorder="1"/>
    <xf numFmtId="0" fontId="1" fillId="0" borderId="14" xfId="0" applyFont="1" applyBorder="1"/>
    <xf numFmtId="0" fontId="9" fillId="0" borderId="9" xfId="3" applyFont="1" applyFill="1" applyBorder="1" applyAlignment="1">
      <alignment horizontal="left" indent="1"/>
    </xf>
    <xf numFmtId="14" fontId="9" fillId="0" borderId="0" xfId="3" applyNumberFormat="1" applyFont="1" applyFill="1" applyBorder="1" applyAlignment="1">
      <alignment horizontal="left"/>
    </xf>
    <xf numFmtId="0" fontId="25" fillId="0" borderId="10" xfId="3" applyFont="1" applyFill="1" applyBorder="1" applyAlignment="1">
      <alignment horizontal="left" indent="1"/>
    </xf>
    <xf numFmtId="14" fontId="0" fillId="0" borderId="0" xfId="0" applyNumberFormat="1"/>
    <xf numFmtId="0" fontId="26" fillId="0" borderId="0" xfId="0" applyFont="1"/>
    <xf numFmtId="0" fontId="9" fillId="0" borderId="10" xfId="3" applyFont="1" applyFill="1" applyBorder="1" applyAlignment="1">
      <alignment horizontal="left"/>
    </xf>
    <xf numFmtId="0" fontId="0" fillId="5" borderId="1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9" fillId="0" borderId="10" xfId="3" applyFont="1" applyFill="1" applyBorder="1"/>
    <xf numFmtId="0" fontId="27" fillId="0" borderId="0" xfId="0" applyFont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3" xfId="5" applyFont="1" applyFill="1" applyBorder="1" applyAlignment="1">
      <alignment horizontal="center" vertical="center"/>
    </xf>
    <xf numFmtId="1" fontId="9" fillId="0" borderId="0" xfId="3" applyNumberFormat="1" applyFont="1" applyFill="1" applyBorder="1" applyAlignment="1">
      <alignment horizontal="left"/>
    </xf>
    <xf numFmtId="0" fontId="30" fillId="0" borderId="10" xfId="3" applyFont="1" applyFill="1" applyBorder="1"/>
    <xf numFmtId="164" fontId="0" fillId="0" borderId="0" xfId="0" applyNumberFormat="1" applyAlignment="1">
      <alignment horizontal="center"/>
    </xf>
    <xf numFmtId="0" fontId="29" fillId="9" borderId="3" xfId="5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1" fillId="0" borderId="9" xfId="3" applyFont="1" applyFill="1" applyBorder="1" applyAlignment="1">
      <alignment horizontal="left" indent="1"/>
    </xf>
    <xf numFmtId="0" fontId="1" fillId="3" borderId="1" xfId="2" applyBorder="1" applyAlignment="1">
      <alignment horizontal="center"/>
    </xf>
    <xf numFmtId="0" fontId="0" fillId="0" borderId="4" xfId="0" applyBorder="1" applyAlignment="1">
      <alignment horizontal="center" wrapText="1"/>
    </xf>
    <xf numFmtId="0" fontId="29" fillId="0" borderId="3" xfId="5" applyFont="1" applyFill="1" applyBorder="1" applyAlignment="1">
      <alignment horizontal="center"/>
    </xf>
    <xf numFmtId="166" fontId="0" fillId="9" borderId="0" xfId="0" applyNumberFormat="1" applyFill="1"/>
    <xf numFmtId="0" fontId="0" fillId="0" borderId="16" xfId="0" applyBorder="1" applyAlignment="1">
      <alignment horizontal="center"/>
    </xf>
    <xf numFmtId="0" fontId="29" fillId="0" borderId="3" xfId="6" applyFont="1" applyFill="1" applyBorder="1" applyAlignment="1">
      <alignment horizontal="center"/>
    </xf>
    <xf numFmtId="1" fontId="1" fillId="3" borderId="3" xfId="2" applyNumberFormat="1" applyBorder="1" applyAlignment="1">
      <alignment horizontal="center"/>
    </xf>
    <xf numFmtId="2" fontId="1" fillId="0" borderId="0" xfId="2" applyNumberFormat="1" applyFill="1"/>
    <xf numFmtId="0" fontId="9" fillId="0" borderId="15" xfId="3" applyFont="1" applyFill="1" applyBorder="1" applyAlignment="1">
      <alignment horizontal="left" indent="1"/>
    </xf>
    <xf numFmtId="0" fontId="9" fillId="0" borderId="16" xfId="3" applyFont="1" applyFill="1" applyBorder="1" applyAlignment="1">
      <alignment horizontal="left"/>
    </xf>
    <xf numFmtId="1" fontId="32" fillId="9" borderId="6" xfId="0" applyNumberFormat="1" applyFont="1" applyFill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" fontId="29" fillId="0" borderId="3" xfId="5" applyNumberFormat="1" applyFont="1" applyFill="1" applyBorder="1" applyAlignment="1">
      <alignment horizontal="center"/>
    </xf>
    <xf numFmtId="169" fontId="1" fillId="3" borderId="3" xfId="2" applyNumberFormat="1" applyBorder="1" applyAlignment="1">
      <alignment horizontal="center"/>
    </xf>
    <xf numFmtId="165" fontId="1" fillId="3" borderId="3" xfId="2" applyNumberFormat="1" applyBorder="1" applyAlignment="1">
      <alignment horizontal="center"/>
    </xf>
    <xf numFmtId="0" fontId="33" fillId="13" borderId="0" xfId="7" applyFont="1" applyFill="1" applyAlignment="1">
      <alignment horizontal="left"/>
    </xf>
    <xf numFmtId="165" fontId="34" fillId="13" borderId="0" xfId="7" applyNumberFormat="1" applyFont="1" applyFill="1"/>
    <xf numFmtId="0" fontId="34" fillId="13" borderId="0" xfId="7" applyFont="1" applyFill="1"/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70" fontId="29" fillId="0" borderId="19" xfId="0" applyNumberFormat="1" applyFont="1" applyBorder="1" applyAlignment="1">
      <alignment horizontal="center"/>
    </xf>
    <xf numFmtId="0" fontId="28" fillId="0" borderId="0" xfId="0" applyFont="1"/>
    <xf numFmtId="2" fontId="35" fillId="9" borderId="0" xfId="0" applyNumberFormat="1" applyFont="1" applyFill="1" applyAlignment="1">
      <alignment horizontal="center"/>
    </xf>
    <xf numFmtId="1" fontId="36" fillId="9" borderId="9" xfId="3" applyNumberFormat="1" applyFont="1" applyFill="1" applyBorder="1" applyAlignment="1">
      <alignment horizontal="center"/>
    </xf>
    <xf numFmtId="164" fontId="32" fillId="9" borderId="10" xfId="0" applyNumberFormat="1" applyFont="1" applyFill="1" applyBorder="1" applyAlignment="1">
      <alignment horizontal="center"/>
    </xf>
    <xf numFmtId="164" fontId="1" fillId="3" borderId="3" xfId="2" applyNumberFormat="1" applyBorder="1" applyAlignment="1">
      <alignment horizontal="center" vertical="center"/>
    </xf>
    <xf numFmtId="1" fontId="34" fillId="13" borderId="0" xfId="7" applyNumberFormat="1" applyFont="1" applyFill="1"/>
    <xf numFmtId="0" fontId="34" fillId="13" borderId="0" xfId="7" applyFont="1" applyFill="1" applyAlignment="1">
      <alignment horizontal="center"/>
    </xf>
    <xf numFmtId="165" fontId="34" fillId="13" borderId="0" xfId="7" applyNumberFormat="1" applyFont="1" applyFill="1" applyAlignment="1">
      <alignment horizontal="center"/>
    </xf>
    <xf numFmtId="2" fontId="37" fillId="9" borderId="0" xfId="0" applyNumberFormat="1" applyFont="1" applyFill="1" applyAlignment="1">
      <alignment horizontal="center"/>
    </xf>
    <xf numFmtId="1" fontId="0" fillId="9" borderId="9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2" applyFill="1" applyBorder="1" applyAlignment="1">
      <alignment horizontal="center" vertical="center"/>
    </xf>
    <xf numFmtId="0" fontId="34" fillId="13" borderId="0" xfId="7" applyFont="1" applyFill="1" applyAlignment="1">
      <alignment horizontal="left"/>
    </xf>
    <xf numFmtId="0" fontId="38" fillId="0" borderId="0" xfId="0" applyFont="1"/>
    <xf numFmtId="164" fontId="0" fillId="9" borderId="0" xfId="0" applyNumberFormat="1" applyFill="1"/>
    <xf numFmtId="0" fontId="0" fillId="5" borderId="3" xfId="0" applyFill="1" applyBorder="1"/>
    <xf numFmtId="0" fontId="0" fillId="5" borderId="14" xfId="0" applyFill="1" applyBorder="1"/>
    <xf numFmtId="2" fontId="9" fillId="9" borderId="15" xfId="3" applyNumberFormat="1" applyFont="1" applyFill="1" applyBorder="1" applyAlignment="1">
      <alignment horizontal="center"/>
    </xf>
    <xf numFmtId="164" fontId="32" fillId="9" borderId="17" xfId="0" applyNumberFormat="1" applyFont="1" applyFill="1" applyBorder="1" applyAlignment="1">
      <alignment horizontal="center"/>
    </xf>
    <xf numFmtId="2" fontId="34" fillId="13" borderId="20" xfId="7" applyNumberFormat="1" applyFont="1" applyFill="1" applyBorder="1" applyAlignment="1">
      <alignment horizontal="center"/>
    </xf>
    <xf numFmtId="166" fontId="28" fillId="9" borderId="0" xfId="0" applyNumberFormat="1" applyFont="1" applyFill="1"/>
    <xf numFmtId="0" fontId="38" fillId="8" borderId="0" xfId="0" applyFont="1" applyFill="1"/>
    <xf numFmtId="0" fontId="0" fillId="0" borderId="12" xfId="0" applyBorder="1"/>
    <xf numFmtId="0" fontId="0" fillId="0" borderId="21" xfId="0" applyBorder="1" applyAlignment="1">
      <alignment horizontal="center" vertical="center"/>
    </xf>
    <xf numFmtId="0" fontId="39" fillId="19" borderId="3" xfId="4" applyFont="1" applyFill="1" applyBorder="1" applyAlignment="1">
      <alignment vertical="center"/>
    </xf>
    <xf numFmtId="0" fontId="9" fillId="19" borderId="3" xfId="3" applyFont="1" applyFill="1" applyBorder="1"/>
    <xf numFmtId="0" fontId="9" fillId="19" borderId="3" xfId="3" applyFont="1" applyFill="1" applyBorder="1" applyAlignment="1">
      <alignment horizontal="center"/>
    </xf>
    <xf numFmtId="2" fontId="34" fillId="13" borderId="22" xfId="7" applyNumberFormat="1" applyFont="1" applyFill="1" applyBorder="1" applyAlignment="1">
      <alignment horizontal="center"/>
    </xf>
    <xf numFmtId="171" fontId="0" fillId="9" borderId="0" xfId="0" applyNumberFormat="1" applyFill="1"/>
    <xf numFmtId="0" fontId="0" fillId="0" borderId="0" xfId="0" applyAlignment="1">
      <alignment horizontal="center" vertical="center"/>
    </xf>
    <xf numFmtId="166" fontId="9" fillId="9" borderId="3" xfId="3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9" fillId="9" borderId="3" xfId="3" applyNumberFormat="1" applyFont="1" applyFill="1" applyBorder="1" applyAlignment="1">
      <alignment horizontal="right"/>
    </xf>
    <xf numFmtId="0" fontId="18" fillId="0" borderId="3" xfId="3" applyFont="1" applyFill="1" applyBorder="1" applyAlignment="1">
      <alignment horizontal="center" vertical="center"/>
    </xf>
    <xf numFmtId="0" fontId="9" fillId="19" borderId="1" xfId="3" applyFont="1" applyFill="1" applyBorder="1" applyAlignment="1">
      <alignment horizontal="center"/>
    </xf>
    <xf numFmtId="166" fontId="9" fillId="9" borderId="3" xfId="3" applyNumberFormat="1" applyFont="1" applyFill="1" applyBorder="1"/>
    <xf numFmtId="2" fontId="34" fillId="13" borderId="23" xfId="7" applyNumberFormat="1" applyFont="1" applyFill="1" applyBorder="1" applyAlignment="1">
      <alignment horizontal="center"/>
    </xf>
    <xf numFmtId="0" fontId="0" fillId="0" borderId="24" xfId="0" applyBorder="1"/>
    <xf numFmtId="2" fontId="9" fillId="9" borderId="3" xfId="3" applyNumberFormat="1" applyFont="1" applyFill="1" applyBorder="1" applyAlignment="1">
      <alignment horizontal="center"/>
    </xf>
    <xf numFmtId="2" fontId="9" fillId="9" borderId="3" xfId="3" applyNumberFormat="1" applyFont="1" applyFill="1" applyBorder="1"/>
    <xf numFmtId="0" fontId="29" fillId="0" borderId="0" xfId="5" applyFont="1" applyFill="1" applyAlignment="1">
      <alignment horizontal="center"/>
    </xf>
    <xf numFmtId="1" fontId="9" fillId="19" borderId="1" xfId="3" applyNumberFormat="1" applyFont="1" applyFill="1" applyBorder="1" applyAlignment="1">
      <alignment horizontal="center"/>
    </xf>
    <xf numFmtId="0" fontId="40" fillId="13" borderId="0" xfId="7" applyFont="1" applyFill="1"/>
    <xf numFmtId="0" fontId="0" fillId="0" borderId="25" xfId="0" applyBorder="1"/>
    <xf numFmtId="0" fontId="33" fillId="13" borderId="0" xfId="7" applyFont="1" applyFill="1"/>
    <xf numFmtId="166" fontId="29" fillId="0" borderId="0" xfId="5" applyNumberFormat="1" applyFont="1" applyFill="1" applyAlignment="1">
      <alignment horizontal="center"/>
    </xf>
    <xf numFmtId="164" fontId="41" fillId="9" borderId="3" xfId="0" applyNumberFormat="1" applyFont="1" applyFill="1" applyBorder="1" applyAlignment="1">
      <alignment horizontal="center" vertical="center"/>
    </xf>
    <xf numFmtId="164" fontId="41" fillId="9" borderId="3" xfId="0" applyNumberFormat="1" applyFont="1" applyFill="1" applyBorder="1" applyAlignment="1">
      <alignment vertical="center"/>
    </xf>
    <xf numFmtId="2" fontId="41" fillId="9" borderId="3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166" fontId="1" fillId="3" borderId="3" xfId="2" applyNumberFormat="1" applyBorder="1" applyAlignment="1">
      <alignment horizontal="center"/>
    </xf>
    <xf numFmtId="1" fontId="9" fillId="19" borderId="3" xfId="3" applyNumberFormat="1" applyFont="1" applyFill="1" applyBorder="1" applyAlignment="1">
      <alignment horizontal="center"/>
    </xf>
    <xf numFmtId="165" fontId="9" fillId="0" borderId="0" xfId="3" quotePrefix="1" applyNumberFormat="1" applyFont="1" applyFill="1"/>
    <xf numFmtId="0" fontId="34" fillId="13" borderId="14" xfId="7" applyFont="1" applyFill="1" applyBorder="1" applyAlignment="1">
      <alignment horizontal="center"/>
    </xf>
    <xf numFmtId="2" fontId="0" fillId="9" borderId="0" xfId="0" applyNumberFormat="1" applyFill="1"/>
    <xf numFmtId="2" fontId="1" fillId="3" borderId="3" xfId="2" applyNumberFormat="1" applyBorder="1" applyAlignment="1">
      <alignment horizontal="center"/>
    </xf>
    <xf numFmtId="0" fontId="9" fillId="19" borderId="3" xfId="4" applyFont="1" applyFill="1" applyBorder="1" applyAlignment="1">
      <alignment horizontal="center"/>
    </xf>
    <xf numFmtId="0" fontId="9" fillId="0" borderId="0" xfId="3" applyFont="1" applyFill="1"/>
    <xf numFmtId="0" fontId="34" fillId="13" borderId="11" xfId="7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9" borderId="0" xfId="0" applyFont="1" applyFill="1" applyAlignment="1">
      <alignment horizontal="right"/>
    </xf>
    <xf numFmtId="0" fontId="28" fillId="0" borderId="0" xfId="2" applyFont="1" applyFill="1"/>
    <xf numFmtId="0" fontId="28" fillId="0" borderId="0" xfId="0" applyFont="1" applyAlignment="1">
      <alignment horizontal="center"/>
    </xf>
    <xf numFmtId="0" fontId="39" fillId="0" borderId="14" xfId="4" applyFont="1" applyBorder="1" applyAlignment="1">
      <alignment horizontal="center" vertical="center" wrapText="1"/>
    </xf>
    <xf numFmtId="0" fontId="0" fillId="0" borderId="2" xfId="0" applyBorder="1"/>
    <xf numFmtId="166" fontId="9" fillId="19" borderId="3" xfId="4" applyNumberFormat="1" applyFont="1" applyFill="1" applyBorder="1" applyAlignment="1">
      <alignment horizontal="center"/>
    </xf>
    <xf numFmtId="0" fontId="9" fillId="0" borderId="0" xfId="4" applyFont="1"/>
    <xf numFmtId="0" fontId="6" fillId="0" borderId="11" xfId="0" applyFont="1" applyBorder="1" applyAlignment="1">
      <alignment horizontal="center" vertical="center"/>
    </xf>
    <xf numFmtId="0" fontId="28" fillId="8" borderId="0" xfId="2" applyFont="1" applyFill="1"/>
    <xf numFmtId="0" fontId="28" fillId="8" borderId="0" xfId="0" applyFont="1" applyFill="1" applyAlignment="1">
      <alignment horizontal="center"/>
    </xf>
    <xf numFmtId="0" fontId="28" fillId="8" borderId="0" xfId="0" applyFont="1" applyFill="1"/>
    <xf numFmtId="0" fontId="39" fillId="0" borderId="11" xfId="4" applyFont="1" applyBorder="1" applyAlignment="1">
      <alignment horizontal="center" vertical="center" wrapText="1"/>
    </xf>
    <xf numFmtId="2" fontId="9" fillId="19" borderId="3" xfId="4" applyNumberFormat="1" applyFont="1" applyFill="1" applyBorder="1" applyAlignment="1">
      <alignment horizontal="center"/>
    </xf>
    <xf numFmtId="0" fontId="9" fillId="0" borderId="0" xfId="4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166" fontId="9" fillId="17" borderId="3" xfId="4" applyNumberFormat="1" applyFont="1" applyFill="1" applyBorder="1" applyAlignment="1">
      <alignment horizontal="center"/>
    </xf>
    <xf numFmtId="0" fontId="9" fillId="0" borderId="0" xfId="4" quotePrefix="1" applyFont="1"/>
    <xf numFmtId="0" fontId="34" fillId="13" borderId="13" xfId="7" applyFont="1" applyFill="1" applyBorder="1" applyAlignment="1">
      <alignment horizontal="center"/>
    </xf>
    <xf numFmtId="0" fontId="35" fillId="9" borderId="3" xfId="0" applyFont="1" applyFill="1" applyBorder="1" applyAlignment="1">
      <alignment horizontal="center"/>
    </xf>
    <xf numFmtId="2" fontId="9" fillId="17" borderId="3" xfId="4" applyNumberFormat="1" applyFont="1" applyFill="1" applyBorder="1" applyAlignment="1">
      <alignment horizontal="center"/>
    </xf>
    <xf numFmtId="166" fontId="9" fillId="0" borderId="0" xfId="4" applyNumberFormat="1" applyFont="1"/>
    <xf numFmtId="0" fontId="0" fillId="0" borderId="3" xfId="0" applyBorder="1" applyAlignment="1">
      <alignment horizontal="center" vertical="center"/>
    </xf>
    <xf numFmtId="1" fontId="41" fillId="9" borderId="3" xfId="0" applyNumberFormat="1" applyFont="1" applyFill="1" applyBorder="1" applyAlignment="1">
      <alignment horizontal="center" vertical="center"/>
    </xf>
    <xf numFmtId="0" fontId="9" fillId="0" borderId="3" xfId="4" applyFont="1" applyBorder="1" applyAlignment="1">
      <alignment horizontal="center"/>
    </xf>
    <xf numFmtId="0" fontId="39" fillId="0" borderId="13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26" xfId="0" applyFont="1" applyBorder="1" applyAlignment="1">
      <alignment horizontal="left"/>
    </xf>
    <xf numFmtId="0" fontId="9" fillId="0" borderId="0" xfId="3" applyFont="1" applyFill="1" applyAlignment="1">
      <alignment horizontal="left" indent="1"/>
    </xf>
    <xf numFmtId="167" fontId="9" fillId="0" borderId="0" xfId="3" applyNumberFormat="1" applyFont="1" applyFill="1"/>
    <xf numFmtId="167" fontId="9" fillId="0" borderId="0" xfId="3" applyNumberFormat="1" applyFont="1" applyFill="1" applyAlignment="1">
      <alignment horizontal="right"/>
    </xf>
    <xf numFmtId="0" fontId="20" fillId="0" borderId="26" xfId="0" applyFont="1" applyBorder="1"/>
    <xf numFmtId="2" fontId="0" fillId="0" borderId="15" xfId="0" applyNumberFormat="1" applyBorder="1" applyAlignment="1">
      <alignment horizontal="center"/>
    </xf>
    <xf numFmtId="0" fontId="20" fillId="0" borderId="16" xfId="0" applyFont="1" applyBorder="1"/>
    <xf numFmtId="0" fontId="6" fillId="6" borderId="16" xfId="0" applyFont="1" applyFill="1" applyBorder="1" applyAlignment="1">
      <alignment horizontal="center"/>
    </xf>
    <xf numFmtId="0" fontId="0" fillId="16" borderId="16" xfId="0" applyFill="1" applyBorder="1"/>
    <xf numFmtId="0" fontId="0" fillId="0" borderId="16" xfId="0" applyBorder="1"/>
    <xf numFmtId="0" fontId="0" fillId="0" borderId="27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5" fillId="19" borderId="3" xfId="5" applyFont="1" applyFill="1" applyBorder="1" applyAlignment="1">
      <alignment horizontal="center"/>
    </xf>
    <xf numFmtId="0" fontId="25" fillId="0" borderId="3" xfId="5" applyFont="1" applyFill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4" fontId="1" fillId="3" borderId="3" xfId="2" applyNumberFormat="1" applyBorder="1" applyAlignment="1">
      <alignment horizontal="center"/>
    </xf>
    <xf numFmtId="2" fontId="1" fillId="0" borderId="3" xfId="2" applyNumberFormat="1" applyFill="1" applyBorder="1" applyAlignment="1">
      <alignment horizontal="center"/>
    </xf>
    <xf numFmtId="164" fontId="1" fillId="0" borderId="3" xfId="2" applyNumberFormat="1" applyFill="1" applyBorder="1" applyAlignment="1">
      <alignment horizontal="center"/>
    </xf>
    <xf numFmtId="1" fontId="29" fillId="0" borderId="3" xfId="5" applyNumberFormat="1" applyFont="1" applyFill="1" applyBorder="1" applyAlignment="1">
      <alignment horizontal="center" vertical="center"/>
    </xf>
    <xf numFmtId="2" fontId="29" fillId="0" borderId="0" xfId="5" applyNumberFormat="1" applyFont="1" applyFill="1" applyAlignment="1">
      <alignment horizontal="center"/>
    </xf>
    <xf numFmtId="164" fontId="29" fillId="0" borderId="0" xfId="5" applyNumberFormat="1" applyFont="1" applyFill="1" applyAlignment="1">
      <alignment horizontal="center"/>
    </xf>
    <xf numFmtId="171" fontId="29" fillId="0" borderId="0" xfId="5" applyNumberFormat="1" applyFont="1" applyFill="1" applyAlignment="1">
      <alignment horizontal="center"/>
    </xf>
    <xf numFmtId="1" fontId="28" fillId="0" borderId="3" xfId="0" applyNumberFormat="1" applyFont="1" applyBorder="1" applyAlignment="1">
      <alignment horizontal="center" vertical="center"/>
    </xf>
    <xf numFmtId="0" fontId="42" fillId="13" borderId="14" xfId="5" applyFont="1" applyFill="1" applyBorder="1" applyAlignment="1">
      <alignment horizontal="center" vertical="center"/>
    </xf>
    <xf numFmtId="0" fontId="42" fillId="13" borderId="1" xfId="5" applyFont="1" applyFill="1" applyBorder="1" applyAlignment="1">
      <alignment horizontal="center" vertical="center"/>
    </xf>
    <xf numFmtId="0" fontId="42" fillId="13" borderId="5" xfId="5" applyFont="1" applyFill="1" applyBorder="1" applyAlignment="1">
      <alignment horizontal="center" vertical="center"/>
    </xf>
    <xf numFmtId="0" fontId="42" fillId="13" borderId="2" xfId="5" applyFont="1" applyFill="1" applyBorder="1" applyAlignment="1">
      <alignment horizontal="center" vertical="center"/>
    </xf>
    <xf numFmtId="0" fontId="42" fillId="13" borderId="11" xfId="5" applyFont="1" applyFill="1" applyBorder="1" applyAlignment="1">
      <alignment horizontal="center" vertical="center"/>
    </xf>
    <xf numFmtId="1" fontId="43" fillId="13" borderId="18" xfId="5" applyNumberFormat="1" applyFont="1" applyFill="1" applyBorder="1" applyAlignment="1">
      <alignment horizontal="center"/>
    </xf>
    <xf numFmtId="1" fontId="43" fillId="13" borderId="13" xfId="5" applyNumberFormat="1" applyFont="1" applyFill="1" applyBorder="1" applyAlignment="1">
      <alignment horizontal="center"/>
    </xf>
    <xf numFmtId="1" fontId="43" fillId="13" borderId="3" xfId="5" applyNumberFormat="1" applyFont="1" applyFill="1" applyBorder="1" applyAlignment="1">
      <alignment horizontal="center"/>
    </xf>
    <xf numFmtId="0" fontId="42" fillId="13" borderId="13" xfId="5" applyFont="1" applyFill="1" applyBorder="1" applyAlignment="1">
      <alignment horizontal="center" vertical="center"/>
    </xf>
    <xf numFmtId="2" fontId="43" fillId="13" borderId="1" xfId="5" applyNumberFormat="1" applyFont="1" applyFill="1" applyBorder="1" applyAlignment="1">
      <alignment horizontal="center"/>
    </xf>
    <xf numFmtId="2" fontId="43" fillId="13" borderId="3" xfId="5" applyNumberFormat="1" applyFont="1" applyFill="1" applyBorder="1" applyAlignment="1">
      <alignment horizontal="center"/>
    </xf>
    <xf numFmtId="0" fontId="42" fillId="20" borderId="28" xfId="5" applyFont="1" applyFill="1" applyBorder="1" applyAlignment="1">
      <alignment horizontal="left" indent="1"/>
    </xf>
    <xf numFmtId="0" fontId="43" fillId="20" borderId="28" xfId="5" applyFont="1" applyFill="1" applyBorder="1"/>
    <xf numFmtId="0" fontId="43" fillId="20" borderId="14" xfId="5" applyFont="1" applyFill="1" applyBorder="1"/>
    <xf numFmtId="0" fontId="43" fillId="20" borderId="21" xfId="5" applyFont="1" applyFill="1" applyBorder="1"/>
    <xf numFmtId="0" fontId="42" fillId="13" borderId="4" xfId="5" applyFont="1" applyFill="1" applyBorder="1" applyAlignment="1">
      <alignment horizontal="left" indent="1"/>
    </xf>
    <xf numFmtId="0" fontId="44" fillId="13" borderId="29" xfId="0" applyFont="1" applyFill="1" applyBorder="1" applyAlignment="1">
      <alignment horizontal="right" vertical="center" wrapText="1"/>
    </xf>
    <xf numFmtId="165" fontId="0" fillId="9" borderId="0" xfId="0" applyNumberFormat="1" applyFill="1"/>
    <xf numFmtId="0" fontId="43" fillId="0" borderId="0" xfId="5" applyFont="1" applyFill="1"/>
    <xf numFmtId="0" fontId="43" fillId="0" borderId="3" xfId="5" applyFont="1" applyFill="1" applyBorder="1" applyAlignment="1">
      <alignment horizontal="center" vertical="center"/>
    </xf>
    <xf numFmtId="0" fontId="25" fillId="0" borderId="0" xfId="5" applyFont="1" applyFill="1" applyAlignment="1">
      <alignment horizontal="centerContinuous"/>
    </xf>
    <xf numFmtId="0" fontId="25" fillId="0" borderId="0" xfId="5" applyFont="1" applyFill="1" applyAlignment="1">
      <alignment horizontal="center"/>
    </xf>
    <xf numFmtId="166" fontId="7" fillId="0" borderId="0" xfId="5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/>
    <xf numFmtId="0" fontId="3" fillId="5" borderId="3" xfId="0" applyFont="1" applyFill="1" applyBorder="1" applyAlignment="1">
      <alignment horizontal="left"/>
    </xf>
    <xf numFmtId="166" fontId="15" fillId="0" borderId="0" xfId="5" applyNumberFormat="1" applyFont="1" applyFill="1" applyAlignment="1">
      <alignment horizontal="center"/>
    </xf>
    <xf numFmtId="0" fontId="15" fillId="0" borderId="0" xfId="5" applyFont="1" applyFill="1" applyAlignment="1">
      <alignment horizontal="center"/>
    </xf>
    <xf numFmtId="0" fontId="45" fillId="0" borderId="3" xfId="6" applyFont="1" applyFill="1" applyBorder="1" applyAlignment="1">
      <alignment horizontal="center" vertical="center"/>
    </xf>
    <xf numFmtId="0" fontId="45" fillId="0" borderId="0" xfId="6" applyFont="1" applyFill="1" applyAlignment="1">
      <alignment horizontal="center" vertical="center"/>
    </xf>
    <xf numFmtId="0" fontId="7" fillId="0" borderId="0" xfId="5" applyFont="1" applyFill="1" applyAlignment="1">
      <alignment horizontal="center"/>
    </xf>
    <xf numFmtId="166" fontId="1" fillId="0" borderId="3" xfId="2" applyNumberFormat="1" applyFill="1" applyBorder="1" applyAlignment="1">
      <alignment horizontal="center" vertical="center"/>
    </xf>
    <xf numFmtId="164" fontId="23" fillId="0" borderId="0" xfId="6" applyNumberFormat="1" applyFont="1" applyFill="1" applyAlignment="1">
      <alignment horizontal="center" vertical="center"/>
    </xf>
    <xf numFmtId="166" fontId="23" fillId="0" borderId="0" xfId="6" applyNumberFormat="1" applyFont="1" applyFill="1" applyAlignment="1">
      <alignment horizontal="center" vertical="center"/>
    </xf>
    <xf numFmtId="171" fontId="7" fillId="0" borderId="0" xfId="5" applyNumberFormat="1" applyFont="1" applyFill="1" applyAlignment="1">
      <alignment horizontal="center"/>
    </xf>
    <xf numFmtId="2" fontId="1" fillId="3" borderId="3" xfId="2" applyNumberFormat="1" applyBorder="1" applyAlignment="1">
      <alignment horizontal="center" vertical="center"/>
    </xf>
    <xf numFmtId="0" fontId="42" fillId="20" borderId="1" xfId="5" applyFont="1" applyFill="1" applyBorder="1" applyAlignment="1">
      <alignment horizontal="left" indent="1"/>
    </xf>
    <xf numFmtId="166" fontId="42" fillId="9" borderId="3" xfId="5" applyNumberFormat="1" applyFont="1" applyFill="1" applyBorder="1" applyAlignment="1">
      <alignment horizontal="center"/>
    </xf>
    <xf numFmtId="0" fontId="46" fillId="13" borderId="1" xfId="8" applyFont="1" applyFill="1" applyBorder="1" applyAlignment="1">
      <alignment horizontal="left" vertical="center" indent="1"/>
    </xf>
    <xf numFmtId="0" fontId="46" fillId="13" borderId="5" xfId="8" applyFont="1" applyFill="1" applyBorder="1"/>
    <xf numFmtId="166" fontId="42" fillId="20" borderId="5" xfId="5" applyNumberFormat="1" applyFont="1" applyFill="1" applyBorder="1" applyAlignment="1">
      <alignment horizontal="center"/>
    </xf>
    <xf numFmtId="166" fontId="42" fillId="20" borderId="21" xfId="5" applyNumberFormat="1" applyFont="1" applyFill="1" applyBorder="1" applyAlignment="1">
      <alignment horizontal="center"/>
    </xf>
    <xf numFmtId="166" fontId="42" fillId="20" borderId="30" xfId="5" applyNumberFormat="1" applyFont="1" applyFill="1" applyBorder="1" applyAlignment="1">
      <alignment horizontal="center"/>
    </xf>
    <xf numFmtId="166" fontId="42" fillId="20" borderId="2" xfId="5" applyNumberFormat="1" applyFont="1" applyFill="1" applyBorder="1" applyAlignment="1">
      <alignment horizontal="center"/>
    </xf>
    <xf numFmtId="0" fontId="42" fillId="13" borderId="28" xfId="5" applyFont="1" applyFill="1" applyBorder="1" applyAlignment="1">
      <alignment horizontal="left" indent="1"/>
    </xf>
    <xf numFmtId="2" fontId="43" fillId="13" borderId="14" xfId="5" applyNumberFormat="1" applyFont="1" applyFill="1" applyBorder="1" applyAlignment="1">
      <alignment horizontal="right" indent="1"/>
    </xf>
    <xf numFmtId="166" fontId="45" fillId="0" borderId="0" xfId="6" applyNumberFormat="1" applyFont="1" applyFill="1" applyAlignment="1">
      <alignment horizontal="center" vertical="center"/>
    </xf>
    <xf numFmtId="0" fontId="42" fillId="13" borderId="18" xfId="5" applyFont="1" applyFill="1" applyBorder="1" applyAlignment="1">
      <alignment horizontal="left" indent="1"/>
    </xf>
    <xf numFmtId="166" fontId="43" fillId="13" borderId="13" xfId="5" applyNumberFormat="1" applyFont="1" applyFill="1" applyBorder="1" applyAlignment="1">
      <alignment horizontal="right" indent="1"/>
    </xf>
    <xf numFmtId="2" fontId="43" fillId="13" borderId="3" xfId="5" applyNumberFormat="1" applyFont="1" applyFill="1" applyBorder="1" applyAlignment="1">
      <alignment horizontal="right" indent="1"/>
    </xf>
    <xf numFmtId="2" fontId="43" fillId="13" borderId="1" xfId="5" applyNumberFormat="1" applyFont="1" applyFill="1" applyBorder="1" applyAlignment="1">
      <alignment horizontal="right" indent="1"/>
    </xf>
    <xf numFmtId="2" fontId="43" fillId="13" borderId="5" xfId="5" applyNumberFormat="1" applyFont="1" applyFill="1" applyBorder="1" applyAlignment="1">
      <alignment horizontal="right" indent="1"/>
    </xf>
    <xf numFmtId="2" fontId="43" fillId="13" borderId="2" xfId="5" applyNumberFormat="1" applyFont="1" applyFill="1" applyBorder="1" applyAlignment="1">
      <alignment horizontal="right" indent="1"/>
    </xf>
    <xf numFmtId="164" fontId="1" fillId="0" borderId="3" xfId="2" applyNumberFormat="1" applyFill="1" applyBorder="1" applyAlignment="1">
      <alignment horizontal="center" vertical="center"/>
    </xf>
    <xf numFmtId="164" fontId="45" fillId="0" borderId="0" xfId="6" applyNumberFormat="1" applyFont="1" applyFill="1" applyAlignment="1">
      <alignment horizontal="center" vertical="center"/>
    </xf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42" fillId="13" borderId="13" xfId="5" applyFont="1" applyFill="1" applyBorder="1" applyAlignment="1">
      <alignment horizontal="left" indent="1"/>
    </xf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45" fillId="13" borderId="3" xfId="3" applyFont="1" applyFill="1" applyBorder="1" applyAlignment="1">
      <alignment horizontal="center" vertical="center"/>
    </xf>
    <xf numFmtId="0" fontId="0" fillId="9" borderId="0" xfId="0" applyFill="1" applyAlignment="1">
      <alignment wrapText="1"/>
    </xf>
    <xf numFmtId="0" fontId="45" fillId="13" borderId="3" xfId="4" applyFont="1" applyFill="1" applyBorder="1" applyAlignment="1">
      <alignment horizontal="center" vertical="center"/>
    </xf>
    <xf numFmtId="1" fontId="23" fillId="13" borderId="3" xfId="6" applyNumberFormat="1" applyFont="1" applyFill="1" applyBorder="1" applyAlignment="1">
      <alignment horizontal="center" vertical="center"/>
    </xf>
    <xf numFmtId="1" fontId="23" fillId="13" borderId="3" xfId="6" applyNumberFormat="1" applyFont="1" applyFill="1" applyBorder="1" applyAlignment="1">
      <alignment horizontal="center" vertical="center" wrapText="1"/>
    </xf>
    <xf numFmtId="1" fontId="23" fillId="0" borderId="0" xfId="6" applyNumberFormat="1" applyFont="1" applyFill="1" applyAlignment="1">
      <alignment horizontal="center"/>
    </xf>
    <xf numFmtId="0" fontId="23" fillId="13" borderId="3" xfId="3" applyFont="1" applyFill="1" applyBorder="1" applyAlignment="1">
      <alignment horizontal="center" vertical="center"/>
    </xf>
    <xf numFmtId="2" fontId="23" fillId="13" borderId="3" xfId="6" applyNumberFormat="1" applyFont="1" applyFill="1" applyBorder="1" applyAlignment="1">
      <alignment horizontal="center" vertical="center"/>
    </xf>
    <xf numFmtId="166" fontId="23" fillId="13" borderId="3" xfId="3" applyNumberFormat="1" applyFont="1" applyFill="1" applyBorder="1" applyAlignment="1">
      <alignment horizontal="center" vertical="center"/>
    </xf>
    <xf numFmtId="1" fontId="23" fillId="0" borderId="0" xfId="6" applyNumberFormat="1" applyFont="1" applyFill="1" applyAlignment="1">
      <alignment horizontal="center" vertical="center" wrapText="1"/>
    </xf>
    <xf numFmtId="0" fontId="23" fillId="13" borderId="11" xfId="3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45" fillId="0" borderId="27" xfId="3" applyFont="1" applyFill="1" applyBorder="1" applyAlignment="1">
      <alignment horizontal="center" vertical="center"/>
    </xf>
    <xf numFmtId="0" fontId="45" fillId="12" borderId="27" xfId="3" applyFont="1" applyBorder="1" applyAlignment="1">
      <alignment horizontal="center" vertical="center"/>
    </xf>
    <xf numFmtId="0" fontId="45" fillId="19" borderId="27" xfId="3" applyFont="1" applyFill="1" applyBorder="1" applyAlignment="1">
      <alignment horizontal="center" vertical="center"/>
    </xf>
    <xf numFmtId="1" fontId="1" fillId="3" borderId="13" xfId="2" applyNumberFormat="1" applyBorder="1" applyAlignment="1">
      <alignment horizontal="center" vertical="center"/>
    </xf>
    <xf numFmtId="166" fontId="1" fillId="3" borderId="13" xfId="2" applyNumberFormat="1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0" borderId="13" xfId="2" applyFill="1" applyBorder="1" applyAlignment="1">
      <alignment horizontal="center" vertical="center"/>
    </xf>
    <xf numFmtId="166" fontId="1" fillId="3" borderId="3" xfId="2" applyNumberFormat="1" applyBorder="1" applyAlignment="1">
      <alignment horizontal="center" vertical="center"/>
    </xf>
    <xf numFmtId="167" fontId="1" fillId="3" borderId="3" xfId="2" applyNumberFormat="1" applyBorder="1" applyAlignment="1">
      <alignment horizontal="center" vertical="center"/>
    </xf>
    <xf numFmtId="1" fontId="1" fillId="3" borderId="3" xfId="2" applyNumberFormat="1" applyBorder="1" applyAlignment="1" applyProtection="1">
      <alignment horizontal="center" vertical="center"/>
      <protection locked="0"/>
    </xf>
    <xf numFmtId="171" fontId="1" fillId="3" borderId="3" xfId="2" applyNumberFormat="1" applyBorder="1" applyAlignment="1">
      <alignment horizontal="center" vertical="center"/>
    </xf>
    <xf numFmtId="166" fontId="23" fillId="9" borderId="3" xfId="3" applyNumberFormat="1" applyFont="1" applyFill="1" applyBorder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45" fillId="0" borderId="12" xfId="4" applyFont="1" applyBorder="1" applyAlignment="1">
      <alignment horizontal="center" vertical="center"/>
    </xf>
    <xf numFmtId="0" fontId="23" fillId="13" borderId="3" xfId="3" applyFont="1" applyFill="1" applyBorder="1" applyAlignment="1">
      <alignment horizontal="left" vertical="center"/>
    </xf>
    <xf numFmtId="2" fontId="23" fillId="13" borderId="3" xfId="3" applyNumberFormat="1" applyFont="1" applyFill="1" applyBorder="1" applyAlignment="1">
      <alignment horizontal="center" vertical="center"/>
    </xf>
    <xf numFmtId="0" fontId="23" fillId="13" borderId="3" xfId="4" applyFont="1" applyFill="1" applyBorder="1" applyAlignment="1">
      <alignment horizontal="left" vertical="center"/>
    </xf>
    <xf numFmtId="0" fontId="45" fillId="8" borderId="0" xfId="4" applyFont="1" applyFill="1" applyAlignment="1">
      <alignment horizontal="center" vertical="center" wrapText="1"/>
    </xf>
    <xf numFmtId="0" fontId="45" fillId="8" borderId="0" xfId="4" applyFont="1" applyFill="1" applyAlignment="1">
      <alignment horizontal="center" vertical="center"/>
    </xf>
    <xf numFmtId="0" fontId="45" fillId="8" borderId="12" xfId="4" applyFont="1" applyFill="1" applyBorder="1" applyAlignment="1">
      <alignment horizontal="center" vertical="center"/>
    </xf>
    <xf numFmtId="0" fontId="23" fillId="13" borderId="3" xfId="4" applyFont="1" applyFill="1" applyBorder="1" applyAlignment="1">
      <alignment horizontal="center" vertical="center"/>
    </xf>
    <xf numFmtId="0" fontId="45" fillId="0" borderId="0" xfId="4" applyFont="1" applyAlignment="1">
      <alignment horizontal="left" indent="1"/>
    </xf>
    <xf numFmtId="0" fontId="23" fillId="0" borderId="0" xfId="3" applyFont="1" applyFill="1" applyAlignment="1">
      <alignment horizontal="left" indent="1"/>
    </xf>
    <xf numFmtId="166" fontId="23" fillId="0" borderId="0" xfId="3" applyNumberFormat="1" applyFont="1" applyFill="1" applyAlignment="1">
      <alignment horizontal="center"/>
    </xf>
    <xf numFmtId="164" fontId="23" fillId="0" borderId="0" xfId="3" applyNumberFormat="1" applyFont="1" applyFill="1" applyAlignment="1">
      <alignment horizontal="center"/>
    </xf>
    <xf numFmtId="2" fontId="23" fillId="0" borderId="0" xfId="3" applyNumberFormat="1" applyFont="1" applyFill="1" applyAlignment="1">
      <alignment horizontal="center"/>
    </xf>
    <xf numFmtId="0" fontId="23" fillId="0" borderId="0" xfId="4" applyFont="1" applyAlignment="1">
      <alignment horizontal="left" indent="1"/>
    </xf>
    <xf numFmtId="0" fontId="23" fillId="0" borderId="0" xfId="4" applyFont="1"/>
    <xf numFmtId="0" fontId="23" fillId="0" borderId="4" xfId="3" applyFont="1" applyFill="1" applyBorder="1"/>
    <xf numFmtId="0" fontId="23" fillId="12" borderId="0" xfId="3" applyFont="1"/>
    <xf numFmtId="0" fontId="23" fillId="0" borderId="0" xfId="3" applyFont="1" applyFill="1"/>
    <xf numFmtId="167" fontId="45" fillId="0" borderId="12" xfId="3" applyNumberFormat="1" applyFont="1" applyFill="1" applyBorder="1" applyAlignment="1">
      <alignment horizontal="center"/>
    </xf>
    <xf numFmtId="0" fontId="23" fillId="0" borderId="18" xfId="3" applyFont="1" applyFill="1" applyBorder="1"/>
    <xf numFmtId="0" fontId="23" fillId="12" borderId="24" xfId="3" applyFont="1" applyBorder="1"/>
    <xf numFmtId="0" fontId="23" fillId="0" borderId="24" xfId="3" applyFont="1" applyFill="1" applyBorder="1"/>
    <xf numFmtId="0" fontId="23" fillId="0" borderId="25" xfId="3" applyFont="1" applyFill="1" applyBorder="1"/>
    <xf numFmtId="171" fontId="1" fillId="3" borderId="3" xfId="2" applyNumberFormat="1" applyBorder="1" applyAlignment="1">
      <alignment horizontal="center"/>
    </xf>
    <xf numFmtId="0" fontId="1" fillId="0" borderId="3" xfId="2" applyFill="1" applyBorder="1" applyAlignment="1">
      <alignment horizontal="center"/>
    </xf>
    <xf numFmtId="0" fontId="49" fillId="21" borderId="31" xfId="0" applyFont="1" applyFill="1" applyBorder="1" applyAlignment="1">
      <alignment vertical="center" wrapText="1"/>
    </xf>
    <xf numFmtId="0" fontId="49" fillId="21" borderId="32" xfId="0" applyFont="1" applyFill="1" applyBorder="1" applyAlignment="1">
      <alignment vertical="center" wrapText="1"/>
    </xf>
    <xf numFmtId="0" fontId="50" fillId="21" borderId="32" xfId="0" applyFont="1" applyFill="1" applyBorder="1" applyAlignment="1">
      <alignment horizontal="right" vertical="center" wrapText="1"/>
    </xf>
    <xf numFmtId="0" fontId="50" fillId="21" borderId="26" xfId="0" applyFont="1" applyFill="1" applyBorder="1" applyAlignment="1">
      <alignment vertical="center" wrapText="1"/>
    </xf>
    <xf numFmtId="0" fontId="50" fillId="21" borderId="29" xfId="0" applyFont="1" applyFill="1" applyBorder="1" applyAlignment="1">
      <alignment vertical="center" wrapText="1"/>
    </xf>
    <xf numFmtId="0" fontId="51" fillId="21" borderId="29" xfId="0" applyFont="1" applyFill="1" applyBorder="1" applyAlignment="1">
      <alignment horizontal="right" vertical="center" wrapText="1"/>
    </xf>
    <xf numFmtId="0" fontId="51" fillId="21" borderId="29" xfId="0" applyFont="1" applyFill="1" applyBorder="1" applyAlignment="1">
      <alignment horizontal="left" vertical="center" wrapText="1" indent="2"/>
    </xf>
    <xf numFmtId="0" fontId="51" fillId="21" borderId="29" xfId="0" applyFont="1" applyFill="1" applyBorder="1" applyAlignment="1">
      <alignment horizontal="center" vertical="center" wrapText="1"/>
    </xf>
    <xf numFmtId="0" fontId="50" fillId="21" borderId="33" xfId="0" applyFont="1" applyFill="1" applyBorder="1" applyAlignment="1">
      <alignment vertical="center" wrapText="1"/>
    </xf>
    <xf numFmtId="0" fontId="50" fillId="21" borderId="34" xfId="0" applyFont="1" applyFill="1" applyBorder="1" applyAlignment="1">
      <alignment vertical="center" wrapText="1"/>
    </xf>
    <xf numFmtId="0" fontId="50" fillId="21" borderId="34" xfId="0" applyFont="1" applyFill="1" applyBorder="1" applyAlignment="1">
      <alignment horizontal="right" vertical="center" wrapText="1"/>
    </xf>
    <xf numFmtId="0" fontId="50" fillId="21" borderId="34" xfId="0" applyFont="1" applyFill="1" applyBorder="1" applyAlignment="1">
      <alignment horizontal="center" vertical="center" wrapText="1"/>
    </xf>
    <xf numFmtId="0" fontId="50" fillId="0" borderId="31" xfId="0" applyFont="1" applyBorder="1" applyAlignment="1">
      <alignment vertical="center" wrapText="1"/>
    </xf>
    <xf numFmtId="0" fontId="50" fillId="0" borderId="32" xfId="0" applyFont="1" applyBorder="1" applyAlignment="1">
      <alignment vertical="center" wrapText="1"/>
    </xf>
    <xf numFmtId="0" fontId="50" fillId="0" borderId="29" xfId="0" applyFont="1" applyBorder="1" applyAlignment="1">
      <alignment horizontal="right" vertical="center" wrapText="1"/>
    </xf>
    <xf numFmtId="0" fontId="50" fillId="0" borderId="26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50" fillId="0" borderId="33" xfId="0" applyFont="1" applyBorder="1" applyAlignment="1">
      <alignment vertical="center" wrapText="1"/>
    </xf>
    <xf numFmtId="0" fontId="19" fillId="0" borderId="34" xfId="0" applyFont="1" applyBorder="1" applyAlignment="1">
      <alignment vertical="center" wrapText="1"/>
    </xf>
    <xf numFmtId="0" fontId="50" fillId="0" borderId="34" xfId="0" applyFont="1" applyBorder="1" applyAlignment="1">
      <alignment horizontal="right" vertical="center" wrapText="1"/>
    </xf>
    <xf numFmtId="0" fontId="52" fillId="0" borderId="34" xfId="0" applyFont="1" applyBorder="1" applyAlignment="1">
      <alignment vertical="center" wrapText="1"/>
    </xf>
    <xf numFmtId="0" fontId="38" fillId="21" borderId="33" xfId="0" applyFont="1" applyFill="1" applyBorder="1" applyAlignment="1">
      <alignment vertical="center" wrapText="1"/>
    </xf>
    <xf numFmtId="0" fontId="38" fillId="21" borderId="35" xfId="0" applyFont="1" applyFill="1" applyBorder="1" applyAlignment="1">
      <alignment vertical="center" wrapText="1"/>
    </xf>
    <xf numFmtId="0" fontId="53" fillId="21" borderId="36" xfId="0" applyFont="1" applyFill="1" applyBorder="1" applyAlignment="1">
      <alignment horizontal="center" vertical="center" wrapText="1"/>
    </xf>
    <xf numFmtId="0" fontId="53" fillId="21" borderId="37" xfId="0" applyFont="1" applyFill="1" applyBorder="1" applyAlignment="1">
      <alignment horizontal="center" vertical="center" wrapText="1"/>
    </xf>
    <xf numFmtId="0" fontId="53" fillId="21" borderId="35" xfId="0" applyFont="1" applyFill="1" applyBorder="1" applyAlignment="1">
      <alignment horizontal="center" vertical="center" wrapText="1"/>
    </xf>
    <xf numFmtId="0" fontId="38" fillId="21" borderId="34" xfId="0" applyFont="1" applyFill="1" applyBorder="1" applyAlignment="1">
      <alignment vertical="center" wrapText="1"/>
    </xf>
    <xf numFmtId="0" fontId="50" fillId="0" borderId="38" xfId="0" applyFont="1" applyBorder="1" applyAlignment="1">
      <alignment horizontal="center" vertical="center" wrapText="1"/>
    </xf>
    <xf numFmtId="0" fontId="50" fillId="0" borderId="39" xfId="0" applyFont="1" applyBorder="1" applyAlignment="1">
      <alignment horizontal="center" vertical="center" wrapText="1"/>
    </xf>
    <xf numFmtId="0" fontId="50" fillId="0" borderId="34" xfId="0" applyFont="1" applyBorder="1" applyAlignment="1">
      <alignment horizontal="center" vertical="center" wrapText="1"/>
    </xf>
    <xf numFmtId="0" fontId="52" fillId="0" borderId="37" xfId="0" applyFont="1" applyBorder="1" applyAlignment="1">
      <alignment vertical="center" wrapText="1"/>
    </xf>
    <xf numFmtId="0" fontId="52" fillId="21" borderId="33" xfId="0" applyFont="1" applyFill="1" applyBorder="1" applyAlignment="1">
      <alignment vertical="center" wrapText="1"/>
    </xf>
    <xf numFmtId="0" fontId="52" fillId="21" borderId="35" xfId="0" applyFont="1" applyFill="1" applyBorder="1" applyAlignment="1">
      <alignment vertical="center" wrapText="1"/>
    </xf>
    <xf numFmtId="0" fontId="53" fillId="21" borderId="40" xfId="0" applyFont="1" applyFill="1" applyBorder="1" applyAlignment="1">
      <alignment horizontal="center" vertical="center" wrapText="1"/>
    </xf>
    <xf numFmtId="0" fontId="53" fillId="21" borderId="41" xfId="0" applyFont="1" applyFill="1" applyBorder="1" applyAlignment="1">
      <alignment horizontal="center" vertical="center" wrapText="1"/>
    </xf>
    <xf numFmtId="0" fontId="53" fillId="21" borderId="42" xfId="0" applyFont="1" applyFill="1" applyBorder="1" applyAlignment="1">
      <alignment horizontal="center" vertical="center" wrapText="1"/>
    </xf>
    <xf numFmtId="0" fontId="52" fillId="21" borderId="34" xfId="0" applyFont="1" applyFill="1" applyBorder="1" applyAlignment="1">
      <alignment vertical="center" wrapText="1"/>
    </xf>
    <xf numFmtId="0" fontId="50" fillId="0" borderId="38" xfId="0" applyFont="1" applyBorder="1" applyAlignment="1">
      <alignment vertical="center" wrapText="1"/>
    </xf>
    <xf numFmtId="0" fontId="50" fillId="0" borderId="39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0" fontId="50" fillId="0" borderId="34" xfId="0" applyFont="1" applyBorder="1" applyAlignment="1">
      <alignment horizontal="left" vertical="center" wrapText="1" indent="2"/>
    </xf>
    <xf numFmtId="0" fontId="50" fillId="0" borderId="33" xfId="0" applyFont="1" applyBorder="1" applyAlignment="1">
      <alignment horizontal="left" vertical="center" wrapText="1" indent="1"/>
    </xf>
    <xf numFmtId="0" fontId="50" fillId="0" borderId="34" xfId="0" applyFont="1" applyBorder="1" applyAlignment="1">
      <alignment vertical="center" wrapText="1"/>
    </xf>
    <xf numFmtId="0" fontId="56" fillId="21" borderId="43" xfId="0" applyFont="1" applyFill="1" applyBorder="1" applyAlignment="1">
      <alignment vertical="center" wrapText="1"/>
    </xf>
    <xf numFmtId="0" fontId="57" fillId="21" borderId="44" xfId="0" applyFont="1" applyFill="1" applyBorder="1" applyAlignment="1">
      <alignment vertical="center" wrapText="1"/>
    </xf>
    <xf numFmtId="0" fontId="57" fillId="21" borderId="42" xfId="0" applyFont="1" applyFill="1" applyBorder="1" applyAlignment="1">
      <alignment vertical="center" wrapText="1"/>
    </xf>
    <xf numFmtId="0" fontId="57" fillId="21" borderId="41" xfId="0" applyFont="1" applyFill="1" applyBorder="1" applyAlignment="1">
      <alignment vertical="center" wrapText="1"/>
    </xf>
    <xf numFmtId="0" fontId="56" fillId="21" borderId="41" xfId="0" applyFont="1" applyFill="1" applyBorder="1" applyAlignment="1">
      <alignment vertical="center" wrapText="1"/>
    </xf>
    <xf numFmtId="0" fontId="57" fillId="21" borderId="39" xfId="0" applyFont="1" applyFill="1" applyBorder="1" applyAlignment="1">
      <alignment vertical="center" wrapText="1"/>
    </xf>
    <xf numFmtId="0" fontId="56" fillId="21" borderId="45" xfId="0" applyFont="1" applyFill="1" applyBorder="1" applyAlignment="1">
      <alignment vertical="center" wrapText="1"/>
    </xf>
    <xf numFmtId="0" fontId="56" fillId="21" borderId="29" xfId="0" applyFont="1" applyFill="1" applyBorder="1" applyAlignment="1">
      <alignment horizontal="right" vertical="center" wrapText="1"/>
    </xf>
    <xf numFmtId="0" fontId="58" fillId="21" borderId="0" xfId="0" applyFont="1" applyFill="1" applyAlignment="1">
      <alignment vertical="center" wrapText="1"/>
    </xf>
    <xf numFmtId="0" fontId="58" fillId="21" borderId="29" xfId="0" applyFont="1" applyFill="1" applyBorder="1" applyAlignment="1">
      <alignment vertical="center" wrapText="1"/>
    </xf>
    <xf numFmtId="0" fontId="56" fillId="21" borderId="46" xfId="0" applyFont="1" applyFill="1" applyBorder="1" applyAlignment="1">
      <alignment vertical="center" wrapText="1"/>
    </xf>
    <xf numFmtId="0" fontId="56" fillId="21" borderId="34" xfId="0" applyFont="1" applyFill="1" applyBorder="1" applyAlignment="1">
      <alignment horizontal="right" vertical="center" wrapText="1"/>
    </xf>
    <xf numFmtId="0" fontId="56" fillId="21" borderId="37" xfId="0" applyFont="1" applyFill="1" applyBorder="1" applyAlignment="1">
      <alignment horizontal="right" vertical="center" wrapText="1"/>
    </xf>
    <xf numFmtId="0" fontId="56" fillId="21" borderId="34" xfId="0" applyFont="1" applyFill="1" applyBorder="1" applyAlignment="1">
      <alignment horizontal="left" vertical="center" wrapText="1" indent="2"/>
    </xf>
    <xf numFmtId="0" fontId="52" fillId="21" borderId="37" xfId="0" applyFont="1" applyFill="1" applyBorder="1" applyAlignment="1">
      <alignment vertical="center" wrapText="1"/>
    </xf>
    <xf numFmtId="0" fontId="56" fillId="21" borderId="34" xfId="0" applyFont="1" applyFill="1" applyBorder="1" applyAlignment="1">
      <alignment horizontal="left" vertical="center" wrapText="1" indent="1"/>
    </xf>
    <xf numFmtId="0" fontId="56" fillId="0" borderId="46" xfId="0" applyFont="1" applyBorder="1" applyAlignment="1">
      <alignment vertical="center" wrapText="1"/>
    </xf>
    <xf numFmtId="0" fontId="58" fillId="0" borderId="34" xfId="0" applyFont="1" applyBorder="1" applyAlignment="1">
      <alignment horizontal="right" vertical="center" wrapText="1"/>
    </xf>
    <xf numFmtId="0" fontId="58" fillId="0" borderId="37" xfId="0" applyFont="1" applyBorder="1" applyAlignment="1">
      <alignment horizontal="right" vertical="center" wrapText="1"/>
    </xf>
    <xf numFmtId="0" fontId="38" fillId="0" borderId="34" xfId="0" applyFont="1" applyBorder="1" applyAlignment="1">
      <alignment vertical="center" wrapText="1"/>
    </xf>
    <xf numFmtId="0" fontId="38" fillId="0" borderId="37" xfId="0" applyFont="1" applyBorder="1" applyAlignment="1">
      <alignment vertical="center" wrapText="1"/>
    </xf>
    <xf numFmtId="0" fontId="56" fillId="0" borderId="45" xfId="0" applyFont="1" applyBorder="1" applyAlignment="1">
      <alignment vertical="center" wrapText="1"/>
    </xf>
    <xf numFmtId="0" fontId="38" fillId="0" borderId="29" xfId="0" applyFont="1" applyBorder="1" applyAlignment="1">
      <alignment vertical="center" wrapText="1"/>
    </xf>
    <xf numFmtId="0" fontId="38" fillId="0" borderId="0" xfId="0" applyFont="1" applyAlignment="1">
      <alignment vertical="center" wrapText="1"/>
    </xf>
    <xf numFmtId="0" fontId="58" fillId="0" borderId="45" xfId="0" applyFont="1" applyBorder="1" applyAlignment="1">
      <alignment horizontal="left" vertical="center" wrapText="1" indent="2"/>
    </xf>
    <xf numFmtId="0" fontId="58" fillId="0" borderId="29" xfId="0" applyFont="1" applyBorder="1" applyAlignment="1">
      <alignment horizontal="right" vertical="center" wrapText="1"/>
    </xf>
    <xf numFmtId="0" fontId="58" fillId="0" borderId="0" xfId="0" applyFont="1" applyAlignment="1">
      <alignment horizontal="right" vertical="center" wrapText="1"/>
    </xf>
    <xf numFmtId="0" fontId="50" fillId="0" borderId="29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8" fillId="0" borderId="29" xfId="0" applyFont="1" applyBorder="1" applyAlignment="1">
      <alignment horizontal="left" vertical="center" wrapText="1" indent="2"/>
    </xf>
    <xf numFmtId="0" fontId="58" fillId="0" borderId="29" xfId="0" applyFont="1" applyBorder="1" applyAlignment="1">
      <alignment horizontal="left" vertical="center" wrapText="1" indent="1"/>
    </xf>
    <xf numFmtId="0" fontId="58" fillId="0" borderId="46" xfId="0" applyFont="1" applyBorder="1" applyAlignment="1">
      <alignment horizontal="left" vertical="center" wrapText="1" indent="2"/>
    </xf>
    <xf numFmtId="0" fontId="58" fillId="0" borderId="34" xfId="0" applyFont="1" applyBorder="1" applyAlignment="1">
      <alignment horizontal="left" vertical="center" wrapText="1" indent="2"/>
    </xf>
    <xf numFmtId="0" fontId="58" fillId="0" borderId="34" xfId="0" applyFont="1" applyBorder="1" applyAlignment="1">
      <alignment horizontal="left" vertical="center" wrapText="1" indent="1"/>
    </xf>
    <xf numFmtId="0" fontId="52" fillId="0" borderId="29" xfId="0" applyFont="1" applyBorder="1" applyAlignment="1">
      <alignment vertical="center" wrapText="1"/>
    </xf>
    <xf numFmtId="0" fontId="52" fillId="0" borderId="0" xfId="0" applyFont="1" applyAlignment="1">
      <alignment vertical="center" wrapText="1"/>
    </xf>
    <xf numFmtId="0" fontId="57" fillId="0" borderId="29" xfId="0" applyFont="1" applyBorder="1" applyAlignment="1">
      <alignment vertical="center" wrapText="1"/>
    </xf>
    <xf numFmtId="0" fontId="57" fillId="0" borderId="0" xfId="0" applyFont="1" applyAlignment="1">
      <alignment vertical="center" wrapText="1"/>
    </xf>
    <xf numFmtId="0" fontId="38" fillId="21" borderId="47" xfId="0" applyFont="1" applyFill="1" applyBorder="1" applyAlignment="1">
      <alignment vertical="center" wrapText="1"/>
    </xf>
    <xf numFmtId="0" fontId="60" fillId="21" borderId="31" xfId="0" applyFont="1" applyFill="1" applyBorder="1" applyAlignment="1">
      <alignment horizontal="right" vertical="center" wrapText="1"/>
    </xf>
    <xf numFmtId="0" fontId="60" fillId="21" borderId="48" xfId="0" applyFont="1" applyFill="1" applyBorder="1" applyAlignment="1">
      <alignment horizontal="right" vertical="center" wrapText="1"/>
    </xf>
    <xf numFmtId="0" fontId="60" fillId="21" borderId="32" xfId="0" applyFont="1" applyFill="1" applyBorder="1" applyAlignment="1">
      <alignment horizontal="right" vertical="center" wrapText="1"/>
    </xf>
    <xf numFmtId="0" fontId="60" fillId="21" borderId="49" xfId="0" applyFont="1" applyFill="1" applyBorder="1" applyAlignment="1">
      <alignment horizontal="right" vertical="center" wrapText="1"/>
    </xf>
    <xf numFmtId="0" fontId="38" fillId="21" borderId="37" xfId="0" applyFont="1" applyFill="1" applyBorder="1" applyAlignment="1">
      <alignment vertical="center" wrapText="1"/>
    </xf>
    <xf numFmtId="0" fontId="60" fillId="21" borderId="37" xfId="0" applyFont="1" applyFill="1" applyBorder="1" applyAlignment="1">
      <alignment horizontal="right" vertical="center" wrapText="1"/>
    </xf>
    <xf numFmtId="0" fontId="60" fillId="21" borderId="34" xfId="0" applyFont="1" applyFill="1" applyBorder="1" applyAlignment="1">
      <alignment horizontal="right" vertical="center" wrapText="1"/>
    </xf>
    <xf numFmtId="0" fontId="60" fillId="21" borderId="46" xfId="0" applyFont="1" applyFill="1" applyBorder="1" applyAlignment="1">
      <alignment horizontal="right" vertical="center" wrapText="1"/>
    </xf>
    <xf numFmtId="0" fontId="60" fillId="21" borderId="37" xfId="0" applyFont="1" applyFill="1" applyBorder="1" applyAlignment="1">
      <alignment horizontal="right" vertical="center" wrapText="1"/>
    </xf>
    <xf numFmtId="0" fontId="60" fillId="21" borderId="34" xfId="0" applyFont="1" applyFill="1" applyBorder="1" applyAlignment="1">
      <alignment horizontal="right" vertical="center" wrapText="1"/>
    </xf>
    <xf numFmtId="0" fontId="60" fillId="0" borderId="45" xfId="0" applyFont="1" applyBorder="1" applyAlignment="1">
      <alignment horizontal="right" vertical="center" wrapText="1"/>
    </xf>
    <xf numFmtId="0" fontId="60" fillId="0" borderId="0" xfId="0" applyFont="1" applyAlignment="1">
      <alignment horizontal="right" vertical="center" wrapText="1"/>
    </xf>
    <xf numFmtId="0" fontId="60" fillId="0" borderId="29" xfId="0" applyFont="1" applyBorder="1" applyAlignment="1">
      <alignment horizontal="right" vertical="center" wrapText="1"/>
    </xf>
    <xf numFmtId="0" fontId="60" fillId="0" borderId="46" xfId="0" applyFont="1" applyBorder="1" applyAlignment="1">
      <alignment horizontal="right" vertical="center" wrapText="1"/>
    </xf>
    <xf numFmtId="0" fontId="60" fillId="0" borderId="37" xfId="0" applyFont="1" applyBorder="1" applyAlignment="1">
      <alignment horizontal="right" vertical="center" wrapText="1"/>
    </xf>
    <xf numFmtId="0" fontId="60" fillId="0" borderId="34" xfId="0" applyFont="1" applyBorder="1" applyAlignment="1">
      <alignment horizontal="right" vertical="center" wrapText="1"/>
    </xf>
  </cellXfs>
  <cellStyles count="9">
    <cellStyle name="40% - Accent4" xfId="2" builtinId="43"/>
    <cellStyle name="60% - Accent3" xfId="1" builtinId="40"/>
    <cellStyle name="Normal" xfId="0" builtinId="0"/>
    <cellStyle name="Normal 2" xfId="7" xr:uid="{F7EC832F-A55E-4734-A0C2-931A47BDDA04}"/>
    <cellStyle name="Normal 2 2" xfId="8" xr:uid="{8223EECE-0810-422A-ADFC-713B9CF44660}"/>
    <cellStyle name="normal_PVT_TABLES" xfId="5" xr:uid="{491A346C-6FCF-4CD7-9E95-828A6652FFA8}"/>
    <cellStyle name="normal_PVT_TABLES 2" xfId="6" xr:uid="{A03328D5-B708-4DE5-858D-16A62CF9BE0A}"/>
    <cellStyle name="normal_P-x_TABLES" xfId="3" xr:uid="{D15873E5-A35C-4D38-8355-6C5BA49A2BC6}"/>
    <cellStyle name="Normal_P-x_TABLES_1" xfId="4" xr:uid="{C6A29D60-09B0-41BC-8B5F-929F58079A7B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785813</xdr:colOff>
      <xdr:row>141</xdr:row>
      <xdr:rowOff>11906</xdr:rowOff>
    </xdr:from>
    <xdr:to>
      <xdr:col>13</xdr:col>
      <xdr:colOff>666750</xdr:colOff>
      <xdr:row>145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F963D3-AE67-4B4A-8F1A-AB8826600440}"/>
            </a:ext>
          </a:extLst>
        </xdr:cNvPr>
        <xdr:cNvSpPr txBox="1"/>
      </xdr:nvSpPr>
      <xdr:spPr>
        <a:xfrm>
          <a:off x="21778913" y="27901106"/>
          <a:ext cx="1652587" cy="84534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Don't add more than heptanes plus.  Add components</a:t>
          </a:r>
          <a:r>
            <a:rPr lang="en-US" sz="1100" baseline="0"/>
            <a:t> after to get a C7+ mole fraction if there is any.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847725</xdr:colOff>
          <xdr:row>1</xdr:row>
          <xdr:rowOff>47625</xdr:rowOff>
        </xdr:from>
        <xdr:to>
          <xdr:col>6</xdr:col>
          <xdr:colOff>1914525</xdr:colOff>
          <xdr:row>4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74F692D-AD80-4E42-8623-59FC63C85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RETURN to main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785813</xdr:colOff>
      <xdr:row>141</xdr:row>
      <xdr:rowOff>11906</xdr:rowOff>
    </xdr:from>
    <xdr:to>
      <xdr:col>13</xdr:col>
      <xdr:colOff>666750</xdr:colOff>
      <xdr:row>145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BE4208-EE6D-4F07-AA31-597E00D03A4B}"/>
            </a:ext>
          </a:extLst>
        </xdr:cNvPr>
        <xdr:cNvSpPr txBox="1"/>
      </xdr:nvSpPr>
      <xdr:spPr>
        <a:xfrm>
          <a:off x="21778913" y="27901106"/>
          <a:ext cx="1652587" cy="84534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Don't add more than heptanes plus.  Add components</a:t>
          </a:r>
          <a:r>
            <a:rPr lang="en-US" sz="1100" baseline="0"/>
            <a:t> after to get a C7+ mole fraction if there is any.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847725</xdr:colOff>
          <xdr:row>1</xdr:row>
          <xdr:rowOff>47625</xdr:rowOff>
        </xdr:from>
        <xdr:to>
          <xdr:col>6</xdr:col>
          <xdr:colOff>1914525</xdr:colOff>
          <xdr:row>4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F44702D-E94D-4577-B85F-597CA6D40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RETURN to main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nsoori-PVT\PVT%20database\PVT_Database_j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 of Education 01H"/>
      <sheetName val="Richland Farms 74-1H"/>
      <sheetName val="Soterra 6H-1"/>
      <sheetName val="Dupuy Land 20-1H"/>
      <sheetName val="Ash 31H-02"/>
      <sheetName val="Sabine 12H-01"/>
      <sheetName val="Beech Grove 68-1H"/>
      <sheetName val="Weyerhaeuser 73H-1"/>
      <sheetName val="Joe Jackson 4-13H"/>
      <sheetName val="Horseshoe Hill 10H-01"/>
      <sheetName val="Anderson 17-1H"/>
      <sheetName val="Gauthier 14-1H"/>
      <sheetName val="Murphy 63H-1"/>
      <sheetName val="Lawson 25H-01"/>
      <sheetName val="Crosby 12-1H-1"/>
      <sheetName val="Chaco 2307-12E 168H"/>
      <sheetName val="Lybrook H36-2307 01H"/>
      <sheetName val="Cookbooks 2405H"/>
      <sheetName val="Davidson 36-B10"/>
      <sheetName val="Glass Ranch C 201H"/>
      <sheetName val="Glass Ranch A 405H"/>
      <sheetName val="Holt Ranch 248-102H"/>
      <sheetName val="Holt Ranch 1701 1701H"/>
      <sheetName val="University 10-20 Well No. 4H"/>
      <sheetName val="Windham 11B 11H"/>
      <sheetName val="ECA HZ LA GLACE 4-29-74-7"/>
      <sheetName val="ECA LA GLACE 5-20-74-6"/>
      <sheetName val="ECA LA GLACE 7-30-74-7"/>
      <sheetName val="ECA LA GLACE 13-28-74-7"/>
      <sheetName val="John Gresham Unit 01H"/>
      <sheetName val="Williams Clyde Unit 03H"/>
      <sheetName val="Mcconahay 1A-34H"/>
      <sheetName val="William Peltier 1A-20H"/>
      <sheetName val="Cross Bones 2-29 1H"/>
      <sheetName val="ECA HZ MCKINLEY 6-6-64-22"/>
      <sheetName val="ECA HZ WILLGR 4-32-42-7"/>
      <sheetName val="GBU 8-41H"/>
      <sheetName val="Double Iron 34-42-3891"/>
      <sheetName val="Graham Unit 37"/>
      <sheetName val="ECA 102 HZ PCOUPES 7-30-78-11"/>
      <sheetName val="JUPITER 102 HZ RESTHA 5-6-60-1"/>
      <sheetName val="Leske Lott 01H"/>
      <sheetName val="Jordan B1H"/>
      <sheetName val="Pokluda A1H"/>
      <sheetName val="Clark B 01H"/>
      <sheetName val="Bishop A1H"/>
      <sheetName val="PGE Brown 1-H"/>
      <sheetName val="Lazy &quot;A&quot; Cotulla No. 1-H"/>
      <sheetName val="Arnold B 13H"/>
      <sheetName val="Janssen 1-A No 2H"/>
      <sheetName val="Lark Ranch No B 1H"/>
      <sheetName val="ECA HZ FERRIER 16-5-42-8"/>
      <sheetName val="ECA HZ WAHIGAN 4-12-64-23"/>
      <sheetName val="ECA HZ WAHIGAN 16-16-64-23"/>
      <sheetName val="ECA HZ KAYBOBS 16-10-63-21"/>
      <sheetName val="ECA HZ MINHIK 13-12-44-6"/>
      <sheetName val="ECA HZ SAXON 5-4-62-24"/>
      <sheetName val="ECA HZ WILSONCK 13-17-43-4"/>
      <sheetName val="ECA HZ SAXON 16-5-62-24"/>
      <sheetName val="ECA HZ WILLGR 8-5-43-6"/>
      <sheetName val="ECA CRP TOWER C2-12-81-18"/>
      <sheetName val="ECA CRP HZ SWAN D4-17-77-4"/>
      <sheetName val="Handy 02 01 02H"/>
      <sheetName val="Powers No L 1H"/>
      <sheetName val="Briggs Ranch Well No 505H"/>
      <sheetName val="Warken 1H"/>
      <sheetName val="STS A 1391  1H"/>
      <sheetName val="Swaim 1H"/>
      <sheetName val="Davis Unit #1"/>
      <sheetName val="Esse #2"/>
      <sheetName val="Jo Ann Esse Unit A-1"/>
      <sheetName val="Kimball Mtn DH02-6 B07 799"/>
      <sheetName val="Albertson DHS1C-15 G15 7101"/>
      <sheetName val="Cedar Bench 6311"/>
      <sheetName val="Edith Gray #1"/>
      <sheetName val="Wessendorf 6-B 1H"/>
      <sheetName val="Dovalina Gas Unit Well 1-1"/>
      <sheetName val="Eyhorn Gas Unit 1-C 2H"/>
      <sheetName val="Thiele Gas Unit Well No. 1-1"/>
      <sheetName val="Light Ranch 346H"/>
      <sheetName val="Gus Tips &quot;C&quot; 1H"/>
      <sheetName val="(1)Hixon No 1H"/>
      <sheetName val="(2)Hixon No 1H"/>
      <sheetName val="Poenisch 12H"/>
      <sheetName val="Poenisch 11H"/>
      <sheetName val="Mumme 12-H"/>
      <sheetName val="Mumme 10-H"/>
      <sheetName val="Catcher 40-5H"/>
      <sheetName val="Holt Ranch NW 601H"/>
      <sheetName val="Hutt C Well 36H"/>
      <sheetName val="Hutt C Well 37H"/>
      <sheetName val="Hutt C Well 38H"/>
      <sheetName val="Scharbauer Ranch 208H"/>
      <sheetName val="Warn State 11"/>
      <sheetName val="Bouldin 1H"/>
      <sheetName val="Chapman Pfeill"/>
      <sheetName val="ECA HZ ALBRT 5-14-72-9"/>
      <sheetName val="ECA CRP SUNRISE E08-02-080-17"/>
      <sheetName val="ECA SUNRISE 03-21-080-17-OIL"/>
      <sheetName val="ECA SUNRISE 03-21-080-17-GAS"/>
      <sheetName val="John Gresham 2H"/>
      <sheetName val="Williams Clyde Unit 1H"/>
      <sheetName val="Williams Clyde Unit 2H"/>
      <sheetName val="Hardin Rayes Unit 10H"/>
      <sheetName val="Bear Clause 10-H"/>
      <sheetName val="Cinco No 1H"/>
      <sheetName val="Y-Bar Ranch Gas Unit 1-1"/>
      <sheetName val="Well No A42-1H"/>
      <sheetName val="Orrell Well 1H"/>
      <sheetName val="Morgan No 1"/>
      <sheetName val="Frankie 1H"/>
      <sheetName val="Chapman-Pfeil 1H"/>
      <sheetName val="Carter Salge Unit 1H"/>
      <sheetName val="Piloncillo &quot;D&quot; No 1H"/>
      <sheetName val="Newman 1H"/>
      <sheetName val="Blackwell Well No 2-2"/>
      <sheetName val="ECA ECOG Wayne Rosedale 15-12"/>
      <sheetName val="Phillips No. 1-H"/>
      <sheetName val="Bakken Marathon"/>
      <sheetName val="T23N R58E SEC19"/>
      <sheetName val="Caveney No 1-H"/>
      <sheetName val="Bersiford No 1-H"/>
      <sheetName val="Unknown"/>
      <sheetName val="Charlotte Unit 18H"/>
      <sheetName val="Frec Guer Spencer - A-5H"/>
      <sheetName val="Jack Meek 1H"/>
      <sheetName val="Banjo BNO Federal No1"/>
      <sheetName val="Gravy State Com No 1H"/>
      <sheetName val="ECA HZ 103 ALBRT 1-23-72-9"/>
      <sheetName val="ECA HZ WEMBLEY 3-23-72-9"/>
      <sheetName val="ECA 102 HZ WAHIGAN 7-10-62-25"/>
      <sheetName val="ECA 103 HZ SIMON 9-25-61-25"/>
      <sheetName val="102040406224W500-OIL"/>
      <sheetName val="102040406224W500-GAS"/>
      <sheetName val="ECA HZ ALBRT 4-15-72-9"/>
      <sheetName val="ECA HZ RE SAXON 16-5-62-24_OIL"/>
      <sheetName val="ECA HZ RE SAXON 16-5-62-24_GAS"/>
      <sheetName val="ECA HZ SWAN LAKE B6-22-77-14"/>
      <sheetName val="University 1-30 Unit 1H"/>
      <sheetName val="ECA Hz Elm 8-3-71-8"/>
      <sheetName val="CRP Sunrise F4-14-80-17"/>
      <sheetName val="ECA CRP Hz Tower D2-14-81-18"/>
      <sheetName val="ECA CRP Hz Sunrise 3-9-80-17"/>
      <sheetName val="ECA Hz Swan Lake E12-5-77-14"/>
      <sheetName val="ECA Briar Ridge C14-19-77-14"/>
      <sheetName val="ECA CRP HZ SWAN E04-17-077-14"/>
      <sheetName val="Gwosdz A7H"/>
      <sheetName val="Billy 1H-12"/>
      <sheetName val="Jarred 1H-9X"/>
      <sheetName val="Baxendale_1H_12"/>
      <sheetName val="Branch 1H 16"/>
      <sheetName val="Greenwood 1H-4"/>
      <sheetName val="Haygood 1H-13X"/>
      <sheetName val="Mashburn 1H-4"/>
      <sheetName val="Fisher 1-32-29X"/>
      <sheetName val="Newby 1-7H"/>
      <sheetName val="Smith 6-18H"/>
      <sheetName val="Ratliff 1H-22X"/>
      <sheetName val="Rock Island 1H-14"/>
      <sheetName val="Sublette 1H 22"/>
      <sheetName val="WILLIAMS 1H-7X"/>
      <sheetName val="WELL BOHLMAN 1H-34X "/>
      <sheetName val="Bredel 1H-5X"/>
      <sheetName val="CLC 1915 1H-26"/>
      <sheetName val="CONNIE 1H-15X"/>
      <sheetName val="FREEMAN 1H-14X"/>
      <sheetName val="Hoile 1H-25X"/>
      <sheetName val="JOHN 1H-5X"/>
      <sheetName val="Judy 1509 6H-17"/>
      <sheetName val="KRETCHMAR 1H-2W"/>
      <sheetName val="RODENBURG 1H-6X"/>
      <sheetName val="Sawyer 1613 1H-27X"/>
      <sheetName val="SCHEFFLER 1H-9X"/>
      <sheetName val="Velta June 5H-34"/>
      <sheetName val="Velta June 6H-34"/>
      <sheetName val="Velta June 7H-34"/>
      <sheetName val="Velta June 8H-34"/>
      <sheetName val="Holstein 2-27H"/>
      <sheetName val="YOST 1H"/>
      <sheetName val="ZUMMALLEN 1H-22X"/>
      <sheetName val="Jane 1509 1H-17"/>
      <sheetName val="MCCARTHY 1506 1-35"/>
      <sheetName val="OKARCHE 1H-2X"/>
      <sheetName val="SCHROEDER 1407 1-17"/>
      <sheetName val="Boden Well No. 1-15-10"/>
      <sheetName val="Peoples Well No. 1-29H"/>
      <sheetName val="Trinity Well No. 33-1H"/>
      <sheetName val="Herman 03 34-15N-8W"/>
      <sheetName val="ABCDS 1H-6"/>
      <sheetName val="NFX Thorne 4-21-3-2WH"/>
      <sheetName val="Knoll 13-10 4-2-15-7H"/>
      <sheetName val="Thompson 4-24-3-4WH"/>
      <sheetName val="UTE TRIBAL 4-18-3-3WH"/>
      <sheetName val="McKenna 1-17-3-3WH"/>
      <sheetName val="Aubrey 2-15-22-3-2WG"/>
      <sheetName val="Elmer 3-1-8-37H"/>
      <sheetName val="GMBU 2A-32T"/>
      <sheetName val="Connolly 10-24-3-3W"/>
      <sheetName val="last"/>
      <sheetName val="Mashburn 1H-4_multistage"/>
      <sheetName val="Baxendale_1H_12_multistage"/>
      <sheetName val="Ante Creek 15-5-66-24"/>
      <sheetName val="main"/>
      <sheetName val="adl"/>
      <sheetName val="work"/>
      <sheetName val="summary"/>
      <sheetName val="chart"/>
      <sheetName val="chart1"/>
      <sheetName val="DIFLIB"/>
      <sheetName val="CCE"/>
      <sheetName val="CVD"/>
      <sheetName val="search"/>
      <sheetName val="composition"/>
      <sheetName val="Drop Downs to Hide"/>
      <sheetName val="operation"/>
      <sheetName val="unit conversion"/>
      <sheetName val="Basic Analysis"/>
      <sheetName val="Input"/>
      <sheetName val="difflib1"/>
      <sheetName val="oil den"/>
      <sheetName val="COMP"/>
      <sheetName val="SEP"/>
      <sheetName val="summary-old"/>
      <sheetName val="export"/>
      <sheetName val="data"/>
      <sheetName val="bp-standing"/>
      <sheetName val="bp-generalized"/>
      <sheetName val="FVF-standing"/>
      <sheetName val="FVF-undersaturated"/>
      <sheetName val="GOR at psat"/>
      <sheetName val="GOR"/>
      <sheetName val="FVF"/>
      <sheetName val="bp-vazquez"/>
      <sheetName val="gor-vazquez"/>
      <sheetName val="plot"/>
      <sheetName val="comp_all"/>
      <sheetName val="Additions"/>
      <sheetName val="EOS Tuning Before Regression"/>
      <sheetName val="EOS Tuning After Regression"/>
      <sheetName val="EOS Interaction Coeff"/>
      <sheetName val="MICP"/>
      <sheetName val="Viscosity Correlations"/>
      <sheetName val="Reference"/>
      <sheetName val="RAW EOS Int. Coeff"/>
    </sheetNames>
    <definedNames>
      <definedName name="Macro3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2">
          <cell r="B2" t="str">
            <v>DG</v>
          </cell>
          <cell r="C2" t="str">
            <v>1st Stage Seperator</v>
          </cell>
          <cell r="E2" t="str">
            <v>Bubble Point</v>
          </cell>
          <cell r="F2" t="str">
            <v>No</v>
          </cell>
          <cell r="G2" t="str">
            <v>Proprietary</v>
          </cell>
          <cell r="H2" t="str">
            <v>Public</v>
          </cell>
          <cell r="I2" t="str">
            <v>High</v>
          </cell>
        </row>
        <row r="3">
          <cell r="B3" t="str">
            <v>WG</v>
          </cell>
          <cell r="C3" t="str">
            <v>Surface</v>
          </cell>
          <cell r="E3" t="str">
            <v>Dew Point</v>
          </cell>
          <cell r="F3" t="str">
            <v>Yes</v>
          </cell>
          <cell r="G3" t="str">
            <v>Data Trade</v>
          </cell>
          <cell r="H3" t="str">
            <v>Internal</v>
          </cell>
          <cell r="I3" t="str">
            <v>Medium_Public</v>
          </cell>
        </row>
        <row r="4">
          <cell r="B4" t="str">
            <v>GC</v>
          </cell>
          <cell r="C4" t="str">
            <v>Bottomhole</v>
          </cell>
          <cell r="G4" t="str">
            <v>Service Provider</v>
          </cell>
          <cell r="H4" t="str">
            <v>Confidential</v>
          </cell>
          <cell r="I4" t="str">
            <v>Medium_Internal</v>
          </cell>
        </row>
        <row r="5">
          <cell r="B5" t="str">
            <v>RGC</v>
          </cell>
          <cell r="C5" t="str">
            <v>Bottomhole &amp; Surface</v>
          </cell>
          <cell r="G5" t="str">
            <v>Consortia</v>
          </cell>
          <cell r="H5" t="str">
            <v>Restricted</v>
          </cell>
          <cell r="I5" t="str">
            <v>Low_Public</v>
          </cell>
        </row>
        <row r="6">
          <cell r="B6" t="str">
            <v>VRGC</v>
          </cell>
          <cell r="I6" t="str">
            <v>Low_Internal</v>
          </cell>
        </row>
        <row r="7">
          <cell r="B7" t="str">
            <v>VO</v>
          </cell>
          <cell r="I7" t="str">
            <v>Very_Low_Public</v>
          </cell>
        </row>
        <row r="8">
          <cell r="B8" t="str">
            <v>BO</v>
          </cell>
        </row>
        <row r="9">
          <cell r="B9" t="str">
            <v>HO</v>
          </cell>
        </row>
      </sheetData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875-0996-47F0-AD4D-702D7B5EF857}">
  <sheetPr codeName="Sheet211">
    <tabColor rgb="FF92D050"/>
  </sheetPr>
  <dimension ref="A1:CC381"/>
  <sheetViews>
    <sheetView zoomScale="75" zoomScaleNormal="75" workbookViewId="0">
      <selection activeCell="A352" sqref="A352:D369"/>
    </sheetView>
  </sheetViews>
  <sheetFormatPr defaultColWidth="9.140625" defaultRowHeight="15" x14ac:dyDescent="0.25"/>
  <cols>
    <col min="1" max="1" width="47.7109375" customWidth="1"/>
    <col min="2" max="2" width="39.28515625" customWidth="1"/>
    <col min="3" max="3" width="20.7109375" bestFit="1" customWidth="1"/>
    <col min="4" max="4" width="17.28515625" bestFit="1" customWidth="1"/>
    <col min="5" max="5" width="19.28515625" bestFit="1" customWidth="1"/>
    <col min="6" max="6" width="23.5703125" bestFit="1" customWidth="1"/>
    <col min="7" max="7" width="37.7109375" bestFit="1" customWidth="1"/>
    <col min="8" max="8" width="23.28515625" customWidth="1"/>
    <col min="9" max="9" width="23" customWidth="1"/>
    <col min="10" max="10" width="25.85546875" bestFit="1" customWidth="1"/>
    <col min="11" max="11" width="20.140625" bestFit="1" customWidth="1"/>
    <col min="12" max="12" width="17" bestFit="1" customWidth="1"/>
    <col min="13" max="13" width="26.5703125" customWidth="1"/>
    <col min="14" max="14" width="18.5703125" customWidth="1"/>
    <col min="15" max="15" width="18" customWidth="1"/>
    <col min="16" max="16" width="12.5703125" customWidth="1"/>
    <col min="17" max="17" width="12.85546875" customWidth="1"/>
    <col min="18" max="18" width="22.42578125" customWidth="1"/>
    <col min="19" max="19" width="36.140625" customWidth="1"/>
    <col min="20" max="20" width="16" customWidth="1"/>
    <col min="21" max="21" width="16.85546875" customWidth="1"/>
    <col min="22" max="22" width="13.5703125" bestFit="1" customWidth="1"/>
    <col min="23" max="23" width="12.42578125" bestFit="1" customWidth="1"/>
    <col min="24" max="24" width="12" bestFit="1" customWidth="1"/>
    <col min="27" max="27" width="22.140625" customWidth="1"/>
    <col min="29" max="29" width="22.28515625" customWidth="1"/>
    <col min="30" max="30" width="11.7109375" customWidth="1"/>
    <col min="31" max="31" width="14" customWidth="1"/>
    <col min="38" max="38" width="12.7109375" bestFit="1" customWidth="1"/>
    <col min="46" max="46" width="11.85546875" customWidth="1"/>
    <col min="64" max="64" width="42.42578125" bestFit="1" customWidth="1"/>
    <col min="69" max="69" width="16.140625" customWidth="1"/>
    <col min="80" max="80" width="27.42578125" bestFit="1" customWidth="1"/>
  </cols>
  <sheetData>
    <row r="1" spans="1:8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</row>
    <row r="2" spans="1:81" x14ac:dyDescent="0.25">
      <c r="A2" s="1" t="s">
        <v>0</v>
      </c>
      <c r="B2" s="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s="3" t="s">
        <v>9</v>
      </c>
    </row>
    <row r="3" spans="1:81" x14ac:dyDescent="0.25">
      <c r="A3" s="4" t="s">
        <v>10</v>
      </c>
      <c r="B3" s="5" t="s">
        <v>11</v>
      </c>
      <c r="C3" s="6" t="s">
        <v>12</v>
      </c>
      <c r="R3" s="7" t="s">
        <v>13</v>
      </c>
      <c r="S3" s="8" t="s">
        <v>14</v>
      </c>
      <c r="T3" s="9">
        <f>IF(SUM($AC$10:$AC$67)&lt;&gt;0,   SUMIF($AB$10:$AB$67,S3,$AC$10:$AC$67),  "")</f>
        <v>0</v>
      </c>
      <c r="U3" s="9" t="str">
        <f>IF(SUM($AD$10:$AD$67)&lt;&gt;0,  SUMIF($AB$10:$AB$67,S3,$AD$10:$AD$67),  "")</f>
        <v/>
      </c>
      <c r="V3" s="9" t="str">
        <f>IF(SUM($AE$10:$AE$67)&lt;&gt;0,  SUMIF($AB$10:$AB$67,S3,$AE$10:$AE$67),  "")</f>
        <v/>
      </c>
      <c r="W3" s="10" t="str">
        <f>IF(SUM($AG$10:$AG$67)&lt;&gt;0,  SUMIF($AB$10:$AB$67,S3,$AG$10:$AG$67),  "")</f>
        <v/>
      </c>
      <c r="X3" s="10" t="str">
        <f>IF(SUM($AH$10:$AH$67)&lt;&gt;0,  SUMIF($AB$10:$AB$67,S3,$AH$10:$AH$67),  "")</f>
        <v/>
      </c>
      <c r="Y3" s="11">
        <v>34.08</v>
      </c>
      <c r="AN3" t="s">
        <v>15</v>
      </c>
    </row>
    <row r="4" spans="1:81" x14ac:dyDescent="0.25">
      <c r="A4" s="12" t="s">
        <v>16</v>
      </c>
      <c r="B4" s="13"/>
      <c r="C4" s="14" t="s">
        <v>17</v>
      </c>
      <c r="D4" s="15"/>
      <c r="P4" s="16"/>
      <c r="R4" s="7" t="s">
        <v>18</v>
      </c>
      <c r="S4" s="8" t="s">
        <v>19</v>
      </c>
      <c r="T4" s="9">
        <f t="shared" ref="T4:T37" si="0">IF(SUM($AC$10:$AC$67)&lt;&gt;0,   SUMIF($AB$10:$AB$67,S4,$AC$10:$AC$67),  "")</f>
        <v>3.2717191889716072E-3</v>
      </c>
      <c r="U4" s="9" t="str">
        <f t="shared" ref="U4:U37" si="1">IF(SUM($AD$10:$AD$67)&lt;&gt;0,  SUMIF($AB$10:$AB$67,S4,$AD$10:$AD$67),  "")</f>
        <v/>
      </c>
      <c r="V4" s="9" t="str">
        <f t="shared" ref="V4:V37" si="2">IF(SUM($AE$10:$AE$67)&lt;&gt;0,  SUMIF($AB$10:$AB$67,S4,$AE$10:$AE$67),  "")</f>
        <v/>
      </c>
      <c r="W4" s="10" t="str">
        <f t="shared" ref="W4:W37" si="3">IF(SUM($AG$10:$AG$67)&lt;&gt;0,  SUMIF($AB$10:$AB$67,S4,$AG$10:$AG$67),  "")</f>
        <v/>
      </c>
      <c r="X4" s="10" t="str">
        <f t="shared" ref="X4:X37" si="4">IF(SUM($AH$10:$AH$67)&lt;&gt;0,  SUMIF($AB$10:$AB$67,S4,$AH$10:$AH$67),  "")</f>
        <v/>
      </c>
      <c r="Y4" s="11">
        <v>44.01</v>
      </c>
      <c r="AA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22</v>
      </c>
      <c r="AS4" t="s">
        <v>25</v>
      </c>
    </row>
    <row r="5" spans="1:81" ht="15.75" thickBot="1" x14ac:dyDescent="0.3">
      <c r="A5" s="17" t="s">
        <v>26</v>
      </c>
      <c r="B5" s="18" t="str">
        <f>IFERROR(IF($H$20&gt;0,$H$20,IF($C$58&gt;0,$C$58,IF($H$15&gt;0,$H$15,IF($C$50&gt;0,$C$50,"")))),"")</f>
        <v/>
      </c>
      <c r="C5" s="19" t="s">
        <v>27</v>
      </c>
      <c r="D5" s="19"/>
      <c r="P5" s="16"/>
      <c r="R5" s="7" t="s">
        <v>28</v>
      </c>
      <c r="S5" s="8" t="s">
        <v>29</v>
      </c>
      <c r="T5" s="9">
        <f t="shared" si="0"/>
        <v>6.7935185545183385E-3</v>
      </c>
      <c r="U5" s="9" t="str">
        <f t="shared" si="1"/>
        <v/>
      </c>
      <c r="V5" s="9" t="str">
        <f t="shared" si="2"/>
        <v/>
      </c>
      <c r="W5" s="10" t="str">
        <f t="shared" si="3"/>
        <v/>
      </c>
      <c r="X5" s="10" t="str">
        <f t="shared" si="4"/>
        <v/>
      </c>
      <c r="Y5" s="11">
        <v>28.013000000000002</v>
      </c>
      <c r="AN5" s="20" t="s">
        <v>14</v>
      </c>
      <c r="AO5" s="21" t="s">
        <v>30</v>
      </c>
      <c r="AP5" s="20" t="s">
        <v>29</v>
      </c>
      <c r="AQ5" s="4" t="s">
        <v>29</v>
      </c>
      <c r="AR5" s="20" t="s">
        <v>29</v>
      </c>
      <c r="AS5" s="22" t="s">
        <v>19</v>
      </c>
      <c r="AU5" s="23" t="s">
        <v>31</v>
      </c>
      <c r="AV5" s="24"/>
      <c r="AW5" s="24"/>
      <c r="AX5" s="24"/>
      <c r="AY5" s="24"/>
      <c r="AZ5" s="24"/>
      <c r="BA5" s="24"/>
      <c r="BB5" s="25"/>
    </row>
    <row r="6" spans="1:81" ht="15.75" thickTop="1" x14ac:dyDescent="0.25">
      <c r="A6" s="17" t="s">
        <v>32</v>
      </c>
      <c r="B6" s="18" t="str">
        <f>IFERROR(IF($H$22&gt;0,$H$22,IF($C$57&gt;0,$C$57,IF($H$14&gt;0,$H$14,IF($C$49&gt;0,$C$49,"")))),"")</f>
        <v/>
      </c>
      <c r="C6" s="19" t="s">
        <v>33</v>
      </c>
      <c r="D6" s="19"/>
      <c r="I6" s="26"/>
      <c r="M6" s="27" t="s">
        <v>34</v>
      </c>
      <c r="N6" s="27"/>
      <c r="O6" s="28"/>
      <c r="R6" s="7" t="s">
        <v>35</v>
      </c>
      <c r="S6" s="8" t="s">
        <v>36</v>
      </c>
      <c r="T6" s="9">
        <f t="shared" si="0"/>
        <v>0.46118794595028562</v>
      </c>
      <c r="U6" s="9" t="str">
        <f t="shared" si="1"/>
        <v/>
      </c>
      <c r="V6" s="9" t="str">
        <f t="shared" si="2"/>
        <v/>
      </c>
      <c r="W6" s="10" t="str">
        <f t="shared" si="3"/>
        <v/>
      </c>
      <c r="X6" s="10" t="str">
        <f t="shared" si="4"/>
        <v/>
      </c>
      <c r="Y6" s="11">
        <v>16.042999999999999</v>
      </c>
      <c r="Z6" s="29"/>
      <c r="AA6" s="30" t="s">
        <v>37</v>
      </c>
      <c r="AB6" s="30"/>
      <c r="AC6" s="30"/>
      <c r="AD6" s="30"/>
      <c r="AE6" s="30"/>
      <c r="AF6" s="30"/>
      <c r="AG6" s="30"/>
      <c r="AH6" s="31"/>
      <c r="AN6" s="20" t="s">
        <v>29</v>
      </c>
      <c r="AO6" s="32" t="s">
        <v>38</v>
      </c>
      <c r="AP6" s="20" t="s">
        <v>19</v>
      </c>
      <c r="AQ6" s="4" t="s">
        <v>19</v>
      </c>
      <c r="AR6" s="20" t="s">
        <v>19</v>
      </c>
      <c r="AS6" s="20" t="s">
        <v>14</v>
      </c>
      <c r="AT6" s="33" t="s">
        <v>39</v>
      </c>
      <c r="AU6" s="34" t="s">
        <v>40</v>
      </c>
      <c r="AV6" s="35" t="s">
        <v>41</v>
      </c>
      <c r="AW6" s="35" t="s">
        <v>42</v>
      </c>
      <c r="AZ6" s="36"/>
      <c r="BA6" s="35" t="s">
        <v>43</v>
      </c>
      <c r="BB6" s="35" t="s">
        <v>42</v>
      </c>
    </row>
    <row r="7" spans="1:81" x14ac:dyDescent="0.25">
      <c r="A7" s="17" t="s">
        <v>44</v>
      </c>
      <c r="B7" s="18" t="str">
        <f>IFERROR(IF($H$21&gt;0,$H$21,IF($C$60&gt;0,$C$60,IF($H$18&gt;0,$H$18,IF($C$56&gt;0,$C$56,"")))),"")</f>
        <v/>
      </c>
      <c r="C7" s="19" t="s">
        <v>45</v>
      </c>
      <c r="D7" s="19"/>
      <c r="K7" s="37" t="s">
        <v>46</v>
      </c>
      <c r="L7" s="37"/>
      <c r="M7" s="38"/>
      <c r="N7" s="39" t="s">
        <v>47</v>
      </c>
      <c r="O7" s="28"/>
      <c r="R7" s="7" t="s">
        <v>48</v>
      </c>
      <c r="S7" s="8" t="s">
        <v>49</v>
      </c>
      <c r="T7" s="9">
        <f t="shared" si="0"/>
        <v>7.809306316474314E-2</v>
      </c>
      <c r="U7" s="9" t="str">
        <f t="shared" si="1"/>
        <v/>
      </c>
      <c r="V7" s="9" t="str">
        <f t="shared" si="2"/>
        <v/>
      </c>
      <c r="W7" s="10" t="str">
        <f t="shared" si="3"/>
        <v/>
      </c>
      <c r="X7" s="10" t="str">
        <f t="shared" si="4"/>
        <v/>
      </c>
      <c r="Y7" s="11">
        <v>30.07</v>
      </c>
      <c r="Z7" s="40" t="s">
        <v>50</v>
      </c>
      <c r="AA7" s="35" t="s">
        <v>40</v>
      </c>
      <c r="AB7" s="35" t="s">
        <v>41</v>
      </c>
      <c r="AC7" s="35" t="s">
        <v>42</v>
      </c>
      <c r="AD7" s="35" t="s">
        <v>43</v>
      </c>
      <c r="AE7" s="35" t="s">
        <v>42</v>
      </c>
      <c r="AF7" s="36"/>
      <c r="AG7" s="36" t="s">
        <v>51</v>
      </c>
      <c r="AH7" s="41" t="s">
        <v>51</v>
      </c>
      <c r="AI7" s="42" t="s">
        <v>52</v>
      </c>
      <c r="AN7" s="20" t="s">
        <v>19</v>
      </c>
      <c r="AO7" s="43" t="s">
        <v>53</v>
      </c>
      <c r="AP7" s="20" t="s">
        <v>14</v>
      </c>
      <c r="AQ7" s="4" t="s">
        <v>14</v>
      </c>
      <c r="AR7" s="20" t="s">
        <v>14</v>
      </c>
      <c r="AS7" s="20" t="s">
        <v>29</v>
      </c>
      <c r="AT7" s="33" t="s">
        <v>54</v>
      </c>
      <c r="AU7" s="34" t="s">
        <v>55</v>
      </c>
      <c r="AV7" s="35" t="s">
        <v>56</v>
      </c>
      <c r="AW7" s="35" t="s">
        <v>57</v>
      </c>
      <c r="AZ7" s="36"/>
      <c r="BA7" s="35" t="s">
        <v>58</v>
      </c>
      <c r="BB7" s="35" t="s">
        <v>59</v>
      </c>
      <c r="BC7" s="42" t="s">
        <v>60</v>
      </c>
      <c r="BD7" s="42" t="s">
        <v>39</v>
      </c>
      <c r="BE7" s="44" t="s">
        <v>61</v>
      </c>
      <c r="BF7" s="44"/>
      <c r="BL7" t="s">
        <v>62</v>
      </c>
      <c r="BM7" s="45" t="s">
        <v>63</v>
      </c>
      <c r="BN7" t="s">
        <v>64</v>
      </c>
      <c r="BO7" s="45" t="s">
        <v>63</v>
      </c>
    </row>
    <row r="8" spans="1:81" x14ac:dyDescent="0.25">
      <c r="A8" s="17" t="s">
        <v>65</v>
      </c>
      <c r="B8" s="18" t="str">
        <f>IF($B$26="","",IFERROR(IF(OR($B$26="BO", $B$26="VO"), "Oil", "Gas"),""))</f>
        <v/>
      </c>
      <c r="C8" s="19" t="s">
        <v>66</v>
      </c>
      <c r="D8" s="19"/>
      <c r="G8" s="46" t="s">
        <v>67</v>
      </c>
      <c r="H8" s="47"/>
      <c r="K8" s="37"/>
      <c r="L8" s="37"/>
      <c r="M8" s="48">
        <f>M7/5.615</f>
        <v>0</v>
      </c>
      <c r="N8" s="39" t="s">
        <v>68</v>
      </c>
      <c r="O8" s="28"/>
      <c r="R8" s="7" t="s">
        <v>69</v>
      </c>
      <c r="S8" s="8" t="s">
        <v>70</v>
      </c>
      <c r="T8" s="9">
        <f t="shared" si="0"/>
        <v>6.4943397502518055E-2</v>
      </c>
      <c r="U8" s="9" t="str">
        <f t="shared" si="1"/>
        <v/>
      </c>
      <c r="V8" s="9" t="str">
        <f t="shared" si="2"/>
        <v/>
      </c>
      <c r="W8" s="10" t="str">
        <f t="shared" si="3"/>
        <v/>
      </c>
      <c r="X8" s="10" t="str">
        <f t="shared" si="4"/>
        <v/>
      </c>
      <c r="Y8" s="11">
        <v>44.097000000000001</v>
      </c>
      <c r="Z8" s="40" t="s">
        <v>9</v>
      </c>
      <c r="AA8" s="35" t="s">
        <v>55</v>
      </c>
      <c r="AB8" s="35" t="s">
        <v>56</v>
      </c>
      <c r="AC8" s="35" t="s">
        <v>57</v>
      </c>
      <c r="AD8" s="35" t="s">
        <v>71</v>
      </c>
      <c r="AE8" s="35" t="s">
        <v>72</v>
      </c>
      <c r="AF8" s="36"/>
      <c r="AG8" s="36" t="s">
        <v>73</v>
      </c>
      <c r="AH8" s="41" t="s">
        <v>74</v>
      </c>
      <c r="AI8" s="42" t="s">
        <v>75</v>
      </c>
      <c r="AK8" s="44" t="s">
        <v>61</v>
      </c>
      <c r="AL8" s="44"/>
      <c r="AN8" s="20" t="s">
        <v>36</v>
      </c>
      <c r="AO8" s="32" t="s">
        <v>76</v>
      </c>
      <c r="AP8" s="20" t="s">
        <v>36</v>
      </c>
      <c r="AQ8" s="4" t="s">
        <v>36</v>
      </c>
      <c r="AR8" s="20" t="s">
        <v>36</v>
      </c>
      <c r="AS8" s="20" t="s">
        <v>36</v>
      </c>
      <c r="AT8" s="33" t="s">
        <v>77</v>
      </c>
      <c r="AU8" s="49"/>
      <c r="AV8" s="50"/>
      <c r="AW8" s="50"/>
      <c r="AZ8" s="50"/>
      <c r="BA8" s="50"/>
      <c r="BB8" s="50"/>
      <c r="BC8" s="42" t="s">
        <v>78</v>
      </c>
      <c r="BD8" s="42" t="s">
        <v>79</v>
      </c>
      <c r="BE8" s="51" t="s">
        <v>80</v>
      </c>
      <c r="BF8" s="17" t="s">
        <v>81</v>
      </c>
      <c r="BL8" t="s">
        <v>55</v>
      </c>
      <c r="BM8" t="s">
        <v>56</v>
      </c>
      <c r="BN8" t="s">
        <v>9</v>
      </c>
      <c r="BO8" t="s">
        <v>82</v>
      </c>
      <c r="BP8" t="s">
        <v>83</v>
      </c>
      <c r="BQ8" t="s">
        <v>84</v>
      </c>
      <c r="BR8" t="s">
        <v>85</v>
      </c>
      <c r="BS8" t="s">
        <v>86</v>
      </c>
      <c r="BT8" t="s">
        <v>87</v>
      </c>
      <c r="BU8" t="s">
        <v>88</v>
      </c>
      <c r="CB8" t="s">
        <v>89</v>
      </c>
      <c r="CC8" t="s">
        <v>90</v>
      </c>
    </row>
    <row r="9" spans="1:81" x14ac:dyDescent="0.25">
      <c r="A9" s="19"/>
      <c r="B9" s="19"/>
      <c r="C9" s="19"/>
      <c r="D9" s="19"/>
      <c r="G9" s="52" t="s">
        <v>91</v>
      </c>
      <c r="H9" s="62">
        <v>3215</v>
      </c>
      <c r="I9" s="17" t="s">
        <v>92</v>
      </c>
      <c r="J9" s="17"/>
      <c r="L9" s="54"/>
      <c r="O9" s="28"/>
      <c r="R9" s="7" t="s">
        <v>93</v>
      </c>
      <c r="S9" s="8" t="s">
        <v>94</v>
      </c>
      <c r="T9" s="9">
        <f t="shared" si="0"/>
        <v>1.0584476057016885E-2</v>
      </c>
      <c r="U9" s="9" t="str">
        <f t="shared" si="1"/>
        <v/>
      </c>
      <c r="V9" s="9" t="str">
        <f t="shared" si="2"/>
        <v/>
      </c>
      <c r="W9" s="10" t="str">
        <f t="shared" si="3"/>
        <v/>
      </c>
      <c r="X9" s="10" t="str">
        <f t="shared" si="4"/>
        <v/>
      </c>
      <c r="Y9" s="11">
        <v>58.124000000000002</v>
      </c>
      <c r="Z9" s="50"/>
      <c r="AA9" s="50"/>
      <c r="AB9" s="50"/>
      <c r="AC9" s="50"/>
      <c r="AD9" s="50"/>
      <c r="AE9" s="50"/>
      <c r="AF9" s="50"/>
      <c r="AG9" s="50"/>
      <c r="AH9" s="55"/>
      <c r="AK9" s="51" t="s">
        <v>80</v>
      </c>
      <c r="AL9" s="17" t="s">
        <v>81</v>
      </c>
      <c r="AN9" s="20" t="s">
        <v>49</v>
      </c>
      <c r="AO9" s="32" t="s">
        <v>95</v>
      </c>
      <c r="AP9" s="20" t="s">
        <v>49</v>
      </c>
      <c r="AQ9" s="4" t="s">
        <v>49</v>
      </c>
      <c r="AR9" s="20" t="s">
        <v>49</v>
      </c>
      <c r="AS9" s="20" t="s">
        <v>49</v>
      </c>
      <c r="AU9" s="56" t="str">
        <f>AA10</f>
        <v>Nitrogen</v>
      </c>
      <c r="AV9" s="56" t="str">
        <f>AB10</f>
        <v>N2</v>
      </c>
      <c r="AZ9" s="57"/>
      <c r="BE9" s="18">
        <f>BF9*100</f>
        <v>0</v>
      </c>
      <c r="BL9" s="58" t="s">
        <v>96</v>
      </c>
      <c r="BM9" t="s">
        <v>97</v>
      </c>
      <c r="BN9">
        <v>72.150000000000006</v>
      </c>
      <c r="BO9">
        <v>627</v>
      </c>
      <c r="BQ9" s="59">
        <f t="shared" ref="BQ9:BQ41" ca="1" si="5">SUMIF($AA$10:$AA$67,BL9,$AC$10:$AC$63)</f>
        <v>0</v>
      </c>
      <c r="BR9" s="59">
        <f t="shared" ref="BR9:BR41" ca="1" si="6">SUMIF($AA$10:$AA$67,BL9,$AG$10:$AG$52)</f>
        <v>0</v>
      </c>
      <c r="BS9" s="59">
        <f>SUMIF($AA$10:$AA$67,BL9,$AH$10:$AH$67)</f>
        <v>0</v>
      </c>
      <c r="BT9" s="60">
        <f>IF($BO9="","",$BO9/1000)</f>
        <v>0.627</v>
      </c>
      <c r="BU9" s="60">
        <f>IF($BO9="","",4.5579*$BN9^0.15178*$BT9^(-0.84573))</f>
        <v>12.949852632750996</v>
      </c>
      <c r="BZ9" s="61" t="str">
        <f>IF($AA10="","",$AA10)</f>
        <v>Nitrogen</v>
      </c>
      <c r="CA9" s="60" t="str">
        <f>IF($AB10="","",$AB10)</f>
        <v>N2</v>
      </c>
    </row>
    <row r="10" spans="1:81" ht="15.75" x14ac:dyDescent="0.25">
      <c r="A10" s="19"/>
      <c r="B10" s="19"/>
      <c r="C10" s="19"/>
      <c r="D10" s="19"/>
      <c r="G10" s="52" t="s">
        <v>98</v>
      </c>
      <c r="H10" s="62">
        <v>4520</v>
      </c>
      <c r="I10" s="17" t="s">
        <v>99</v>
      </c>
      <c r="J10" s="17"/>
      <c r="L10" s="54"/>
      <c r="M10" s="63" t="s">
        <v>100</v>
      </c>
      <c r="N10" s="63"/>
      <c r="O10" s="28"/>
      <c r="R10" s="7" t="s">
        <v>101</v>
      </c>
      <c r="S10" s="8" t="s">
        <v>102</v>
      </c>
      <c r="T10" s="9">
        <f t="shared" si="0"/>
        <v>3.2248769759207735E-2</v>
      </c>
      <c r="U10" s="9" t="str">
        <f t="shared" si="1"/>
        <v/>
      </c>
      <c r="V10" s="9" t="str">
        <f t="shared" si="2"/>
        <v/>
      </c>
      <c r="W10" s="10" t="str">
        <f t="shared" si="3"/>
        <v/>
      </c>
      <c r="X10" s="10" t="str">
        <f t="shared" si="4"/>
        <v/>
      </c>
      <c r="Y10" s="11">
        <v>58.124000000000002</v>
      </c>
      <c r="Z10" s="64">
        <v>28.01</v>
      </c>
      <c r="AA10" s="65" t="s">
        <v>28</v>
      </c>
      <c r="AB10" s="20" t="s">
        <v>29</v>
      </c>
      <c r="AC10" s="66">
        <v>6.7935185545183385E-3</v>
      </c>
      <c r="AF10" s="57"/>
      <c r="AH10" s="67"/>
      <c r="AK10" s="18">
        <f>AL10/100</f>
        <v>3.62E-3</v>
      </c>
      <c r="AL10">
        <v>0.36199999999999999</v>
      </c>
      <c r="AN10" s="20" t="s">
        <v>70</v>
      </c>
      <c r="AO10" s="32" t="s">
        <v>103</v>
      </c>
      <c r="AP10" s="20" t="s">
        <v>70</v>
      </c>
      <c r="AQ10" s="4" t="s">
        <v>70</v>
      </c>
      <c r="AR10" s="20" t="s">
        <v>70</v>
      </c>
      <c r="AS10" s="20" t="s">
        <v>70</v>
      </c>
      <c r="AU10" s="56" t="str">
        <f t="shared" ref="AU10:AV62" si="7">AA11</f>
        <v>Carbon Dioxide</v>
      </c>
      <c r="AV10" s="56" t="str">
        <f t="shared" si="7"/>
        <v>CO2</v>
      </c>
      <c r="BE10" s="18">
        <f t="shared" ref="BE10:BE66" si="8">BF10*100</f>
        <v>0</v>
      </c>
      <c r="BL10" s="58" t="s">
        <v>104</v>
      </c>
      <c r="BM10" t="s">
        <v>105</v>
      </c>
      <c r="BN10">
        <v>86.17</v>
      </c>
      <c r="BO10">
        <v>791</v>
      </c>
      <c r="BP10">
        <v>122</v>
      </c>
      <c r="BQ10" s="59">
        <f t="shared" ca="1" si="5"/>
        <v>0</v>
      </c>
      <c r="BR10" s="59">
        <f t="shared" ca="1" si="6"/>
        <v>0</v>
      </c>
      <c r="BS10" s="59">
        <f t="shared" ref="BS10:BS41" si="9">SUMIF($AA$10:$AA$67,BL10,$AH$10:$AH$67)</f>
        <v>0</v>
      </c>
      <c r="BT10" s="60">
        <f t="shared" ref="BT10:BT40" si="10">IF($BO10="","",$BO10/1000)</f>
        <v>0.79100000000000004</v>
      </c>
      <c r="BU10" s="60">
        <f t="shared" ref="BU10:BU40" si="11">IF($BO10="","",4.5579*$BN10^0.15178*$BT10^(-0.84573))</f>
        <v>10.930205895456753</v>
      </c>
      <c r="BZ10" s="61" t="str">
        <f t="shared" ref="BZ10:BZ60" si="12">IF($AA11="","",$AA11)</f>
        <v>Carbon Dioxide</v>
      </c>
      <c r="CA10" s="60" t="str">
        <f t="shared" ref="CA10:CA60" si="13">IF($AB11="","",$AB11)</f>
        <v>CO2</v>
      </c>
    </row>
    <row r="11" spans="1:81" ht="15.75" x14ac:dyDescent="0.25">
      <c r="A11" s="19"/>
      <c r="B11" s="19"/>
      <c r="C11" s="19"/>
      <c r="D11" s="19"/>
      <c r="G11" s="68" t="s">
        <v>106</v>
      </c>
      <c r="H11" s="69">
        <v>172</v>
      </c>
      <c r="I11" s="17" t="s">
        <v>107</v>
      </c>
      <c r="J11" s="17"/>
      <c r="L11" s="54"/>
      <c r="M11" s="19" t="s">
        <v>108</v>
      </c>
      <c r="N11" s="70"/>
      <c r="O11" s="28"/>
      <c r="R11" s="7" t="s">
        <v>109</v>
      </c>
      <c r="S11" s="8" t="s">
        <v>110</v>
      </c>
      <c r="T11" s="9">
        <f t="shared" si="0"/>
        <v>1.1767411769561847E-2</v>
      </c>
      <c r="U11" s="9" t="str">
        <f t="shared" si="1"/>
        <v/>
      </c>
      <c r="V11" s="9" t="str">
        <f t="shared" si="2"/>
        <v/>
      </c>
      <c r="W11" s="10" t="str">
        <f t="shared" si="3"/>
        <v/>
      </c>
      <c r="X11" s="10" t="str">
        <f t="shared" si="4"/>
        <v/>
      </c>
      <c r="Y11" s="11">
        <v>72.150999999999996</v>
      </c>
      <c r="Z11" s="64">
        <v>44.01</v>
      </c>
      <c r="AA11" s="65" t="s">
        <v>18</v>
      </c>
      <c r="AB11" s="20" t="s">
        <v>19</v>
      </c>
      <c r="AC11" s="66">
        <v>3.2717191889716072E-3</v>
      </c>
      <c r="AH11" s="67"/>
      <c r="AK11" s="18">
        <f t="shared" ref="AK11:AK67" si="14">AL11/100</f>
        <v>2.0599999999999998E-3</v>
      </c>
      <c r="AL11">
        <v>0.20599999999999999</v>
      </c>
      <c r="AN11" s="20" t="s">
        <v>94</v>
      </c>
      <c r="AO11" s="32" t="s">
        <v>111</v>
      </c>
      <c r="AP11" s="20" t="s">
        <v>94</v>
      </c>
      <c r="AQ11" s="4" t="s">
        <v>94</v>
      </c>
      <c r="AR11" s="20" t="s">
        <v>94</v>
      </c>
      <c r="AS11" s="20" t="s">
        <v>94</v>
      </c>
      <c r="AU11" s="56" t="str">
        <f t="shared" si="7"/>
        <v>Hydrogen Sulphide</v>
      </c>
      <c r="AV11" s="56" t="str">
        <f t="shared" si="7"/>
        <v>H2S</v>
      </c>
      <c r="AZ11" s="57"/>
      <c r="BE11" s="18">
        <f t="shared" si="8"/>
        <v>0</v>
      </c>
      <c r="BL11" s="71" t="s">
        <v>112</v>
      </c>
      <c r="BM11" t="s">
        <v>113</v>
      </c>
      <c r="BN11">
        <v>70.099999999999994</v>
      </c>
      <c r="BO11">
        <v>751</v>
      </c>
      <c r="BP11">
        <v>120.2</v>
      </c>
      <c r="BQ11" s="59">
        <f t="shared" ca="1" si="5"/>
        <v>0</v>
      </c>
      <c r="BR11" s="59">
        <f t="shared" ca="1" si="6"/>
        <v>0</v>
      </c>
      <c r="BS11" s="59">
        <f t="shared" si="9"/>
        <v>0</v>
      </c>
      <c r="BT11" s="60">
        <f>IF($BO11="","",$BO11/1000)</f>
        <v>0.751</v>
      </c>
      <c r="BU11" s="60">
        <f t="shared" si="11"/>
        <v>11.068350652163748</v>
      </c>
      <c r="BZ11" s="61" t="str">
        <f t="shared" si="12"/>
        <v>Hydrogen Sulphide</v>
      </c>
      <c r="CA11" s="60" t="str">
        <f t="shared" si="13"/>
        <v>H2S</v>
      </c>
    </row>
    <row r="12" spans="1:81" ht="15.75" customHeight="1" thickBot="1" x14ac:dyDescent="0.3">
      <c r="A12" s="19"/>
      <c r="B12" s="19"/>
      <c r="C12" s="19"/>
      <c r="D12" s="19"/>
      <c r="G12" s="17" t="s">
        <v>114</v>
      </c>
      <c r="H12" s="72">
        <v>1.4102465911778103E-5</v>
      </c>
      <c r="I12" s="17" t="s">
        <v>115</v>
      </c>
      <c r="J12" s="17"/>
      <c r="L12" s="54"/>
      <c r="M12" s="19" t="s">
        <v>116</v>
      </c>
      <c r="N12" s="73">
        <f>M8</f>
        <v>0</v>
      </c>
      <c r="O12" s="28"/>
      <c r="R12" s="7" t="s">
        <v>117</v>
      </c>
      <c r="S12" s="8" t="s">
        <v>118</v>
      </c>
      <c r="T12" s="9">
        <f t="shared" si="0"/>
        <v>1.7518305100851936E-2</v>
      </c>
      <c r="U12" s="9" t="str">
        <f t="shared" si="1"/>
        <v/>
      </c>
      <c r="V12" s="9" t="str">
        <f t="shared" si="2"/>
        <v/>
      </c>
      <c r="W12" s="10" t="str">
        <f t="shared" si="3"/>
        <v/>
      </c>
      <c r="X12" s="10" t="str">
        <f t="shared" si="4"/>
        <v/>
      </c>
      <c r="Y12" s="11">
        <v>72.150999999999996</v>
      </c>
      <c r="Z12" s="64">
        <v>34.08</v>
      </c>
      <c r="AA12" s="65" t="s">
        <v>13</v>
      </c>
      <c r="AB12" s="20" t="s">
        <v>14</v>
      </c>
      <c r="AC12" s="66">
        <v>0</v>
      </c>
      <c r="AF12" s="57"/>
      <c r="AH12" s="67"/>
      <c r="AK12" s="18">
        <f t="shared" si="14"/>
        <v>0</v>
      </c>
      <c r="AL12">
        <v>0</v>
      </c>
      <c r="AN12" s="20" t="s">
        <v>102</v>
      </c>
      <c r="AO12" s="32" t="s">
        <v>119</v>
      </c>
      <c r="AP12" s="20" t="s">
        <v>102</v>
      </c>
      <c r="AQ12" s="4" t="s">
        <v>102</v>
      </c>
      <c r="AR12" s="20" t="s">
        <v>102</v>
      </c>
      <c r="AS12" s="20" t="s">
        <v>102</v>
      </c>
      <c r="AU12" s="56" t="str">
        <f t="shared" si="7"/>
        <v>Methane</v>
      </c>
      <c r="AV12" s="56" t="str">
        <f t="shared" si="7"/>
        <v>C1</v>
      </c>
      <c r="BE12" s="18">
        <f t="shared" si="8"/>
        <v>0</v>
      </c>
      <c r="BL12" s="58" t="s">
        <v>120</v>
      </c>
      <c r="BM12" t="s">
        <v>105</v>
      </c>
      <c r="BN12">
        <v>86.18</v>
      </c>
      <c r="BO12">
        <v>660</v>
      </c>
      <c r="BP12">
        <v>136.80000000000001</v>
      </c>
      <c r="BQ12" s="59">
        <f t="shared" ca="1" si="5"/>
        <v>0</v>
      </c>
      <c r="BR12" s="59">
        <f t="shared" ca="1" si="6"/>
        <v>0</v>
      </c>
      <c r="BS12" s="59">
        <f t="shared" si="9"/>
        <v>0</v>
      </c>
      <c r="BT12" s="60">
        <f t="shared" si="10"/>
        <v>0.66</v>
      </c>
      <c r="BU12" s="60">
        <f t="shared" si="11"/>
        <v>12.739075072844928</v>
      </c>
      <c r="BZ12" s="61" t="str">
        <f t="shared" si="12"/>
        <v>Methane</v>
      </c>
      <c r="CA12" s="60" t="str">
        <f t="shared" si="13"/>
        <v>C1</v>
      </c>
    </row>
    <row r="13" spans="1:81" ht="15.75" customHeight="1" thickTop="1" x14ac:dyDescent="0.25">
      <c r="A13" s="74" t="s">
        <v>121</v>
      </c>
      <c r="B13" s="30"/>
      <c r="C13" s="31"/>
      <c r="G13" s="17" t="s">
        <v>122</v>
      </c>
      <c r="H13" s="75">
        <v>1.8037767958267708E-5</v>
      </c>
      <c r="I13" s="17" t="s">
        <v>123</v>
      </c>
      <c r="J13" s="17"/>
      <c r="L13" s="54"/>
      <c r="M13" s="19" t="s">
        <v>124</v>
      </c>
      <c r="N13" s="70"/>
      <c r="O13" s="28"/>
      <c r="R13" s="7" t="s">
        <v>125</v>
      </c>
      <c r="S13" s="8" t="s">
        <v>126</v>
      </c>
      <c r="T13" s="9">
        <f t="shared" si="0"/>
        <v>2.2044160386858726E-2</v>
      </c>
      <c r="U13" s="9" t="str">
        <f t="shared" si="1"/>
        <v/>
      </c>
      <c r="V13" s="9" t="str">
        <f t="shared" si="2"/>
        <v/>
      </c>
      <c r="W13" s="10" t="str">
        <f t="shared" si="3"/>
        <v/>
      </c>
      <c r="X13" s="10" t="str">
        <f t="shared" si="4"/>
        <v/>
      </c>
      <c r="Y13" s="11">
        <v>86</v>
      </c>
      <c r="Z13" s="64">
        <v>16.05</v>
      </c>
      <c r="AA13" s="65" t="s">
        <v>35</v>
      </c>
      <c r="AB13" s="20" t="s">
        <v>36</v>
      </c>
      <c r="AC13" s="66">
        <v>0.46118794595028562</v>
      </c>
      <c r="AH13" s="67"/>
      <c r="AK13" s="18">
        <f t="shared" si="14"/>
        <v>0.56640000000000001</v>
      </c>
      <c r="AL13">
        <v>56.64</v>
      </c>
      <c r="AN13" s="20" t="s">
        <v>118</v>
      </c>
      <c r="AO13" s="32" t="s">
        <v>127</v>
      </c>
      <c r="AP13" s="20" t="s">
        <v>110</v>
      </c>
      <c r="AQ13" s="4" t="s">
        <v>110</v>
      </c>
      <c r="AR13" s="20" t="s">
        <v>110</v>
      </c>
      <c r="AS13" s="20" t="s">
        <v>110</v>
      </c>
      <c r="AU13" s="56" t="str">
        <f t="shared" si="7"/>
        <v>Ethane</v>
      </c>
      <c r="AV13" s="56" t="str">
        <f t="shared" si="7"/>
        <v>C2</v>
      </c>
      <c r="BE13" s="18">
        <f t="shared" si="8"/>
        <v>0</v>
      </c>
      <c r="BL13" s="58" t="s">
        <v>128</v>
      </c>
      <c r="BM13" t="s">
        <v>105</v>
      </c>
      <c r="BN13">
        <v>86.18</v>
      </c>
      <c r="BO13">
        <v>653</v>
      </c>
      <c r="BP13">
        <v>140</v>
      </c>
      <c r="BQ13" s="59">
        <f t="shared" ca="1" si="5"/>
        <v>0</v>
      </c>
      <c r="BR13" s="59">
        <f t="shared" ca="1" si="6"/>
        <v>0</v>
      </c>
      <c r="BS13" s="59">
        <f t="shared" si="9"/>
        <v>0</v>
      </c>
      <c r="BT13" s="60">
        <f t="shared" si="10"/>
        <v>0.65300000000000002</v>
      </c>
      <c r="BU13" s="60">
        <f t="shared" si="11"/>
        <v>12.854472655933991</v>
      </c>
      <c r="BZ13" s="61" t="str">
        <f t="shared" si="12"/>
        <v>Ethane</v>
      </c>
      <c r="CA13" s="60" t="str">
        <f t="shared" si="13"/>
        <v>C2</v>
      </c>
    </row>
    <row r="14" spans="1:81" ht="15.75" x14ac:dyDescent="0.25">
      <c r="A14" s="76" t="s">
        <v>129</v>
      </c>
      <c r="B14" s="77"/>
      <c r="C14" s="67"/>
      <c r="E14" s="78" t="s">
        <v>130</v>
      </c>
      <c r="F14" s="79" t="s">
        <v>131</v>
      </c>
      <c r="G14" s="80" t="s">
        <v>132</v>
      </c>
      <c r="H14" s="81"/>
      <c r="L14" s="54"/>
      <c r="M14" s="19" t="s">
        <v>133</v>
      </c>
      <c r="N14" s="82"/>
      <c r="O14" s="28"/>
      <c r="R14" s="7" t="s">
        <v>134</v>
      </c>
      <c r="S14" s="8" t="s">
        <v>135</v>
      </c>
      <c r="T14" s="9">
        <f t="shared" si="0"/>
        <v>3.0911007058759085E-2</v>
      </c>
      <c r="U14" s="9" t="str">
        <f t="shared" si="1"/>
        <v/>
      </c>
      <c r="V14" s="9" t="str">
        <f t="shared" si="2"/>
        <v/>
      </c>
      <c r="W14" s="10" t="str">
        <f t="shared" si="3"/>
        <v/>
      </c>
      <c r="X14" s="10" t="str">
        <f t="shared" si="4"/>
        <v/>
      </c>
      <c r="Y14" s="11">
        <v>96</v>
      </c>
      <c r="Z14" s="64">
        <v>30.07</v>
      </c>
      <c r="AA14" s="65" t="s">
        <v>48</v>
      </c>
      <c r="AB14" s="20" t="s">
        <v>49</v>
      </c>
      <c r="AC14" s="66">
        <v>7.809306316474314E-2</v>
      </c>
      <c r="AH14" s="67"/>
      <c r="AK14" s="18">
        <f t="shared" si="14"/>
        <v>9.0649999999999994E-2</v>
      </c>
      <c r="AL14">
        <v>9.0649999999999995</v>
      </c>
      <c r="AN14" s="20" t="s">
        <v>110</v>
      </c>
      <c r="AO14" s="32" t="s">
        <v>136</v>
      </c>
      <c r="AP14" s="20" t="s">
        <v>118</v>
      </c>
      <c r="AQ14" s="4" t="s">
        <v>118</v>
      </c>
      <c r="AR14" s="20" t="s">
        <v>118</v>
      </c>
      <c r="AS14" s="20" t="s">
        <v>118</v>
      </c>
      <c r="AU14" s="56" t="str">
        <f t="shared" si="7"/>
        <v>Propane</v>
      </c>
      <c r="AV14" s="56" t="str">
        <f t="shared" si="7"/>
        <v>C3</v>
      </c>
      <c r="AZ14" s="57"/>
      <c r="BE14" s="18">
        <f t="shared" si="8"/>
        <v>0</v>
      </c>
      <c r="BL14" s="58" t="s">
        <v>137</v>
      </c>
      <c r="BM14" t="s">
        <v>105</v>
      </c>
      <c r="BN14">
        <v>86.18</v>
      </c>
      <c r="BO14">
        <v>664</v>
      </c>
      <c r="BQ14" s="59">
        <f t="shared" ca="1" si="5"/>
        <v>0</v>
      </c>
      <c r="BR14" s="59">
        <f t="shared" ca="1" si="6"/>
        <v>0</v>
      </c>
      <c r="BS14" s="59">
        <f t="shared" si="9"/>
        <v>0</v>
      </c>
      <c r="BT14" s="60">
        <f t="shared" si="10"/>
        <v>0.66400000000000003</v>
      </c>
      <c r="BU14" s="60">
        <f t="shared" si="11"/>
        <v>12.674142326709889</v>
      </c>
      <c r="BZ14" s="61" t="str">
        <f t="shared" si="12"/>
        <v>Propane</v>
      </c>
      <c r="CA14" s="60" t="str">
        <f t="shared" si="13"/>
        <v>C3</v>
      </c>
    </row>
    <row r="15" spans="1:81" ht="15.75" x14ac:dyDescent="0.25">
      <c r="A15" s="83" t="s">
        <v>138</v>
      </c>
      <c r="B15" s="84">
        <v>35073249330000</v>
      </c>
      <c r="C15" s="67"/>
      <c r="E15" s="78"/>
      <c r="F15" s="79"/>
      <c r="G15" s="80" t="s">
        <v>139</v>
      </c>
      <c r="H15" s="85"/>
      <c r="J15" s="86"/>
      <c r="L15" s="54"/>
      <c r="R15" s="7" t="s">
        <v>140</v>
      </c>
      <c r="S15" s="8" t="s">
        <v>141</v>
      </c>
      <c r="T15" s="9">
        <f t="shared" si="0"/>
        <v>3.1800899557297521E-2</v>
      </c>
      <c r="U15" s="9" t="str">
        <f t="shared" si="1"/>
        <v/>
      </c>
      <c r="V15" s="9" t="str">
        <f t="shared" si="2"/>
        <v/>
      </c>
      <c r="W15" s="10" t="str">
        <f t="shared" si="3"/>
        <v/>
      </c>
      <c r="X15" s="10" t="str">
        <f t="shared" si="4"/>
        <v/>
      </c>
      <c r="Y15" s="11">
        <v>107</v>
      </c>
      <c r="Z15" s="64">
        <v>44.097000000000001</v>
      </c>
      <c r="AA15" s="65" t="s">
        <v>69</v>
      </c>
      <c r="AB15" s="20" t="s">
        <v>70</v>
      </c>
      <c r="AC15" s="66">
        <v>6.4943397502518055E-2</v>
      </c>
      <c r="AF15" s="57"/>
      <c r="AH15" s="67"/>
      <c r="AK15" s="18">
        <f t="shared" si="14"/>
        <v>5.7820000000000003E-2</v>
      </c>
      <c r="AL15">
        <v>5.782</v>
      </c>
      <c r="AN15" s="20" t="s">
        <v>118</v>
      </c>
      <c r="AO15" s="32" t="s">
        <v>142</v>
      </c>
      <c r="AP15" s="20" t="s">
        <v>126</v>
      </c>
      <c r="AQ15" s="4" t="s">
        <v>126</v>
      </c>
      <c r="AR15" s="20" t="s">
        <v>126</v>
      </c>
      <c r="AS15" s="20" t="s">
        <v>126</v>
      </c>
      <c r="AU15" s="56" t="str">
        <f t="shared" si="7"/>
        <v>i-Butane</v>
      </c>
      <c r="AV15" s="56" t="str">
        <f t="shared" si="7"/>
        <v>i-C4</v>
      </c>
      <c r="BE15" s="18">
        <f t="shared" si="8"/>
        <v>0</v>
      </c>
      <c r="BL15" s="58" t="s">
        <v>143</v>
      </c>
      <c r="BM15" t="s">
        <v>126</v>
      </c>
      <c r="BQ15" s="59">
        <f t="shared" ca="1" si="5"/>
        <v>0</v>
      </c>
      <c r="BR15" s="59">
        <f t="shared" ca="1" si="6"/>
        <v>0</v>
      </c>
      <c r="BS15" s="59">
        <f t="shared" si="9"/>
        <v>0</v>
      </c>
      <c r="BT15" s="60" t="str">
        <f t="shared" si="10"/>
        <v/>
      </c>
      <c r="BU15" s="60" t="str">
        <f t="shared" si="11"/>
        <v/>
      </c>
      <c r="BZ15" s="61" t="str">
        <f t="shared" si="12"/>
        <v>i-Butane</v>
      </c>
      <c r="CA15" s="60" t="str">
        <f t="shared" si="13"/>
        <v>i-C4</v>
      </c>
    </row>
    <row r="16" spans="1:81" ht="15.75" x14ac:dyDescent="0.25">
      <c r="A16" s="76" t="s">
        <v>144</v>
      </c>
      <c r="B16" s="87"/>
      <c r="C16" s="67"/>
      <c r="E16" s="78"/>
      <c r="F16" s="79"/>
      <c r="G16" s="80" t="s">
        <v>145</v>
      </c>
      <c r="H16" s="80"/>
      <c r="I16" s="88"/>
      <c r="M16" s="23" t="s">
        <v>146</v>
      </c>
      <c r="N16" s="89"/>
      <c r="O16" s="24"/>
      <c r="P16" s="25"/>
      <c r="R16" s="7" t="s">
        <v>147</v>
      </c>
      <c r="S16" s="8" t="s">
        <v>148</v>
      </c>
      <c r="T16" s="9">
        <f t="shared" si="0"/>
        <v>2.5050780959857768E-2</v>
      </c>
      <c r="U16" s="9" t="str">
        <f t="shared" si="1"/>
        <v/>
      </c>
      <c r="V16" s="9" t="str">
        <f t="shared" si="2"/>
        <v/>
      </c>
      <c r="W16" s="10" t="str">
        <f t="shared" si="3"/>
        <v/>
      </c>
      <c r="X16" s="10" t="str">
        <f t="shared" si="4"/>
        <v/>
      </c>
      <c r="Y16" s="11">
        <v>121</v>
      </c>
      <c r="Z16" s="64">
        <v>58.124000000000002</v>
      </c>
      <c r="AA16" s="65" t="s">
        <v>93</v>
      </c>
      <c r="AB16" s="20" t="s">
        <v>94</v>
      </c>
      <c r="AC16" s="66">
        <v>1.0584476057016885E-2</v>
      </c>
      <c r="AH16" s="67"/>
      <c r="AK16" s="18">
        <f t="shared" si="14"/>
        <v>9.9799999999999993E-3</v>
      </c>
      <c r="AL16">
        <v>0.998</v>
      </c>
      <c r="AN16" s="20" t="s">
        <v>126</v>
      </c>
      <c r="AO16" s="32" t="s">
        <v>149</v>
      </c>
      <c r="AP16" s="20" t="s">
        <v>135</v>
      </c>
      <c r="AQ16" s="4" t="s">
        <v>135</v>
      </c>
      <c r="AR16" s="20" t="s">
        <v>135</v>
      </c>
      <c r="AS16" s="20" t="s">
        <v>126</v>
      </c>
      <c r="AU16" s="56" t="str">
        <f t="shared" si="7"/>
        <v>n-Butane</v>
      </c>
      <c r="AV16" s="56" t="str">
        <f t="shared" si="7"/>
        <v>n-C4</v>
      </c>
      <c r="AZ16" s="57"/>
      <c r="BE16" s="18">
        <f t="shared" si="8"/>
        <v>0</v>
      </c>
      <c r="BL16" s="71" t="s">
        <v>150</v>
      </c>
      <c r="BM16" t="s">
        <v>151</v>
      </c>
      <c r="BN16">
        <v>84.16</v>
      </c>
      <c r="BO16">
        <v>749</v>
      </c>
      <c r="BP16">
        <v>161.19999999999999</v>
      </c>
      <c r="BQ16" s="59">
        <f t="shared" ca="1" si="5"/>
        <v>0</v>
      </c>
      <c r="BR16" s="59">
        <f t="shared" ca="1" si="6"/>
        <v>0</v>
      </c>
      <c r="BS16" s="59">
        <f t="shared" si="9"/>
        <v>0</v>
      </c>
      <c r="BT16" s="60">
        <f t="shared" si="10"/>
        <v>0.749</v>
      </c>
      <c r="BU16" s="60">
        <f t="shared" si="11"/>
        <v>11.405434430021367</v>
      </c>
      <c r="BZ16" s="61" t="str">
        <f t="shared" si="12"/>
        <v>n-Butane</v>
      </c>
      <c r="CA16" s="60" t="str">
        <f t="shared" si="13"/>
        <v>n-C4</v>
      </c>
    </row>
    <row r="17" spans="1:79" ht="15.75" x14ac:dyDescent="0.25">
      <c r="A17" s="76" t="s">
        <v>152</v>
      </c>
      <c r="B17" s="90">
        <v>35.957343999999999</v>
      </c>
      <c r="C17" s="67"/>
      <c r="E17" s="78"/>
      <c r="F17" s="79" t="s">
        <v>153</v>
      </c>
      <c r="G17" s="80" t="s">
        <v>154</v>
      </c>
      <c r="H17" s="91"/>
      <c r="I17" s="92"/>
      <c r="K17" s="93"/>
      <c r="M17" s="94" t="s">
        <v>155</v>
      </c>
      <c r="N17" s="95" t="s">
        <v>156</v>
      </c>
      <c r="O17" s="94" t="s">
        <v>157</v>
      </c>
      <c r="P17" s="94" t="s">
        <v>158</v>
      </c>
      <c r="R17" s="7" t="s">
        <v>159</v>
      </c>
      <c r="S17" s="8" t="s">
        <v>160</v>
      </c>
      <c r="T17" s="9">
        <f t="shared" si="0"/>
        <v>2.0520584671944977E-2</v>
      </c>
      <c r="U17" s="9" t="str">
        <f t="shared" si="1"/>
        <v/>
      </c>
      <c r="V17" s="9" t="str">
        <f t="shared" si="2"/>
        <v/>
      </c>
      <c r="W17" s="10" t="str">
        <f t="shared" si="3"/>
        <v/>
      </c>
      <c r="X17" s="10" t="str">
        <f t="shared" si="4"/>
        <v/>
      </c>
      <c r="Y17" s="11">
        <v>134</v>
      </c>
      <c r="Z17" s="64">
        <v>58.124000000000002</v>
      </c>
      <c r="AA17" s="65" t="s">
        <v>101</v>
      </c>
      <c r="AB17" s="20" t="s">
        <v>102</v>
      </c>
      <c r="AC17" s="66">
        <v>3.2248769759207735E-2</v>
      </c>
      <c r="AF17" s="57"/>
      <c r="AH17" s="67"/>
      <c r="AK17" s="18">
        <f t="shared" si="14"/>
        <v>2.7779999999999999E-2</v>
      </c>
      <c r="AL17">
        <v>2.778</v>
      </c>
      <c r="AN17" s="20" t="s">
        <v>118</v>
      </c>
      <c r="AO17" s="32" t="s">
        <v>161</v>
      </c>
      <c r="AP17" s="20" t="s">
        <v>141</v>
      </c>
      <c r="AQ17" s="4" t="s">
        <v>141</v>
      </c>
      <c r="AR17" s="20" t="s">
        <v>141</v>
      </c>
      <c r="AS17" s="20" t="s">
        <v>126</v>
      </c>
      <c r="AU17" s="56" t="str">
        <f t="shared" si="7"/>
        <v>i-Pentane</v>
      </c>
      <c r="AV17" s="56" t="str">
        <f t="shared" si="7"/>
        <v>i-C5</v>
      </c>
      <c r="AZ17" s="57"/>
      <c r="BE17" s="18">
        <f t="shared" si="8"/>
        <v>0</v>
      </c>
      <c r="BL17" s="58" t="s">
        <v>162</v>
      </c>
      <c r="BM17" t="s">
        <v>163</v>
      </c>
      <c r="BN17">
        <v>78.11</v>
      </c>
      <c r="BO17">
        <v>876</v>
      </c>
      <c r="BP17">
        <v>176.2</v>
      </c>
      <c r="BQ17" s="59">
        <f t="shared" ca="1" si="5"/>
        <v>0</v>
      </c>
      <c r="BR17" s="59">
        <f t="shared" ca="1" si="6"/>
        <v>0</v>
      </c>
      <c r="BS17" s="59">
        <f t="shared" si="9"/>
        <v>0</v>
      </c>
      <c r="BT17" s="60">
        <f t="shared" si="10"/>
        <v>0.876</v>
      </c>
      <c r="BU17" s="60">
        <f t="shared" si="11"/>
        <v>9.8779269096496254</v>
      </c>
      <c r="BZ17" s="61" t="str">
        <f t="shared" si="12"/>
        <v>i-Pentane</v>
      </c>
      <c r="CA17" s="60" t="str">
        <f t="shared" si="13"/>
        <v>i-C5</v>
      </c>
    </row>
    <row r="18" spans="1:79" ht="15.75" x14ac:dyDescent="0.25">
      <c r="A18" s="76" t="s">
        <v>164</v>
      </c>
      <c r="B18" s="90">
        <v>-98.191304000000002</v>
      </c>
      <c r="C18" s="67"/>
      <c r="E18" s="78"/>
      <c r="F18" s="79"/>
      <c r="G18" s="80" t="s">
        <v>165</v>
      </c>
      <c r="H18" s="96"/>
      <c r="I18" s="97"/>
      <c r="K18" s="98"/>
      <c r="M18" s="19">
        <v>6515</v>
      </c>
      <c r="N18" s="19">
        <v>6015</v>
      </c>
      <c r="O18" s="99">
        <f>IFERROR(AVERAGE(M18:N18),"")</f>
        <v>6265</v>
      </c>
      <c r="P18" s="19">
        <v>1.0197961152871312E-5</v>
      </c>
      <c r="R18" s="7" t="s">
        <v>166</v>
      </c>
      <c r="S18" s="8" t="s">
        <v>167</v>
      </c>
      <c r="T18" s="9">
        <f t="shared" si="0"/>
        <v>1.8113684599625611E-2</v>
      </c>
      <c r="U18" s="9" t="str">
        <f t="shared" si="1"/>
        <v/>
      </c>
      <c r="V18" s="9" t="str">
        <f t="shared" si="2"/>
        <v/>
      </c>
      <c r="W18" s="10" t="str">
        <f t="shared" si="3"/>
        <v/>
      </c>
      <c r="X18" s="10" t="str">
        <f t="shared" si="4"/>
        <v/>
      </c>
      <c r="Y18" s="11">
        <v>147</v>
      </c>
      <c r="Z18" s="64">
        <v>72.150999999999996</v>
      </c>
      <c r="AA18" s="65" t="s">
        <v>109</v>
      </c>
      <c r="AB18" s="20" t="s">
        <v>110</v>
      </c>
      <c r="AC18" s="66">
        <v>1.1767411769561847E-2</v>
      </c>
      <c r="AF18" s="57"/>
      <c r="AH18" s="67"/>
      <c r="AK18" s="18">
        <f t="shared" si="14"/>
        <v>1.068E-2</v>
      </c>
      <c r="AL18">
        <v>1.0680000000000001</v>
      </c>
      <c r="AN18" s="20" t="s">
        <v>126</v>
      </c>
      <c r="AO18" s="32" t="s">
        <v>168</v>
      </c>
      <c r="AP18" s="20" t="s">
        <v>148</v>
      </c>
      <c r="AQ18" s="4" t="s">
        <v>148</v>
      </c>
      <c r="AR18" s="20" t="s">
        <v>148</v>
      </c>
      <c r="AS18" s="20" t="s">
        <v>135</v>
      </c>
      <c r="AU18" s="56" t="str">
        <f t="shared" si="7"/>
        <v>n-Pentane</v>
      </c>
      <c r="AV18" s="56" t="str">
        <f t="shared" si="7"/>
        <v>n-C5</v>
      </c>
      <c r="AZ18" s="57"/>
      <c r="BE18" s="18">
        <f t="shared" si="8"/>
        <v>0</v>
      </c>
      <c r="BL18" s="58" t="s">
        <v>169</v>
      </c>
      <c r="BM18" t="s">
        <v>151</v>
      </c>
      <c r="BN18">
        <v>84.16</v>
      </c>
      <c r="BO18">
        <v>779</v>
      </c>
      <c r="BP18">
        <v>177.3</v>
      </c>
      <c r="BQ18" s="59">
        <f t="shared" ca="1" si="5"/>
        <v>0</v>
      </c>
      <c r="BR18" s="59">
        <f t="shared" ca="1" si="6"/>
        <v>0</v>
      </c>
      <c r="BS18" s="59">
        <f t="shared" si="9"/>
        <v>0</v>
      </c>
      <c r="BT18" s="60">
        <f t="shared" si="10"/>
        <v>0.77900000000000003</v>
      </c>
      <c r="BU18" s="60">
        <f t="shared" si="11"/>
        <v>11.032841160459371</v>
      </c>
      <c r="BZ18" s="61" t="str">
        <f t="shared" si="12"/>
        <v>n-Pentane</v>
      </c>
      <c r="CA18" s="60" t="str">
        <f t="shared" si="13"/>
        <v>n-C5</v>
      </c>
    </row>
    <row r="19" spans="1:79" ht="15.75" x14ac:dyDescent="0.25">
      <c r="A19" s="76" t="s">
        <v>170</v>
      </c>
      <c r="B19" s="90" t="s">
        <v>581</v>
      </c>
      <c r="C19" s="67"/>
      <c r="E19" s="78"/>
      <c r="F19" s="79"/>
      <c r="G19" s="80" t="s">
        <v>172</v>
      </c>
      <c r="H19" s="85"/>
      <c r="I19" s="100"/>
      <c r="K19" s="39"/>
      <c r="M19" s="19">
        <v>6015</v>
      </c>
      <c r="N19" s="19">
        <v>5515</v>
      </c>
      <c r="O19" s="99">
        <f>IFERROR(AVERAGE(M19:N19),"")</f>
        <v>5765</v>
      </c>
      <c r="P19" s="19">
        <v>1.0783217434001558E-5</v>
      </c>
      <c r="R19" s="7" t="s">
        <v>173</v>
      </c>
      <c r="S19" s="8" t="s">
        <v>174</v>
      </c>
      <c r="T19" s="9">
        <f t="shared" si="0"/>
        <v>1.602069830794613E-2</v>
      </c>
      <c r="U19" s="9" t="str">
        <f t="shared" si="1"/>
        <v/>
      </c>
      <c r="V19" s="9" t="str">
        <f t="shared" si="2"/>
        <v/>
      </c>
      <c r="W19" s="10" t="str">
        <f t="shared" si="3"/>
        <v/>
      </c>
      <c r="X19" s="10" t="str">
        <f t="shared" si="4"/>
        <v/>
      </c>
      <c r="Y19" s="11">
        <v>161</v>
      </c>
      <c r="Z19" s="64">
        <v>72.150999999999996</v>
      </c>
      <c r="AA19" s="65" t="s">
        <v>117</v>
      </c>
      <c r="AB19" s="20" t="s">
        <v>118</v>
      </c>
      <c r="AC19" s="66">
        <v>1.7518305100851936E-2</v>
      </c>
      <c r="AF19" s="57"/>
      <c r="AH19" s="67"/>
      <c r="AK19" s="18">
        <f t="shared" si="14"/>
        <v>1.478E-2</v>
      </c>
      <c r="AL19">
        <v>1.478</v>
      </c>
      <c r="AN19" s="20" t="s">
        <v>126</v>
      </c>
      <c r="AO19" s="32" t="s">
        <v>175</v>
      </c>
      <c r="AP19" s="20" t="s">
        <v>160</v>
      </c>
      <c r="AQ19" s="4" t="s">
        <v>160</v>
      </c>
      <c r="AR19" s="20" t="s">
        <v>160</v>
      </c>
      <c r="AS19" s="20" t="s">
        <v>135</v>
      </c>
      <c r="AU19" s="56" t="str">
        <f t="shared" si="7"/>
        <v>Hexanes</v>
      </c>
      <c r="AV19" s="56" t="str">
        <f t="shared" si="7"/>
        <v>C6</v>
      </c>
      <c r="BE19" s="18">
        <f t="shared" si="8"/>
        <v>0</v>
      </c>
      <c r="BL19" s="58" t="s">
        <v>176</v>
      </c>
      <c r="BM19" t="s">
        <v>177</v>
      </c>
      <c r="BN19">
        <v>100.2</v>
      </c>
      <c r="BO19">
        <v>670</v>
      </c>
      <c r="BP19">
        <v>194</v>
      </c>
      <c r="BQ19" s="59">
        <f t="shared" ca="1" si="5"/>
        <v>0</v>
      </c>
      <c r="BR19" s="59">
        <f t="shared" ca="1" si="6"/>
        <v>0</v>
      </c>
      <c r="BS19" s="59">
        <f t="shared" si="9"/>
        <v>0</v>
      </c>
      <c r="BT19" s="60">
        <f t="shared" si="10"/>
        <v>0.67</v>
      </c>
      <c r="BU19" s="60">
        <f t="shared" si="11"/>
        <v>12.869161541655693</v>
      </c>
      <c r="BZ19" s="61" t="str">
        <f t="shared" si="12"/>
        <v>Hexanes</v>
      </c>
      <c r="CA19" s="60" t="str">
        <f t="shared" si="13"/>
        <v>C6</v>
      </c>
    </row>
    <row r="20" spans="1:79" ht="15.75" x14ac:dyDescent="0.25">
      <c r="A20" s="76" t="s">
        <v>178</v>
      </c>
      <c r="B20" s="90" t="s">
        <v>179</v>
      </c>
      <c r="C20" s="67"/>
      <c r="F20" s="101" t="s">
        <v>180</v>
      </c>
      <c r="G20" s="102" t="s">
        <v>181</v>
      </c>
      <c r="H20" s="103" t="str">
        <f>IF(SUM(J39:L39)&lt;&gt;0,  SUM(J39:L39),  "")</f>
        <v/>
      </c>
      <c r="I20" s="104"/>
      <c r="J20" s="105"/>
      <c r="K20" s="39"/>
      <c r="M20" s="19">
        <v>5515</v>
      </c>
      <c r="N20" s="19">
        <v>5015</v>
      </c>
      <c r="O20" s="99">
        <f t="shared" ref="O20:O34" si="15">IFERROR(AVERAGE(M20:N20),"")</f>
        <v>5265</v>
      </c>
      <c r="P20" s="19">
        <v>1.1593965517493524E-5</v>
      </c>
      <c r="R20" s="7" t="s">
        <v>182</v>
      </c>
      <c r="S20" s="8" t="s">
        <v>183</v>
      </c>
      <c r="T20" s="9">
        <f t="shared" si="0"/>
        <v>1.6199389092752703E-2</v>
      </c>
      <c r="U20" s="9" t="str">
        <f t="shared" si="1"/>
        <v/>
      </c>
      <c r="V20" s="9" t="str">
        <f t="shared" si="2"/>
        <v/>
      </c>
      <c r="W20" s="10" t="str">
        <f t="shared" si="3"/>
        <v/>
      </c>
      <c r="X20" s="10" t="str">
        <f t="shared" si="4"/>
        <v/>
      </c>
      <c r="Y20" s="11">
        <v>175</v>
      </c>
      <c r="Z20" s="64">
        <v>86.177999999999997</v>
      </c>
      <c r="AA20" s="65" t="s">
        <v>125</v>
      </c>
      <c r="AB20" s="20" t="s">
        <v>126</v>
      </c>
      <c r="AC20" s="66">
        <v>2.2044160386858726E-2</v>
      </c>
      <c r="AH20" s="67"/>
      <c r="AK20" s="18">
        <f t="shared" si="14"/>
        <v>2.0110000000000003E-2</v>
      </c>
      <c r="AL20">
        <v>2.0110000000000001</v>
      </c>
      <c r="AN20" s="20" t="s">
        <v>126</v>
      </c>
      <c r="AO20" s="32" t="s">
        <v>184</v>
      </c>
      <c r="AP20" s="20" t="s">
        <v>167</v>
      </c>
      <c r="AQ20" s="4" t="s">
        <v>167</v>
      </c>
      <c r="AR20" s="20" t="s">
        <v>167</v>
      </c>
      <c r="AS20" s="20" t="s">
        <v>135</v>
      </c>
      <c r="AU20" s="56" t="str">
        <f t="shared" si="7"/>
        <v>Heptanes</v>
      </c>
      <c r="AV20" s="56" t="str">
        <f t="shared" si="7"/>
        <v>C7</v>
      </c>
      <c r="AZ20" s="57"/>
      <c r="BE20" s="18">
        <f t="shared" si="8"/>
        <v>0</v>
      </c>
      <c r="BL20" s="58" t="s">
        <v>185</v>
      </c>
      <c r="BM20" t="s">
        <v>177</v>
      </c>
      <c r="BN20">
        <v>100.2</v>
      </c>
      <c r="BO20">
        <v>686</v>
      </c>
      <c r="BQ20" s="59">
        <f t="shared" ca="1" si="5"/>
        <v>0</v>
      </c>
      <c r="BR20" s="59">
        <f t="shared" ca="1" si="6"/>
        <v>0</v>
      </c>
      <c r="BS20" s="59">
        <f t="shared" si="9"/>
        <v>0</v>
      </c>
      <c r="BT20" s="60">
        <f t="shared" si="10"/>
        <v>0.68600000000000005</v>
      </c>
      <c r="BU20" s="60">
        <f t="shared" si="11"/>
        <v>12.614850295063237</v>
      </c>
      <c r="BZ20" s="61" t="str">
        <f t="shared" si="12"/>
        <v>Heptanes</v>
      </c>
      <c r="CA20" s="60" t="str">
        <f t="shared" si="13"/>
        <v>C7</v>
      </c>
    </row>
    <row r="21" spans="1:79" ht="15.75" x14ac:dyDescent="0.25">
      <c r="A21" s="76" t="s">
        <v>186</v>
      </c>
      <c r="B21" s="90" t="s">
        <v>187</v>
      </c>
      <c r="C21" s="67"/>
      <c r="F21" s="101"/>
      <c r="G21" s="106" t="s">
        <v>188</v>
      </c>
      <c r="H21" s="107" t="str">
        <f>IF(L41&lt;&gt;"",  L41,  "")</f>
        <v/>
      </c>
      <c r="I21" s="98"/>
      <c r="J21" s="108"/>
      <c r="K21" s="93"/>
      <c r="M21" s="19">
        <v>5015</v>
      </c>
      <c r="N21" s="19">
        <v>4520</v>
      </c>
      <c r="O21" s="99">
        <f t="shared" si="15"/>
        <v>4767.5</v>
      </c>
      <c r="P21" s="19">
        <v>1.2735420224695171E-5</v>
      </c>
      <c r="R21" s="7" t="s">
        <v>189</v>
      </c>
      <c r="S21" s="8" t="s">
        <v>190</v>
      </c>
      <c r="T21" s="9">
        <f t="shared" si="0"/>
        <v>1.3614679498779595E-2</v>
      </c>
      <c r="U21" s="9" t="str">
        <f t="shared" si="1"/>
        <v/>
      </c>
      <c r="V21" s="9" t="str">
        <f t="shared" si="2"/>
        <v/>
      </c>
      <c r="W21" s="10" t="str">
        <f t="shared" si="3"/>
        <v/>
      </c>
      <c r="X21" s="10" t="str">
        <f t="shared" si="4"/>
        <v/>
      </c>
      <c r="Y21" s="11">
        <v>190</v>
      </c>
      <c r="Z21" s="64">
        <v>100.205</v>
      </c>
      <c r="AA21" s="65" t="s">
        <v>134</v>
      </c>
      <c r="AB21" s="20" t="s">
        <v>135</v>
      </c>
      <c r="AC21" s="66">
        <v>3.0911007058759085E-2</v>
      </c>
      <c r="AF21" s="57"/>
      <c r="AH21" s="67"/>
      <c r="AK21" s="18">
        <f t="shared" si="14"/>
        <v>2.4830000000000001E-2</v>
      </c>
      <c r="AL21">
        <v>2.4830000000000001</v>
      </c>
      <c r="AN21" s="20" t="s">
        <v>126</v>
      </c>
      <c r="AO21" s="32" t="s">
        <v>191</v>
      </c>
      <c r="AP21" s="20" t="s">
        <v>174</v>
      </c>
      <c r="AQ21" s="4" t="s">
        <v>174</v>
      </c>
      <c r="AR21" s="20" t="s">
        <v>174</v>
      </c>
      <c r="AS21" s="20" t="s">
        <v>141</v>
      </c>
      <c r="AU21" s="56" t="str">
        <f t="shared" si="7"/>
        <v>Octanes</v>
      </c>
      <c r="AV21" s="56" t="str">
        <f t="shared" si="7"/>
        <v>C8</v>
      </c>
      <c r="BE21" s="18">
        <f t="shared" si="8"/>
        <v>0</v>
      </c>
      <c r="BL21" s="58" t="s">
        <v>192</v>
      </c>
      <c r="BM21" t="s">
        <v>193</v>
      </c>
      <c r="BN21">
        <v>114.2</v>
      </c>
      <c r="BO21">
        <v>690</v>
      </c>
      <c r="BP21">
        <v>210.2</v>
      </c>
      <c r="BQ21" s="59">
        <f t="shared" ca="1" si="5"/>
        <v>0</v>
      </c>
      <c r="BR21" s="59">
        <f t="shared" ca="1" si="6"/>
        <v>0</v>
      </c>
      <c r="BS21" s="59">
        <f t="shared" si="9"/>
        <v>0</v>
      </c>
      <c r="BT21" s="60">
        <f t="shared" si="10"/>
        <v>0.69</v>
      </c>
      <c r="BU21" s="60">
        <f t="shared" si="11"/>
        <v>12.804644110960842</v>
      </c>
      <c r="BZ21" s="61" t="str">
        <f t="shared" si="12"/>
        <v>Octanes</v>
      </c>
      <c r="CA21" s="60" t="str">
        <f t="shared" si="13"/>
        <v>C8</v>
      </c>
    </row>
    <row r="22" spans="1:79" ht="15.75" x14ac:dyDescent="0.25">
      <c r="A22" s="76" t="s">
        <v>194</v>
      </c>
      <c r="B22" s="90"/>
      <c r="C22" s="67"/>
      <c r="F22" s="101"/>
      <c r="G22" s="106" t="s">
        <v>195</v>
      </c>
      <c r="H22" s="103" t="str">
        <f>IF(I40&lt;&gt;"",  I40,  "")</f>
        <v/>
      </c>
      <c r="I22" s="98"/>
      <c r="J22" s="109"/>
      <c r="K22" s="98"/>
      <c r="M22" s="19">
        <v>4520</v>
      </c>
      <c r="N22" s="19">
        <v>4015</v>
      </c>
      <c r="O22" s="99">
        <f t="shared" si="15"/>
        <v>4267.5</v>
      </c>
      <c r="P22" s="19">
        <v>1.4102465911778103E-5</v>
      </c>
      <c r="R22" s="7" t="s">
        <v>196</v>
      </c>
      <c r="S22" s="8" t="s">
        <v>197</v>
      </c>
      <c r="T22" s="9">
        <f t="shared" si="0"/>
        <v>1.2458508312791456E-2</v>
      </c>
      <c r="U22" s="9" t="str">
        <f t="shared" si="1"/>
        <v/>
      </c>
      <c r="V22" s="9" t="str">
        <f t="shared" si="2"/>
        <v/>
      </c>
      <c r="W22" s="10" t="str">
        <f t="shared" si="3"/>
        <v/>
      </c>
      <c r="X22" s="10" t="str">
        <f t="shared" si="4"/>
        <v/>
      </c>
      <c r="Y22" s="11">
        <v>206</v>
      </c>
      <c r="Z22" s="64">
        <v>114.232</v>
      </c>
      <c r="AA22" s="65" t="s">
        <v>140</v>
      </c>
      <c r="AB22" s="20" t="s">
        <v>141</v>
      </c>
      <c r="AC22" s="66">
        <v>3.1800899557297521E-2</v>
      </c>
      <c r="AH22" s="67"/>
      <c r="AK22" s="18">
        <f t="shared" si="14"/>
        <v>2.8039999999999999E-2</v>
      </c>
      <c r="AL22">
        <v>2.8039999999999998</v>
      </c>
      <c r="AN22" s="20" t="s">
        <v>126</v>
      </c>
      <c r="AO22" s="32" t="s">
        <v>198</v>
      </c>
      <c r="AP22" s="20" t="s">
        <v>183</v>
      </c>
      <c r="AQ22" s="4" t="s">
        <v>183</v>
      </c>
      <c r="AR22" s="20" t="s">
        <v>183</v>
      </c>
      <c r="AS22" s="20" t="s">
        <v>141</v>
      </c>
      <c r="AU22" s="56" t="str">
        <f t="shared" si="7"/>
        <v>Nonanes</v>
      </c>
      <c r="AV22" s="56" t="str">
        <f t="shared" si="7"/>
        <v>C9</v>
      </c>
      <c r="AZ22" s="57"/>
      <c r="BE22" s="18">
        <f t="shared" si="8"/>
        <v>0</v>
      </c>
      <c r="BL22" s="58" t="s">
        <v>199</v>
      </c>
      <c r="BM22" t="s">
        <v>177</v>
      </c>
      <c r="BQ22" s="59">
        <f t="shared" ca="1" si="5"/>
        <v>0</v>
      </c>
      <c r="BR22" s="59">
        <f t="shared" ca="1" si="6"/>
        <v>0</v>
      </c>
      <c r="BS22" s="59">
        <f t="shared" si="9"/>
        <v>0</v>
      </c>
      <c r="BT22" s="60" t="str">
        <f t="shared" si="10"/>
        <v/>
      </c>
      <c r="BU22" s="60" t="str">
        <f t="shared" si="11"/>
        <v/>
      </c>
      <c r="BZ22" s="61" t="str">
        <f t="shared" si="12"/>
        <v>Nonanes</v>
      </c>
      <c r="CA22" s="60" t="str">
        <f t="shared" si="13"/>
        <v>C9</v>
      </c>
    </row>
    <row r="23" spans="1:79" ht="15.75" x14ac:dyDescent="0.25">
      <c r="A23" s="76" t="s">
        <v>200</v>
      </c>
      <c r="B23" s="90" t="s">
        <v>201</v>
      </c>
      <c r="C23" s="67"/>
      <c r="F23" s="110" t="s">
        <v>202</v>
      </c>
      <c r="G23" s="80" t="s">
        <v>203</v>
      </c>
      <c r="H23" s="111">
        <f>IFERROR(SUM(T$6:T$7)/SUM(T$8:T$12),"")</f>
        <v>3.9345667794628665</v>
      </c>
      <c r="I23" s="104"/>
      <c r="J23" s="112"/>
      <c r="K23" s="39"/>
      <c r="M23" s="19">
        <v>4015</v>
      </c>
      <c r="N23" s="19">
        <v>3515</v>
      </c>
      <c r="O23" s="99">
        <f t="shared" si="15"/>
        <v>3765</v>
      </c>
      <c r="P23" s="19">
        <v>1.5838384790306097E-5</v>
      </c>
      <c r="R23" s="7" t="s">
        <v>204</v>
      </c>
      <c r="S23" s="8" t="s">
        <v>205</v>
      </c>
      <c r="T23" s="9">
        <f t="shared" si="0"/>
        <v>1.0101018894570215E-2</v>
      </c>
      <c r="U23" s="9" t="str">
        <f t="shared" si="1"/>
        <v/>
      </c>
      <c r="V23" s="9" t="str">
        <f t="shared" si="2"/>
        <v/>
      </c>
      <c r="W23" s="10" t="str">
        <f t="shared" si="3"/>
        <v/>
      </c>
      <c r="X23" s="10" t="str">
        <f t="shared" si="4"/>
        <v/>
      </c>
      <c r="Y23" s="11">
        <v>222</v>
      </c>
      <c r="Z23" s="64">
        <v>128.26</v>
      </c>
      <c r="AA23" s="65" t="s">
        <v>147</v>
      </c>
      <c r="AB23" s="20" t="s">
        <v>148</v>
      </c>
      <c r="AC23" s="66">
        <v>2.5050780959857768E-2</v>
      </c>
      <c r="AF23" s="57"/>
      <c r="AH23" s="67"/>
      <c r="AK23" s="18">
        <f t="shared" si="14"/>
        <v>1.9710000000000002E-2</v>
      </c>
      <c r="AL23">
        <v>1.9710000000000001</v>
      </c>
      <c r="AN23" s="20" t="s">
        <v>126</v>
      </c>
      <c r="AO23" s="32" t="s">
        <v>206</v>
      </c>
      <c r="AP23" s="20" t="s">
        <v>190</v>
      </c>
      <c r="AQ23" s="4" t="s">
        <v>190</v>
      </c>
      <c r="AR23" s="20" t="s">
        <v>190</v>
      </c>
      <c r="AS23" s="20" t="s">
        <v>141</v>
      </c>
      <c r="AU23" s="56" t="str">
        <f t="shared" si="7"/>
        <v>Decanes</v>
      </c>
      <c r="AV23" s="56" t="str">
        <f t="shared" si="7"/>
        <v>C10</v>
      </c>
      <c r="AZ23" s="57"/>
      <c r="BE23" s="18">
        <f t="shared" si="8"/>
        <v>0</v>
      </c>
      <c r="BL23" s="58" t="s">
        <v>207</v>
      </c>
      <c r="BM23" t="s">
        <v>208</v>
      </c>
      <c r="BN23">
        <v>98.186000000000007</v>
      </c>
      <c r="BO23">
        <v>770</v>
      </c>
      <c r="BP23">
        <v>213.8</v>
      </c>
      <c r="BQ23" s="59">
        <f t="shared" ca="1" si="5"/>
        <v>0</v>
      </c>
      <c r="BR23" s="59">
        <f t="shared" ca="1" si="6"/>
        <v>0</v>
      </c>
      <c r="BS23" s="59">
        <f t="shared" si="9"/>
        <v>0</v>
      </c>
      <c r="BT23" s="60">
        <f t="shared" si="10"/>
        <v>0.77</v>
      </c>
      <c r="BU23" s="60">
        <f t="shared" si="11"/>
        <v>11.4055511086057</v>
      </c>
      <c r="BZ23" s="61" t="str">
        <f t="shared" si="12"/>
        <v>Decanes</v>
      </c>
      <c r="CA23" s="60" t="str">
        <f t="shared" si="13"/>
        <v>C10</v>
      </c>
    </row>
    <row r="24" spans="1:79" ht="15.75" x14ac:dyDescent="0.25">
      <c r="A24" s="76" t="s">
        <v>209</v>
      </c>
      <c r="B24" s="90" t="s">
        <v>210</v>
      </c>
      <c r="C24" s="67"/>
      <c r="F24" s="110" t="s">
        <v>211</v>
      </c>
      <c r="G24" s="80" t="s">
        <v>212</v>
      </c>
      <c r="H24" s="111">
        <f>IFERROR(SUM(T$7:T$12)/SUM(T$6:T$12),"")</f>
        <v>0.31811566893196447</v>
      </c>
      <c r="I24" s="104"/>
      <c r="J24" s="112"/>
      <c r="M24" s="19">
        <v>3515</v>
      </c>
      <c r="N24" s="19">
        <v>3215</v>
      </c>
      <c r="O24" s="99">
        <f t="shared" si="15"/>
        <v>3365</v>
      </c>
      <c r="P24" s="19">
        <v>1.8037767958267708E-5</v>
      </c>
      <c r="R24" s="7" t="s">
        <v>213</v>
      </c>
      <c r="S24" s="8" t="s">
        <v>214</v>
      </c>
      <c r="T24" s="9">
        <f t="shared" si="0"/>
        <v>9.1985707093099923E-3</v>
      </c>
      <c r="U24" s="9" t="str">
        <f t="shared" si="1"/>
        <v/>
      </c>
      <c r="V24" s="9" t="str">
        <f t="shared" si="2"/>
        <v/>
      </c>
      <c r="W24" s="10" t="str">
        <f t="shared" si="3"/>
        <v/>
      </c>
      <c r="X24" s="10" t="str">
        <f t="shared" si="4"/>
        <v/>
      </c>
      <c r="Y24" s="11">
        <v>237</v>
      </c>
      <c r="Z24" s="64">
        <v>142.286</v>
      </c>
      <c r="AA24" s="65" t="s">
        <v>159</v>
      </c>
      <c r="AB24" s="20" t="s">
        <v>160</v>
      </c>
      <c r="AC24" s="66">
        <v>2.0520584671944977E-2</v>
      </c>
      <c r="AF24" s="57"/>
      <c r="AH24" s="67"/>
      <c r="AK24" s="18">
        <f t="shared" si="14"/>
        <v>1.5069999999999998E-2</v>
      </c>
      <c r="AL24">
        <v>1.5069999999999999</v>
      </c>
      <c r="AN24" s="20" t="s">
        <v>126</v>
      </c>
      <c r="AO24" s="32" t="s">
        <v>215</v>
      </c>
      <c r="AP24" s="20" t="s">
        <v>197</v>
      </c>
      <c r="AQ24" s="4" t="s">
        <v>197</v>
      </c>
      <c r="AR24" s="20" t="s">
        <v>197</v>
      </c>
      <c r="AS24" s="20" t="s">
        <v>141</v>
      </c>
      <c r="AU24" s="56" t="str">
        <f t="shared" si="7"/>
        <v>Undecanes</v>
      </c>
      <c r="AV24" s="56" t="str">
        <f t="shared" si="7"/>
        <v>C11</v>
      </c>
      <c r="AZ24" s="57"/>
      <c r="BE24" s="18">
        <f t="shared" si="8"/>
        <v>0</v>
      </c>
      <c r="BL24" s="58" t="s">
        <v>216</v>
      </c>
      <c r="BM24" t="s">
        <v>217</v>
      </c>
      <c r="BN24">
        <v>92.14</v>
      </c>
      <c r="BO24">
        <v>867</v>
      </c>
      <c r="BP24">
        <v>231.1</v>
      </c>
      <c r="BQ24" s="59">
        <f t="shared" ca="1" si="5"/>
        <v>0</v>
      </c>
      <c r="BR24" s="59">
        <f t="shared" ca="1" si="6"/>
        <v>0</v>
      </c>
      <c r="BS24" s="59">
        <f t="shared" si="9"/>
        <v>0</v>
      </c>
      <c r="BT24" s="60">
        <f t="shared" si="10"/>
        <v>0.86699999999999999</v>
      </c>
      <c r="BU24" s="60">
        <f t="shared" si="11"/>
        <v>10.217575376517029</v>
      </c>
      <c r="BZ24" s="61" t="str">
        <f t="shared" si="12"/>
        <v>Undecanes</v>
      </c>
      <c r="CA24" s="60" t="str">
        <f t="shared" si="13"/>
        <v>C11</v>
      </c>
    </row>
    <row r="25" spans="1:79" ht="15.75" x14ac:dyDescent="0.25">
      <c r="A25" s="76" t="s">
        <v>218</v>
      </c>
      <c r="B25" s="113" t="s">
        <v>219</v>
      </c>
      <c r="C25" s="67"/>
      <c r="F25" s="110" t="s">
        <v>220</v>
      </c>
      <c r="G25" s="80" t="s">
        <v>221</v>
      </c>
      <c r="H25" s="111" t="str">
        <f>IF(B25="Dew Point",      IF( MAX(C149:C189)&lt;&gt;"",   MAX(C149:C189),   ""),                          "")</f>
        <v/>
      </c>
      <c r="M25" s="19"/>
      <c r="N25" s="19"/>
      <c r="O25" s="99" t="str">
        <f t="shared" si="15"/>
        <v/>
      </c>
      <c r="P25" s="19"/>
      <c r="R25" s="7" t="s">
        <v>222</v>
      </c>
      <c r="S25" s="8" t="s">
        <v>223</v>
      </c>
      <c r="T25" s="9">
        <f t="shared" si="0"/>
        <v>8.7584223554033579E-3</v>
      </c>
      <c r="U25" s="9" t="str">
        <f t="shared" si="1"/>
        <v/>
      </c>
      <c r="V25" s="9" t="str">
        <f t="shared" si="2"/>
        <v/>
      </c>
      <c r="W25" s="10" t="str">
        <f t="shared" si="3"/>
        <v/>
      </c>
      <c r="X25" s="10" t="str">
        <f t="shared" si="4"/>
        <v/>
      </c>
      <c r="Y25" s="11">
        <v>251</v>
      </c>
      <c r="Z25" s="64">
        <v>147</v>
      </c>
      <c r="AA25" s="65" t="s">
        <v>166</v>
      </c>
      <c r="AB25" s="20" t="s">
        <v>167</v>
      </c>
      <c r="AC25" s="66">
        <v>1.8113684599625611E-2</v>
      </c>
      <c r="AF25" s="57"/>
      <c r="AH25" s="67"/>
      <c r="AK25" s="18">
        <f t="shared" si="14"/>
        <v>1.2500000000000001E-2</v>
      </c>
      <c r="AL25">
        <v>1.25</v>
      </c>
      <c r="AN25" s="20" t="s">
        <v>126</v>
      </c>
      <c r="AO25" s="32" t="s">
        <v>224</v>
      </c>
      <c r="AP25" s="20" t="s">
        <v>205</v>
      </c>
      <c r="AQ25" s="4" t="s">
        <v>205</v>
      </c>
      <c r="AR25" s="20" t="s">
        <v>205</v>
      </c>
      <c r="AS25" s="20" t="s">
        <v>141</v>
      </c>
      <c r="AU25" s="56" t="str">
        <f t="shared" si="7"/>
        <v>Dodecanes</v>
      </c>
      <c r="AV25" s="56" t="str">
        <f t="shared" si="7"/>
        <v>C12</v>
      </c>
      <c r="BE25" s="18">
        <f t="shared" si="8"/>
        <v>0</v>
      </c>
      <c r="BL25" s="58" t="s">
        <v>225</v>
      </c>
      <c r="BM25" t="s">
        <v>141</v>
      </c>
      <c r="BQ25" s="59">
        <f t="shared" ca="1" si="5"/>
        <v>0</v>
      </c>
      <c r="BR25" s="59">
        <f t="shared" ca="1" si="6"/>
        <v>0</v>
      </c>
      <c r="BS25" s="59">
        <f t="shared" si="9"/>
        <v>0</v>
      </c>
      <c r="BT25" s="60" t="str">
        <f t="shared" si="10"/>
        <v/>
      </c>
      <c r="BU25" s="60" t="str">
        <f t="shared" si="11"/>
        <v/>
      </c>
      <c r="BZ25" s="61" t="str">
        <f t="shared" si="12"/>
        <v>Dodecanes</v>
      </c>
      <c r="CA25" s="60" t="str">
        <f t="shared" si="13"/>
        <v>C12</v>
      </c>
    </row>
    <row r="26" spans="1:79" ht="15.75" x14ac:dyDescent="0.25">
      <c r="A26" s="76" t="s">
        <v>226</v>
      </c>
      <c r="B26" s="113"/>
      <c r="C26" s="67"/>
      <c r="F26" s="114" t="s">
        <v>228</v>
      </c>
      <c r="G26" s="80" t="s">
        <v>229</v>
      </c>
      <c r="H26" s="111" t="str">
        <f>IF(B26="Dew Point",      IF( MAX(C107:C142)&lt;&gt;"",   MAX(C107:C142),   ""),                          "")</f>
        <v/>
      </c>
      <c r="M26" s="19"/>
      <c r="N26" s="19"/>
      <c r="O26" s="99" t="str">
        <f t="shared" si="15"/>
        <v/>
      </c>
      <c r="P26" s="19"/>
      <c r="R26" s="7" t="s">
        <v>230</v>
      </c>
      <c r="S26" s="8" t="s">
        <v>231</v>
      </c>
      <c r="T26" s="9">
        <f t="shared" si="0"/>
        <v>8.067542205646254E-3</v>
      </c>
      <c r="U26" s="9" t="str">
        <f t="shared" si="1"/>
        <v/>
      </c>
      <c r="V26" s="9" t="str">
        <f t="shared" si="2"/>
        <v/>
      </c>
      <c r="W26" s="10" t="str">
        <f t="shared" si="3"/>
        <v/>
      </c>
      <c r="X26" s="10" t="str">
        <f t="shared" si="4"/>
        <v/>
      </c>
      <c r="Y26" s="11">
        <v>263</v>
      </c>
      <c r="Z26" s="64">
        <v>161</v>
      </c>
      <c r="AA26" s="65" t="s">
        <v>173</v>
      </c>
      <c r="AB26" s="20" t="s">
        <v>174</v>
      </c>
      <c r="AC26" s="66">
        <v>1.602069830794613E-2</v>
      </c>
      <c r="AH26" s="67"/>
      <c r="AK26" s="18">
        <f t="shared" si="14"/>
        <v>1.018E-2</v>
      </c>
      <c r="AL26">
        <v>1.018</v>
      </c>
      <c r="AN26" s="22" t="s">
        <v>135</v>
      </c>
      <c r="AO26" s="32" t="s">
        <v>232</v>
      </c>
      <c r="AP26" s="22" t="s">
        <v>214</v>
      </c>
      <c r="AQ26" s="4" t="s">
        <v>214</v>
      </c>
      <c r="AR26" s="22" t="s">
        <v>214</v>
      </c>
      <c r="AS26" s="20" t="s">
        <v>148</v>
      </c>
      <c r="AU26" s="56" t="str">
        <f t="shared" si="7"/>
        <v>Tridecanes</v>
      </c>
      <c r="AV26" s="56" t="str">
        <f t="shared" si="7"/>
        <v>C13</v>
      </c>
      <c r="AZ26" s="57"/>
      <c r="BE26" s="18">
        <f t="shared" si="8"/>
        <v>0</v>
      </c>
      <c r="BL26" s="58" t="s">
        <v>233</v>
      </c>
      <c r="BM26" t="s">
        <v>234</v>
      </c>
      <c r="BN26">
        <v>106.2</v>
      </c>
      <c r="BO26">
        <v>866</v>
      </c>
      <c r="BP26">
        <v>276.8</v>
      </c>
      <c r="BQ26" s="59">
        <f t="shared" ca="1" si="5"/>
        <v>0</v>
      </c>
      <c r="BR26" s="59">
        <f t="shared" ca="1" si="6"/>
        <v>0</v>
      </c>
      <c r="BS26" s="59">
        <f t="shared" si="9"/>
        <v>0</v>
      </c>
      <c r="BT26" s="60">
        <f t="shared" si="10"/>
        <v>0.86599999999999999</v>
      </c>
      <c r="BU26" s="60">
        <f t="shared" si="11"/>
        <v>10.450401228500866</v>
      </c>
      <c r="BZ26" s="61" t="str">
        <f t="shared" si="12"/>
        <v>Tridecanes</v>
      </c>
      <c r="CA26" s="60" t="str">
        <f t="shared" si="13"/>
        <v>C13</v>
      </c>
    </row>
    <row r="27" spans="1:79" ht="15.75" x14ac:dyDescent="0.25">
      <c r="A27" s="76" t="s">
        <v>235</v>
      </c>
      <c r="B27" s="113"/>
      <c r="C27" s="67"/>
      <c r="G27" s="80" t="s">
        <v>236</v>
      </c>
      <c r="H27" s="115"/>
      <c r="I27" s="116"/>
      <c r="M27" s="19"/>
      <c r="N27" s="19"/>
      <c r="O27" s="99" t="str">
        <f t="shared" si="15"/>
        <v/>
      </c>
      <c r="P27" s="19"/>
      <c r="R27" s="7" t="s">
        <v>237</v>
      </c>
      <c r="S27" s="8" t="s">
        <v>238</v>
      </c>
      <c r="T27" s="9">
        <f t="shared" si="0"/>
        <v>6.8502829446832622E-3</v>
      </c>
      <c r="U27" s="9" t="str">
        <f t="shared" si="1"/>
        <v/>
      </c>
      <c r="V27" s="9" t="str">
        <f t="shared" si="2"/>
        <v/>
      </c>
      <c r="W27" s="10" t="str">
        <f t="shared" si="3"/>
        <v/>
      </c>
      <c r="X27" s="10" t="str">
        <f t="shared" si="4"/>
        <v/>
      </c>
      <c r="Y27" s="11">
        <v>275</v>
      </c>
      <c r="Z27" s="64">
        <v>175</v>
      </c>
      <c r="AA27" s="65" t="s">
        <v>182</v>
      </c>
      <c r="AB27" s="20" t="s">
        <v>183</v>
      </c>
      <c r="AC27" s="66">
        <v>1.6199389092752703E-2</v>
      </c>
      <c r="AF27" s="57"/>
      <c r="AH27" s="67"/>
      <c r="AK27" s="18">
        <f t="shared" si="14"/>
        <v>9.7999999999999997E-3</v>
      </c>
      <c r="AL27">
        <v>0.98</v>
      </c>
      <c r="AN27" s="22" t="s">
        <v>135</v>
      </c>
      <c r="AO27" s="32" t="s">
        <v>239</v>
      </c>
      <c r="AP27" s="22" t="s">
        <v>223</v>
      </c>
      <c r="AQ27" s="4" t="s">
        <v>223</v>
      </c>
      <c r="AR27" s="22" t="s">
        <v>223</v>
      </c>
      <c r="AS27" s="20" t="s">
        <v>160</v>
      </c>
      <c r="AU27" s="56" t="str">
        <f t="shared" si="7"/>
        <v>Tetradecanes</v>
      </c>
      <c r="AV27" s="56" t="str">
        <f t="shared" si="7"/>
        <v>C14</v>
      </c>
      <c r="BE27" s="18">
        <f t="shared" si="8"/>
        <v>0</v>
      </c>
      <c r="BL27" s="58" t="s">
        <v>240</v>
      </c>
      <c r="BM27" t="s">
        <v>234</v>
      </c>
      <c r="BN27">
        <v>106.16</v>
      </c>
      <c r="BO27">
        <v>861</v>
      </c>
      <c r="BP27">
        <v>281</v>
      </c>
      <c r="BQ27" s="59">
        <f t="shared" ca="1" si="5"/>
        <v>0</v>
      </c>
      <c r="BR27" s="59">
        <f t="shared" ca="1" si="6"/>
        <v>0</v>
      </c>
      <c r="BS27" s="59">
        <f t="shared" si="9"/>
        <v>0</v>
      </c>
      <c r="BT27" s="60">
        <f t="shared" si="10"/>
        <v>0.86099999999999999</v>
      </c>
      <c r="BU27" s="60">
        <f t="shared" si="11"/>
        <v>10.501103142731166</v>
      </c>
      <c r="BZ27" s="61" t="str">
        <f t="shared" si="12"/>
        <v>Tetradecanes</v>
      </c>
      <c r="CA27" s="60" t="str">
        <f t="shared" si="13"/>
        <v>C14</v>
      </c>
    </row>
    <row r="28" spans="1:79" ht="15.75" x14ac:dyDescent="0.25">
      <c r="A28" s="76" t="s">
        <v>241</v>
      </c>
      <c r="B28" s="117" t="str">
        <f>IF(SUM(H14:H19)&lt;&gt;0,  "Yes",  "No")</f>
        <v>No</v>
      </c>
      <c r="C28" s="67"/>
      <c r="G28" s="80" t="s">
        <v>242</v>
      </c>
      <c r="H28" s="115"/>
      <c r="I28" s="116"/>
      <c r="M28" s="19"/>
      <c r="N28" s="19"/>
      <c r="O28" s="99" t="str">
        <f t="shared" si="15"/>
        <v/>
      </c>
      <c r="P28" s="19"/>
      <c r="R28" s="7" t="s">
        <v>243</v>
      </c>
      <c r="S28" s="8" t="s">
        <v>244</v>
      </c>
      <c r="T28" s="9">
        <f t="shared" si="0"/>
        <v>6.1731316933183542E-3</v>
      </c>
      <c r="U28" s="9" t="str">
        <f t="shared" si="1"/>
        <v/>
      </c>
      <c r="V28" s="9" t="str">
        <f t="shared" si="2"/>
        <v/>
      </c>
      <c r="W28" s="10" t="str">
        <f t="shared" si="3"/>
        <v/>
      </c>
      <c r="X28" s="10" t="str">
        <f t="shared" si="4"/>
        <v/>
      </c>
      <c r="Y28" s="11">
        <v>291</v>
      </c>
      <c r="Z28" s="64">
        <v>190</v>
      </c>
      <c r="AA28" s="65" t="s">
        <v>189</v>
      </c>
      <c r="AB28" s="20" t="s">
        <v>190</v>
      </c>
      <c r="AC28" s="66">
        <v>1.3614679498779595E-2</v>
      </c>
      <c r="AH28" s="67"/>
      <c r="AK28" s="18">
        <f t="shared" si="14"/>
        <v>8.0800000000000004E-3</v>
      </c>
      <c r="AL28">
        <v>0.80800000000000005</v>
      </c>
      <c r="AN28" s="22" t="s">
        <v>135</v>
      </c>
      <c r="AO28" s="32" t="s">
        <v>245</v>
      </c>
      <c r="AP28" s="22" t="s">
        <v>231</v>
      </c>
      <c r="AQ28" s="4" t="s">
        <v>231</v>
      </c>
      <c r="AR28" s="22" t="s">
        <v>231</v>
      </c>
      <c r="AS28" s="20" t="s">
        <v>167</v>
      </c>
      <c r="AU28" s="56" t="str">
        <f t="shared" si="7"/>
        <v>Pentadecanes</v>
      </c>
      <c r="AV28" s="56" t="str">
        <f t="shared" si="7"/>
        <v>C15</v>
      </c>
      <c r="AZ28" s="57"/>
      <c r="BE28" s="18">
        <f t="shared" si="8"/>
        <v>0</v>
      </c>
      <c r="BL28" s="58" t="s">
        <v>246</v>
      </c>
      <c r="BM28" t="s">
        <v>234</v>
      </c>
      <c r="BN28">
        <v>106.16</v>
      </c>
      <c r="BO28">
        <v>880</v>
      </c>
      <c r="BP28">
        <v>291.2</v>
      </c>
      <c r="BQ28" s="59">
        <f t="shared" ca="1" si="5"/>
        <v>0</v>
      </c>
      <c r="BR28" s="59">
        <f t="shared" ca="1" si="6"/>
        <v>0</v>
      </c>
      <c r="BS28" s="59">
        <f t="shared" si="9"/>
        <v>0</v>
      </c>
      <c r="BT28" s="60">
        <f t="shared" si="10"/>
        <v>0.88</v>
      </c>
      <c r="BU28" s="60">
        <f t="shared" si="11"/>
        <v>10.309030134965806</v>
      </c>
      <c r="BZ28" s="61" t="str">
        <f t="shared" si="12"/>
        <v>Pentadecanes</v>
      </c>
      <c r="CA28" s="60" t="str">
        <f t="shared" si="13"/>
        <v>C15</v>
      </c>
    </row>
    <row r="29" spans="1:79" ht="15.75" x14ac:dyDescent="0.25">
      <c r="A29" s="76" t="s">
        <v>247</v>
      </c>
      <c r="B29" s="117" t="str">
        <f>IF(A149&lt;&gt;"",  "Yes",  "No")</f>
        <v>Yes</v>
      </c>
      <c r="C29" s="67"/>
      <c r="G29" s="118" t="s">
        <v>248</v>
      </c>
      <c r="H29" s="119"/>
      <c r="I29" s="120"/>
      <c r="M29" s="19"/>
      <c r="N29" s="19"/>
      <c r="O29" s="99" t="str">
        <f t="shared" si="15"/>
        <v/>
      </c>
      <c r="P29" s="19"/>
      <c r="R29" s="7" t="s">
        <v>249</v>
      </c>
      <c r="S29" s="8" t="s">
        <v>250</v>
      </c>
      <c r="T29" s="9">
        <f t="shared" si="0"/>
        <v>5.4986048778193092E-3</v>
      </c>
      <c r="U29" s="9" t="str">
        <f t="shared" si="1"/>
        <v/>
      </c>
      <c r="V29" s="9" t="str">
        <f t="shared" si="2"/>
        <v/>
      </c>
      <c r="W29" s="10" t="str">
        <f t="shared" si="3"/>
        <v/>
      </c>
      <c r="X29" s="10" t="str">
        <f t="shared" si="4"/>
        <v/>
      </c>
      <c r="Y29" s="11">
        <v>300</v>
      </c>
      <c r="Z29" s="64">
        <v>206</v>
      </c>
      <c r="AA29" s="65" t="s">
        <v>196</v>
      </c>
      <c r="AB29" s="20" t="s">
        <v>197</v>
      </c>
      <c r="AC29" s="66">
        <v>1.2458508312791456E-2</v>
      </c>
      <c r="AF29" s="57"/>
      <c r="AH29" s="67"/>
      <c r="AK29" s="18">
        <f t="shared" si="14"/>
        <v>7.4799999999999997E-3</v>
      </c>
      <c r="AL29">
        <v>0.748</v>
      </c>
      <c r="AN29" s="22" t="s">
        <v>135</v>
      </c>
      <c r="AO29" s="32" t="s">
        <v>251</v>
      </c>
      <c r="AP29" s="22" t="s">
        <v>238</v>
      </c>
      <c r="AQ29" s="4" t="s">
        <v>238</v>
      </c>
      <c r="AR29" s="22" t="s">
        <v>238</v>
      </c>
      <c r="AS29" s="20" t="s">
        <v>174</v>
      </c>
      <c r="AU29" s="56" t="str">
        <f t="shared" si="7"/>
        <v>Hexadecanes</v>
      </c>
      <c r="AV29" s="56" t="str">
        <f t="shared" si="7"/>
        <v>C16</v>
      </c>
      <c r="AZ29" s="57"/>
      <c r="BE29" s="18">
        <f t="shared" si="8"/>
        <v>0</v>
      </c>
      <c r="BL29" s="58" t="s">
        <v>252</v>
      </c>
      <c r="BM29" t="s">
        <v>148</v>
      </c>
      <c r="BQ29" s="59">
        <f t="shared" ca="1" si="5"/>
        <v>0</v>
      </c>
      <c r="BR29" s="59">
        <f t="shared" ca="1" si="6"/>
        <v>0</v>
      </c>
      <c r="BS29" s="59">
        <f t="shared" si="9"/>
        <v>0</v>
      </c>
      <c r="BT29" s="60" t="str">
        <f t="shared" si="10"/>
        <v/>
      </c>
      <c r="BU29" s="60" t="str">
        <f t="shared" si="11"/>
        <v/>
      </c>
      <c r="BZ29" s="61" t="str">
        <f t="shared" si="12"/>
        <v>Hexadecanes</v>
      </c>
      <c r="CA29" s="60" t="str">
        <f t="shared" si="13"/>
        <v>C16</v>
      </c>
    </row>
    <row r="30" spans="1:79" ht="15.75" x14ac:dyDescent="0.25">
      <c r="A30" s="76" t="s">
        <v>253</v>
      </c>
      <c r="B30" s="117" t="str">
        <f>IF(A107&lt;&gt;"",  "Yes",  "No")</f>
        <v>No</v>
      </c>
      <c r="C30" s="67"/>
      <c r="G30" s="19" t="s">
        <v>254</v>
      </c>
      <c r="H30" s="115"/>
      <c r="M30" s="19"/>
      <c r="N30" s="19"/>
      <c r="O30" s="99" t="str">
        <f t="shared" si="15"/>
        <v/>
      </c>
      <c r="P30" s="19"/>
      <c r="R30" s="7" t="s">
        <v>255</v>
      </c>
      <c r="S30" s="8" t="s">
        <v>256</v>
      </c>
      <c r="T30" s="9">
        <f t="shared" si="0"/>
        <v>4.8943770227209598E-3</v>
      </c>
      <c r="U30" s="9" t="str">
        <f t="shared" si="1"/>
        <v/>
      </c>
      <c r="V30" s="9" t="str">
        <f t="shared" si="2"/>
        <v/>
      </c>
      <c r="W30" s="10" t="str">
        <f t="shared" si="3"/>
        <v/>
      </c>
      <c r="X30" s="10" t="str">
        <f t="shared" si="4"/>
        <v/>
      </c>
      <c r="Y30" s="11">
        <v>312</v>
      </c>
      <c r="Z30" s="64">
        <v>222</v>
      </c>
      <c r="AA30" s="65" t="s">
        <v>204</v>
      </c>
      <c r="AB30" s="20" t="s">
        <v>205</v>
      </c>
      <c r="AC30" s="66">
        <v>1.0101018894570215E-2</v>
      </c>
      <c r="AF30" s="57"/>
      <c r="AH30" s="67"/>
      <c r="AK30" s="18">
        <f t="shared" si="14"/>
        <v>5.8199999999999997E-3</v>
      </c>
      <c r="AL30">
        <v>0.58199999999999996</v>
      </c>
      <c r="AN30" s="20" t="s">
        <v>135</v>
      </c>
      <c r="AO30" s="32" t="s">
        <v>257</v>
      </c>
      <c r="AP30" s="20" t="s">
        <v>244</v>
      </c>
      <c r="AQ30" s="4" t="s">
        <v>244</v>
      </c>
      <c r="AR30" s="20" t="s">
        <v>244</v>
      </c>
      <c r="AS30" s="20" t="s">
        <v>183</v>
      </c>
      <c r="AU30" s="56" t="str">
        <f t="shared" si="7"/>
        <v>Heptadecanes</v>
      </c>
      <c r="AV30" s="56" t="str">
        <f t="shared" si="7"/>
        <v>C17</v>
      </c>
      <c r="AZ30" s="57"/>
      <c r="BE30" s="18">
        <f t="shared" si="8"/>
        <v>0</v>
      </c>
      <c r="BL30" s="58" t="s">
        <v>258</v>
      </c>
      <c r="BM30" t="s">
        <v>160</v>
      </c>
      <c r="BQ30" s="59">
        <f t="shared" ca="1" si="5"/>
        <v>0</v>
      </c>
      <c r="BR30" s="59">
        <f t="shared" ca="1" si="6"/>
        <v>0</v>
      </c>
      <c r="BS30" s="59">
        <f t="shared" si="9"/>
        <v>0</v>
      </c>
      <c r="BT30" s="60" t="str">
        <f t="shared" si="10"/>
        <v/>
      </c>
      <c r="BU30" s="60" t="str">
        <f t="shared" si="11"/>
        <v/>
      </c>
      <c r="BZ30" s="61" t="str">
        <f t="shared" si="12"/>
        <v>Heptadecanes</v>
      </c>
      <c r="CA30" s="60" t="str">
        <f t="shared" si="13"/>
        <v>C17</v>
      </c>
    </row>
    <row r="31" spans="1:79" ht="15.75" x14ac:dyDescent="0.25">
      <c r="A31" s="76" t="s">
        <v>259</v>
      </c>
      <c r="B31" s="117" t="str">
        <f>IF(A71&lt;&gt;"",  "Yes",  "No")</f>
        <v>Yes</v>
      </c>
      <c r="C31" s="67"/>
      <c r="G31" s="19" t="s">
        <v>260</v>
      </c>
      <c r="H31" s="115"/>
      <c r="M31" s="19"/>
      <c r="N31" s="19"/>
      <c r="O31" s="99" t="str">
        <f t="shared" si="15"/>
        <v/>
      </c>
      <c r="P31" s="19"/>
      <c r="R31" s="7" t="s">
        <v>261</v>
      </c>
      <c r="S31" s="8" t="s">
        <v>262</v>
      </c>
      <c r="T31" s="9">
        <f t="shared" si="0"/>
        <v>4.3294192741326161E-3</v>
      </c>
      <c r="U31" s="9" t="str">
        <f t="shared" si="1"/>
        <v/>
      </c>
      <c r="V31" s="9" t="str">
        <f t="shared" si="2"/>
        <v/>
      </c>
      <c r="W31" s="10" t="str">
        <f t="shared" si="3"/>
        <v/>
      </c>
      <c r="X31" s="10" t="str">
        <f t="shared" si="4"/>
        <v/>
      </c>
      <c r="Y31" s="11">
        <v>324</v>
      </c>
      <c r="Z31" s="64">
        <v>237</v>
      </c>
      <c r="AA31" s="65" t="s">
        <v>213</v>
      </c>
      <c r="AB31" s="22" t="s">
        <v>214</v>
      </c>
      <c r="AC31" s="66">
        <v>9.1985707093099923E-3</v>
      </c>
      <c r="AF31" s="57"/>
      <c r="AH31" s="67"/>
      <c r="AK31" s="18">
        <f t="shared" si="14"/>
        <v>5.3E-3</v>
      </c>
      <c r="AL31">
        <v>0.53</v>
      </c>
      <c r="AN31" s="22" t="s">
        <v>135</v>
      </c>
      <c r="AO31" s="32" t="s">
        <v>263</v>
      </c>
      <c r="AP31" s="22" t="s">
        <v>250</v>
      </c>
      <c r="AQ31" s="4" t="s">
        <v>250</v>
      </c>
      <c r="AR31" s="22" t="s">
        <v>250</v>
      </c>
      <c r="AS31" s="20" t="s">
        <v>190</v>
      </c>
      <c r="AU31" s="56" t="str">
        <f t="shared" si="7"/>
        <v>Octadecanes</v>
      </c>
      <c r="AV31" s="56" t="str">
        <f t="shared" si="7"/>
        <v>C18</v>
      </c>
      <c r="BE31" s="18">
        <f t="shared" si="8"/>
        <v>0</v>
      </c>
      <c r="BL31" s="58" t="s">
        <v>93</v>
      </c>
      <c r="BM31" t="s">
        <v>264</v>
      </c>
      <c r="BN31">
        <v>58.12</v>
      </c>
      <c r="BP31">
        <v>10.94</v>
      </c>
      <c r="BQ31" s="59">
        <f t="shared" ca="1" si="5"/>
        <v>1.0584476057016885E-2</v>
      </c>
      <c r="BR31" s="59">
        <f t="shared" ca="1" si="6"/>
        <v>0</v>
      </c>
      <c r="BS31" s="59">
        <f t="shared" si="9"/>
        <v>0</v>
      </c>
      <c r="BT31" s="60" t="str">
        <f t="shared" si="10"/>
        <v/>
      </c>
      <c r="BU31" s="60" t="str">
        <f t="shared" si="11"/>
        <v/>
      </c>
      <c r="BZ31" s="61" t="str">
        <f t="shared" si="12"/>
        <v>Octadecanes</v>
      </c>
      <c r="CA31" s="60" t="str">
        <f t="shared" si="13"/>
        <v>C18</v>
      </c>
    </row>
    <row r="32" spans="1:79" ht="15.75" x14ac:dyDescent="0.25">
      <c r="A32" s="76" t="s">
        <v>265</v>
      </c>
      <c r="B32" s="117" t="str">
        <f>IF(SUM(C57:C60)&lt;&gt;0,  "Yes",  "No")</f>
        <v>Yes</v>
      </c>
      <c r="C32" s="67"/>
      <c r="G32" s="19" t="s">
        <v>266</v>
      </c>
      <c r="H32" s="115"/>
      <c r="K32" s="121"/>
      <c r="M32" s="19"/>
      <c r="N32" s="19"/>
      <c r="O32" s="99" t="str">
        <f t="shared" si="15"/>
        <v/>
      </c>
      <c r="P32" s="19"/>
      <c r="R32" s="7" t="s">
        <v>267</v>
      </c>
      <c r="S32" s="8" t="s">
        <v>268</v>
      </c>
      <c r="T32" s="9">
        <f t="shared" si="0"/>
        <v>3.914018698309255E-3</v>
      </c>
      <c r="U32" s="9" t="str">
        <f t="shared" si="1"/>
        <v/>
      </c>
      <c r="V32" s="9" t="str">
        <f t="shared" si="2"/>
        <v/>
      </c>
      <c r="W32" s="10" t="str">
        <f t="shared" si="3"/>
        <v/>
      </c>
      <c r="X32" s="10" t="str">
        <f t="shared" si="4"/>
        <v/>
      </c>
      <c r="Y32" s="11">
        <v>337</v>
      </c>
      <c r="Z32" s="64">
        <v>251</v>
      </c>
      <c r="AA32" s="65" t="s">
        <v>222</v>
      </c>
      <c r="AB32" s="22" t="s">
        <v>223</v>
      </c>
      <c r="AC32" s="66">
        <v>8.7584223554033579E-3</v>
      </c>
      <c r="AH32" s="67"/>
      <c r="AK32" s="18">
        <f t="shared" si="14"/>
        <v>4.9899999999999996E-3</v>
      </c>
      <c r="AL32">
        <v>0.499</v>
      </c>
      <c r="AN32" s="22" t="s">
        <v>135</v>
      </c>
      <c r="AO32" s="32" t="s">
        <v>269</v>
      </c>
      <c r="AP32" s="22" t="s">
        <v>256</v>
      </c>
      <c r="AQ32" s="4" t="s">
        <v>256</v>
      </c>
      <c r="AR32" s="22" t="s">
        <v>256</v>
      </c>
      <c r="AS32" s="20" t="s">
        <v>197</v>
      </c>
      <c r="AU32" s="56" t="str">
        <f t="shared" si="7"/>
        <v>Nonadecanes</v>
      </c>
      <c r="AV32" s="56" t="str">
        <f t="shared" si="7"/>
        <v>C19</v>
      </c>
      <c r="AZ32" s="57"/>
      <c r="BE32" s="18">
        <f t="shared" si="8"/>
        <v>0</v>
      </c>
      <c r="BL32" s="58" t="s">
        <v>101</v>
      </c>
      <c r="BM32" t="s">
        <v>264</v>
      </c>
      <c r="BN32">
        <v>58.12</v>
      </c>
      <c r="BP32">
        <v>30.2</v>
      </c>
      <c r="BQ32" s="59">
        <f t="shared" ca="1" si="5"/>
        <v>3.2248769759207735E-2</v>
      </c>
      <c r="BR32" s="59">
        <f t="shared" ca="1" si="6"/>
        <v>0</v>
      </c>
      <c r="BS32" s="59">
        <f t="shared" si="9"/>
        <v>0</v>
      </c>
      <c r="BT32" s="60" t="str">
        <f t="shared" si="10"/>
        <v/>
      </c>
      <c r="BU32" s="60" t="str">
        <f t="shared" si="11"/>
        <v/>
      </c>
      <c r="BZ32" s="61" t="str">
        <f t="shared" si="12"/>
        <v>Nonadecanes</v>
      </c>
      <c r="CA32" s="60" t="str">
        <f t="shared" si="13"/>
        <v>C19</v>
      </c>
    </row>
    <row r="33" spans="1:79" ht="16.5" thickBot="1" x14ac:dyDescent="0.3">
      <c r="A33" s="122" t="s">
        <v>270</v>
      </c>
      <c r="B33" s="123"/>
      <c r="C33" s="124"/>
      <c r="G33" s="125" t="s">
        <v>271</v>
      </c>
      <c r="H33" s="126"/>
      <c r="M33" s="19"/>
      <c r="N33" s="19"/>
      <c r="O33" s="99" t="str">
        <f t="shared" si="15"/>
        <v/>
      </c>
      <c r="P33" s="19"/>
      <c r="R33" s="7" t="s">
        <v>272</v>
      </c>
      <c r="S33" s="8" t="s">
        <v>273</v>
      </c>
      <c r="T33" s="9">
        <f t="shared" si="0"/>
        <v>3.6103233185565626E-3</v>
      </c>
      <c r="U33" s="9" t="str">
        <f t="shared" si="1"/>
        <v/>
      </c>
      <c r="V33" s="9" t="str">
        <f t="shared" si="2"/>
        <v/>
      </c>
      <c r="W33" s="10" t="str">
        <f t="shared" si="3"/>
        <v/>
      </c>
      <c r="X33" s="10" t="str">
        <f t="shared" si="4"/>
        <v/>
      </c>
      <c r="Y33" s="11">
        <v>349</v>
      </c>
      <c r="Z33" s="64">
        <v>263</v>
      </c>
      <c r="AA33" s="65" t="s">
        <v>230</v>
      </c>
      <c r="AB33" s="22" t="s">
        <v>231</v>
      </c>
      <c r="AC33" s="66">
        <v>8.067542205646254E-3</v>
      </c>
      <c r="AF33" s="57"/>
      <c r="AH33" s="67"/>
      <c r="AK33" s="18">
        <f t="shared" si="14"/>
        <v>4.4299999999999999E-3</v>
      </c>
      <c r="AL33">
        <v>0.443</v>
      </c>
      <c r="AN33" s="20" t="s">
        <v>141</v>
      </c>
      <c r="AO33" s="32" t="s">
        <v>274</v>
      </c>
      <c r="AP33" s="20" t="s">
        <v>262</v>
      </c>
      <c r="AQ33" s="4" t="s">
        <v>262</v>
      </c>
      <c r="AR33" s="20" t="s">
        <v>262</v>
      </c>
      <c r="AS33" s="20" t="s">
        <v>205</v>
      </c>
      <c r="AU33" s="56" t="str">
        <f t="shared" si="7"/>
        <v>Eicosanes</v>
      </c>
      <c r="AV33" s="56" t="str">
        <f t="shared" si="7"/>
        <v>C20</v>
      </c>
      <c r="BE33" s="18">
        <f t="shared" si="8"/>
        <v>0</v>
      </c>
      <c r="BL33" s="58" t="s">
        <v>109</v>
      </c>
      <c r="BM33" t="s">
        <v>275</v>
      </c>
      <c r="BN33">
        <v>72.150000000000006</v>
      </c>
      <c r="BO33">
        <v>616</v>
      </c>
      <c r="BP33">
        <v>82.04</v>
      </c>
      <c r="BQ33" s="59">
        <f t="shared" ca="1" si="5"/>
        <v>1.1767411769561847E-2</v>
      </c>
      <c r="BR33" s="59">
        <f t="shared" ca="1" si="6"/>
        <v>0</v>
      </c>
      <c r="BS33" s="59">
        <f t="shared" si="9"/>
        <v>0</v>
      </c>
      <c r="BT33" s="60">
        <f t="shared" si="10"/>
        <v>0.61599999999999999</v>
      </c>
      <c r="BU33" s="60">
        <f t="shared" si="11"/>
        <v>13.145157918785724</v>
      </c>
      <c r="BZ33" s="61" t="str">
        <f t="shared" si="12"/>
        <v>Eicosanes</v>
      </c>
      <c r="CA33" s="60" t="str">
        <f t="shared" si="13"/>
        <v>C20</v>
      </c>
    </row>
    <row r="34" spans="1:79" ht="16.5" thickTop="1" x14ac:dyDescent="0.25">
      <c r="A34" s="127" t="s">
        <v>276</v>
      </c>
      <c r="B34" s="128">
        <v>41912</v>
      </c>
      <c r="C34" s="129"/>
      <c r="E34" s="130"/>
      <c r="F34" s="110" t="s">
        <v>278</v>
      </c>
      <c r="G34" s="19" t="s">
        <v>278</v>
      </c>
      <c r="H34" s="111">
        <f>IFERROR(SUM(T$9:T$12)/SUM(T$8),"")</f>
        <v>1.1104895256495033</v>
      </c>
      <c r="M34" s="19"/>
      <c r="N34" s="19"/>
      <c r="O34" s="99" t="str">
        <f t="shared" si="15"/>
        <v/>
      </c>
      <c r="P34" s="19"/>
      <c r="R34" s="7" t="s">
        <v>279</v>
      </c>
      <c r="S34" s="8" t="s">
        <v>280</v>
      </c>
      <c r="T34" s="9">
        <f t="shared" si="0"/>
        <v>3.3150857020684773E-3</v>
      </c>
      <c r="U34" s="9" t="str">
        <f t="shared" si="1"/>
        <v/>
      </c>
      <c r="V34" s="9" t="str">
        <f t="shared" si="2"/>
        <v/>
      </c>
      <c r="W34" s="10" t="str">
        <f t="shared" si="3"/>
        <v/>
      </c>
      <c r="X34" s="10" t="str">
        <f t="shared" si="4"/>
        <v/>
      </c>
      <c r="Y34" s="11">
        <v>360</v>
      </c>
      <c r="Z34" s="64">
        <v>275</v>
      </c>
      <c r="AA34" s="65" t="s">
        <v>237</v>
      </c>
      <c r="AB34" s="22" t="s">
        <v>238</v>
      </c>
      <c r="AC34" s="66">
        <v>6.8502829446832622E-3</v>
      </c>
      <c r="AH34" s="67"/>
      <c r="AK34" s="18">
        <f t="shared" si="14"/>
        <v>3.7000000000000002E-3</v>
      </c>
      <c r="AL34">
        <v>0.37</v>
      </c>
      <c r="AN34" s="20" t="s">
        <v>141</v>
      </c>
      <c r="AO34" s="32" t="s">
        <v>281</v>
      </c>
      <c r="AP34" s="20" t="s">
        <v>268</v>
      </c>
      <c r="AQ34" s="4" t="s">
        <v>268</v>
      </c>
      <c r="AR34" s="20" t="s">
        <v>268</v>
      </c>
      <c r="AS34" s="22" t="s">
        <v>214</v>
      </c>
      <c r="AU34" s="56" t="str">
        <f t="shared" si="7"/>
        <v>Heneicosanes</v>
      </c>
      <c r="AV34" s="56" t="str">
        <f t="shared" si="7"/>
        <v>C21</v>
      </c>
      <c r="AZ34" s="57"/>
      <c r="BE34" s="18">
        <f t="shared" si="8"/>
        <v>0</v>
      </c>
      <c r="BL34" s="58" t="s">
        <v>117</v>
      </c>
      <c r="BM34" t="s">
        <v>275</v>
      </c>
      <c r="BN34">
        <v>72.150000000000006</v>
      </c>
      <c r="BO34">
        <v>626</v>
      </c>
      <c r="BP34">
        <v>96.98</v>
      </c>
      <c r="BQ34" s="59">
        <f t="shared" ca="1" si="5"/>
        <v>1.7518305100851936E-2</v>
      </c>
      <c r="BR34" s="59">
        <f t="shared" ca="1" si="6"/>
        <v>0</v>
      </c>
      <c r="BS34" s="59">
        <f t="shared" si="9"/>
        <v>0</v>
      </c>
      <c r="BT34" s="60">
        <f t="shared" si="10"/>
        <v>0.626</v>
      </c>
      <c r="BU34" s="60">
        <f t="shared" si="11"/>
        <v>12.967345811973459</v>
      </c>
      <c r="BZ34" s="61" t="str">
        <f t="shared" si="12"/>
        <v>Heneicosanes</v>
      </c>
      <c r="CA34" s="60" t="str">
        <f t="shared" si="13"/>
        <v>C21</v>
      </c>
    </row>
    <row r="35" spans="1:79" ht="15.75" x14ac:dyDescent="0.25">
      <c r="A35" s="127" t="s">
        <v>282</v>
      </c>
      <c r="B35" s="131"/>
      <c r="C35" s="132"/>
      <c r="H35" s="133" t="s">
        <v>283</v>
      </c>
      <c r="I35" s="134"/>
      <c r="J35" s="134"/>
      <c r="K35" s="134"/>
      <c r="L35" s="135"/>
      <c r="R35" s="7" t="s">
        <v>284</v>
      </c>
      <c r="S35" s="8" t="s">
        <v>285</v>
      </c>
      <c r="T35" s="9">
        <f t="shared" si="0"/>
        <v>3.1028722322641688E-3</v>
      </c>
      <c r="U35" s="9" t="str">
        <f t="shared" si="1"/>
        <v/>
      </c>
      <c r="V35" s="9" t="str">
        <f t="shared" si="2"/>
        <v/>
      </c>
      <c r="W35" s="10" t="str">
        <f t="shared" si="3"/>
        <v/>
      </c>
      <c r="X35" s="10" t="str">
        <f t="shared" si="4"/>
        <v/>
      </c>
      <c r="Y35" s="11">
        <v>372</v>
      </c>
      <c r="Z35" s="64">
        <v>291</v>
      </c>
      <c r="AA35" s="65" t="s">
        <v>243</v>
      </c>
      <c r="AB35" s="20" t="s">
        <v>244</v>
      </c>
      <c r="AC35" s="66">
        <v>6.1731316933183542E-3</v>
      </c>
      <c r="AF35" s="57"/>
      <c r="AH35" s="67"/>
      <c r="AK35" s="18">
        <f t="shared" si="14"/>
        <v>3.29E-3</v>
      </c>
      <c r="AL35">
        <v>0.32900000000000001</v>
      </c>
      <c r="AN35" s="20" t="s">
        <v>141</v>
      </c>
      <c r="AO35" s="32" t="s">
        <v>286</v>
      </c>
      <c r="AP35" s="20" t="s">
        <v>273</v>
      </c>
      <c r="AQ35" s="4" t="s">
        <v>273</v>
      </c>
      <c r="AR35" s="20" t="s">
        <v>273</v>
      </c>
      <c r="AS35" s="22" t="s">
        <v>223</v>
      </c>
      <c r="AU35" s="56" t="str">
        <f t="shared" si="7"/>
        <v>Docosanes</v>
      </c>
      <c r="AV35" s="56" t="str">
        <f t="shared" si="7"/>
        <v>C22</v>
      </c>
      <c r="AZ35" s="57"/>
      <c r="BE35" s="18">
        <f t="shared" si="8"/>
        <v>0</v>
      </c>
      <c r="BL35" s="58" t="s">
        <v>125</v>
      </c>
      <c r="BM35" t="s">
        <v>126</v>
      </c>
      <c r="BN35">
        <v>86.2</v>
      </c>
      <c r="BO35">
        <v>664</v>
      </c>
      <c r="BQ35" s="59">
        <f t="shared" ca="1" si="5"/>
        <v>2.2044160386858726E-2</v>
      </c>
      <c r="BR35" s="59">
        <f t="shared" ca="1" si="6"/>
        <v>0</v>
      </c>
      <c r="BS35" s="59">
        <f t="shared" si="9"/>
        <v>0</v>
      </c>
      <c r="BT35" s="60">
        <f t="shared" si="10"/>
        <v>0.66400000000000003</v>
      </c>
      <c r="BU35" s="60">
        <f t="shared" si="11"/>
        <v>12.674588716130303</v>
      </c>
      <c r="BZ35" s="61" t="str">
        <f t="shared" si="12"/>
        <v>Docosanes</v>
      </c>
      <c r="CA35" s="60" t="str">
        <f t="shared" si="13"/>
        <v>C22</v>
      </c>
    </row>
    <row r="36" spans="1:79" ht="15.75" x14ac:dyDescent="0.25">
      <c r="A36" s="127" t="s">
        <v>287</v>
      </c>
      <c r="B36" s="131"/>
      <c r="C36" s="136"/>
      <c r="E36" s="137"/>
      <c r="F36" s="137"/>
      <c r="H36" s="138"/>
      <c r="I36" s="139" t="s">
        <v>288</v>
      </c>
      <c r="J36" s="139" t="s">
        <v>289</v>
      </c>
      <c r="K36" s="139" t="s">
        <v>290</v>
      </c>
      <c r="L36" s="139" t="s">
        <v>291</v>
      </c>
      <c r="R36" s="7" t="s">
        <v>292</v>
      </c>
      <c r="S36" s="8" t="s">
        <v>293</v>
      </c>
      <c r="T36" s="9">
        <f t="shared" si="0"/>
        <v>2.8329302752553051E-3</v>
      </c>
      <c r="U36" s="9" t="str">
        <f t="shared" si="1"/>
        <v/>
      </c>
      <c r="V36" s="9" t="str">
        <f t="shared" si="2"/>
        <v/>
      </c>
      <c r="W36" s="10" t="str">
        <f t="shared" si="3"/>
        <v/>
      </c>
      <c r="X36" s="10" t="str">
        <f t="shared" si="4"/>
        <v/>
      </c>
      <c r="Y36" s="11">
        <v>382</v>
      </c>
      <c r="Z36" s="64">
        <v>305</v>
      </c>
      <c r="AA36" s="65" t="s">
        <v>249</v>
      </c>
      <c r="AB36" s="22" t="s">
        <v>250</v>
      </c>
      <c r="AC36" s="66">
        <v>5.4986048778193092E-3</v>
      </c>
      <c r="AF36" s="57"/>
      <c r="AH36" s="67"/>
      <c r="AK36" s="18">
        <f t="shared" si="14"/>
        <v>2.9399999999999999E-3</v>
      </c>
      <c r="AL36">
        <v>0.29399999999999998</v>
      </c>
      <c r="AN36" s="20" t="s">
        <v>141</v>
      </c>
      <c r="AO36" s="32" t="s">
        <v>294</v>
      </c>
      <c r="AP36" s="20" t="s">
        <v>280</v>
      </c>
      <c r="AQ36" s="4" t="s">
        <v>280</v>
      </c>
      <c r="AR36" s="20" t="s">
        <v>280</v>
      </c>
      <c r="AS36" s="22" t="s">
        <v>231</v>
      </c>
      <c r="AU36" s="56" t="str">
        <f t="shared" si="7"/>
        <v>Tricosanes</v>
      </c>
      <c r="AV36" s="56" t="str">
        <f t="shared" si="7"/>
        <v>C23</v>
      </c>
      <c r="AZ36" s="57"/>
      <c r="BE36" s="18">
        <f t="shared" si="8"/>
        <v>0</v>
      </c>
      <c r="BL36" s="58" t="s">
        <v>134</v>
      </c>
      <c r="BM36" t="s">
        <v>135</v>
      </c>
      <c r="BN36">
        <v>100.2</v>
      </c>
      <c r="BO36">
        <v>688.2</v>
      </c>
      <c r="BQ36" s="59">
        <f t="shared" ca="1" si="5"/>
        <v>3.0911007058759085E-2</v>
      </c>
      <c r="BR36" s="59">
        <f t="shared" ca="1" si="6"/>
        <v>0</v>
      </c>
      <c r="BS36" s="59">
        <f t="shared" si="9"/>
        <v>0</v>
      </c>
      <c r="BT36" s="60">
        <f t="shared" si="10"/>
        <v>0.68820000000000003</v>
      </c>
      <c r="BU36" s="60">
        <f t="shared" si="11"/>
        <v>12.580736576891665</v>
      </c>
      <c r="BZ36" s="61" t="str">
        <f t="shared" si="12"/>
        <v>Tricosanes</v>
      </c>
      <c r="CA36" s="60" t="str">
        <f t="shared" si="13"/>
        <v>C23</v>
      </c>
    </row>
    <row r="37" spans="1:79" ht="15.75" x14ac:dyDescent="0.25">
      <c r="A37" s="127" t="s">
        <v>295</v>
      </c>
      <c r="B37" s="140">
        <v>105</v>
      </c>
      <c r="C37" s="141" t="s">
        <v>296</v>
      </c>
      <c r="E37" s="39"/>
      <c r="F37" s="142"/>
      <c r="H37" s="139" t="s">
        <v>297</v>
      </c>
      <c r="I37" s="143">
        <f>IF(H9="","",H9)</f>
        <v>3215</v>
      </c>
      <c r="J37" s="62"/>
      <c r="K37" s="62"/>
      <c r="L37" s="62"/>
      <c r="R37" s="7" t="s">
        <v>298</v>
      </c>
      <c r="S37" s="8" t="s">
        <v>299</v>
      </c>
      <c r="T37" s="9">
        <f t="shared" si="0"/>
        <v>2.6210400301652982E-2</v>
      </c>
      <c r="U37" s="9" t="str">
        <f t="shared" si="1"/>
        <v/>
      </c>
      <c r="V37" s="9" t="str">
        <f t="shared" si="2"/>
        <v/>
      </c>
      <c r="W37" s="10" t="str">
        <f t="shared" si="3"/>
        <v/>
      </c>
      <c r="X37" s="10" t="str">
        <f t="shared" si="4"/>
        <v/>
      </c>
      <c r="Y37" s="11"/>
      <c r="Z37" s="64">
        <v>318</v>
      </c>
      <c r="AA37" s="65" t="s">
        <v>255</v>
      </c>
      <c r="AB37" s="22" t="s">
        <v>256</v>
      </c>
      <c r="AC37" s="66">
        <v>4.8943770227209598E-3</v>
      </c>
      <c r="AF37" s="57"/>
      <c r="AH37" s="67"/>
      <c r="AK37" s="18">
        <f t="shared" si="14"/>
        <v>2.6199999999999999E-3</v>
      </c>
      <c r="AL37">
        <v>0.26200000000000001</v>
      </c>
      <c r="AN37" s="22" t="s">
        <v>141</v>
      </c>
      <c r="AO37" s="32" t="s">
        <v>300</v>
      </c>
      <c r="AP37" s="22" t="s">
        <v>285</v>
      </c>
      <c r="AQ37" s="4" t="s">
        <v>285</v>
      </c>
      <c r="AR37" s="22" t="s">
        <v>285</v>
      </c>
      <c r="AS37" s="22" t="s">
        <v>238</v>
      </c>
      <c r="AU37" s="56" t="str">
        <f t="shared" si="7"/>
        <v>Tetracosanes</v>
      </c>
      <c r="AV37" s="56" t="str">
        <f t="shared" si="7"/>
        <v>C24</v>
      </c>
      <c r="BE37" s="18">
        <f t="shared" si="8"/>
        <v>0</v>
      </c>
      <c r="BL37" s="58" t="s">
        <v>140</v>
      </c>
      <c r="BM37" t="s">
        <v>141</v>
      </c>
      <c r="BN37">
        <v>114.2</v>
      </c>
      <c r="BO37">
        <v>703</v>
      </c>
      <c r="BQ37" s="59">
        <f t="shared" ca="1" si="5"/>
        <v>3.1800899557297521E-2</v>
      </c>
      <c r="BR37" s="59">
        <f t="shared" ca="1" si="6"/>
        <v>0</v>
      </c>
      <c r="BS37" s="59">
        <f t="shared" si="9"/>
        <v>0</v>
      </c>
      <c r="BT37" s="60">
        <f t="shared" si="10"/>
        <v>0.70299999999999996</v>
      </c>
      <c r="BU37" s="60">
        <f t="shared" si="11"/>
        <v>12.604099611261832</v>
      </c>
      <c r="BZ37" s="61" t="str">
        <f t="shared" si="12"/>
        <v>Tetracosanes</v>
      </c>
      <c r="CA37" s="60" t="str">
        <f t="shared" si="13"/>
        <v>C24</v>
      </c>
    </row>
    <row r="38" spans="1:79" ht="15.75" x14ac:dyDescent="0.25">
      <c r="A38" s="127" t="s">
        <v>301</v>
      </c>
      <c r="B38" s="144">
        <v>125</v>
      </c>
      <c r="C38" s="136" t="s">
        <v>302</v>
      </c>
      <c r="E38" s="137"/>
      <c r="F38" s="137"/>
      <c r="H38" s="139" t="s">
        <v>303</v>
      </c>
      <c r="I38" s="143">
        <f>IF(H11="","",H11)</f>
        <v>172</v>
      </c>
      <c r="J38" s="69"/>
      <c r="K38" s="69"/>
      <c r="L38" s="69"/>
      <c r="R38" s="7"/>
      <c r="S38" s="8"/>
      <c r="Y38" s="145"/>
      <c r="Z38" s="64">
        <v>331</v>
      </c>
      <c r="AA38" s="65" t="s">
        <v>261</v>
      </c>
      <c r="AB38" s="20" t="s">
        <v>262</v>
      </c>
      <c r="AC38" s="66">
        <v>4.3294192741326161E-3</v>
      </c>
      <c r="AH38" s="67"/>
      <c r="AK38" s="18">
        <f t="shared" si="14"/>
        <v>2.3400000000000001E-3</v>
      </c>
      <c r="AL38">
        <v>0.23400000000000001</v>
      </c>
      <c r="AN38" s="20" t="s">
        <v>148</v>
      </c>
      <c r="AO38" s="32" t="s">
        <v>304</v>
      </c>
      <c r="AP38" s="20" t="s">
        <v>293</v>
      </c>
      <c r="AQ38" s="4" t="s">
        <v>293</v>
      </c>
      <c r="AR38" s="20" t="s">
        <v>293</v>
      </c>
      <c r="AS38" s="20" t="s">
        <v>244</v>
      </c>
      <c r="AU38" s="56" t="str">
        <f t="shared" si="7"/>
        <v>Pentacosanes</v>
      </c>
      <c r="AV38" s="56" t="str">
        <f t="shared" si="7"/>
        <v>C25</v>
      </c>
      <c r="AZ38" s="57"/>
      <c r="BE38" s="18">
        <f t="shared" si="8"/>
        <v>0</v>
      </c>
      <c r="BL38" s="58" t="s">
        <v>147</v>
      </c>
      <c r="BM38" t="s">
        <v>148</v>
      </c>
      <c r="BN38">
        <v>128.19999999999999</v>
      </c>
      <c r="BQ38" s="59">
        <f t="shared" ca="1" si="5"/>
        <v>2.5050780959857768E-2</v>
      </c>
      <c r="BR38" s="59">
        <f t="shared" ca="1" si="6"/>
        <v>0</v>
      </c>
      <c r="BS38" s="59">
        <f t="shared" si="9"/>
        <v>0</v>
      </c>
      <c r="BT38" s="60" t="str">
        <f t="shared" si="10"/>
        <v/>
      </c>
      <c r="BU38" s="60" t="str">
        <f t="shared" si="11"/>
        <v/>
      </c>
      <c r="BZ38" s="61" t="str">
        <f t="shared" si="12"/>
        <v>Pentacosanes</v>
      </c>
      <c r="CA38" s="60" t="str">
        <f t="shared" si="13"/>
        <v>C25</v>
      </c>
    </row>
    <row r="39" spans="1:79" ht="15.75" x14ac:dyDescent="0.25">
      <c r="A39" s="146" t="s">
        <v>305</v>
      </c>
      <c r="C39" s="67"/>
      <c r="E39" s="39"/>
      <c r="F39" s="142"/>
      <c r="H39" s="68" t="s">
        <v>306</v>
      </c>
      <c r="I39" s="69"/>
      <c r="J39" s="69"/>
      <c r="K39" s="69"/>
      <c r="L39" s="147"/>
      <c r="M39" s="148"/>
      <c r="Y39" s="145"/>
      <c r="Z39" s="64">
        <v>345</v>
      </c>
      <c r="AA39" s="65" t="s">
        <v>267</v>
      </c>
      <c r="AB39" s="20" t="s">
        <v>268</v>
      </c>
      <c r="AC39" s="66">
        <v>3.914018698309255E-3</v>
      </c>
      <c r="AF39" s="57"/>
      <c r="AH39" s="67"/>
      <c r="AK39" s="18">
        <f t="shared" si="14"/>
        <v>2.1199999999999999E-3</v>
      </c>
      <c r="AL39">
        <v>0.21199999999999999</v>
      </c>
      <c r="AN39" s="20" t="s">
        <v>148</v>
      </c>
      <c r="AO39" s="32" t="s">
        <v>307</v>
      </c>
      <c r="AP39" s="20" t="s">
        <v>308</v>
      </c>
      <c r="AQ39" s="4" t="s">
        <v>308</v>
      </c>
      <c r="AR39" s="20" t="s">
        <v>308</v>
      </c>
      <c r="AS39" s="22" t="s">
        <v>250</v>
      </c>
      <c r="AU39" s="56" t="str">
        <f t="shared" si="7"/>
        <v>Hexacosanes</v>
      </c>
      <c r="AV39" s="56" t="str">
        <f t="shared" si="7"/>
        <v>C26</v>
      </c>
      <c r="BE39" s="18">
        <f t="shared" si="8"/>
        <v>0</v>
      </c>
      <c r="BL39" s="58" t="s">
        <v>159</v>
      </c>
      <c r="BM39" t="s">
        <v>160</v>
      </c>
      <c r="BN39">
        <v>142.29</v>
      </c>
      <c r="BQ39" s="59">
        <f t="shared" ca="1" si="5"/>
        <v>2.0520584671944977E-2</v>
      </c>
      <c r="BR39" s="59">
        <f t="shared" ca="1" si="6"/>
        <v>0</v>
      </c>
      <c r="BS39" s="59">
        <f t="shared" si="9"/>
        <v>0</v>
      </c>
      <c r="BT39" s="60" t="str">
        <f t="shared" si="10"/>
        <v/>
      </c>
      <c r="BU39" s="60" t="str">
        <f t="shared" si="11"/>
        <v/>
      </c>
      <c r="BZ39" s="61" t="str">
        <f t="shared" si="12"/>
        <v>Hexacosanes</v>
      </c>
      <c r="CA39" s="60" t="str">
        <f t="shared" si="13"/>
        <v>C26</v>
      </c>
    </row>
    <row r="40" spans="1:79" ht="15.75" x14ac:dyDescent="0.25">
      <c r="A40" s="127" t="s">
        <v>309</v>
      </c>
      <c r="B40" s="144"/>
      <c r="C40" s="132"/>
      <c r="E40" s="137"/>
      <c r="F40" s="137"/>
      <c r="H40" s="149" t="s">
        <v>310</v>
      </c>
      <c r="I40" s="69"/>
      <c r="J40" s="69"/>
      <c r="K40" s="69"/>
      <c r="L40" s="69"/>
      <c r="S40" s="8" t="s">
        <v>311</v>
      </c>
      <c r="T40" s="150">
        <f>SUM(T3:T38)</f>
        <v>1</v>
      </c>
      <c r="U40" s="150">
        <f>SUM(U3:U38)</f>
        <v>0</v>
      </c>
      <c r="V40" s="150">
        <f>SUM(V3:V38)</f>
        <v>0</v>
      </c>
      <c r="W40" s="150">
        <f>SUM(W3:W38)</f>
        <v>0</v>
      </c>
      <c r="X40" s="150">
        <f>SUM(X3:X38)</f>
        <v>0</v>
      </c>
      <c r="Y40" s="145"/>
      <c r="Z40" s="64">
        <v>359</v>
      </c>
      <c r="AA40" s="65" t="s">
        <v>272</v>
      </c>
      <c r="AB40" s="20" t="s">
        <v>273</v>
      </c>
      <c r="AC40" s="66">
        <v>3.6103233185565626E-3</v>
      </c>
      <c r="AH40" s="67"/>
      <c r="AK40" s="18">
        <f t="shared" si="14"/>
        <v>1.98E-3</v>
      </c>
      <c r="AL40">
        <v>0.19800000000000001</v>
      </c>
      <c r="AN40" s="20" t="s">
        <v>160</v>
      </c>
      <c r="AO40" s="32" t="s">
        <v>312</v>
      </c>
      <c r="AR40" s="20"/>
      <c r="AS40" s="22" t="s">
        <v>256</v>
      </c>
      <c r="AU40" s="56" t="str">
        <f t="shared" si="7"/>
        <v>Heptacosanes</v>
      </c>
      <c r="AV40" s="56" t="str">
        <f t="shared" si="7"/>
        <v>C27</v>
      </c>
      <c r="AZ40" s="57"/>
      <c r="BE40" s="18">
        <f t="shared" si="8"/>
        <v>0</v>
      </c>
      <c r="BL40" s="58" t="s">
        <v>313</v>
      </c>
      <c r="BM40" t="s">
        <v>314</v>
      </c>
      <c r="BN40">
        <v>120.19</v>
      </c>
      <c r="BO40">
        <v>876</v>
      </c>
      <c r="BQ40" s="59">
        <f t="shared" ca="1" si="5"/>
        <v>0</v>
      </c>
      <c r="BR40" s="59">
        <f t="shared" ca="1" si="6"/>
        <v>0</v>
      </c>
      <c r="BS40" s="59">
        <f t="shared" si="9"/>
        <v>0</v>
      </c>
      <c r="BT40" s="60">
        <f t="shared" si="10"/>
        <v>0.876</v>
      </c>
      <c r="BU40" s="60">
        <f t="shared" si="11"/>
        <v>10.545646536007558</v>
      </c>
      <c r="BZ40" s="61" t="str">
        <f t="shared" si="12"/>
        <v>Heptacosanes</v>
      </c>
      <c r="CA40" s="60" t="str">
        <f t="shared" si="13"/>
        <v>C27</v>
      </c>
    </row>
    <row r="41" spans="1:79" ht="16.5" thickBot="1" x14ac:dyDescent="0.3">
      <c r="A41" s="127"/>
      <c r="B41" s="140"/>
      <c r="C41" s="67"/>
      <c r="E41" s="151" t="s">
        <v>315</v>
      </c>
      <c r="F41" s="151"/>
      <c r="H41" s="152" t="s">
        <v>316</v>
      </c>
      <c r="I41" s="153"/>
      <c r="J41" s="153"/>
      <c r="K41" s="153"/>
      <c r="L41" s="153"/>
      <c r="V41" s="154"/>
      <c r="Y41" s="145"/>
      <c r="Z41" s="64">
        <v>374</v>
      </c>
      <c r="AA41" s="65" t="s">
        <v>279</v>
      </c>
      <c r="AB41" s="20" t="s">
        <v>280</v>
      </c>
      <c r="AC41" s="66">
        <v>3.3150857020684773E-3</v>
      </c>
      <c r="AF41" s="57"/>
      <c r="AH41" s="67"/>
      <c r="AK41" s="18">
        <f t="shared" si="14"/>
        <v>1.7899999999999999E-3</v>
      </c>
      <c r="AL41">
        <v>0.17899999999999999</v>
      </c>
      <c r="AN41" s="20" t="s">
        <v>160</v>
      </c>
      <c r="AO41" s="32" t="s">
        <v>312</v>
      </c>
      <c r="AR41" s="20"/>
      <c r="AS41" s="20" t="s">
        <v>262</v>
      </c>
      <c r="AU41" s="56" t="str">
        <f t="shared" si="7"/>
        <v>Octacosanes</v>
      </c>
      <c r="AV41" s="56" t="str">
        <f t="shared" si="7"/>
        <v>C28</v>
      </c>
      <c r="AZ41" s="57"/>
      <c r="BE41" s="18">
        <f t="shared" si="8"/>
        <v>0</v>
      </c>
      <c r="BL41" s="58" t="s">
        <v>317</v>
      </c>
      <c r="BM41" s="71" t="s">
        <v>234</v>
      </c>
      <c r="BN41" s="71">
        <v>106.2</v>
      </c>
      <c r="BO41" s="71">
        <v>863</v>
      </c>
      <c r="BP41" s="71"/>
      <c r="BQ41" s="59">
        <f t="shared" ca="1" si="5"/>
        <v>0</v>
      </c>
      <c r="BR41" s="59">
        <f t="shared" ca="1" si="6"/>
        <v>0</v>
      </c>
      <c r="BS41" s="59">
        <f t="shared" si="9"/>
        <v>0</v>
      </c>
      <c r="BZ41" s="61" t="str">
        <f t="shared" si="12"/>
        <v>Octacosanes</v>
      </c>
      <c r="CA41" s="60" t="str">
        <f t="shared" si="13"/>
        <v>C28</v>
      </c>
    </row>
    <row r="42" spans="1:79" ht="17.25" thickTop="1" thickBot="1" x14ac:dyDescent="0.3">
      <c r="A42" s="155"/>
      <c r="B42" s="156"/>
      <c r="C42" s="124"/>
      <c r="E42" s="157">
        <f>INDEX(A71:A100,MATCH(H10,A71:A100,-1))</f>
        <v>4520</v>
      </c>
      <c r="F42" s="158">
        <f>INDEX(D71:D100,MATCH(E42,A71:A100,0))</f>
        <v>0.6608045301682034</v>
      </c>
      <c r="H42" s="159" t="s">
        <v>318</v>
      </c>
      <c r="I42" s="153"/>
      <c r="J42" s="160"/>
      <c r="K42" s="161"/>
      <c r="L42" s="69"/>
      <c r="M42" s="162" t="s">
        <v>319</v>
      </c>
      <c r="N42" s="163"/>
      <c r="O42" s="164"/>
      <c r="P42" s="164"/>
      <c r="Q42" s="28"/>
      <c r="R42" s="165" t="s">
        <v>320</v>
      </c>
      <c r="S42" s="166" t="s">
        <v>321</v>
      </c>
      <c r="T42" s="167"/>
      <c r="U42" s="168"/>
      <c r="V42" s="168"/>
      <c r="W42" s="168"/>
      <c r="X42" s="168"/>
      <c r="Y42" s="169">
        <f>SUMPRODUCT(X3:X36,Y3:Y36)</f>
        <v>0</v>
      </c>
      <c r="Z42" s="64">
        <v>388</v>
      </c>
      <c r="AA42" s="65" t="s">
        <v>284</v>
      </c>
      <c r="AB42" s="22" t="s">
        <v>285</v>
      </c>
      <c r="AC42" s="66">
        <v>3.1028722322641688E-3</v>
      </c>
      <c r="AF42" s="57"/>
      <c r="AH42" s="67"/>
      <c r="AK42" s="18">
        <f t="shared" si="14"/>
        <v>1.67E-3</v>
      </c>
      <c r="AL42">
        <v>0.16700000000000001</v>
      </c>
      <c r="AN42" s="20" t="s">
        <v>167</v>
      </c>
      <c r="AO42" s="32" t="s">
        <v>312</v>
      </c>
      <c r="AR42" s="20" t="s">
        <v>118</v>
      </c>
      <c r="AS42" s="20" t="s">
        <v>268</v>
      </c>
      <c r="AU42" s="56" t="str">
        <f t="shared" si="7"/>
        <v>Nonacosanes</v>
      </c>
      <c r="AV42" s="56" t="str">
        <f t="shared" si="7"/>
        <v>C29</v>
      </c>
      <c r="AZ42" s="57"/>
      <c r="BE42" s="18">
        <f t="shared" si="8"/>
        <v>0</v>
      </c>
      <c r="BZ42" s="61" t="str">
        <f t="shared" si="12"/>
        <v>Nonacosanes</v>
      </c>
      <c r="CA42" s="60" t="str">
        <f t="shared" si="13"/>
        <v>C29</v>
      </c>
    </row>
    <row r="43" spans="1:79" ht="16.5" thickTop="1" x14ac:dyDescent="0.25">
      <c r="E43" s="170">
        <f>INDEX(A71:A100,MATCH(H10,A71:A100,-1)+1)</f>
        <v>4015</v>
      </c>
      <c r="F43" s="171">
        <f>INDEX(D71:D100,MATCH(E43,A71:A100,0))</f>
        <v>0.65609844862087541</v>
      </c>
      <c r="H43" s="159" t="s">
        <v>322</v>
      </c>
      <c r="I43" s="62"/>
      <c r="J43" s="62"/>
      <c r="K43" s="62"/>
      <c r="L43" s="172"/>
      <c r="M43" s="173"/>
      <c r="N43" s="174" t="s">
        <v>323</v>
      </c>
      <c r="O43" s="175" t="s">
        <v>324</v>
      </c>
      <c r="P43" s="174" t="s">
        <v>325</v>
      </c>
      <c r="Q43" s="174" t="s">
        <v>326</v>
      </c>
      <c r="R43" s="165"/>
      <c r="S43" s="166" t="s">
        <v>327</v>
      </c>
      <c r="T43" s="168"/>
      <c r="U43" s="168"/>
      <c r="V43" s="168"/>
      <c r="W43" s="168"/>
      <c r="X43" s="168"/>
      <c r="Y43" s="176">
        <f>Y42/28.97</f>
        <v>0</v>
      </c>
      <c r="Z43" s="64">
        <v>402</v>
      </c>
      <c r="AA43" s="65" t="s">
        <v>292</v>
      </c>
      <c r="AB43" s="20" t="s">
        <v>293</v>
      </c>
      <c r="AC43" s="66">
        <v>2.8329302752553051E-3</v>
      </c>
      <c r="AF43" s="57"/>
      <c r="AH43" s="67"/>
      <c r="AK43" s="18">
        <f t="shared" si="14"/>
        <v>1.5E-3</v>
      </c>
      <c r="AL43">
        <v>0.15</v>
      </c>
      <c r="AN43" s="20" t="s">
        <v>174</v>
      </c>
      <c r="AO43" s="32" t="s">
        <v>312</v>
      </c>
      <c r="AR43" s="20" t="s">
        <v>126</v>
      </c>
      <c r="AS43" s="20" t="s">
        <v>273</v>
      </c>
      <c r="AU43" s="56" t="str">
        <f t="shared" si="7"/>
        <v>Tricontanes</v>
      </c>
      <c r="AV43" s="56" t="str">
        <f t="shared" si="7"/>
        <v>C30+</v>
      </c>
      <c r="BE43" s="18">
        <f t="shared" si="8"/>
        <v>0</v>
      </c>
      <c r="BZ43" s="61" t="str">
        <f t="shared" si="12"/>
        <v>Tricontanes</v>
      </c>
      <c r="CA43" s="60" t="str">
        <f t="shared" si="13"/>
        <v>C30+</v>
      </c>
    </row>
    <row r="44" spans="1:79" ht="15.75" x14ac:dyDescent="0.25">
      <c r="E44" s="177">
        <f>E42</f>
        <v>4520</v>
      </c>
      <c r="F44" s="171">
        <f>INDEX(H71:H100,MATCH(E44,A71:A100,0))</f>
        <v>0.44313478100814369</v>
      </c>
      <c r="H44" s="19" t="s">
        <v>328</v>
      </c>
      <c r="I44" s="178"/>
      <c r="J44" s="179"/>
      <c r="K44" s="178"/>
      <c r="L44" s="179"/>
      <c r="M44" s="180"/>
      <c r="N44" s="174" t="s">
        <v>329</v>
      </c>
      <c r="O44" s="174" t="s">
        <v>9</v>
      </c>
      <c r="P44" s="174" t="s">
        <v>9</v>
      </c>
      <c r="Q44" s="174" t="s">
        <v>9</v>
      </c>
      <c r="R44" s="165" t="s">
        <v>330</v>
      </c>
      <c r="S44" s="166" t="s">
        <v>331</v>
      </c>
      <c r="T44" s="168"/>
      <c r="U44" s="168"/>
      <c r="V44" s="168"/>
      <c r="W44" s="168"/>
      <c r="X44" s="168"/>
      <c r="Y44" s="181"/>
      <c r="Z44" s="64">
        <v>416</v>
      </c>
      <c r="AA44" s="65" t="s">
        <v>332</v>
      </c>
      <c r="AB44" s="20" t="s">
        <v>299</v>
      </c>
      <c r="AC44" s="66">
        <v>2.4279827384850374E-3</v>
      </c>
      <c r="AH44" s="67"/>
      <c r="AK44" s="18">
        <f t="shared" si="14"/>
        <v>1.2600000000000001E-3</v>
      </c>
      <c r="AL44">
        <v>0.126</v>
      </c>
      <c r="AN44" s="20" t="s">
        <v>183</v>
      </c>
      <c r="AO44" s="32" t="s">
        <v>312</v>
      </c>
      <c r="AR44" s="20" t="s">
        <v>126</v>
      </c>
      <c r="AS44" s="20" t="s">
        <v>280</v>
      </c>
      <c r="AU44" s="56" t="str">
        <f t="shared" si="7"/>
        <v>Hentriacontanes</v>
      </c>
      <c r="AV44" s="56" t="str">
        <f t="shared" si="7"/>
        <v>C30+</v>
      </c>
      <c r="AZ44" s="57"/>
      <c r="BE44" s="18">
        <f t="shared" si="8"/>
        <v>0</v>
      </c>
      <c r="BL44" s="65" t="s">
        <v>333</v>
      </c>
      <c r="BQ44" s="182">
        <f ca="1">SUM(BQ9:BQ43)</f>
        <v>0.2024463953213565</v>
      </c>
      <c r="BR44" s="182">
        <f ca="1">SUM(BR9:BR43)</f>
        <v>0</v>
      </c>
      <c r="BS44" s="182">
        <f>SUM(BS9:BS43)</f>
        <v>0</v>
      </c>
      <c r="BZ44" s="61" t="str">
        <f t="shared" si="12"/>
        <v>Hentriacontanes</v>
      </c>
      <c r="CA44" s="60" t="str">
        <f t="shared" si="13"/>
        <v>C30+</v>
      </c>
    </row>
    <row r="45" spans="1:79" ht="16.5" thickBot="1" x14ac:dyDescent="0.3">
      <c r="A45" s="183" t="s">
        <v>334</v>
      </c>
      <c r="B45" s="184"/>
      <c r="C45" s="184"/>
      <c r="E45" s="185">
        <f>E43</f>
        <v>4015</v>
      </c>
      <c r="F45" s="186">
        <f>INDEX(H71:H100,MATCH(E45,A71:A100,0))</f>
        <v>0.42305190255272279</v>
      </c>
      <c r="G45" s="90"/>
      <c r="H45" s="19" t="s">
        <v>335</v>
      </c>
      <c r="I45" s="178"/>
      <c r="J45" s="179"/>
      <c r="K45" s="178"/>
      <c r="L45" s="178"/>
      <c r="M45" s="164" t="s">
        <v>336</v>
      </c>
      <c r="N45" s="174">
        <v>6</v>
      </c>
      <c r="O45" s="187"/>
      <c r="P45" s="174"/>
      <c r="Q45" s="174"/>
      <c r="R45" s="165"/>
      <c r="S45" s="166" t="s">
        <v>337</v>
      </c>
      <c r="T45" s="188">
        <f>IF(SUM(T$13:T$38)=0,"",SUM(T$13:T$38))</f>
        <v>0.31359139295232469</v>
      </c>
      <c r="U45" s="188" t="str">
        <f>IF(SUM(U$13:U$38)=0,"",SUM(U$13:U$38))</f>
        <v/>
      </c>
      <c r="V45" s="188" t="str">
        <f>IF(SUM(V$13:V$38)=0,"",SUM(V$13:V$38))</f>
        <v/>
      </c>
      <c r="W45" s="188" t="str">
        <f>IF(SUM(W$13:W$38)=0,"",SUM(W$13:W$38))</f>
        <v/>
      </c>
      <c r="X45" s="188" t="str">
        <f>IF(SUM(X$13:X$38)=0,"",SUM(X$13:X$38))</f>
        <v/>
      </c>
      <c r="Y45" s="189"/>
      <c r="Z45" s="64">
        <v>430</v>
      </c>
      <c r="AA45" s="65" t="s">
        <v>338</v>
      </c>
      <c r="AB45" s="20" t="s">
        <v>299</v>
      </c>
      <c r="AC45" s="66">
        <v>2.240156085682989E-3</v>
      </c>
      <c r="AF45" s="57"/>
      <c r="AH45" s="67"/>
      <c r="AK45" s="18">
        <f t="shared" si="14"/>
        <v>1.2199999999999999E-3</v>
      </c>
      <c r="AL45">
        <v>0.122</v>
      </c>
      <c r="AN45" s="20" t="s">
        <v>190</v>
      </c>
      <c r="AO45" s="32" t="s">
        <v>312</v>
      </c>
      <c r="AR45" s="20" t="s">
        <v>135</v>
      </c>
      <c r="AS45" s="22" t="s">
        <v>285</v>
      </c>
      <c r="AU45" s="56" t="str">
        <f t="shared" si="7"/>
        <v>Dotriacontanes</v>
      </c>
      <c r="AV45" s="56" t="str">
        <f t="shared" si="7"/>
        <v>C30+</v>
      </c>
      <c r="BB45" s="190"/>
      <c r="BE45" s="18">
        <f t="shared" si="8"/>
        <v>0</v>
      </c>
      <c r="BL45" s="65" t="s">
        <v>339</v>
      </c>
      <c r="BQ45" s="150">
        <f>SUM($T$9:$T$17)</f>
        <v>0.2024463953213565</v>
      </c>
      <c r="BR45" s="150">
        <f>SUM($W$9:$W$17)</f>
        <v>0</v>
      </c>
      <c r="BS45" s="150">
        <f>SUM($X$9:$X$17)</f>
        <v>0</v>
      </c>
      <c r="BZ45" s="61" t="str">
        <f t="shared" si="12"/>
        <v>Dotriacontanes</v>
      </c>
      <c r="CA45" s="60" t="str">
        <f t="shared" si="13"/>
        <v>C30+</v>
      </c>
    </row>
    <row r="46" spans="1:79" ht="16.5" thickTop="1" x14ac:dyDescent="0.25">
      <c r="A46" s="191" t="s">
        <v>340</v>
      </c>
      <c r="B46" s="192" t="s">
        <v>340</v>
      </c>
      <c r="C46" s="193"/>
      <c r="D46" s="194"/>
      <c r="G46" s="90"/>
      <c r="H46" s="19" t="s">
        <v>341</v>
      </c>
      <c r="I46" s="178"/>
      <c r="J46" s="178"/>
      <c r="K46" s="178"/>
      <c r="L46" s="178"/>
      <c r="M46" s="180" t="s">
        <v>342</v>
      </c>
      <c r="N46" s="174">
        <v>7</v>
      </c>
      <c r="O46" s="195"/>
      <c r="P46" s="174"/>
      <c r="Q46" s="174"/>
      <c r="R46" s="165"/>
      <c r="S46" s="166" t="s">
        <v>343</v>
      </c>
      <c r="T46" s="168"/>
      <c r="U46" s="168"/>
      <c r="V46" s="168"/>
      <c r="W46" s="168"/>
      <c r="X46" s="168"/>
      <c r="Y46" s="181"/>
      <c r="Z46" s="64">
        <v>444</v>
      </c>
      <c r="AA46" s="65" t="s">
        <v>344</v>
      </c>
      <c r="AB46" s="20" t="s">
        <v>299</v>
      </c>
      <c r="AC46" s="66">
        <v>1.9954703287792135E-3</v>
      </c>
      <c r="AH46" s="67"/>
      <c r="AK46" s="18">
        <f t="shared" si="14"/>
        <v>1.1100000000000001E-3</v>
      </c>
      <c r="AL46">
        <v>0.111</v>
      </c>
      <c r="AN46" s="20" t="s">
        <v>197</v>
      </c>
      <c r="AR46" s="20"/>
      <c r="AS46" s="20" t="s">
        <v>293</v>
      </c>
      <c r="AU46" s="56" t="str">
        <f t="shared" si="7"/>
        <v>Tritriacontanes</v>
      </c>
      <c r="AV46" s="56" t="str">
        <f t="shared" si="7"/>
        <v>C30+</v>
      </c>
      <c r="AZ46" s="57"/>
      <c r="BB46" s="190"/>
      <c r="BE46" s="18">
        <f t="shared" si="8"/>
        <v>0</v>
      </c>
      <c r="BL46" s="65" t="s">
        <v>345</v>
      </c>
      <c r="BQ46" s="196">
        <f ca="1">BQ44-BQ45</f>
        <v>0</v>
      </c>
      <c r="BR46" s="196">
        <f ca="1">BR44-BR45</f>
        <v>0</v>
      </c>
      <c r="BS46" s="196">
        <f>BS44-BS45</f>
        <v>0</v>
      </c>
      <c r="BZ46" s="61" t="str">
        <f t="shared" si="12"/>
        <v>Tritriacontanes</v>
      </c>
      <c r="CA46" s="60" t="str">
        <f t="shared" si="13"/>
        <v>C30+</v>
      </c>
    </row>
    <row r="47" spans="1:79" ht="15.75" x14ac:dyDescent="0.25">
      <c r="A47" s="197"/>
      <c r="B47" s="19" t="s">
        <v>346</v>
      </c>
      <c r="C47" s="198">
        <f t="shared" ref="C47:C54" si="16">IF(E47&lt;&gt;0,  E47,  "")</f>
        <v>0.44313478100814369</v>
      </c>
      <c r="D47" s="199" t="s">
        <v>347</v>
      </c>
      <c r="E47" s="200">
        <f>IF(AND(B31="Yes", H10&lt;&gt;"", H10&gt;=MIN(A71:A100),  H10&lt;=MAX(A71:A100)),  F45+((H10-E45)/(E44-E45))*(F44-F45),  "")</f>
        <v>0.44313478100814369</v>
      </c>
      <c r="G47" s="90"/>
      <c r="H47" s="19" t="s">
        <v>348</v>
      </c>
      <c r="I47" s="201"/>
      <c r="J47" s="201"/>
      <c r="K47" s="201"/>
      <c r="L47" s="201"/>
      <c r="M47" s="180" t="s">
        <v>349</v>
      </c>
      <c r="N47" s="174">
        <v>8</v>
      </c>
      <c r="O47" s="195"/>
      <c r="P47" s="174"/>
      <c r="Q47" s="174"/>
      <c r="R47" s="165" t="s">
        <v>350</v>
      </c>
      <c r="S47" s="166" t="s">
        <v>351</v>
      </c>
      <c r="T47" s="168"/>
      <c r="U47" s="168"/>
      <c r="V47" s="168"/>
      <c r="W47" s="168"/>
      <c r="X47" s="168"/>
      <c r="Y47" s="181"/>
      <c r="Z47" s="64">
        <v>458</v>
      </c>
      <c r="AA47" s="65" t="s">
        <v>352</v>
      </c>
      <c r="AB47" s="20" t="s">
        <v>299</v>
      </c>
      <c r="AC47" s="66">
        <v>1.8604690802536377E-3</v>
      </c>
      <c r="AF47" s="57"/>
      <c r="AH47" s="67"/>
      <c r="AK47" s="18">
        <f t="shared" si="14"/>
        <v>1.06E-3</v>
      </c>
      <c r="AL47">
        <v>0.106</v>
      </c>
      <c r="AN47" s="20" t="s">
        <v>205</v>
      </c>
      <c r="AR47" s="20"/>
      <c r="AS47" s="20" t="s">
        <v>308</v>
      </c>
      <c r="AU47" s="56" t="str">
        <f t="shared" si="7"/>
        <v>Tetratriacontanes</v>
      </c>
      <c r="AV47" s="56" t="str">
        <f t="shared" si="7"/>
        <v>C30+</v>
      </c>
      <c r="AZ47" s="57"/>
      <c r="BB47" s="190"/>
      <c r="BE47" s="18">
        <f t="shared" si="8"/>
        <v>0</v>
      </c>
      <c r="BZ47" s="61" t="str">
        <f t="shared" si="12"/>
        <v>Tetratriacontanes</v>
      </c>
      <c r="CA47" s="60" t="str">
        <f t="shared" si="13"/>
        <v>C30+</v>
      </c>
    </row>
    <row r="48" spans="1:79" ht="15.75" x14ac:dyDescent="0.25">
      <c r="A48" s="197"/>
      <c r="B48" s="19" t="s">
        <v>353</v>
      </c>
      <c r="C48" s="198">
        <f t="shared" si="16"/>
        <v>0.6608045301682034</v>
      </c>
      <c r="D48" s="199" t="s">
        <v>354</v>
      </c>
      <c r="E48" s="200">
        <f>IF(AND(B31="Yes", H10&lt;&gt;"", H10&gt;=MIN(A71:A100),  H10&lt;=MAX(A71:A100)),  F43+((H10-E43)/(E42-E43))*(F42-F43),  "")</f>
        <v>0.6608045301682034</v>
      </c>
      <c r="G48" s="90"/>
      <c r="I48" s="92"/>
      <c r="J48" s="92"/>
      <c r="K48" s="92"/>
      <c r="L48" s="92"/>
      <c r="M48" s="180" t="s">
        <v>355</v>
      </c>
      <c r="N48" s="174">
        <v>9</v>
      </c>
      <c r="O48" s="195"/>
      <c r="P48" s="174"/>
      <c r="Q48" s="174"/>
      <c r="R48" s="165"/>
      <c r="S48" s="166" t="s">
        <v>356</v>
      </c>
      <c r="T48" s="188">
        <f>IF(SUM(T$14:T$38)=0,"",SUM(T$14:T$38))</f>
        <v>0.29154723256546594</v>
      </c>
      <c r="U48" s="188" t="str">
        <f>IF(SUM(U$14:U$38)=0,"",SUM(U$14:U$38))</f>
        <v/>
      </c>
      <c r="V48" s="188" t="str">
        <f>IF(SUM(V$14:V$38)=0,"",SUM(V$14:V$38))</f>
        <v/>
      </c>
      <c r="W48" s="188" t="str">
        <f>IF(SUM(W$14:W$38)=0,"",SUM(W$14:W$38))</f>
        <v/>
      </c>
      <c r="X48" s="188" t="str">
        <f>IF(SUM(X$14:X$38)=0,"",SUM(X$14:X$38))</f>
        <v/>
      </c>
      <c r="Y48" s="189"/>
      <c r="Z48" s="64">
        <v>472</v>
      </c>
      <c r="AA48" s="65" t="s">
        <v>357</v>
      </c>
      <c r="AB48" s="20" t="s">
        <v>299</v>
      </c>
      <c r="AC48" s="66">
        <v>1.5740597455549906E-3</v>
      </c>
      <c r="AF48" s="57"/>
      <c r="AH48" s="67"/>
      <c r="AK48" s="18">
        <f t="shared" si="14"/>
        <v>9.7000000000000005E-4</v>
      </c>
      <c r="AL48">
        <v>9.7000000000000003E-2</v>
      </c>
      <c r="AN48" s="20" t="s">
        <v>214</v>
      </c>
      <c r="AR48" s="20" t="s">
        <v>126</v>
      </c>
      <c r="AS48" s="22"/>
      <c r="AU48" s="56" t="str">
        <f t="shared" si="7"/>
        <v>Pentatriacontanes</v>
      </c>
      <c r="AV48" s="56" t="str">
        <f t="shared" si="7"/>
        <v>C30+</v>
      </c>
      <c r="AZ48" s="57"/>
      <c r="BB48" s="190"/>
      <c r="BE48" s="18">
        <f t="shared" si="8"/>
        <v>0</v>
      </c>
      <c r="BL48" t="s">
        <v>264</v>
      </c>
      <c r="BM48" s="150">
        <f>SUM($T$9:$T$10)</f>
        <v>4.2833245816224622E-2</v>
      </c>
      <c r="BN48" s="150">
        <f>SUM($W$9:$W$10)</f>
        <v>0</v>
      </c>
      <c r="BO48" s="150">
        <f>SUM($X$9:$X$10)</f>
        <v>0</v>
      </c>
      <c r="BZ48" s="61" t="str">
        <f t="shared" si="12"/>
        <v>Pentatriacontanes</v>
      </c>
      <c r="CA48" s="60" t="str">
        <f t="shared" si="13"/>
        <v>C30+</v>
      </c>
    </row>
    <row r="49" spans="1:79" ht="15.75" x14ac:dyDescent="0.25">
      <c r="A49" s="197"/>
      <c r="B49" s="19" t="s">
        <v>358</v>
      </c>
      <c r="C49" s="198">
        <f t="shared" si="16"/>
        <v>1.6033829674423847</v>
      </c>
      <c r="D49" s="202" t="s">
        <v>359</v>
      </c>
      <c r="E49" s="203">
        <f>IF(B31="Yes",VLOOKUP(H9,A71:K100,2,FALSE), "")</f>
        <v>1.6033829674423847</v>
      </c>
      <c r="G49" s="90"/>
      <c r="I49" s="97"/>
      <c r="J49" s="97"/>
      <c r="K49" s="97"/>
      <c r="L49" s="97"/>
      <c r="M49" s="164" t="s">
        <v>360</v>
      </c>
      <c r="N49" s="174">
        <v>10</v>
      </c>
      <c r="O49" s="204"/>
      <c r="P49" s="174"/>
      <c r="Q49" s="174"/>
      <c r="R49" s="165"/>
      <c r="S49" s="166" t="s">
        <v>361</v>
      </c>
      <c r="T49" s="168"/>
      <c r="U49" s="168"/>
      <c r="V49" s="168"/>
      <c r="W49" s="168"/>
      <c r="X49" s="168"/>
      <c r="Y49" s="181"/>
      <c r="Z49" s="64">
        <v>486</v>
      </c>
      <c r="AA49" s="65" t="s">
        <v>362</v>
      </c>
      <c r="AB49" s="20" t="s">
        <v>299</v>
      </c>
      <c r="AC49" s="66">
        <v>1.4910564749016076E-3</v>
      </c>
      <c r="AF49" s="57"/>
      <c r="AH49" s="67"/>
      <c r="AK49" s="18">
        <f t="shared" si="14"/>
        <v>7.3999999999999999E-4</v>
      </c>
      <c r="AL49">
        <v>7.3999999999999996E-2</v>
      </c>
      <c r="AN49" s="20" t="s">
        <v>223</v>
      </c>
      <c r="AR49" s="20" t="s">
        <v>135</v>
      </c>
      <c r="AS49" s="22"/>
      <c r="AU49" s="56" t="str">
        <f t="shared" si="7"/>
        <v>Hexatriacontanes plus</v>
      </c>
      <c r="AV49" s="56" t="str">
        <f t="shared" si="7"/>
        <v>C30+</v>
      </c>
      <c r="AW49" s="205"/>
      <c r="BB49" s="190"/>
      <c r="BE49" s="18">
        <f t="shared" si="8"/>
        <v>0</v>
      </c>
      <c r="BL49" s="65" t="s">
        <v>275</v>
      </c>
      <c r="BM49" s="150">
        <f>SUM($T$11:$T$12)</f>
        <v>2.9285716870413783E-2</v>
      </c>
      <c r="BN49" s="150">
        <f>SUM($W$11:$W$12)</f>
        <v>0</v>
      </c>
      <c r="BO49" s="150">
        <f>SUM($X$11:$X$12)</f>
        <v>0</v>
      </c>
      <c r="BZ49" s="61" t="str">
        <f t="shared" si="12"/>
        <v>Hexatriacontanes plus</v>
      </c>
      <c r="CA49" s="60" t="str">
        <f t="shared" si="13"/>
        <v>C30+</v>
      </c>
    </row>
    <row r="50" spans="1:79" ht="15.75" x14ac:dyDescent="0.25">
      <c r="A50" s="197"/>
      <c r="B50" s="19" t="s">
        <v>363</v>
      </c>
      <c r="C50" s="206">
        <f t="shared" si="16"/>
        <v>1070.0510482128557</v>
      </c>
      <c r="D50" s="202" t="s">
        <v>364</v>
      </c>
      <c r="E50" s="207">
        <f>IF(B31="Yes",VLOOKUP(H9,A71:K100,3,FALSE), "")</f>
        <v>1070.0510482128557</v>
      </c>
      <c r="G50" s="90"/>
      <c r="I50" s="100"/>
      <c r="J50" s="100"/>
      <c r="K50" s="100"/>
      <c r="L50" s="100"/>
      <c r="M50" s="180"/>
      <c r="N50" s="180"/>
      <c r="O50" s="180"/>
      <c r="P50" s="180"/>
      <c r="Q50" s="164"/>
      <c r="R50" s="165" t="s">
        <v>365</v>
      </c>
      <c r="S50" s="166" t="s">
        <v>366</v>
      </c>
      <c r="T50" s="168"/>
      <c r="U50" s="208"/>
      <c r="V50" s="168"/>
      <c r="W50" s="168"/>
      <c r="X50" s="168"/>
      <c r="Y50" s="181"/>
      <c r="Z50" s="64">
        <v>645.04356599119683</v>
      </c>
      <c r="AA50" s="65" t="s">
        <v>367</v>
      </c>
      <c r="AB50" s="20" t="s">
        <v>299</v>
      </c>
      <c r="AC50" s="66">
        <v>1.4621205847995507E-2</v>
      </c>
      <c r="AH50" s="67"/>
      <c r="AK50" s="18">
        <f t="shared" si="14"/>
        <v>9.5700000000000004E-3</v>
      </c>
      <c r="AL50">
        <v>0.95699999999999996</v>
      </c>
      <c r="AN50" s="20" t="s">
        <v>231</v>
      </c>
      <c r="AR50" s="20" t="s">
        <v>141</v>
      </c>
      <c r="AS50" s="20"/>
      <c r="AU50" s="56">
        <f t="shared" si="7"/>
        <v>0</v>
      </c>
      <c r="AV50" s="56">
        <f t="shared" si="7"/>
        <v>0</v>
      </c>
      <c r="BB50" s="190"/>
      <c r="BE50" s="18">
        <f t="shared" si="8"/>
        <v>0</v>
      </c>
      <c r="BL50" s="65" t="s">
        <v>126</v>
      </c>
      <c r="BM50" s="150">
        <f>$T$13</f>
        <v>2.2044160386858726E-2</v>
      </c>
      <c r="BN50" s="150" t="str">
        <f>$W$13</f>
        <v/>
      </c>
      <c r="BO50" s="150" t="str">
        <f>$X$13</f>
        <v/>
      </c>
      <c r="BZ50" s="61" t="str">
        <f t="shared" si="12"/>
        <v/>
      </c>
      <c r="CA50" s="60" t="str">
        <f t="shared" si="13"/>
        <v/>
      </c>
    </row>
    <row r="51" spans="1:79" ht="15.75" x14ac:dyDescent="0.25">
      <c r="A51" s="197"/>
      <c r="B51" s="19" t="s">
        <v>368</v>
      </c>
      <c r="C51" s="198">
        <f t="shared" si="16"/>
        <v>0.64738042933113182</v>
      </c>
      <c r="D51" s="209" t="s">
        <v>369</v>
      </c>
      <c r="E51" s="203">
        <f>IF(B31="Yes",VLOOKUP(H9,A71:K100,4,FALSE), "")</f>
        <v>0.64738042933113182</v>
      </c>
      <c r="F51" s="88"/>
      <c r="G51" s="44" t="s">
        <v>370</v>
      </c>
      <c r="H51" s="44"/>
      <c r="I51" s="44"/>
      <c r="J51" s="44"/>
      <c r="M51" s="210"/>
      <c r="N51" s="210"/>
      <c r="O51" s="210"/>
      <c r="P51" s="210"/>
      <c r="Q51" s="164"/>
      <c r="R51" s="165"/>
      <c r="S51" s="166" t="s">
        <v>371</v>
      </c>
      <c r="T51" s="188">
        <f>IF(SUM(T$19:T$38)=0,"",SUM(T$19:T$38))</f>
        <v>0.16515027571798094</v>
      </c>
      <c r="U51" s="188" t="str">
        <f>IF(SUM(U$19:U$38)=0,"",SUM(U$19:U$38))</f>
        <v/>
      </c>
      <c r="V51" s="188" t="str">
        <f>IF(SUM(V$19:V$38)=0,"",SUM(V$19:V$38))</f>
        <v/>
      </c>
      <c r="W51" s="188" t="str">
        <f>IF(SUM(W$19:W$38)=0,"",SUM(W$19:W$38))</f>
        <v/>
      </c>
      <c r="X51" s="188" t="str">
        <f>IF(SUM(X$19:X$38)=0,"",SUM(X$19:X$38))</f>
        <v/>
      </c>
      <c r="Y51" s="189"/>
      <c r="Z51" s="64"/>
      <c r="AA51" s="65"/>
      <c r="AB51" s="20"/>
      <c r="AC51" s="66"/>
      <c r="AH51" s="67"/>
      <c r="AK51" s="18">
        <f t="shared" si="14"/>
        <v>0</v>
      </c>
      <c r="AN51" s="20" t="s">
        <v>238</v>
      </c>
      <c r="AR51" s="20" t="s">
        <v>141</v>
      </c>
      <c r="AS51" s="20"/>
      <c r="AU51" s="56">
        <f t="shared" si="7"/>
        <v>0</v>
      </c>
      <c r="AV51" s="56">
        <f t="shared" si="7"/>
        <v>0</v>
      </c>
      <c r="AZ51" s="205"/>
      <c r="BA51" s="205"/>
      <c r="BB51" s="211"/>
      <c r="BE51" s="18">
        <f t="shared" si="8"/>
        <v>0</v>
      </c>
      <c r="BF51" s="205"/>
      <c r="BL51" s="65" t="s">
        <v>135</v>
      </c>
      <c r="BM51" s="150">
        <f>$T$14</f>
        <v>3.0911007058759085E-2</v>
      </c>
      <c r="BN51" s="150" t="str">
        <f>$W$14</f>
        <v/>
      </c>
      <c r="BO51" s="150" t="str">
        <f>$X$14</f>
        <v/>
      </c>
      <c r="BZ51" s="61" t="str">
        <f t="shared" si="12"/>
        <v/>
      </c>
      <c r="CA51" s="60" t="str">
        <f t="shared" si="13"/>
        <v/>
      </c>
    </row>
    <row r="52" spans="1:79" ht="15.75" x14ac:dyDescent="0.25">
      <c r="A52" s="197"/>
      <c r="B52" s="19" t="s">
        <v>372</v>
      </c>
      <c r="C52" s="198">
        <f t="shared" si="16"/>
        <v>0.39452055123763174</v>
      </c>
      <c r="D52" s="202" t="s">
        <v>347</v>
      </c>
      <c r="E52" s="203">
        <f>IF(B31="Yes",VLOOKUP(H9,A71:K100,8,FALSE), "")</f>
        <v>0.39452055123763174</v>
      </c>
      <c r="F52" s="92"/>
      <c r="G52" s="17" t="s">
        <v>373</v>
      </c>
      <c r="H52" s="17" t="s">
        <v>374</v>
      </c>
      <c r="I52" s="17" t="s">
        <v>373</v>
      </c>
      <c r="J52" s="17" t="s">
        <v>375</v>
      </c>
      <c r="M52" s="212" t="s">
        <v>376</v>
      </c>
      <c r="N52" s="210"/>
      <c r="O52" s="210"/>
      <c r="P52" s="210"/>
      <c r="Q52" s="164"/>
      <c r="R52" s="165"/>
      <c r="S52" s="166" t="s">
        <v>377</v>
      </c>
      <c r="T52" s="168"/>
      <c r="U52" s="213"/>
      <c r="V52" s="168"/>
      <c r="W52" s="168"/>
      <c r="X52" s="168"/>
      <c r="Y52" s="181"/>
      <c r="Z52" s="64"/>
      <c r="AA52" s="65"/>
      <c r="AB52" s="20"/>
      <c r="AC52" s="66"/>
      <c r="AH52" s="67"/>
      <c r="AK52" s="18">
        <f t="shared" si="14"/>
        <v>0</v>
      </c>
      <c r="AL52" s="205"/>
      <c r="AN52" s="20" t="s">
        <v>244</v>
      </c>
      <c r="AR52" s="20" t="s">
        <v>148</v>
      </c>
      <c r="AS52" s="20"/>
      <c r="AU52" s="56">
        <f t="shared" si="7"/>
        <v>0</v>
      </c>
      <c r="AV52" s="56">
        <f t="shared" si="7"/>
        <v>0</v>
      </c>
      <c r="BE52" s="18">
        <f t="shared" si="8"/>
        <v>0</v>
      </c>
      <c r="BL52" s="65" t="s">
        <v>141</v>
      </c>
      <c r="BM52" s="150">
        <f>$T$15</f>
        <v>3.1800899557297521E-2</v>
      </c>
      <c r="BN52" s="150" t="str">
        <f>$W$15</f>
        <v/>
      </c>
      <c r="BO52" s="150" t="str">
        <f>$X$15</f>
        <v/>
      </c>
      <c r="BZ52" s="61" t="str">
        <f t="shared" si="12"/>
        <v/>
      </c>
      <c r="CA52" s="60" t="str">
        <f t="shared" si="13"/>
        <v/>
      </c>
    </row>
    <row r="53" spans="1:79" ht="15.75" x14ac:dyDescent="0.25">
      <c r="A53" s="197"/>
      <c r="B53" s="19" t="s">
        <v>378</v>
      </c>
      <c r="C53" s="214">
        <f t="shared" si="16"/>
        <v>0.78580809875586699</v>
      </c>
      <c r="D53" s="209" t="s">
        <v>369</v>
      </c>
      <c r="E53" s="215">
        <f>IF(B31="Yes",INDEX(D71:D100,MATCH(MIN(A71:A100),A71:A100,0)),"")</f>
        <v>0.78580809875586699</v>
      </c>
      <c r="F53" s="97"/>
      <c r="G53" s="18">
        <f>H53/10^6*5.615</f>
        <v>0</v>
      </c>
      <c r="H53" s="17"/>
      <c r="I53" s="18">
        <f>J53/1000*5.615</f>
        <v>0</v>
      </c>
      <c r="J53" s="17"/>
      <c r="M53" s="173"/>
      <c r="N53" s="174" t="s">
        <v>323</v>
      </c>
      <c r="O53" s="175" t="s">
        <v>324</v>
      </c>
      <c r="P53" s="174" t="s">
        <v>325</v>
      </c>
      <c r="Q53" s="174" t="s">
        <v>326</v>
      </c>
      <c r="R53" s="165" t="s">
        <v>379</v>
      </c>
      <c r="S53" s="166" t="s">
        <v>380</v>
      </c>
      <c r="T53" s="168"/>
      <c r="U53" s="213"/>
      <c r="V53" s="168"/>
      <c r="W53" s="168"/>
      <c r="X53" s="168"/>
      <c r="Y53" s="181"/>
      <c r="Z53" s="64"/>
      <c r="AA53" s="65"/>
      <c r="AB53" s="20"/>
      <c r="AC53" s="66"/>
      <c r="AH53" s="67"/>
      <c r="AK53" s="18">
        <f t="shared" si="14"/>
        <v>0</v>
      </c>
      <c r="AN53" s="20" t="s">
        <v>250</v>
      </c>
      <c r="AU53" s="56">
        <f t="shared" si="7"/>
        <v>0</v>
      </c>
      <c r="AV53" s="56">
        <f t="shared" si="7"/>
        <v>0</v>
      </c>
      <c r="BE53" s="18">
        <f t="shared" si="8"/>
        <v>0</v>
      </c>
      <c r="BL53" s="65" t="s">
        <v>148</v>
      </c>
      <c r="BM53" s="150">
        <f>$T$16</f>
        <v>2.5050780959857768E-2</v>
      </c>
      <c r="BN53" s="150" t="str">
        <f>$W$16</f>
        <v/>
      </c>
      <c r="BO53" s="150" t="str">
        <f>$X$16</f>
        <v/>
      </c>
      <c r="BZ53" s="61" t="str">
        <f t="shared" si="12"/>
        <v/>
      </c>
      <c r="CA53" s="60" t="str">
        <f t="shared" si="13"/>
        <v/>
      </c>
    </row>
    <row r="54" spans="1:79" ht="15.75" x14ac:dyDescent="0.25">
      <c r="A54" s="197"/>
      <c r="B54" s="19" t="s">
        <v>381</v>
      </c>
      <c r="C54" s="216">
        <f t="shared" si="16"/>
        <v>1.2530000005380484</v>
      </c>
      <c r="D54" s="202" t="s">
        <v>347</v>
      </c>
      <c r="E54" s="217">
        <f>IF(B31="Yes",INDEX(H71:H100,MATCH(MIN(A71:A100),A71:A100,0)),"")</f>
        <v>1.2530000005380484</v>
      </c>
      <c r="F54" s="100"/>
      <c r="G54" s="18">
        <f t="shared" ref="G54:G65" si="17">H54/10^6*5.615</f>
        <v>0</v>
      </c>
      <c r="H54" s="17"/>
      <c r="I54" s="18">
        <f t="shared" ref="I54:I65" si="18">J54/1000*5.615</f>
        <v>0</v>
      </c>
      <c r="J54" s="17"/>
      <c r="M54" s="180"/>
      <c r="N54" s="174" t="s">
        <v>329</v>
      </c>
      <c r="O54" s="174" t="s">
        <v>75</v>
      </c>
      <c r="P54" s="174" t="s">
        <v>75</v>
      </c>
      <c r="Q54" s="174" t="s">
        <v>75</v>
      </c>
      <c r="R54" s="165"/>
      <c r="S54" s="166" t="s">
        <v>382</v>
      </c>
      <c r="T54" s="188">
        <f>IF(SUM(T$37:T$38)=0,"",SUM(T$37:T$38))</f>
        <v>2.6210400301652982E-2</v>
      </c>
      <c r="U54" s="188" t="str">
        <f>IF(SUM(U$37:U$38)=0,"",SUM(U$37:U$38))</f>
        <v/>
      </c>
      <c r="V54" s="188" t="str">
        <f>IF(SUM(V$37:V$38)=0,"",SUM(V$37:V$38))</f>
        <v/>
      </c>
      <c r="W54" s="188" t="str">
        <f>IF(SUM(W$37:W$38)=0,"",SUM(W$37:W$38))</f>
        <v/>
      </c>
      <c r="X54" s="188" t="str">
        <f>IF(SUM(X$37:X$38)=0,"",SUM(X$37:X$38))</f>
        <v/>
      </c>
      <c r="Y54" s="189"/>
      <c r="Z54" s="64"/>
      <c r="AA54" s="65"/>
      <c r="AB54" s="20"/>
      <c r="AC54" s="66"/>
      <c r="AH54" s="67"/>
      <c r="AK54" s="18">
        <f t="shared" si="14"/>
        <v>0</v>
      </c>
      <c r="AN54" s="20" t="s">
        <v>256</v>
      </c>
      <c r="AU54" s="56">
        <f t="shared" si="7"/>
        <v>0</v>
      </c>
      <c r="AV54" s="56">
        <f t="shared" si="7"/>
        <v>0</v>
      </c>
      <c r="BE54" s="18">
        <f t="shared" si="8"/>
        <v>0</v>
      </c>
      <c r="BL54" s="65" t="s">
        <v>160</v>
      </c>
      <c r="BM54" s="150">
        <f>$T$17</f>
        <v>2.0520584671944977E-2</v>
      </c>
      <c r="BN54" s="150" t="str">
        <f>$W$17</f>
        <v/>
      </c>
      <c r="BO54" s="150" t="str">
        <f>$X$17</f>
        <v/>
      </c>
      <c r="BZ54" s="61" t="str">
        <f t="shared" si="12"/>
        <v/>
      </c>
      <c r="CA54" s="60" t="str">
        <f t="shared" si="13"/>
        <v/>
      </c>
    </row>
    <row r="55" spans="1:79" ht="15.75" x14ac:dyDescent="0.25">
      <c r="A55" s="197"/>
      <c r="B55" s="19" t="s">
        <v>383</v>
      </c>
      <c r="C55" s="218">
        <v>0.8256</v>
      </c>
      <c r="D55" s="219" t="s">
        <v>369</v>
      </c>
      <c r="E55" s="220"/>
      <c r="G55" s="18">
        <f t="shared" si="17"/>
        <v>0</v>
      </c>
      <c r="H55" s="17"/>
      <c r="I55" s="18">
        <f t="shared" si="18"/>
        <v>0</v>
      </c>
      <c r="J55" s="17"/>
      <c r="M55" s="164" t="s">
        <v>336</v>
      </c>
      <c r="N55" s="174">
        <v>6</v>
      </c>
      <c r="O55" s="221"/>
      <c r="P55" s="174"/>
      <c r="Q55" s="174"/>
      <c r="R55" s="165"/>
      <c r="S55" s="166" t="s">
        <v>384</v>
      </c>
      <c r="T55" s="168"/>
      <c r="U55" s="213"/>
      <c r="V55" s="168"/>
      <c r="W55" s="168"/>
      <c r="X55" s="168"/>
      <c r="Y55" s="181"/>
      <c r="Z55" s="64"/>
      <c r="AA55" s="65"/>
      <c r="AB55" s="20"/>
      <c r="AC55" s="66"/>
      <c r="AH55" s="67"/>
      <c r="AK55" s="18">
        <f t="shared" si="14"/>
        <v>0</v>
      </c>
      <c r="AN55" s="20" t="s">
        <v>262</v>
      </c>
      <c r="AU55" s="56">
        <f t="shared" si="7"/>
        <v>0</v>
      </c>
      <c r="AV55" s="56">
        <f t="shared" si="7"/>
        <v>0</v>
      </c>
      <c r="BE55" s="18">
        <f t="shared" si="8"/>
        <v>0</v>
      </c>
      <c r="BL55" s="65" t="s">
        <v>385</v>
      </c>
      <c r="BM55" s="222">
        <f ca="1">IFERROR(IF(BQ$17="","",BQ$17/BM$50*100),"")</f>
        <v>0</v>
      </c>
      <c r="BN55" s="222" t="str">
        <f ca="1">IFERROR(IF(BR$17="","",BR$17/BN$50*100),"")</f>
        <v/>
      </c>
      <c r="BO55" s="222" t="str">
        <f>IFERROR(IF(BS$17="","",BS$17/BO$50*100),"")</f>
        <v/>
      </c>
      <c r="BZ55" s="61" t="str">
        <f t="shared" si="12"/>
        <v/>
      </c>
      <c r="CA55" s="60" t="str">
        <f t="shared" si="13"/>
        <v/>
      </c>
    </row>
    <row r="56" spans="1:79" ht="15.75" x14ac:dyDescent="0.25">
      <c r="A56" s="197"/>
      <c r="B56" s="19" t="s">
        <v>386</v>
      </c>
      <c r="C56" s="223">
        <v>39.890503875968989</v>
      </c>
      <c r="D56" s="224"/>
      <c r="E56" s="225"/>
      <c r="G56" s="18">
        <f t="shared" si="17"/>
        <v>0</v>
      </c>
      <c r="H56" s="17"/>
      <c r="I56" s="18">
        <f t="shared" si="18"/>
        <v>0</v>
      </c>
      <c r="J56" s="17"/>
      <c r="M56" s="180" t="s">
        <v>342</v>
      </c>
      <c r="N56" s="174">
        <v>7</v>
      </c>
      <c r="O56" s="226"/>
      <c r="P56" s="174"/>
      <c r="Q56" s="174"/>
      <c r="R56" s="227" t="s">
        <v>387</v>
      </c>
      <c r="S56" s="228" t="str">
        <f>R56&amp;"_MW"</f>
        <v>C36_PLUS_MW</v>
      </c>
      <c r="T56" s="229"/>
      <c r="U56" s="230"/>
      <c r="V56" s="168"/>
      <c r="W56" s="168"/>
      <c r="X56" s="168"/>
      <c r="Y56" s="181"/>
      <c r="Z56" s="64"/>
      <c r="AA56" s="65"/>
      <c r="AB56" s="20"/>
      <c r="AC56" s="66"/>
      <c r="AH56" s="67"/>
      <c r="AK56" s="18">
        <f t="shared" si="14"/>
        <v>0</v>
      </c>
      <c r="AN56" s="20" t="s">
        <v>268</v>
      </c>
      <c r="AS56" s="20"/>
      <c r="AU56" s="56">
        <f t="shared" si="7"/>
        <v>0</v>
      </c>
      <c r="AV56" s="56">
        <f t="shared" si="7"/>
        <v>0</v>
      </c>
      <c r="BE56" s="18">
        <f t="shared" si="8"/>
        <v>0</v>
      </c>
      <c r="BL56" s="65" t="s">
        <v>388</v>
      </c>
      <c r="BM56" s="222">
        <f ca="1">IFERROR(IF(BQ$24="","",BQ$24/BM$51*100),"")</f>
        <v>0</v>
      </c>
      <c r="BN56" s="222" t="str">
        <f ca="1">IFERROR(IF(BR$24="","",BR$24/BN$51*100),"")</f>
        <v/>
      </c>
      <c r="BO56" s="222" t="str">
        <f>IFERROR(IF(BS$24="","",BS$24/BO$51*100),"")</f>
        <v/>
      </c>
      <c r="BZ56" s="61" t="str">
        <f t="shared" si="12"/>
        <v/>
      </c>
      <c r="CA56" s="60" t="str">
        <f t="shared" si="13"/>
        <v/>
      </c>
    </row>
    <row r="57" spans="1:79" ht="26.45" customHeight="1" x14ac:dyDescent="0.25">
      <c r="A57" s="231" t="s">
        <v>389</v>
      </c>
      <c r="B57" s="232" t="s">
        <v>390</v>
      </c>
      <c r="C57" s="233">
        <v>1.5808542255167237</v>
      </c>
      <c r="D57" s="224" t="s">
        <v>359</v>
      </c>
      <c r="E57" s="234"/>
      <c r="F57" s="88"/>
      <c r="G57" s="18">
        <f t="shared" si="17"/>
        <v>0</v>
      </c>
      <c r="H57" s="17"/>
      <c r="I57" s="18">
        <f t="shared" si="18"/>
        <v>0</v>
      </c>
      <c r="J57" s="17"/>
      <c r="M57" s="180" t="s">
        <v>349</v>
      </c>
      <c r="N57" s="174">
        <v>8</v>
      </c>
      <c r="O57" s="226"/>
      <c r="P57" s="174"/>
      <c r="Q57" s="174"/>
      <c r="R57" s="235"/>
      <c r="S57" s="228" t="str">
        <f>R56 &amp; "_MOLE_FRACTION"</f>
        <v>C36_PLUS_MOLE_FRACTION</v>
      </c>
      <c r="T57" s="236"/>
      <c r="U57" s="237"/>
      <c r="V57" s="238"/>
      <c r="W57" s="238"/>
      <c r="X57" s="238"/>
      <c r="Y57" s="189"/>
      <c r="Z57" s="64"/>
      <c r="AA57" s="65"/>
      <c r="AB57" s="20"/>
      <c r="AC57" s="66"/>
      <c r="AH57" s="67"/>
      <c r="AK57" s="18">
        <f t="shared" si="14"/>
        <v>0</v>
      </c>
      <c r="AN57" s="20" t="s">
        <v>273</v>
      </c>
      <c r="AU57" s="56">
        <f t="shared" si="7"/>
        <v>0</v>
      </c>
      <c r="AV57" s="56">
        <f t="shared" si="7"/>
        <v>0</v>
      </c>
      <c r="BE57" s="18">
        <f t="shared" si="8"/>
        <v>0</v>
      </c>
      <c r="BL57" s="65" t="s">
        <v>391</v>
      </c>
      <c r="BM57" s="222">
        <f ca="1">IFERROR(IF(BQ$9="","",BQ$9/BM$49*100),"")</f>
        <v>0</v>
      </c>
      <c r="BN57" s="222" t="str">
        <f ca="1">IFERROR(IF(BR$9="","",BR$9/BN$49*100),"")</f>
        <v/>
      </c>
      <c r="BO57" s="222" t="str">
        <f>IFERROR(IF(BS$9="","",BS$9/BO$49*100),"")</f>
        <v/>
      </c>
      <c r="BZ57" s="61" t="str">
        <f t="shared" si="12"/>
        <v/>
      </c>
      <c r="CA57" s="60" t="str">
        <f t="shared" si="13"/>
        <v/>
      </c>
    </row>
    <row r="58" spans="1:79" ht="15.75" x14ac:dyDescent="0.25">
      <c r="A58" s="239"/>
      <c r="B58" s="232" t="s">
        <v>392</v>
      </c>
      <c r="C58" s="240">
        <v>1063.9000000000001</v>
      </c>
      <c r="D58" s="224" t="s">
        <v>364</v>
      </c>
      <c r="E58" s="241"/>
      <c r="F58" s="92"/>
      <c r="G58" s="18">
        <f t="shared" si="17"/>
        <v>0</v>
      </c>
      <c r="H58" s="17"/>
      <c r="I58" s="18">
        <f t="shared" si="18"/>
        <v>0</v>
      </c>
      <c r="J58" s="17"/>
      <c r="M58" s="180" t="s">
        <v>355</v>
      </c>
      <c r="N58" s="174">
        <v>9</v>
      </c>
      <c r="O58" s="226"/>
      <c r="P58" s="174"/>
      <c r="Q58" s="174"/>
      <c r="R58" s="242"/>
      <c r="S58" s="228" t="str">
        <f>R56 &amp; "_DENSITY_g/cc"</f>
        <v>C36_PLUS_DENSITY_g/cc</v>
      </c>
      <c r="T58" s="229"/>
      <c r="U58" s="230"/>
      <c r="V58" s="168"/>
      <c r="W58" s="168"/>
      <c r="X58" s="168"/>
      <c r="Y58" s="181"/>
      <c r="Z58" s="64"/>
      <c r="AA58" s="65"/>
      <c r="AB58" s="20"/>
      <c r="AC58" s="66"/>
      <c r="AH58" s="67"/>
      <c r="AK58" s="18">
        <f t="shared" si="14"/>
        <v>0</v>
      </c>
      <c r="AN58" s="20" t="s">
        <v>280</v>
      </c>
      <c r="AU58" s="56">
        <f t="shared" si="7"/>
        <v>0</v>
      </c>
      <c r="AV58" s="56">
        <f t="shared" si="7"/>
        <v>0</v>
      </c>
      <c r="BE58" s="18">
        <f t="shared" si="8"/>
        <v>0</v>
      </c>
      <c r="BL58" s="65" t="s">
        <v>393</v>
      </c>
      <c r="BM58" s="222">
        <f ca="1">IFERROR(IF(BQ$10="","",BQ$10/BM$50*100),"")</f>
        <v>0</v>
      </c>
      <c r="BN58" s="222" t="str">
        <f ca="1">IFERROR(IF(BR$10="","",BR$10/BN$50*100),"")</f>
        <v/>
      </c>
      <c r="BO58" s="222" t="str">
        <f>IFERROR(IF(BS$10="","",BS$10/BO$50*100),"")</f>
        <v/>
      </c>
      <c r="BZ58" s="61" t="str">
        <f t="shared" si="12"/>
        <v/>
      </c>
      <c r="CA58" s="60" t="str">
        <f t="shared" si="13"/>
        <v/>
      </c>
    </row>
    <row r="59" spans="1:79" ht="15.75" x14ac:dyDescent="0.25">
      <c r="A59" s="239"/>
      <c r="B59" s="232" t="s">
        <v>394</v>
      </c>
      <c r="C59" s="243">
        <v>0.82520000000000004</v>
      </c>
      <c r="D59" s="224" t="s">
        <v>369</v>
      </c>
      <c r="E59" s="244"/>
      <c r="F59" s="97"/>
      <c r="G59" s="18">
        <f t="shared" si="17"/>
        <v>0</v>
      </c>
      <c r="H59" s="17"/>
      <c r="I59" s="18">
        <f t="shared" si="18"/>
        <v>0</v>
      </c>
      <c r="J59" s="17"/>
      <c r="M59" s="164" t="s">
        <v>360</v>
      </c>
      <c r="N59" s="174">
        <v>10</v>
      </c>
      <c r="O59" s="245"/>
      <c r="P59" s="174"/>
      <c r="Q59" s="174"/>
      <c r="S59" s="110" t="s">
        <v>395</v>
      </c>
      <c r="T59" s="246" t="str">
        <f>R56</f>
        <v>C36_PLUS</v>
      </c>
      <c r="U59" s="168"/>
      <c r="V59" s="168"/>
      <c r="W59" s="168"/>
      <c r="X59" s="168"/>
      <c r="Y59" s="181"/>
      <c r="Z59" s="64"/>
      <c r="AA59" s="65"/>
      <c r="AB59" s="20"/>
      <c r="AC59" s="66"/>
      <c r="AH59" s="67"/>
      <c r="AK59" s="18">
        <f t="shared" si="14"/>
        <v>0</v>
      </c>
      <c r="AN59" s="20" t="s">
        <v>285</v>
      </c>
      <c r="AU59" s="56">
        <f t="shared" si="7"/>
        <v>0</v>
      </c>
      <c r="AV59" s="56">
        <f t="shared" si="7"/>
        <v>0</v>
      </c>
      <c r="BE59" s="18">
        <f t="shared" si="8"/>
        <v>0</v>
      </c>
      <c r="BL59" s="65" t="s">
        <v>396</v>
      </c>
      <c r="BM59" s="222">
        <f ca="1">IFERROR(IF(BQ$11="","",BQ$11/BM$49*100),"")</f>
        <v>0</v>
      </c>
      <c r="BN59" s="222" t="str">
        <f ca="1">IFERROR(IF(BR$11="","",BR$11/BN$49*100),"")</f>
        <v/>
      </c>
      <c r="BO59" s="222" t="str">
        <f>IFERROR(IF(BS$11="","",BS$11/BO$49*100),"")</f>
        <v/>
      </c>
      <c r="BZ59" s="61" t="str">
        <f t="shared" si="12"/>
        <v/>
      </c>
      <c r="CA59" s="60" t="str">
        <f t="shared" si="13"/>
        <v/>
      </c>
    </row>
    <row r="60" spans="1:79" ht="15.75" x14ac:dyDescent="0.25">
      <c r="A60" s="239"/>
      <c r="B60" s="232" t="s">
        <v>397</v>
      </c>
      <c r="C60" s="247">
        <v>39.97358216190014</v>
      </c>
      <c r="D60" s="224" t="s">
        <v>138</v>
      </c>
      <c r="E60" s="248"/>
      <c r="F60" s="100"/>
      <c r="G60" s="18">
        <f t="shared" si="17"/>
        <v>0</v>
      </c>
      <c r="H60" s="17"/>
      <c r="I60" s="18">
        <f t="shared" si="18"/>
        <v>0</v>
      </c>
      <c r="J60" s="17"/>
      <c r="R60" s="249" t="s">
        <v>398</v>
      </c>
      <c r="S60" s="166" t="s">
        <v>399</v>
      </c>
      <c r="T60" s="168"/>
      <c r="U60" s="168"/>
      <c r="V60" s="168"/>
      <c r="W60" s="168"/>
      <c r="X60" s="168"/>
      <c r="Y60" s="181"/>
      <c r="Z60" s="64"/>
      <c r="AA60" s="65"/>
      <c r="AB60" s="20"/>
      <c r="AC60" s="66"/>
      <c r="AH60" s="67"/>
      <c r="AK60" s="18">
        <f t="shared" si="14"/>
        <v>0</v>
      </c>
      <c r="AN60" s="20" t="s">
        <v>293</v>
      </c>
      <c r="AU60" s="56">
        <f t="shared" si="7"/>
        <v>0</v>
      </c>
      <c r="AV60" s="56">
        <f t="shared" si="7"/>
        <v>0</v>
      </c>
      <c r="BE60" s="18">
        <f t="shared" si="8"/>
        <v>0</v>
      </c>
      <c r="BL60" s="65" t="s">
        <v>400</v>
      </c>
      <c r="BM60" s="222">
        <f ca="1">IFERROR(IF(BQ$12="","",BQ$12/BM$50*100),"")</f>
        <v>0</v>
      </c>
      <c r="BN60" s="222" t="str">
        <f ca="1">IFERROR(IF(BR$12="","",BR$12/BN$50*100),"")</f>
        <v/>
      </c>
      <c r="BO60" s="222" t="str">
        <f>IFERROR(IF(BS$12="","",BS$12/BO$50*100),"")</f>
        <v/>
      </c>
      <c r="BZ60" s="61" t="str">
        <f t="shared" si="12"/>
        <v/>
      </c>
      <c r="CA60" s="60" t="str">
        <f t="shared" si="13"/>
        <v/>
      </c>
    </row>
    <row r="61" spans="1:79" ht="15.75" x14ac:dyDescent="0.25">
      <c r="A61" s="239"/>
      <c r="B61" s="232" t="s">
        <v>401</v>
      </c>
      <c r="C61" s="250">
        <f>IF(B37&lt;&gt;"",  B37,  "")</f>
        <v>105</v>
      </c>
      <c r="D61" s="251" t="s">
        <v>402</v>
      </c>
      <c r="F61" s="86"/>
      <c r="G61" s="18">
        <f t="shared" si="17"/>
        <v>0</v>
      </c>
      <c r="H61" s="17"/>
      <c r="I61" s="18">
        <f t="shared" si="18"/>
        <v>0</v>
      </c>
      <c r="J61" s="17"/>
      <c r="R61" s="249"/>
      <c r="S61" s="166" t="s">
        <v>403</v>
      </c>
      <c r="T61" s="188">
        <f>IF(SUM(T$18:T$38)=0,"",SUM(T$18:T$38))</f>
        <v>0.18326396031760656</v>
      </c>
      <c r="U61" s="188" t="str">
        <f>IF(SUM(U$18:U$38)=0,"",SUM(U$18:U$38))</f>
        <v/>
      </c>
      <c r="V61" s="188" t="str">
        <f>IF(SUM(V$18:V$38)=0,"",SUM(V$18:V$38))</f>
        <v/>
      </c>
      <c r="W61" s="188" t="str">
        <f>IF(SUM(W$18:W$38)=0,"",SUM(W$18:W$38))</f>
        <v/>
      </c>
      <c r="X61" s="188" t="str">
        <f>IF(SUM(X$18:X$38)=0,"",SUM(X$18:X$38))</f>
        <v/>
      </c>
      <c r="Y61" s="189"/>
      <c r="Z61" s="64"/>
      <c r="AA61" s="65"/>
      <c r="AB61" s="20"/>
      <c r="AC61" s="66"/>
      <c r="AH61" s="67"/>
      <c r="AK61" s="18">
        <f t="shared" si="14"/>
        <v>0</v>
      </c>
      <c r="AN61" s="20" t="s">
        <v>308</v>
      </c>
      <c r="AU61" s="56">
        <f t="shared" si="7"/>
        <v>0</v>
      </c>
      <c r="AV61" s="56">
        <f t="shared" si="7"/>
        <v>0</v>
      </c>
      <c r="BE61" s="18">
        <f t="shared" si="8"/>
        <v>0</v>
      </c>
      <c r="BL61" s="65" t="s">
        <v>404</v>
      </c>
      <c r="BM61" s="222">
        <f ca="1">IFERROR(IF(BQ$13="","",BQ$13/BM$50*100),"")</f>
        <v>0</v>
      </c>
      <c r="BN61" s="222" t="str">
        <f ca="1">IFERROR(IF(BR$13="","",BR$13/BN$50*100),"")</f>
        <v/>
      </c>
      <c r="BO61" s="222" t="str">
        <f>IFERROR(IF(BS$13="","",BS$13/BO$50*100),"")</f>
        <v/>
      </c>
    </row>
    <row r="62" spans="1:79" ht="15.75" x14ac:dyDescent="0.25">
      <c r="A62" s="252"/>
      <c r="B62" s="232" t="s">
        <v>405</v>
      </c>
      <c r="C62" s="250">
        <f>IF(B38&lt;&gt;"",  B38,  "")</f>
        <v>125</v>
      </c>
      <c r="D62" s="68" t="s">
        <v>302</v>
      </c>
      <c r="F62" s="86"/>
      <c r="G62" s="18">
        <f t="shared" si="17"/>
        <v>0</v>
      </c>
      <c r="H62" s="17"/>
      <c r="I62" s="18">
        <f t="shared" si="18"/>
        <v>0</v>
      </c>
      <c r="J62" s="17"/>
      <c r="R62" s="249"/>
      <c r="S62" s="166" t="s">
        <v>406</v>
      </c>
      <c r="T62" s="168"/>
      <c r="U62" s="168"/>
      <c r="V62" s="168"/>
      <c r="W62" s="168"/>
      <c r="X62" s="168"/>
      <c r="Y62" s="181"/>
      <c r="Z62" s="64"/>
      <c r="AA62" s="65"/>
      <c r="AB62" s="20"/>
      <c r="AC62" s="66"/>
      <c r="AH62" s="67"/>
      <c r="AK62" s="18">
        <f t="shared" si="14"/>
        <v>0</v>
      </c>
      <c r="AN62" s="20" t="s">
        <v>407</v>
      </c>
      <c r="AU62" s="56">
        <f t="shared" si="7"/>
        <v>0</v>
      </c>
      <c r="AV62" s="56">
        <f t="shared" si="7"/>
        <v>0</v>
      </c>
      <c r="BE62" s="18">
        <f t="shared" si="8"/>
        <v>0</v>
      </c>
      <c r="BL62" s="65" t="s">
        <v>408</v>
      </c>
      <c r="BM62" s="222">
        <f ca="1">IFERROR(IF(BQ$14="","",BQ$14/BM$50*100),"")</f>
        <v>0</v>
      </c>
      <c r="BN62" s="222" t="str">
        <f ca="1">IFERROR(IF(BR$14="","",BR$14/BN$50*100),"")</f>
        <v/>
      </c>
      <c r="BO62" s="222" t="str">
        <f>IFERROR(IF(BS$14="","",BS$14/BO$50*100),"")</f>
        <v/>
      </c>
      <c r="BZ62" t="s">
        <v>409</v>
      </c>
    </row>
    <row r="63" spans="1:79" ht="15.75" x14ac:dyDescent="0.25">
      <c r="A63" s="253"/>
      <c r="B63" s="19"/>
      <c r="C63" s="68"/>
      <c r="D63" s="19"/>
      <c r="F63" s="86"/>
      <c r="G63" s="18">
        <f t="shared" si="17"/>
        <v>0</v>
      </c>
      <c r="H63" s="17"/>
      <c r="I63" s="18">
        <f t="shared" si="18"/>
        <v>0</v>
      </c>
      <c r="J63" s="17"/>
      <c r="R63" s="249" t="s">
        <v>410</v>
      </c>
      <c r="S63" s="166" t="s">
        <v>411</v>
      </c>
      <c r="T63" s="168"/>
      <c r="U63" s="168"/>
      <c r="V63" s="168"/>
      <c r="W63" s="168"/>
      <c r="X63" s="168"/>
      <c r="Y63" s="181"/>
      <c r="Z63" s="64"/>
      <c r="AA63" s="65"/>
      <c r="AB63" s="20"/>
      <c r="AC63" s="66"/>
      <c r="AH63" s="67"/>
      <c r="AK63" s="18">
        <f t="shared" si="14"/>
        <v>0</v>
      </c>
      <c r="AU63" s="254"/>
      <c r="AV63" s="20"/>
      <c r="BE63" s="18">
        <f t="shared" si="8"/>
        <v>0</v>
      </c>
      <c r="BL63" s="65" t="s">
        <v>412</v>
      </c>
      <c r="BM63" s="222">
        <f ca="1">IFERROR(IF(BQ$16="","",BQ$16/BM$50*100),"")</f>
        <v>0</v>
      </c>
      <c r="BN63" s="222" t="str">
        <f ca="1">IFERROR(IF(BR$16="","",BR$16/BN$50*100),"")</f>
        <v/>
      </c>
      <c r="BO63" s="222" t="str">
        <f>IFERROR(IF(BS$16="","",BS$16/BO$50*100),"")</f>
        <v/>
      </c>
      <c r="BZ63" t="s">
        <v>413</v>
      </c>
    </row>
    <row r="64" spans="1:79" ht="15.75" x14ac:dyDescent="0.25">
      <c r="F64" s="86"/>
      <c r="G64" s="18">
        <f t="shared" si="17"/>
        <v>0</v>
      </c>
      <c r="H64" s="17"/>
      <c r="I64" s="18">
        <f t="shared" si="18"/>
        <v>0</v>
      </c>
      <c r="J64" s="17"/>
      <c r="R64" s="249"/>
      <c r="S64" s="166" t="s">
        <v>414</v>
      </c>
      <c r="T64" s="188">
        <f>IF(SUM(T$27:T$38)=0,"",SUM(T$27:T$38))</f>
        <v>7.073144634078124E-2</v>
      </c>
      <c r="U64" s="188" t="str">
        <f>IF(SUM(U$27:U$38)=0,"",SUM(U$27:U$38))</f>
        <v/>
      </c>
      <c r="V64" s="188" t="str">
        <f>IF(SUM(V$27:V$38)=0,"",SUM(V$27:V$38))</f>
        <v/>
      </c>
      <c r="W64" s="188" t="str">
        <f>IF(SUM(W$27:W$38)=0,"",SUM(W$27:W$38))</f>
        <v/>
      </c>
      <c r="X64" s="188" t="str">
        <f>IF(SUM(X$27:X$38)=0,"",SUM(X$27:X$38))</f>
        <v/>
      </c>
      <c r="Y64" s="189"/>
      <c r="Z64" s="64"/>
      <c r="AA64" s="65"/>
      <c r="AB64" s="20"/>
      <c r="AC64" s="66"/>
      <c r="AH64" s="67"/>
      <c r="AK64" s="18">
        <f t="shared" si="14"/>
        <v>0</v>
      </c>
      <c r="AU64" s="254"/>
      <c r="AV64" s="20"/>
      <c r="BE64" s="18">
        <f t="shared" si="8"/>
        <v>0</v>
      </c>
      <c r="BL64" s="65" t="s">
        <v>415</v>
      </c>
      <c r="BM64" s="222">
        <f ca="1">IFERROR(IF(BQ$18="","",BQ$18/BM$50*100),"")</f>
        <v>0</v>
      </c>
      <c r="BN64" s="222" t="str">
        <f ca="1">IFERROR(IF(BR$18="","",BR$18/BN$50*100),"")</f>
        <v/>
      </c>
      <c r="BO64" s="222" t="str">
        <f>IFERROR(IF(BS$18="","",BS$18/BO$50*100),"")</f>
        <v/>
      </c>
      <c r="BZ64" t="s">
        <v>416</v>
      </c>
    </row>
    <row r="65" spans="1:78" ht="15.75" x14ac:dyDescent="0.25">
      <c r="F65" s="86"/>
      <c r="G65" s="18">
        <f t="shared" si="17"/>
        <v>0</v>
      </c>
      <c r="H65" s="17"/>
      <c r="I65" s="18">
        <f t="shared" si="18"/>
        <v>0</v>
      </c>
      <c r="J65" s="17"/>
      <c r="R65" s="249"/>
      <c r="S65" s="166" t="s">
        <v>417</v>
      </c>
      <c r="T65" s="168"/>
      <c r="U65" s="168"/>
      <c r="V65" s="168"/>
      <c r="W65" s="168"/>
      <c r="X65" s="168"/>
      <c r="Y65" s="181"/>
      <c r="Z65" s="64"/>
      <c r="AA65" s="65"/>
      <c r="AB65" s="20"/>
      <c r="AC65" s="66"/>
      <c r="AH65" s="67"/>
      <c r="AK65" s="18">
        <f t="shared" si="14"/>
        <v>0</v>
      </c>
      <c r="AU65" s="254"/>
      <c r="AV65" s="20"/>
      <c r="BE65" s="18">
        <f t="shared" si="8"/>
        <v>0</v>
      </c>
      <c r="BL65" s="65" t="s">
        <v>418</v>
      </c>
      <c r="BM65" s="222">
        <f ca="1">IFERROR(IF(BQ$19="","",BQ$19/BM$51*100),"")</f>
        <v>0</v>
      </c>
      <c r="BN65" s="222" t="str">
        <f ca="1">IFERROR(IF(BR$19="","",BR$19/BN$51*100),"")</f>
        <v/>
      </c>
      <c r="BO65" s="222" t="str">
        <f>IFERROR(IF(BS$19="","",BS$19/BO$51*100),"")</f>
        <v/>
      </c>
      <c r="BZ65" t="s">
        <v>419</v>
      </c>
    </row>
    <row r="66" spans="1:78" ht="15.75" x14ac:dyDescent="0.25">
      <c r="A66" s="255"/>
      <c r="B66" s="256"/>
      <c r="C66" s="88"/>
      <c r="D66" s="257"/>
      <c r="E66" s="86"/>
      <c r="R66" s="249" t="s">
        <v>420</v>
      </c>
      <c r="S66" s="166" t="s">
        <v>421</v>
      </c>
      <c r="T66" s="168"/>
      <c r="U66" s="168"/>
      <c r="V66" s="168"/>
      <c r="W66" s="168"/>
      <c r="X66" s="168"/>
      <c r="Y66" s="181"/>
      <c r="Z66" s="64"/>
      <c r="AA66" s="65"/>
      <c r="AB66" s="20"/>
      <c r="AC66" s="66"/>
      <c r="AH66" s="67"/>
      <c r="AK66" s="18">
        <f t="shared" si="14"/>
        <v>0</v>
      </c>
      <c r="AU66" s="258"/>
      <c r="AV66" s="20"/>
      <c r="BE66" s="18">
        <f t="shared" si="8"/>
        <v>0</v>
      </c>
      <c r="BL66" s="65" t="s">
        <v>422</v>
      </c>
      <c r="BM66" s="222">
        <f ca="1">IFERROR(IF(BQ$20="","",BQ$20/BM$51*100),"")</f>
        <v>0</v>
      </c>
      <c r="BN66" s="222" t="str">
        <f ca="1">IFERROR(IF(BR$20="","",BR$20/BN$51*100),"")</f>
        <v/>
      </c>
      <c r="BO66" s="222" t="str">
        <f>IFERROR(IF(BS$20="","",BS$20/BO$51*100),"")</f>
        <v/>
      </c>
    </row>
    <row r="67" spans="1:78" ht="16.5" thickBot="1" x14ac:dyDescent="0.3">
      <c r="A67" s="255"/>
      <c r="B67" s="256"/>
      <c r="C67" s="88"/>
      <c r="D67" s="257"/>
      <c r="E67" s="86"/>
      <c r="M67" s="44" t="s">
        <v>423</v>
      </c>
      <c r="N67" s="44"/>
      <c r="R67" s="249"/>
      <c r="S67" s="166" t="s">
        <v>424</v>
      </c>
      <c r="T67" s="188">
        <f>IF(SUM(T$17:T$38)=0,"",SUM(T$17:T$38))</f>
        <v>0.20378454498955151</v>
      </c>
      <c r="U67" s="188" t="str">
        <f>IF(SUM(U$17:U$38)=0,"",SUM(U$17:U$38))</f>
        <v/>
      </c>
      <c r="V67" s="188" t="str">
        <f>IF(SUM(V$17:V$38)=0,"",SUM(V$17:V$38))</f>
        <v/>
      </c>
      <c r="W67" s="188" t="str">
        <f>IF(SUM(W$17:W$38)=0,"",SUM(W$17:W$38))</f>
        <v/>
      </c>
      <c r="X67" s="188" t="str">
        <f>IF(SUM(X$17:X$38)=0,"",SUM(X$17:X$38))</f>
        <v/>
      </c>
      <c r="Y67" s="189"/>
      <c r="Z67" s="259"/>
      <c r="AA67" s="260"/>
      <c r="AB67" s="261"/>
      <c r="AC67" s="262"/>
      <c r="AD67" s="263"/>
      <c r="AE67" s="263"/>
      <c r="AF67" s="263"/>
      <c r="AG67" s="263"/>
      <c r="AH67" s="124"/>
      <c r="AK67" s="18">
        <f t="shared" si="14"/>
        <v>0</v>
      </c>
      <c r="BL67" s="65" t="s">
        <v>425</v>
      </c>
      <c r="BM67" s="222">
        <f ca="1">IFERROR(IF(BQ$21="","",BQ$21/BM$52*100),"")</f>
        <v>0</v>
      </c>
      <c r="BN67" s="222" t="str">
        <f ca="1">IFERROR(IF(BR$21="","",BR$21/BN$52*100),"")</f>
        <v/>
      </c>
      <c r="BO67" s="222" t="str">
        <f>IFERROR(IF(BS$21="","",BS$21/BO$52*100),"")</f>
        <v/>
      </c>
    </row>
    <row r="68" spans="1:78" ht="17.25" thickTop="1" thickBot="1" x14ac:dyDescent="0.3">
      <c r="A68">
        <v>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M68" s="264" t="s">
        <v>426</v>
      </c>
      <c r="N68" s="264">
        <v>15</v>
      </c>
      <c r="R68" s="249"/>
      <c r="S68" s="166" t="s">
        <v>427</v>
      </c>
      <c r="T68" s="168"/>
      <c r="U68" s="168"/>
      <c r="V68" s="168"/>
      <c r="W68" s="168"/>
      <c r="X68" s="168"/>
      <c r="Y68" s="181"/>
      <c r="BL68" s="65" t="s">
        <v>428</v>
      </c>
      <c r="BM68" s="222">
        <f ca="1">IFERROR(IF(BQ$23="","",BQ$23/BM$51*100),"")</f>
        <v>0</v>
      </c>
      <c r="BN68" s="222" t="str">
        <f ca="1">IFERROR(IF(BR$23="","",BR$23/BN$51*100),"")</f>
        <v/>
      </c>
      <c r="BO68" s="222" t="str">
        <f>IFERROR(IF(BS$23="","",BS$23/BO$51*100),"")</f>
        <v/>
      </c>
    </row>
    <row r="69" spans="1:78" ht="16.5" thickTop="1" x14ac:dyDescent="0.25">
      <c r="A69" s="265" t="s">
        <v>429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M69" s="266">
        <f t="shared" ref="M69:M93" si="19">N69+$N$68</f>
        <v>15</v>
      </c>
      <c r="N69" s="267"/>
      <c r="BL69" s="65" t="s">
        <v>430</v>
      </c>
      <c r="BM69" s="222">
        <f ca="1">IFERROR(IF(BQ$26="","",BQ$26/BM$52*100),"")</f>
        <v>0</v>
      </c>
      <c r="BN69" s="222" t="str">
        <f ca="1">IFERROR(IF(BR$26="","",BR$26/BN$52*100),"")</f>
        <v/>
      </c>
      <c r="BO69" s="222" t="str">
        <f>IFERROR(IF(BS$26="","",BS$26/BO$52*100),"")</f>
        <v/>
      </c>
    </row>
    <row r="70" spans="1:78" ht="15.75" x14ac:dyDescent="0.25">
      <c r="A70" s="268" t="s">
        <v>431</v>
      </c>
      <c r="B70" s="269" t="s">
        <v>310</v>
      </c>
      <c r="C70" s="269" t="s">
        <v>432</v>
      </c>
      <c r="D70" s="269" t="s">
        <v>433</v>
      </c>
      <c r="E70" s="268" t="s">
        <v>434</v>
      </c>
      <c r="F70" s="268" t="s">
        <v>335</v>
      </c>
      <c r="G70" s="268" t="s">
        <v>435</v>
      </c>
      <c r="H70" s="268" t="s">
        <v>436</v>
      </c>
      <c r="I70" s="268" t="s">
        <v>437</v>
      </c>
      <c r="J70" s="268" t="s">
        <v>438</v>
      </c>
      <c r="K70" s="268" t="s">
        <v>348</v>
      </c>
      <c r="M70" s="18">
        <f t="shared" si="19"/>
        <v>15</v>
      </c>
      <c r="N70" s="270"/>
      <c r="R70" s="166"/>
      <c r="BL70" s="65" t="s">
        <v>439</v>
      </c>
      <c r="BM70" s="222">
        <f ca="1">IFERROR(IF(BQ$27="","",BQ$27/BM$52*100),"")</f>
        <v>0</v>
      </c>
      <c r="BN70" s="222" t="str">
        <f ca="1">IFERROR(IF(BR$27="","",BR$27/BN$52*100),"")</f>
        <v/>
      </c>
      <c r="BO70" s="222" t="str">
        <f>IFERROR(IF(BS$27="","",BS$27/BO$52*100),"")</f>
        <v/>
      </c>
    </row>
    <row r="71" spans="1:78" ht="15.75" x14ac:dyDescent="0.25">
      <c r="A71" s="153">
        <v>6515</v>
      </c>
      <c r="B71" s="271">
        <v>1.5356223321350999</v>
      </c>
      <c r="C71" s="161">
        <v>1070.0510482128557</v>
      </c>
      <c r="D71" s="271">
        <v>0.67594663878185568</v>
      </c>
      <c r="E71" s="271"/>
      <c r="F71" s="218"/>
      <c r="G71" s="271"/>
      <c r="H71" s="271">
        <v>0.50483618132816843</v>
      </c>
      <c r="I71" s="218"/>
      <c r="J71" s="272">
        <v>1.5356223321350999</v>
      </c>
      <c r="K71" s="273"/>
      <c r="M71" s="18">
        <f t="shared" si="19"/>
        <v>15</v>
      </c>
      <c r="N71" s="270"/>
      <c r="BL71" s="65" t="s">
        <v>440</v>
      </c>
      <c r="BM71" s="222">
        <f ca="1">IFERROR(IF(BQ$28="","",BQ$28/BM$52*100),"")</f>
        <v>0</v>
      </c>
      <c r="BN71" s="222" t="str">
        <f ca="1">IFERROR(IF(BR$28="","",BR$28/BN$52*100),"")</f>
        <v/>
      </c>
      <c r="BO71" s="222" t="str">
        <f>IFERROR(IF(BS$28="","",BS$28/BO$52*100),"")</f>
        <v/>
      </c>
    </row>
    <row r="72" spans="1:78" ht="15.75" x14ac:dyDescent="0.25">
      <c r="A72" s="153">
        <v>6015</v>
      </c>
      <c r="B72" s="271">
        <v>1.5434925707733458</v>
      </c>
      <c r="C72" s="161">
        <v>1070.0510482128557</v>
      </c>
      <c r="D72" s="271">
        <v>0.6725000000000001</v>
      </c>
      <c r="E72" s="271"/>
      <c r="F72" s="218"/>
      <c r="G72" s="271"/>
      <c r="H72" s="271">
        <v>0.48903506098339672</v>
      </c>
      <c r="I72" s="218"/>
      <c r="J72" s="272">
        <v>1.5434925707733458</v>
      </c>
      <c r="K72" s="273"/>
      <c r="M72" s="18">
        <f t="shared" si="19"/>
        <v>15</v>
      </c>
      <c r="N72" s="270"/>
      <c r="BL72" s="65" t="s">
        <v>441</v>
      </c>
      <c r="BM72" s="222">
        <f ca="1">IFERROR(IF(BQ$40="","",BQ$40/BM$53*100),"")</f>
        <v>0</v>
      </c>
      <c r="BN72" s="222" t="str">
        <f ca="1">IFERROR(IF(BR$40="","",BR$40/BN$53*100),"")</f>
        <v/>
      </c>
      <c r="BO72" s="222" t="str">
        <f>IFERROR(IF(BS$40="","",BS$40/BO$53*100),"")</f>
        <v/>
      </c>
    </row>
    <row r="73" spans="1:78" x14ac:dyDescent="0.25">
      <c r="A73" s="153">
        <v>5515</v>
      </c>
      <c r="B73" s="271">
        <v>1.5518595904688792</v>
      </c>
      <c r="C73" s="161">
        <v>1070.0510482128557</v>
      </c>
      <c r="D73" s="271">
        <v>0.66887414313781701</v>
      </c>
      <c r="E73" s="271"/>
      <c r="F73" s="218"/>
      <c r="G73" s="271"/>
      <c r="H73" s="271">
        <v>0.47423379949756511</v>
      </c>
      <c r="I73" s="218"/>
      <c r="J73" s="272">
        <v>1.5518595904688792</v>
      </c>
      <c r="K73" s="273"/>
      <c r="M73" s="18">
        <f t="shared" si="19"/>
        <v>15</v>
      </c>
      <c r="N73" s="270"/>
      <c r="R73" t="s">
        <v>442</v>
      </c>
      <c r="Y73" t="s">
        <v>443</v>
      </c>
      <c r="BL73" t="s">
        <v>444</v>
      </c>
      <c r="BM73" s="60">
        <f ca="1">IFERROR(IF(BQ$41="","",BQ$41/BM$52*100),"")</f>
        <v>0</v>
      </c>
      <c r="BN73" s="60" t="str">
        <f ca="1">IFERROR(IF(BR$41="","",BR$41/BN$52*100),"")</f>
        <v/>
      </c>
      <c r="BO73" s="60" t="str">
        <f>IFERROR(IF(BS$41="","",BS$41/BO$52*100),"")</f>
        <v/>
      </c>
    </row>
    <row r="74" spans="1:78" ht="15.75" x14ac:dyDescent="0.25">
      <c r="A74" s="153">
        <v>5015</v>
      </c>
      <c r="B74" s="271">
        <v>1.5609081480913518</v>
      </c>
      <c r="C74" s="161">
        <v>1070.0510482128557</v>
      </c>
      <c r="D74" s="271">
        <v>0.66499669126227567</v>
      </c>
      <c r="E74" s="271"/>
      <c r="F74" s="218"/>
      <c r="G74" s="271"/>
      <c r="H74" s="271">
        <v>0.45790924853198778</v>
      </c>
      <c r="I74" s="218"/>
      <c r="J74" s="272">
        <v>1.5609081480913518</v>
      </c>
      <c r="K74" s="273"/>
      <c r="M74" s="18">
        <f t="shared" si="19"/>
        <v>15</v>
      </c>
      <c r="N74" s="274"/>
      <c r="P74" s="208"/>
      <c r="Q74" s="208"/>
      <c r="R74" s="208"/>
      <c r="S74" s="208"/>
      <c r="T74" s="208"/>
      <c r="U74" s="208"/>
      <c r="V74" s="208"/>
      <c r="W74" s="208"/>
      <c r="X74" s="208"/>
      <c r="Y74" s="208" t="s">
        <v>445</v>
      </c>
      <c r="Z74" s="230"/>
      <c r="AU74" t="s">
        <v>333</v>
      </c>
      <c r="AW74" s="222">
        <f t="shared" ref="AW74:BC74" si="20">SUM(AW9:AW70)</f>
        <v>0</v>
      </c>
      <c r="AX74" s="222">
        <f t="shared" si="20"/>
        <v>0</v>
      </c>
      <c r="AY74" s="222">
        <f t="shared" si="20"/>
        <v>0</v>
      </c>
      <c r="AZ74" s="222">
        <f t="shared" si="20"/>
        <v>0</v>
      </c>
      <c r="BA74" s="222">
        <f t="shared" si="20"/>
        <v>0</v>
      </c>
      <c r="BB74" s="222">
        <f t="shared" si="20"/>
        <v>0</v>
      </c>
      <c r="BC74" s="222">
        <f t="shared" si="20"/>
        <v>0</v>
      </c>
    </row>
    <row r="75" spans="1:78" ht="15.75" x14ac:dyDescent="0.25">
      <c r="A75" s="153">
        <v>4520</v>
      </c>
      <c r="B75" s="271">
        <v>1.5708105899044904</v>
      </c>
      <c r="C75" s="161">
        <v>1070.0510482128557</v>
      </c>
      <c r="D75" s="271">
        <v>0.6608045301682034</v>
      </c>
      <c r="E75" s="271"/>
      <c r="F75" s="218"/>
      <c r="G75" s="271"/>
      <c r="H75" s="271">
        <v>0.44313478100814369</v>
      </c>
      <c r="I75" s="218"/>
      <c r="J75" s="272">
        <v>1.5708105899044904</v>
      </c>
      <c r="K75" s="273"/>
      <c r="M75" s="18">
        <f t="shared" si="19"/>
        <v>15</v>
      </c>
      <c r="N75" s="274"/>
      <c r="P75" s="208"/>
      <c r="Q75" s="208"/>
      <c r="R75" s="208"/>
      <c r="S75" s="208"/>
      <c r="T75" s="208"/>
      <c r="U75" s="208"/>
      <c r="V75" s="208"/>
      <c r="X75" s="208"/>
      <c r="Y75" s="208"/>
      <c r="Z75" s="230"/>
    </row>
    <row r="76" spans="1:78" ht="15.75" x14ac:dyDescent="0.25">
      <c r="A76" s="153">
        <v>4015</v>
      </c>
      <c r="B76" s="271">
        <v>1.5820777446234746</v>
      </c>
      <c r="C76" s="161">
        <v>1070.0510482128557</v>
      </c>
      <c r="D76" s="271">
        <v>0.65609844862087541</v>
      </c>
      <c r="E76" s="271"/>
      <c r="F76" s="218"/>
      <c r="G76" s="271"/>
      <c r="H76" s="271">
        <v>0.42305190255272279</v>
      </c>
      <c r="I76" s="218"/>
      <c r="J76" s="272">
        <v>1.5820777446234746</v>
      </c>
      <c r="K76" s="273"/>
      <c r="M76" s="18">
        <f t="shared" si="19"/>
        <v>15</v>
      </c>
      <c r="N76" s="274"/>
      <c r="P76" s="208"/>
      <c r="Q76" s="208"/>
      <c r="R76" s="208"/>
      <c r="S76" s="208"/>
      <c r="T76" s="208"/>
      <c r="U76" s="208"/>
      <c r="V76" s="208"/>
      <c r="X76" s="208"/>
      <c r="Y76" s="208"/>
      <c r="Z76" s="230"/>
      <c r="BL76" t="s">
        <v>446</v>
      </c>
      <c r="BM76" t="s">
        <v>447</v>
      </c>
    </row>
    <row r="77" spans="1:78" ht="15.75" x14ac:dyDescent="0.25">
      <c r="A77" s="153">
        <v>3515</v>
      </c>
      <c r="B77" s="271">
        <v>1.5947065324678955</v>
      </c>
      <c r="C77" s="161">
        <v>1070.0510482128557</v>
      </c>
      <c r="D77" s="271">
        <v>0.65090267877608521</v>
      </c>
      <c r="E77" s="271"/>
      <c r="F77" s="218"/>
      <c r="G77" s="271"/>
      <c r="H77" s="271">
        <v>0.40590025005823244</v>
      </c>
      <c r="I77" s="218"/>
      <c r="J77" s="272">
        <v>1.5947065324678955</v>
      </c>
      <c r="K77" s="273"/>
      <c r="M77" s="18">
        <f t="shared" si="19"/>
        <v>15</v>
      </c>
      <c r="N77" s="274"/>
      <c r="P77" s="213"/>
      <c r="Q77" s="213"/>
      <c r="R77" s="275"/>
      <c r="S77" s="275"/>
      <c r="T77" s="213"/>
      <c r="U77" s="213"/>
      <c r="V77" s="213"/>
      <c r="X77" s="213"/>
      <c r="Y77" s="276"/>
      <c r="Z77" s="230"/>
      <c r="BL77" t="s">
        <v>448</v>
      </c>
      <c r="BM77" s="150" t="str">
        <f ca="1">IF(SUM(BQ$9,BQ$10,BQ$12,BQ$13,BQ$14,BQ$19,BQ$20,BQ$21)=0,"",SUM(BQ$9,BQ$10,BQ$12,BQ$13,BQ$14,BQ$19,BQ$20,BQ$21))</f>
        <v/>
      </c>
      <c r="BN77" s="150" t="str">
        <f ca="1">IF(SUM(BR$9,BR$10,BR$12,BR$13,BR$14,BR$19,BR$20,BR$21)=0,"",SUM(BR$9,BR$10,BR$12,BR$13,BR$14,BR$19,BR$20,BR$21))</f>
        <v/>
      </c>
      <c r="BO77" s="150" t="str">
        <f>IF(SUM(BS$9,BS$10,BS$12,BS$13,BS$14,BS$19,BS$20,BS$21)=0,"",SUM(BS$9,BS$10,BS$12,BS$13,BS$14,BS$19,BS$20,BS$21))</f>
        <v/>
      </c>
    </row>
    <row r="78" spans="1:78" ht="15.75" x14ac:dyDescent="0.25">
      <c r="A78" s="153">
        <v>3215</v>
      </c>
      <c r="B78" s="271">
        <v>1.6033829674423847</v>
      </c>
      <c r="C78" s="161">
        <v>1070.0510482128557</v>
      </c>
      <c r="D78" s="271">
        <v>0.64738042933113182</v>
      </c>
      <c r="E78" s="271"/>
      <c r="F78" s="218"/>
      <c r="G78" s="271"/>
      <c r="H78" s="271">
        <v>0.39452055123763174</v>
      </c>
      <c r="I78" s="218"/>
      <c r="J78" s="272">
        <v>1.6033829674423847</v>
      </c>
      <c r="K78" s="273"/>
      <c r="M78" s="18">
        <f t="shared" si="19"/>
        <v>15</v>
      </c>
      <c r="N78" s="274"/>
      <c r="P78" s="275"/>
      <c r="Q78" s="275"/>
      <c r="R78" s="275"/>
      <c r="S78" s="275"/>
      <c r="T78" s="213"/>
      <c r="U78" s="213"/>
      <c r="V78" s="213"/>
      <c r="W78" s="213"/>
      <c r="X78" s="213"/>
      <c r="Y78" s="276"/>
      <c r="Z78" s="230"/>
      <c r="BL78" t="s">
        <v>449</v>
      </c>
      <c r="BM78" s="150" t="str">
        <f ca="1">IF(SUM(BQ$11,BQ$16,BQ$18,BQ$23)=0,"",SUM(BQ$11,BQ$16,BQ$18,BQ$23))</f>
        <v/>
      </c>
      <c r="BN78" s="150" t="str">
        <f ca="1">IF(SUM(BR$11,BR$16,BR$18,BR$23)=0,"",SUM(BR$11,BR$16,BR$18,BR$23))</f>
        <v/>
      </c>
      <c r="BO78" s="150" t="str">
        <f>IF(SUM(BS$11,BS$16,BS$18,BS$23)=0,"",SUM(BS$11,BS$16,BS$18,BS$23))</f>
        <v/>
      </c>
    </row>
    <row r="79" spans="1:78" ht="15.75" x14ac:dyDescent="0.25">
      <c r="A79" s="153">
        <v>2815</v>
      </c>
      <c r="B79" s="271">
        <v>1.5286646661081267</v>
      </c>
      <c r="C79" s="161">
        <v>929.97859106997316</v>
      </c>
      <c r="D79" s="271">
        <v>0.66484808087947922</v>
      </c>
      <c r="E79" s="271">
        <v>0.84269190934846194</v>
      </c>
      <c r="F79" s="218">
        <v>5.3198470860283571E-3</v>
      </c>
      <c r="G79" s="271">
        <v>0.71251444040867362</v>
      </c>
      <c r="H79" s="271">
        <v>0.4042791165439375</v>
      </c>
      <c r="I79" s="218">
        <v>1.997382294295558E-2</v>
      </c>
      <c r="J79" s="272">
        <v>1.6613789307238558</v>
      </c>
      <c r="K79" s="273">
        <v>187.97532782968972</v>
      </c>
      <c r="M79" s="18">
        <f t="shared" si="19"/>
        <v>15</v>
      </c>
      <c r="N79" s="274"/>
      <c r="P79" s="275"/>
      <c r="Q79" s="275"/>
      <c r="R79" s="275"/>
      <c r="S79" s="275"/>
      <c r="T79" s="230"/>
      <c r="U79" s="213"/>
      <c r="V79" s="277"/>
      <c r="W79" s="213"/>
      <c r="X79" s="213"/>
      <c r="Y79" s="276"/>
      <c r="Z79" s="230"/>
      <c r="BL79" t="s">
        <v>450</v>
      </c>
      <c r="BM79" s="150" t="str">
        <f ca="1">IF(SUM(BQ$17,BQ$24,BQ$26,BQ$27,BQ$28,BQ$41)=0,"",SUM(BQ$17,BQ$24,BQ$26,BQ$27,BQ$28,BQ$41))</f>
        <v/>
      </c>
      <c r="BN79" s="150" t="str">
        <f ca="1">IF(SUM(BR$17,BR$24,BR$26,BR$27,BR$28,BR$41)=0,"",SUM(BR$17,BR$24,BR$26,BR$27,BR$28,BR$41))</f>
        <v/>
      </c>
      <c r="BO79" s="150" t="str">
        <f>IF(SUM(BS$17,BS$24,BS$26,BS$27,BS$28,BS$41)=0,"",SUM(BS$17,BS$24,BS$26,BS$27,BS$28,BS$41))</f>
        <v/>
      </c>
    </row>
    <row r="80" spans="1:78" ht="15.75" x14ac:dyDescent="0.25">
      <c r="A80" s="153">
        <v>2415</v>
      </c>
      <c r="B80" s="271">
        <v>1.467189639796924</v>
      </c>
      <c r="C80" s="161">
        <v>796.97280284131421</v>
      </c>
      <c r="D80" s="271">
        <v>0.67874961705340386</v>
      </c>
      <c r="E80" s="271">
        <v>0.83955381476929847</v>
      </c>
      <c r="F80" s="218">
        <v>6.1725797009296738E-3</v>
      </c>
      <c r="G80" s="271">
        <v>0.70243185585670442</v>
      </c>
      <c r="H80" s="271">
        <v>0.45330852884368872</v>
      </c>
      <c r="I80" s="218">
        <v>1.8305910524903046E-2</v>
      </c>
      <c r="J80" s="272">
        <v>1.767395744047453</v>
      </c>
      <c r="K80" s="273">
        <v>162.00681861578661</v>
      </c>
      <c r="M80" s="18">
        <f t="shared" si="19"/>
        <v>15</v>
      </c>
      <c r="N80" s="278"/>
      <c r="P80" s="230"/>
      <c r="Q80" s="230"/>
      <c r="R80" s="230"/>
      <c r="S80" s="230"/>
      <c r="T80" s="213"/>
      <c r="U80" s="230"/>
      <c r="V80" s="230"/>
      <c r="W80" s="230"/>
      <c r="X80" s="230"/>
      <c r="Y80" s="230"/>
      <c r="Z80" s="230"/>
      <c r="BL80" t="s">
        <v>451</v>
      </c>
      <c r="BM80" s="222">
        <f ca="1">IFERROR(($BU$10*BQ$10+$BU$12*BQ$12+$BU$13*BQ$13+$BU$14*BQ$14+$BU$16*BQ$16+$BU$17*BQ$17+$BU$18*BQ$18+$BU$35*BQ$35)/(BM$50-BQ$15),"")</f>
        <v>12.674588716130303</v>
      </c>
      <c r="BN80" s="222" t="str">
        <f ca="1">IFERROR(($BU$10*BR$10+$BU$12*BR$12+$BU$13*BR$13+$BU$14*BR$14+$BU$16*BR$16+$BU$17*BR$17+$BU$18*BR$18+$BU$35*BR$35)/(BN$50-BR$15),"")</f>
        <v/>
      </c>
      <c r="BO80" s="222" t="str">
        <f>IFERROR(($BU$10*BS$10+$BU$12*BS$12+$BU$13*BS$13+$BU$14*BS$14+$BU$16*BS$16+$BU$17*BS$17+$BU$18*BS$18+$BU$35*BS$35)/(BO$50-BS$15),"")</f>
        <v/>
      </c>
    </row>
    <row r="81" spans="1:67" ht="15.75" x14ac:dyDescent="0.25">
      <c r="A81" s="153">
        <v>2115</v>
      </c>
      <c r="B81" s="271">
        <v>1.4240660207447378</v>
      </c>
      <c r="C81" s="161">
        <v>703.24742543851403</v>
      </c>
      <c r="D81" s="271">
        <v>0.68932552473942488</v>
      </c>
      <c r="E81" s="271">
        <v>0.84363796647845735</v>
      </c>
      <c r="F81" s="218">
        <v>7.0763386181334218E-3</v>
      </c>
      <c r="G81" s="271">
        <v>0.69553080257357025</v>
      </c>
      <c r="H81" s="271">
        <v>0.4941143192936433</v>
      </c>
      <c r="I81" s="218">
        <v>1.7177904804384397E-2</v>
      </c>
      <c r="J81" s="272">
        <v>1.886349030132306</v>
      </c>
      <c r="K81" s="273">
        <v>141.31601863108375</v>
      </c>
      <c r="L81" s="230"/>
      <c r="M81" s="18">
        <f t="shared" si="19"/>
        <v>15</v>
      </c>
      <c r="N81" s="274"/>
      <c r="P81" s="275"/>
      <c r="Q81" s="275"/>
      <c r="R81" s="279" t="s">
        <v>40</v>
      </c>
      <c r="S81" s="280"/>
      <c r="T81" s="281"/>
      <c r="U81" s="281"/>
      <c r="V81" s="281"/>
      <c r="W81" s="281"/>
      <c r="X81" s="281"/>
      <c r="Y81" s="281"/>
      <c r="Z81" s="281"/>
      <c r="AA81" s="281"/>
      <c r="AB81" s="282"/>
      <c r="BL81" t="s">
        <v>452</v>
      </c>
      <c r="BM81" s="222">
        <f ca="1">IFERROR(($BU$19*BQ$19+$BU$20*BQ$20+$BU$23*BQ$23+$BU$24*BQ$24+$BU$36*BQ$36)/(BM$51-BQ$22),"")</f>
        <v>12.580736576891665</v>
      </c>
      <c r="BN81" s="222" t="str">
        <f ca="1">IFERROR(($BU$19*BR$19+$BU$20*BR$20+$BU$23*BR$23+$BU$24*BR$24+$BU$36*BR$36)/(BN$51-BR$22),"")</f>
        <v/>
      </c>
      <c r="BO81" s="222" t="str">
        <f>IFERROR(($BU$19*BS$19+$BU$20*BS$20+$BU$23*BS$23+$BU$24*BS$24+$BU$36*BS$36)/(BO$51-BS$22),"")</f>
        <v/>
      </c>
    </row>
    <row r="82" spans="1:67" ht="15.75" x14ac:dyDescent="0.25">
      <c r="A82" s="153">
        <v>1815</v>
      </c>
      <c r="B82" s="271">
        <v>1.384471059450789</v>
      </c>
      <c r="C82" s="161">
        <v>622.1589242215083</v>
      </c>
      <c r="D82" s="271">
        <v>0.70014477817340193</v>
      </c>
      <c r="E82" s="271">
        <v>0.85036947601852164</v>
      </c>
      <c r="F82" s="218">
        <v>8.3023077897459961E-3</v>
      </c>
      <c r="G82" s="271">
        <v>0.69327239290422626</v>
      </c>
      <c r="H82" s="271">
        <v>0.53238400151836207</v>
      </c>
      <c r="I82" s="218">
        <v>1.6198188685540602E-2</v>
      </c>
      <c r="J82" s="272">
        <v>2.0467454539045975</v>
      </c>
      <c r="K82" s="273">
        <v>120.44843738930985</v>
      </c>
      <c r="L82" s="230"/>
      <c r="M82" s="18">
        <f t="shared" si="19"/>
        <v>15</v>
      </c>
      <c r="N82" s="274"/>
      <c r="P82" s="275"/>
      <c r="Q82" s="275"/>
      <c r="R82" s="283"/>
      <c r="S82" s="284"/>
      <c r="T82" s="284"/>
      <c r="U82" s="284"/>
      <c r="V82" s="284"/>
      <c r="W82" s="284"/>
      <c r="X82" s="285"/>
      <c r="Y82" s="286"/>
      <c r="Z82" s="286"/>
      <c r="AA82" s="286"/>
      <c r="AB82" s="286"/>
      <c r="BL82" t="s">
        <v>453</v>
      </c>
      <c r="BM82" s="222">
        <f ca="1">IFERROR((($BU$10*BQ$10+$BU$12*BQ$12+$BU$13*BQ$13+$BU$14*BQ$14+$BU$16*BQ$16+$BU$17*BQ$17+$BU$18*BQ$18+$BU$35*BQ$35)+($BU$19*BQ$19+$BU$20*BQ$20+$BU$23*BQ$23+$BU$24*BQ$24+$BU$36*BQ$36))/(BM$50-BQ$15+BM$51-BQ$22),"")</f>
        <v>12.619805315785767</v>
      </c>
      <c r="BN82" s="222" t="str">
        <f ca="1">IFERROR((($BU$10*BR$10+$BU$12*BR$12+$BU$13*BR$13+$BU$14*BR$14+$BU$16*BR$16+$BU$17*BR$17+$BU$18*BR$18+$BU$35*BR$35)+($BU$19*BR$19+$BU$20*BR$20+$BU$23*BR$23+$BU$24*BR$24+$BU$36*BR$36))/(BN$50-BR$15+BN$51-BR$22),"")</f>
        <v/>
      </c>
      <c r="BO82" s="222" t="str">
        <f>IFERROR((($BU$10*BS$10+$BU$12*BS$12+$BU$13*BS$13+$BU$14*BS$14+$BU$16*BS$16+$BU$17*BS$17+$BU$18*BS$18+$BU$35*BS$35)+($BU$19*BS$19+$BU$20*BS$20+$BU$23*BS$23+$BU$24*BS$24+$BU$36*BS$36))/(BO$50-BS$15+BO$51-BS$22),"")</f>
        <v/>
      </c>
    </row>
    <row r="83" spans="1:67" ht="15.75" x14ac:dyDescent="0.25">
      <c r="A83" s="153">
        <v>1515</v>
      </c>
      <c r="B83" s="271">
        <v>1.3441998052381245</v>
      </c>
      <c r="C83" s="161">
        <v>534.0829627987365</v>
      </c>
      <c r="D83" s="271">
        <v>0.71115764158448935</v>
      </c>
      <c r="E83" s="271">
        <v>0.86044595708129301</v>
      </c>
      <c r="F83" s="218">
        <v>1.0048206993459345E-2</v>
      </c>
      <c r="G83" s="271">
        <v>0.69720809714574972</v>
      </c>
      <c r="H83" s="271">
        <v>0.56621333887943104</v>
      </c>
      <c r="I83" s="218">
        <v>1.5333555798965389E-2</v>
      </c>
      <c r="J83" s="272">
        <v>2.3033645598383181</v>
      </c>
      <c r="K83" s="273">
        <v>99.520242830479859</v>
      </c>
      <c r="L83" s="230"/>
      <c r="M83" s="18">
        <f t="shared" si="19"/>
        <v>15</v>
      </c>
      <c r="N83" s="274"/>
      <c r="P83" s="275"/>
      <c r="Q83" s="275"/>
      <c r="R83" s="287"/>
      <c r="S83" s="288"/>
      <c r="T83" s="288"/>
      <c r="U83" s="288"/>
      <c r="V83" s="288"/>
      <c r="W83" s="288"/>
      <c r="X83" s="289"/>
      <c r="Y83" s="289"/>
      <c r="Z83" s="289"/>
      <c r="AA83" s="289"/>
      <c r="AB83" s="289"/>
      <c r="BL83" t="s">
        <v>454</v>
      </c>
      <c r="BM83" s="222">
        <f ca="1">IFERROR(($BU$21*BQ$21+$BU$26*BQ$26+$BU$27*BQ$27+$BU$28*BQ$28+$BU$37*BQ$37+$BU$41*BQ$41)/(BM$52-BQ$25),"")</f>
        <v>12.604099611261832</v>
      </c>
      <c r="BN83" s="222" t="str">
        <f ca="1">IFERROR(($BU$21*BR$21+$BU$26*BR$26+$BU$27*BR$27+$BU$28*BR$28+$BU$37*BR$37+$BU$41*BR$41)/(BN$52-BR$25),"")</f>
        <v/>
      </c>
      <c r="BO83" s="222" t="str">
        <f>IFERROR(($BU$21*BS$21+$BU$26*BS$26+$BU$27*BS$27+$BU$28*BS$28+$BU$37*BS$37+$BU$41*BS$41)/(BO$52-BS$25),"")</f>
        <v/>
      </c>
    </row>
    <row r="84" spans="1:67" ht="15.75" x14ac:dyDescent="0.25">
      <c r="A84" s="153">
        <v>1215</v>
      </c>
      <c r="B84" s="271">
        <v>1.3077078349829858</v>
      </c>
      <c r="C84" s="161">
        <v>451.08941496047413</v>
      </c>
      <c r="D84" s="271">
        <v>0.72125509182422576</v>
      </c>
      <c r="E84" s="271">
        <v>0.87664338111762574</v>
      </c>
      <c r="F84" s="218">
        <v>1.2734893091787948E-2</v>
      </c>
      <c r="G84" s="271">
        <v>0.70298531236325501</v>
      </c>
      <c r="H84" s="271">
        <v>0.61319288228720603</v>
      </c>
      <c r="I84" s="218">
        <v>1.4555153396691087E-2</v>
      </c>
      <c r="J84" s="272">
        <v>2.7115708803964536</v>
      </c>
      <c r="K84" s="273">
        <v>78.524412634829787</v>
      </c>
      <c r="L84" s="230"/>
      <c r="M84" s="18">
        <f t="shared" si="19"/>
        <v>15</v>
      </c>
      <c r="N84" s="274"/>
      <c r="P84" s="275"/>
      <c r="Q84" s="275"/>
      <c r="R84" s="290"/>
      <c r="S84" s="291"/>
      <c r="T84" s="292"/>
      <c r="U84" s="293"/>
      <c r="V84" s="292"/>
      <c r="W84" s="292"/>
      <c r="X84" s="292"/>
      <c r="Y84" s="292"/>
      <c r="Z84" s="292"/>
      <c r="AA84" s="292"/>
      <c r="AB84" s="292"/>
      <c r="BL84" t="s">
        <v>455</v>
      </c>
      <c r="BM84" s="222">
        <f ca="1">IFERROR((($BU$10*BQ$10+$BU$12*BQ$12+$BU$13*BQ$13+$BU$14*BQ$14+$BU$16*BQ$16+$BU$17*BQ$17+$BU$18*BQ$18+$BU$35*BQ$35)+($BU$19*BQ$19+$BU$20*BQ$20+$BU$23*BQ$23+$BU$24*BQ$24+$BU$36*BQ$36)+($BU$21*BQ$21+$BU$26*BQ$26+$BU$27*BQ$27+$BU$28*BQ$28+$BU$37*BQ$37+$BU$41*BQ$41))/(BM$50-BQ$15+BM$51-BQ$22+BM$52-BQ$25),"")</f>
        <v>12.613912457024105</v>
      </c>
      <c r="BN84" s="222" t="str">
        <f ca="1">IFERROR((($BU$10*BR$10+$BU$12*BR$12+$BU$13*BR$13+$BU$14*BR$14+$BU$16*BR$16+$BU$17*BR$17+$BU$18*BR$18+$BU$35*BR$35)+($BU$19*BR$19+$BU$20*BR$20+$BU$23*BR$23+$BU$24*BR$24+$BU$36*BR$36)+($BU$21*BR$21+$BU$26*BR$26+$BU$27*BR$27+$BU$28*BR$28+$BU$37*BR$37+$BU$41*BR$41))/(BN$50-BR$15+BN$51-BR$22+BN$52-BR$25),"")</f>
        <v/>
      </c>
      <c r="BO84" s="222" t="str">
        <f>IFERROR((($BU$10*BS$10+$BU$12*BS$12+$BU$13*BS$13+$BU$14*BS$14+$BU$16*BS$16+$BU$17*BS$17+$BU$18*BS$18+$BU$35*BS$35)+($BU$19*BS$19+$BU$20*BS$20+$BU$23*BS$23+$BU$24*BS$24+$BU$36*BS$36)+($BU$21*BS$21+$BU$26*BS$26+$BU$27*BS$27+$BU$28*BS$28+$BU$37*BS$37+$BU$41*BS$41))/(BO$50-BS$15+BO$51-BS$22+BO$52-BS$25),"")</f>
        <v/>
      </c>
    </row>
    <row r="85" spans="1:67" ht="15.75" x14ac:dyDescent="0.25">
      <c r="A85" s="153">
        <v>915</v>
      </c>
      <c r="B85" s="271">
        <v>1.2699070390204517</v>
      </c>
      <c r="C85" s="161">
        <v>370.33843217413778</v>
      </c>
      <c r="D85" s="271">
        <v>0.73276797991775677</v>
      </c>
      <c r="E85" s="271">
        <v>0.89719920725309144</v>
      </c>
      <c r="F85" s="218">
        <v>1.7239236372199936E-2</v>
      </c>
      <c r="G85" s="271">
        <v>0.7159813615261037</v>
      </c>
      <c r="H85" s="271">
        <v>0.6854118804271534</v>
      </c>
      <c r="I85" s="218">
        <v>1.3860443087543452E-2</v>
      </c>
      <c r="J85" s="272">
        <v>3.4182491314372494</v>
      </c>
      <c r="K85" s="273">
        <v>58.007209740020976</v>
      </c>
      <c r="L85" s="230"/>
      <c r="M85" s="18">
        <f t="shared" si="19"/>
        <v>15</v>
      </c>
      <c r="N85" s="274"/>
      <c r="P85" s="213"/>
      <c r="Q85" s="213"/>
      <c r="R85" s="294" t="s">
        <v>29</v>
      </c>
      <c r="S85" s="295"/>
      <c r="T85" s="295"/>
      <c r="U85" s="295"/>
      <c r="V85" s="295"/>
      <c r="W85" s="295"/>
      <c r="X85" s="295"/>
      <c r="Y85" s="295"/>
      <c r="Z85" s="295"/>
      <c r="AA85" s="295"/>
      <c r="AB85" s="295"/>
      <c r="BL85" t="s">
        <v>456</v>
      </c>
      <c r="BM85" s="296">
        <f ca="1">IFERROR(BQ$15/BM$50*100,"")</f>
        <v>0</v>
      </c>
      <c r="BN85" s="296" t="str">
        <f ca="1">IFERROR(BR$15/BN$50*100,"")</f>
        <v/>
      </c>
      <c r="BO85" s="296" t="str">
        <f>IFERROR(BS$15/BO$50*100,"")</f>
        <v/>
      </c>
    </row>
    <row r="86" spans="1:67" ht="15.75" x14ac:dyDescent="0.25">
      <c r="A86" s="153">
        <v>615</v>
      </c>
      <c r="B86" s="271">
        <v>1.2324483677109141</v>
      </c>
      <c r="C86" s="161">
        <v>289.83646093123599</v>
      </c>
      <c r="D86" s="271">
        <v>0.74439576659939388</v>
      </c>
      <c r="E86" s="271">
        <v>0.92099529003371272</v>
      </c>
      <c r="F86" s="218">
        <v>2.6127423231342879E-2</v>
      </c>
      <c r="G86" s="271">
        <v>0.74595043368221148</v>
      </c>
      <c r="H86" s="271">
        <v>0.76716555184516022</v>
      </c>
      <c r="I86" s="218">
        <v>1.3202868217434756E-2</v>
      </c>
      <c r="J86" s="272">
        <v>4.8630312438907222</v>
      </c>
      <c r="K86" s="273">
        <v>38.273961850182907</v>
      </c>
      <c r="L86" s="208"/>
      <c r="M86" s="18">
        <f t="shared" si="19"/>
        <v>15</v>
      </c>
      <c r="N86" s="274"/>
      <c r="P86" s="208"/>
      <c r="Q86" s="208"/>
      <c r="R86" s="294" t="s">
        <v>19</v>
      </c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BL86" t="s">
        <v>457</v>
      </c>
      <c r="BM86" s="296">
        <f ca="1">IFERROR(BQ$22/BM$51*100,"")</f>
        <v>0</v>
      </c>
      <c r="BN86" s="296" t="str">
        <f ca="1">IFERROR(BR$22/BN$51*100,"")</f>
        <v/>
      </c>
      <c r="BO86" s="296" t="str">
        <f>IFERROR(BS$22/BO$51*100,"")</f>
        <v/>
      </c>
    </row>
    <row r="87" spans="1:67" ht="15.75" x14ac:dyDescent="0.25">
      <c r="A87" s="153">
        <v>315</v>
      </c>
      <c r="B87" s="271">
        <v>1.1901243655802676</v>
      </c>
      <c r="C87" s="161">
        <v>202.21245678001921</v>
      </c>
      <c r="D87" s="271">
        <v>0.75743631886155838</v>
      </c>
      <c r="E87" s="271">
        <v>0.9473008697394677</v>
      </c>
      <c r="F87" s="218">
        <v>5.1326820661393179E-2</v>
      </c>
      <c r="G87" s="271">
        <v>0.83409843267798611</v>
      </c>
      <c r="H87" s="271">
        <v>0.89824622441721635</v>
      </c>
      <c r="I87" s="218">
        <v>1.2399363049799982E-2</v>
      </c>
      <c r="J87" s="272">
        <v>9.1233358326867133</v>
      </c>
      <c r="K87" s="273">
        <v>19.48299129215647</v>
      </c>
      <c r="L87" s="208"/>
      <c r="M87" s="18">
        <f t="shared" si="19"/>
        <v>15</v>
      </c>
      <c r="N87" s="139"/>
      <c r="P87" s="208"/>
      <c r="Q87" s="208"/>
      <c r="R87" s="294" t="s">
        <v>14</v>
      </c>
      <c r="S87" s="295"/>
      <c r="T87" s="295"/>
      <c r="U87" s="295"/>
      <c r="V87" s="295"/>
      <c r="W87" s="295"/>
      <c r="X87" s="295"/>
      <c r="Y87" s="295"/>
      <c r="Z87" s="295"/>
      <c r="AA87" s="295"/>
      <c r="AB87" s="295"/>
      <c r="BL87" t="s">
        <v>458</v>
      </c>
      <c r="BM87" s="296">
        <f ca="1">IFERROR(BQ$25/BM$52*100,"")</f>
        <v>0</v>
      </c>
      <c r="BN87" s="296" t="str">
        <f ca="1">IFERROR(BR$25/BN$52*100,"")</f>
        <v/>
      </c>
      <c r="BO87" s="296" t="str">
        <f>IFERROR(BS$25/BO$52*100,"")</f>
        <v/>
      </c>
    </row>
    <row r="88" spans="1:67" ht="15.75" x14ac:dyDescent="0.25">
      <c r="A88" s="153">
        <v>15</v>
      </c>
      <c r="B88" s="271">
        <v>1.0598981967912167</v>
      </c>
      <c r="C88" s="161">
        <v>0</v>
      </c>
      <c r="D88" s="271">
        <v>0.78580809875586699</v>
      </c>
      <c r="E88" s="271">
        <v>0.99270729575921557</v>
      </c>
      <c r="F88" s="218">
        <v>1.1822247859189521</v>
      </c>
      <c r="G88" s="271">
        <v>1.5337287554884216</v>
      </c>
      <c r="H88" s="271">
        <v>1.2530000005380484</v>
      </c>
      <c r="I88" s="218">
        <v>9.7133486305691422E-3</v>
      </c>
      <c r="J88" s="272">
        <v>226.36460564777676</v>
      </c>
      <c r="K88" s="273">
        <v>0.84586282736636464</v>
      </c>
      <c r="L88" s="208"/>
      <c r="M88" s="18">
        <f t="shared" si="19"/>
        <v>15</v>
      </c>
      <c r="N88" s="139"/>
      <c r="P88" s="208"/>
      <c r="Q88" s="208"/>
      <c r="R88" s="294" t="s">
        <v>36</v>
      </c>
      <c r="S88" s="295"/>
      <c r="T88" s="295"/>
      <c r="U88" s="295"/>
      <c r="V88" s="295"/>
      <c r="W88" s="295"/>
      <c r="X88" s="295"/>
      <c r="Y88" s="295"/>
      <c r="Z88" s="295"/>
      <c r="AA88" s="295"/>
      <c r="AB88" s="295"/>
    </row>
    <row r="89" spans="1:67" ht="15.75" x14ac:dyDescent="0.25">
      <c r="A89" s="153"/>
      <c r="B89" s="271"/>
      <c r="C89" s="161"/>
      <c r="D89" s="271"/>
      <c r="E89" s="271"/>
      <c r="F89" s="218"/>
      <c r="G89" s="271"/>
      <c r="H89" s="271"/>
      <c r="I89" s="218"/>
      <c r="J89" s="272"/>
      <c r="K89" s="273"/>
      <c r="L89" s="208"/>
      <c r="M89" s="18">
        <f t="shared" si="19"/>
        <v>15</v>
      </c>
      <c r="N89" s="139"/>
      <c r="P89" s="208"/>
      <c r="Q89" s="208"/>
      <c r="R89" s="294" t="s">
        <v>49</v>
      </c>
      <c r="S89" s="295"/>
      <c r="T89" s="295"/>
      <c r="U89" s="295"/>
      <c r="V89" s="295"/>
      <c r="W89" s="295"/>
      <c r="X89" s="295"/>
      <c r="Y89" s="295"/>
      <c r="Z89" s="295"/>
      <c r="AA89" s="295"/>
      <c r="AB89" s="295"/>
    </row>
    <row r="90" spans="1:67" ht="15.75" x14ac:dyDescent="0.25">
      <c r="A90" s="153"/>
      <c r="B90" s="271"/>
      <c r="C90" s="161"/>
      <c r="D90" s="271"/>
      <c r="E90" s="271"/>
      <c r="F90" s="218"/>
      <c r="G90" s="271"/>
      <c r="H90" s="271"/>
      <c r="I90" s="218"/>
      <c r="J90" s="272"/>
      <c r="K90" s="273"/>
      <c r="L90" s="208"/>
      <c r="M90" s="18">
        <f t="shared" si="19"/>
        <v>15</v>
      </c>
      <c r="N90" s="139"/>
      <c r="P90" s="208"/>
      <c r="Q90" s="208"/>
      <c r="R90" s="294" t="s">
        <v>70</v>
      </c>
      <c r="S90" s="295"/>
      <c r="T90" s="295"/>
      <c r="U90" s="295"/>
      <c r="V90" s="295"/>
      <c r="W90" s="295"/>
      <c r="X90" s="295"/>
      <c r="Y90" s="295"/>
      <c r="Z90" s="295"/>
      <c r="AA90" s="295"/>
      <c r="AB90" s="295"/>
    </row>
    <row r="91" spans="1:67" x14ac:dyDescent="0.25">
      <c r="A91" s="153"/>
      <c r="B91" s="271"/>
      <c r="C91" s="161"/>
      <c r="D91" s="271"/>
      <c r="E91" s="271"/>
      <c r="F91" s="218"/>
      <c r="G91" s="271"/>
      <c r="H91" s="271"/>
      <c r="I91" s="218"/>
      <c r="J91" s="272"/>
      <c r="K91" s="273"/>
      <c r="L91" s="297"/>
      <c r="M91" s="18">
        <f t="shared" si="19"/>
        <v>15</v>
      </c>
      <c r="N91" s="298"/>
      <c r="P91" s="297"/>
      <c r="Q91" s="297"/>
      <c r="R91" s="294" t="s">
        <v>94</v>
      </c>
      <c r="S91" s="295"/>
      <c r="T91" s="295"/>
      <c r="U91" s="295"/>
      <c r="V91" s="295"/>
      <c r="W91" s="295"/>
      <c r="X91" s="295"/>
      <c r="Y91" s="295"/>
      <c r="Z91" s="295"/>
      <c r="AA91" s="295"/>
      <c r="AB91" s="295"/>
    </row>
    <row r="92" spans="1:67" x14ac:dyDescent="0.25">
      <c r="A92" s="153"/>
      <c r="B92" s="271"/>
      <c r="C92" s="161"/>
      <c r="D92" s="271"/>
      <c r="E92" s="271"/>
      <c r="F92" s="218"/>
      <c r="G92" s="271"/>
      <c r="H92" s="271"/>
      <c r="I92" s="218"/>
      <c r="J92" s="272"/>
      <c r="K92" s="273"/>
      <c r="M92" s="18">
        <f t="shared" si="19"/>
        <v>15</v>
      </c>
      <c r="N92" s="17"/>
      <c r="R92" s="294" t="s">
        <v>102</v>
      </c>
      <c r="S92" s="295"/>
      <c r="T92" s="295"/>
      <c r="U92" s="295"/>
      <c r="V92" s="295"/>
      <c r="W92" s="295"/>
      <c r="X92" s="295"/>
      <c r="Y92" s="295"/>
      <c r="Z92" s="295"/>
      <c r="AA92" s="295"/>
      <c r="AB92" s="295"/>
    </row>
    <row r="93" spans="1:67" x14ac:dyDescent="0.25">
      <c r="A93" s="153"/>
      <c r="B93" s="271"/>
      <c r="C93" s="161"/>
      <c r="D93" s="271"/>
      <c r="E93" s="271"/>
      <c r="F93" s="218"/>
      <c r="G93" s="271"/>
      <c r="H93" s="271"/>
      <c r="I93" s="218"/>
      <c r="J93" s="272"/>
      <c r="K93" s="273"/>
      <c r="M93" s="18">
        <f t="shared" si="19"/>
        <v>15</v>
      </c>
      <c r="N93" s="17"/>
      <c r="R93" s="294" t="s">
        <v>110</v>
      </c>
      <c r="S93" s="295"/>
      <c r="T93" s="295"/>
      <c r="U93" s="295"/>
      <c r="V93" s="295"/>
      <c r="W93" s="295"/>
      <c r="X93" s="295"/>
      <c r="Y93" s="295"/>
      <c r="Z93" s="295"/>
      <c r="AA93" s="295"/>
      <c r="AB93" s="295"/>
    </row>
    <row r="94" spans="1:67" x14ac:dyDescent="0.25">
      <c r="A94" s="153"/>
      <c r="B94" s="271"/>
      <c r="C94" s="161"/>
      <c r="D94" s="271"/>
      <c r="E94" s="271"/>
      <c r="F94" s="218"/>
      <c r="G94" s="271"/>
      <c r="H94" s="271"/>
      <c r="I94" s="218"/>
      <c r="J94" s="272"/>
      <c r="K94" s="273"/>
      <c r="R94" s="294" t="s">
        <v>118</v>
      </c>
      <c r="S94" s="295"/>
      <c r="T94" s="295"/>
      <c r="U94" s="295"/>
      <c r="V94" s="295"/>
      <c r="W94" s="295"/>
      <c r="X94" s="295"/>
      <c r="Y94" s="295"/>
      <c r="Z94" s="295"/>
      <c r="AA94" s="295"/>
      <c r="AB94" s="295"/>
    </row>
    <row r="95" spans="1:67" x14ac:dyDescent="0.25">
      <c r="A95" s="153"/>
      <c r="B95" s="271"/>
      <c r="C95" s="161"/>
      <c r="D95" s="271"/>
      <c r="E95" s="271"/>
      <c r="F95" s="218"/>
      <c r="G95" s="271"/>
      <c r="H95" s="271"/>
      <c r="I95" s="218"/>
      <c r="J95" s="272"/>
      <c r="K95" s="273"/>
      <c r="R95" s="294" t="s">
        <v>126</v>
      </c>
      <c r="S95" s="295"/>
      <c r="T95" s="295"/>
      <c r="U95" s="295"/>
      <c r="V95" s="295"/>
      <c r="W95" s="295"/>
      <c r="X95" s="295"/>
      <c r="Y95" s="295"/>
      <c r="Z95" s="295"/>
      <c r="AA95" s="295"/>
      <c r="AB95" s="295"/>
    </row>
    <row r="96" spans="1:67" x14ac:dyDescent="0.25">
      <c r="A96" s="153"/>
      <c r="B96" s="271"/>
      <c r="C96" s="161"/>
      <c r="D96" s="271"/>
      <c r="E96" s="271"/>
      <c r="F96" s="218"/>
      <c r="G96" s="271"/>
      <c r="H96" s="271"/>
      <c r="I96" s="218"/>
      <c r="J96" s="272"/>
      <c r="K96" s="273"/>
      <c r="R96" s="294" t="s">
        <v>135</v>
      </c>
      <c r="S96" s="295"/>
      <c r="T96" s="295"/>
      <c r="U96" s="295"/>
      <c r="V96" s="295"/>
      <c r="W96" s="295"/>
      <c r="X96" s="295"/>
      <c r="Y96" s="295"/>
      <c r="Z96" s="295"/>
      <c r="AA96" s="295"/>
      <c r="AB96" s="295"/>
    </row>
    <row r="97" spans="1:28" x14ac:dyDescent="0.25">
      <c r="A97" s="153"/>
      <c r="B97" s="271"/>
      <c r="C97" s="161"/>
      <c r="D97" s="271"/>
      <c r="E97" s="271"/>
      <c r="F97" s="218"/>
      <c r="G97" s="271"/>
      <c r="H97" s="271"/>
      <c r="I97" s="218"/>
      <c r="J97" s="272"/>
      <c r="K97" s="273"/>
      <c r="L97" s="299"/>
      <c r="M97" s="299"/>
      <c r="N97" s="299"/>
      <c r="P97" s="300"/>
      <c r="Q97" s="299"/>
      <c r="R97" s="294" t="s">
        <v>141</v>
      </c>
      <c r="S97" s="295"/>
      <c r="T97" s="295"/>
      <c r="U97" s="295"/>
      <c r="V97" s="295"/>
      <c r="W97" s="295"/>
      <c r="X97" s="295"/>
      <c r="Y97" s="295"/>
      <c r="Z97" s="295"/>
      <c r="AA97" s="295"/>
      <c r="AB97" s="295"/>
    </row>
    <row r="98" spans="1:28" x14ac:dyDescent="0.25">
      <c r="A98" s="153"/>
      <c r="B98" s="271"/>
      <c r="C98" s="161"/>
      <c r="D98" s="271"/>
      <c r="E98" s="271"/>
      <c r="F98" s="218"/>
      <c r="G98" s="271"/>
      <c r="H98" s="271"/>
      <c r="I98" s="218"/>
      <c r="J98" s="272"/>
      <c r="K98" s="273"/>
      <c r="L98" s="300"/>
      <c r="M98" s="300"/>
      <c r="N98" s="299"/>
      <c r="P98" s="300"/>
      <c r="Q98" s="299"/>
      <c r="R98" s="294" t="s">
        <v>148</v>
      </c>
      <c r="S98" s="295"/>
      <c r="T98" s="295"/>
      <c r="U98" s="295"/>
      <c r="V98" s="295"/>
      <c r="W98" s="295"/>
      <c r="X98" s="295"/>
      <c r="Y98" s="295"/>
      <c r="Z98" s="295"/>
      <c r="AA98" s="295"/>
      <c r="AB98" s="295"/>
    </row>
    <row r="99" spans="1:28" x14ac:dyDescent="0.25">
      <c r="A99" s="153"/>
      <c r="B99" s="271"/>
      <c r="C99" s="161"/>
      <c r="D99" s="271"/>
      <c r="E99" s="271"/>
      <c r="F99" s="218"/>
      <c r="G99" s="271"/>
      <c r="H99" s="271"/>
      <c r="I99" s="218"/>
      <c r="J99" s="272"/>
      <c r="K99" s="273"/>
      <c r="L99" s="299"/>
      <c r="M99" s="299"/>
      <c r="N99" s="299"/>
      <c r="P99" s="300"/>
      <c r="Q99" s="299"/>
      <c r="R99" s="294" t="s">
        <v>160</v>
      </c>
      <c r="S99" s="295"/>
      <c r="T99" s="295"/>
      <c r="U99" s="295"/>
      <c r="V99" s="295"/>
      <c r="W99" s="295"/>
      <c r="X99" s="295"/>
      <c r="Y99" s="295"/>
      <c r="Z99" s="295"/>
      <c r="AA99" s="295"/>
      <c r="AB99" s="295"/>
    </row>
    <row r="100" spans="1:28" x14ac:dyDescent="0.25">
      <c r="A100" s="153"/>
      <c r="B100" s="271"/>
      <c r="C100" s="161"/>
      <c r="D100" s="271"/>
      <c r="E100" s="271"/>
      <c r="F100" s="218"/>
      <c r="G100" s="271"/>
      <c r="H100" s="271"/>
      <c r="I100" s="218"/>
      <c r="J100" s="272"/>
      <c r="K100" s="273"/>
      <c r="R100" s="294" t="s">
        <v>459</v>
      </c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</row>
    <row r="101" spans="1:28" x14ac:dyDescent="0.25">
      <c r="A101" t="s">
        <v>460</v>
      </c>
      <c r="L101" s="301"/>
      <c r="M101" s="301"/>
      <c r="N101" s="301"/>
      <c r="P101" s="302"/>
      <c r="Q101" s="301"/>
      <c r="R101" s="294" t="s">
        <v>461</v>
      </c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</row>
    <row r="102" spans="1:28" x14ac:dyDescent="0.25">
      <c r="L102" s="301"/>
      <c r="M102" s="301"/>
      <c r="N102" s="301"/>
      <c r="P102" s="302"/>
      <c r="Q102" s="301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x14ac:dyDescent="0.25">
      <c r="L103" s="301"/>
      <c r="M103" s="301"/>
      <c r="N103" s="301"/>
      <c r="P103" s="302"/>
      <c r="Q103" s="301"/>
    </row>
    <row r="104" spans="1:28" x14ac:dyDescent="0.25">
      <c r="A104" s="303">
        <v>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v>7</v>
      </c>
      <c r="L104" s="301"/>
      <c r="M104" s="301"/>
      <c r="N104" s="301"/>
      <c r="P104" s="302"/>
      <c r="Q104" s="301"/>
    </row>
    <row r="105" spans="1:28" x14ac:dyDescent="0.25">
      <c r="A105" s="304" t="s">
        <v>462</v>
      </c>
      <c r="B105" s="304"/>
      <c r="C105" s="304"/>
      <c r="D105" s="304"/>
      <c r="E105" s="304"/>
      <c r="F105" s="304"/>
      <c r="G105" s="304"/>
      <c r="H105" s="57"/>
      <c r="I105" s="57"/>
      <c r="L105" s="305"/>
      <c r="M105" s="305"/>
      <c r="N105" s="305"/>
      <c r="P105" s="302"/>
      <c r="Q105" s="305"/>
      <c r="R105" s="305"/>
      <c r="S105" s="306"/>
    </row>
    <row r="106" spans="1:28" x14ac:dyDescent="0.25">
      <c r="A106" s="307" t="s">
        <v>297</v>
      </c>
      <c r="B106" s="307" t="s">
        <v>463</v>
      </c>
      <c r="C106" s="307" t="s">
        <v>464</v>
      </c>
      <c r="D106" s="307" t="s">
        <v>434</v>
      </c>
      <c r="E106" s="307" t="s">
        <v>465</v>
      </c>
      <c r="F106" s="307" t="s">
        <v>341</v>
      </c>
      <c r="G106" s="307" t="s">
        <v>437</v>
      </c>
      <c r="H106" s="308"/>
      <c r="I106" s="308"/>
      <c r="L106" s="301"/>
      <c r="M106" s="301"/>
      <c r="N106" s="301"/>
      <c r="P106" s="302"/>
      <c r="Q106" s="301"/>
      <c r="R106" s="301"/>
      <c r="S106" s="309"/>
    </row>
    <row r="107" spans="1:28" x14ac:dyDescent="0.25">
      <c r="A107" s="62"/>
      <c r="B107" s="62"/>
      <c r="C107" s="62"/>
      <c r="D107" s="62"/>
      <c r="E107" s="62"/>
      <c r="F107" s="179"/>
      <c r="G107" s="179"/>
      <c r="H107" s="308"/>
      <c r="I107" s="308"/>
      <c r="L107" s="301"/>
      <c r="M107" s="301"/>
      <c r="N107" s="301"/>
      <c r="P107" s="302"/>
      <c r="Q107" s="301"/>
      <c r="R107" s="301"/>
      <c r="S107" s="309"/>
    </row>
    <row r="108" spans="1:28" x14ac:dyDescent="0.25">
      <c r="A108" s="62"/>
      <c r="B108" s="62"/>
      <c r="C108" s="62"/>
      <c r="D108" s="62"/>
      <c r="E108" s="62"/>
      <c r="F108" s="179"/>
      <c r="G108" s="179"/>
      <c r="H108" s="308"/>
      <c r="I108" s="308"/>
      <c r="L108" s="305"/>
      <c r="M108" s="305"/>
      <c r="N108" s="305"/>
      <c r="P108" s="302"/>
      <c r="Q108" s="305"/>
      <c r="R108" s="305"/>
      <c r="S108" s="306"/>
    </row>
    <row r="109" spans="1:28" x14ac:dyDescent="0.25">
      <c r="A109" s="62"/>
      <c r="B109" s="62"/>
      <c r="C109" s="62"/>
      <c r="D109" s="62"/>
      <c r="E109" s="62"/>
      <c r="F109" s="310"/>
      <c r="G109" s="310"/>
      <c r="H109" s="311"/>
      <c r="I109" s="312"/>
      <c r="L109" s="301"/>
      <c r="M109" s="301"/>
      <c r="N109" s="301"/>
      <c r="P109" s="302"/>
      <c r="Q109" s="301"/>
      <c r="R109" s="301"/>
      <c r="S109" s="313"/>
    </row>
    <row r="110" spans="1:28" x14ac:dyDescent="0.25">
      <c r="A110" s="53"/>
      <c r="B110" s="53"/>
      <c r="C110" s="314"/>
      <c r="D110" s="314"/>
      <c r="E110" s="314"/>
      <c r="F110" s="310"/>
      <c r="G110" s="310"/>
      <c r="H110" s="311"/>
      <c r="I110" s="312"/>
      <c r="L110" s="301"/>
      <c r="M110" s="301"/>
      <c r="N110" s="301"/>
      <c r="P110" s="302"/>
      <c r="Q110" s="301"/>
      <c r="R110" s="301"/>
      <c r="S110" s="313"/>
    </row>
    <row r="111" spans="1:28" x14ac:dyDescent="0.25">
      <c r="A111" s="53"/>
      <c r="B111" s="53"/>
      <c r="C111" s="314"/>
      <c r="D111" s="314"/>
      <c r="E111" s="314"/>
      <c r="F111" s="310"/>
      <c r="G111" s="310"/>
      <c r="H111" s="311"/>
      <c r="I111" s="312"/>
      <c r="L111" s="301"/>
      <c r="M111" s="301"/>
      <c r="N111" s="301"/>
      <c r="P111" s="302"/>
      <c r="Q111" s="301"/>
    </row>
    <row r="112" spans="1:28" x14ac:dyDescent="0.25">
      <c r="A112" s="53"/>
      <c r="B112" s="53"/>
      <c r="C112" s="314"/>
      <c r="D112" s="314"/>
      <c r="E112" s="314"/>
      <c r="F112" s="310"/>
      <c r="G112" s="310"/>
      <c r="H112" s="311"/>
      <c r="I112" s="312"/>
      <c r="L112" s="301"/>
      <c r="M112" s="301"/>
      <c r="N112" s="301"/>
      <c r="P112" s="301"/>
      <c r="Q112" s="301"/>
      <c r="R112" s="315" t="s">
        <v>466</v>
      </c>
      <c r="S112" s="316">
        <f>SUM(S84:S107)</f>
        <v>0</v>
      </c>
      <c r="T112" s="316">
        <f t="shared" ref="T112:AB112" si="21">SUM(T84:T107)</f>
        <v>0</v>
      </c>
      <c r="U112" s="316">
        <f t="shared" si="21"/>
        <v>0</v>
      </c>
      <c r="V112" s="316">
        <f t="shared" si="21"/>
        <v>0</v>
      </c>
      <c r="W112" s="316">
        <f t="shared" si="21"/>
        <v>0</v>
      </c>
      <c r="X112" s="316">
        <f t="shared" si="21"/>
        <v>0</v>
      </c>
      <c r="Y112" s="316">
        <f t="shared" si="21"/>
        <v>0</v>
      </c>
      <c r="Z112" s="316">
        <f t="shared" si="21"/>
        <v>0</v>
      </c>
      <c r="AA112" s="316">
        <f t="shared" si="21"/>
        <v>0</v>
      </c>
      <c r="AB112" s="316">
        <f t="shared" si="21"/>
        <v>0</v>
      </c>
    </row>
    <row r="113" spans="1:29" x14ac:dyDescent="0.25">
      <c r="A113" s="53"/>
      <c r="B113" s="53"/>
      <c r="C113" s="314"/>
      <c r="D113" s="314"/>
      <c r="E113" s="314"/>
      <c r="F113" s="310"/>
      <c r="G113" s="310"/>
      <c r="H113" s="311"/>
      <c r="I113" s="312"/>
      <c r="L113" s="301"/>
      <c r="M113" s="301"/>
      <c r="N113" s="301"/>
      <c r="P113" s="301"/>
      <c r="Q113" s="301"/>
      <c r="R113" s="317" t="s">
        <v>467</v>
      </c>
      <c r="S113" s="318"/>
      <c r="T113" s="318"/>
      <c r="U113" s="319"/>
      <c r="V113" s="320"/>
      <c r="W113" s="320"/>
      <c r="X113" s="321"/>
      <c r="Y113" s="319"/>
      <c r="Z113" s="319"/>
      <c r="AA113" s="319"/>
      <c r="AB113" s="322"/>
    </row>
    <row r="114" spans="1:29" x14ac:dyDescent="0.25">
      <c r="A114" s="53"/>
      <c r="B114" s="53"/>
      <c r="C114" s="314"/>
      <c r="D114" s="314"/>
      <c r="E114" s="314"/>
      <c r="F114" s="310"/>
      <c r="G114" s="310"/>
      <c r="H114" s="311"/>
      <c r="I114" s="312"/>
      <c r="L114" s="301"/>
      <c r="M114" s="301"/>
      <c r="N114" s="301"/>
      <c r="P114" s="301"/>
      <c r="Q114" s="301"/>
      <c r="R114" s="323" t="s">
        <v>468</v>
      </c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</row>
    <row r="115" spans="1:29" x14ac:dyDescent="0.25">
      <c r="A115" s="53"/>
      <c r="B115" s="53"/>
      <c r="C115" s="314"/>
      <c r="D115" s="314"/>
      <c r="E115" s="314"/>
      <c r="F115" s="310"/>
      <c r="G115" s="310"/>
      <c r="H115" s="325"/>
      <c r="I115" s="325"/>
      <c r="L115" s="302"/>
      <c r="M115" s="302"/>
      <c r="N115" s="302"/>
      <c r="P115" s="302"/>
      <c r="Q115" s="302"/>
      <c r="R115" s="326" t="s">
        <v>469</v>
      </c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</row>
    <row r="116" spans="1:29" x14ac:dyDescent="0.25">
      <c r="A116" s="53"/>
      <c r="B116" s="53"/>
      <c r="C116" s="314"/>
      <c r="D116" s="314"/>
      <c r="E116" s="314"/>
      <c r="F116" s="310"/>
      <c r="G116" s="310"/>
      <c r="H116" s="311"/>
      <c r="I116" s="63" t="s">
        <v>470</v>
      </c>
      <c r="J116" s="63"/>
      <c r="K116" s="63" t="s">
        <v>471</v>
      </c>
      <c r="L116" s="63"/>
      <c r="M116" s="302"/>
      <c r="N116" s="302"/>
      <c r="P116" s="302"/>
      <c r="Q116" s="302"/>
      <c r="R116" s="317" t="s">
        <v>472</v>
      </c>
      <c r="S116" s="328"/>
      <c r="T116" s="328"/>
      <c r="U116" s="329"/>
      <c r="V116" s="330"/>
      <c r="W116" s="330"/>
      <c r="X116" s="331"/>
      <c r="Y116" s="330"/>
      <c r="Z116" s="330"/>
      <c r="AA116" s="330"/>
      <c r="AB116" s="331"/>
    </row>
    <row r="117" spans="1:29" x14ac:dyDescent="0.25">
      <c r="A117" s="53"/>
      <c r="B117" s="53"/>
      <c r="C117" s="314"/>
      <c r="D117" s="172"/>
      <c r="E117" s="172"/>
      <c r="F117" s="332"/>
      <c r="G117" s="332"/>
      <c r="H117" s="333"/>
      <c r="I117" s="19" t="s">
        <v>473</v>
      </c>
      <c r="J117" s="68" t="s">
        <v>474</v>
      </c>
      <c r="K117" s="19" t="s">
        <v>475</v>
      </c>
      <c r="L117" s="68" t="s">
        <v>354</v>
      </c>
      <c r="M117" s="302"/>
      <c r="N117" s="302"/>
      <c r="P117" s="302"/>
      <c r="Q117" s="302"/>
      <c r="R117" s="323" t="s">
        <v>468</v>
      </c>
      <c r="S117" s="324"/>
      <c r="T117" s="324"/>
      <c r="U117" s="324"/>
      <c r="V117" s="324"/>
      <c r="W117" s="324"/>
      <c r="X117" s="324"/>
      <c r="Y117" s="324"/>
      <c r="Z117" s="324"/>
      <c r="AA117" s="324"/>
      <c r="AB117" s="324"/>
    </row>
    <row r="118" spans="1:29" x14ac:dyDescent="0.25">
      <c r="A118" s="53"/>
      <c r="B118" s="53"/>
      <c r="C118" s="314"/>
      <c r="D118" s="172"/>
      <c r="E118" s="172"/>
      <c r="F118" s="332"/>
      <c r="G118" s="332"/>
      <c r="H118" s="311"/>
      <c r="I118" s="334">
        <f>J118/10^6</f>
        <v>0</v>
      </c>
      <c r="J118" s="335"/>
      <c r="K118" s="334">
        <f t="shared" ref="K118:K142" si="22">L118*62.4</f>
        <v>42.179070259987796</v>
      </c>
      <c r="L118" s="335">
        <v>0.67594663878185568</v>
      </c>
      <c r="M118" s="302"/>
      <c r="N118" s="302"/>
      <c r="P118" s="302"/>
      <c r="Q118" s="302"/>
      <c r="R118" s="336" t="s">
        <v>476</v>
      </c>
      <c r="S118" s="327"/>
      <c r="T118" s="327"/>
      <c r="U118" s="327"/>
      <c r="V118" s="327"/>
      <c r="W118" s="327"/>
      <c r="X118" s="327"/>
      <c r="Y118" s="327"/>
      <c r="Z118" s="327"/>
      <c r="AA118" s="327"/>
      <c r="AB118" s="327"/>
    </row>
    <row r="119" spans="1:29" x14ac:dyDescent="0.25">
      <c r="A119" s="53"/>
      <c r="B119" s="53"/>
      <c r="C119" s="314"/>
      <c r="D119" s="172"/>
      <c r="E119" s="172"/>
      <c r="F119" s="332"/>
      <c r="G119" s="332"/>
      <c r="H119" s="311"/>
      <c r="I119" s="334">
        <f t="shared" ref="I119:I142" si="23">J119/10^6</f>
        <v>0</v>
      </c>
      <c r="J119" s="335"/>
      <c r="K119" s="334">
        <f t="shared" si="22"/>
        <v>41.964000000000006</v>
      </c>
      <c r="L119" s="335">
        <v>0.6725000000000001</v>
      </c>
      <c r="M119" s="302"/>
      <c r="N119" s="302"/>
      <c r="P119" s="302"/>
      <c r="Q119" s="302"/>
      <c r="R119" s="302"/>
      <c r="S119" s="302"/>
    </row>
    <row r="120" spans="1:29" x14ac:dyDescent="0.25">
      <c r="A120" s="53"/>
      <c r="B120" s="53"/>
      <c r="C120" s="314"/>
      <c r="D120" s="172"/>
      <c r="E120" s="172"/>
      <c r="F120" s="332"/>
      <c r="G120" s="332"/>
      <c r="H120" s="311"/>
      <c r="I120" s="334">
        <f t="shared" si="23"/>
        <v>0</v>
      </c>
      <c r="J120" s="335"/>
      <c r="K120" s="334">
        <f t="shared" si="22"/>
        <v>41.737746531799779</v>
      </c>
      <c r="L120" s="335">
        <v>0.66887414313781701</v>
      </c>
      <c r="M120" s="302"/>
      <c r="N120" s="302"/>
      <c r="P120" s="302"/>
      <c r="Q120" s="302"/>
      <c r="R120" s="302"/>
      <c r="S120" s="302"/>
    </row>
    <row r="121" spans="1:29" x14ac:dyDescent="0.25">
      <c r="A121" s="53"/>
      <c r="B121" s="53"/>
      <c r="C121" s="314"/>
      <c r="D121" s="172"/>
      <c r="E121" s="172"/>
      <c r="F121" s="332"/>
      <c r="G121" s="332"/>
      <c r="H121" s="311"/>
      <c r="I121" s="334">
        <f t="shared" si="23"/>
        <v>0</v>
      </c>
      <c r="J121" s="335"/>
      <c r="K121" s="334">
        <f t="shared" si="22"/>
        <v>41.495793534766001</v>
      </c>
      <c r="L121" s="335">
        <v>0.66499669126227567</v>
      </c>
      <c r="M121" s="302"/>
      <c r="N121" s="302"/>
      <c r="P121" s="302"/>
      <c r="Q121" s="302"/>
      <c r="R121" s="302"/>
      <c r="S121" s="302"/>
    </row>
    <row r="122" spans="1:29" x14ac:dyDescent="0.25">
      <c r="A122" s="53"/>
      <c r="B122" s="53"/>
      <c r="C122" s="314"/>
      <c r="D122" s="172"/>
      <c r="E122" s="172"/>
      <c r="F122" s="332"/>
      <c r="G122" s="332"/>
      <c r="H122" s="311"/>
      <c r="I122" s="334">
        <f t="shared" si="23"/>
        <v>0</v>
      </c>
      <c r="J122" s="335"/>
      <c r="K122" s="334">
        <f t="shared" si="22"/>
        <v>41.234202682495891</v>
      </c>
      <c r="L122" s="335">
        <v>0.6608045301682034</v>
      </c>
      <c r="M122" s="302"/>
      <c r="N122" s="302"/>
      <c r="P122" s="302"/>
      <c r="Q122" s="302"/>
      <c r="R122" s="302"/>
      <c r="S122" s="302"/>
    </row>
    <row r="123" spans="1:29" x14ac:dyDescent="0.25">
      <c r="A123" s="53"/>
      <c r="B123" s="53"/>
      <c r="C123" s="314"/>
      <c r="D123" s="172"/>
      <c r="E123" s="172"/>
      <c r="F123" s="332"/>
      <c r="G123" s="332"/>
      <c r="H123" s="311"/>
      <c r="I123" s="334">
        <f t="shared" si="23"/>
        <v>0</v>
      </c>
      <c r="J123" s="335"/>
      <c r="K123" s="334">
        <f t="shared" si="22"/>
        <v>40.940543193942624</v>
      </c>
      <c r="L123" s="335">
        <v>0.65609844862087541</v>
      </c>
      <c r="M123" s="302"/>
      <c r="N123" s="302"/>
      <c r="P123" s="302"/>
      <c r="Q123" s="302"/>
      <c r="R123" s="302"/>
      <c r="S123" s="302"/>
    </row>
    <row r="124" spans="1:29" x14ac:dyDescent="0.25">
      <c r="A124" s="53"/>
      <c r="B124" s="53"/>
      <c r="C124" s="314"/>
      <c r="D124" s="172"/>
      <c r="E124" s="172"/>
      <c r="F124" s="332"/>
      <c r="G124" s="332"/>
      <c r="H124" s="311"/>
      <c r="I124" s="334">
        <f t="shared" si="23"/>
        <v>0</v>
      </c>
      <c r="J124" s="335"/>
      <c r="K124" s="334">
        <f t="shared" si="22"/>
        <v>40.616327155627715</v>
      </c>
      <c r="L124" s="335">
        <v>0.65090267877608521</v>
      </c>
      <c r="M124" s="302"/>
      <c r="N124" s="302"/>
      <c r="P124" s="302"/>
      <c r="Q124" s="302"/>
      <c r="R124" s="302"/>
      <c r="S124" s="302"/>
    </row>
    <row r="125" spans="1:29" x14ac:dyDescent="0.25">
      <c r="A125" s="53"/>
      <c r="B125" s="53"/>
      <c r="C125" s="314"/>
      <c r="D125" s="172"/>
      <c r="E125" s="172"/>
      <c r="F125" s="332"/>
      <c r="G125" s="332"/>
      <c r="H125" s="311"/>
      <c r="I125" s="334">
        <f t="shared" si="23"/>
        <v>0</v>
      </c>
      <c r="J125" s="335"/>
      <c r="K125" s="334">
        <f t="shared" si="22"/>
        <v>40.396538790262625</v>
      </c>
      <c r="L125" s="335">
        <v>0.64738042933113182</v>
      </c>
      <c r="M125" s="302"/>
      <c r="N125" s="302"/>
      <c r="P125" s="302"/>
      <c r="Q125" s="302"/>
      <c r="R125" s="302"/>
      <c r="S125" s="302"/>
    </row>
    <row r="126" spans="1:29" x14ac:dyDescent="0.25">
      <c r="A126" s="53"/>
      <c r="B126" s="53"/>
      <c r="C126" s="314"/>
      <c r="D126" s="172"/>
      <c r="E126" s="172"/>
      <c r="F126" s="332"/>
      <c r="G126" s="332"/>
      <c r="H126" s="311"/>
      <c r="I126" s="334">
        <f t="shared" si="23"/>
        <v>0</v>
      </c>
      <c r="J126" s="335"/>
      <c r="K126" s="334">
        <f t="shared" si="22"/>
        <v>0</v>
      </c>
      <c r="L126" s="335"/>
      <c r="M126" s="302"/>
      <c r="N126" s="302"/>
      <c r="P126" s="302"/>
      <c r="Q126" s="302"/>
      <c r="R126" s="302"/>
      <c r="S126" s="302"/>
    </row>
    <row r="127" spans="1:29" x14ac:dyDescent="0.25">
      <c r="A127" s="53"/>
      <c r="B127" s="53"/>
      <c r="C127" s="314"/>
      <c r="D127" s="172"/>
      <c r="E127" s="172"/>
      <c r="F127" s="332"/>
      <c r="G127" s="332"/>
      <c r="H127" s="311"/>
      <c r="I127" s="334">
        <f t="shared" si="23"/>
        <v>0</v>
      </c>
      <c r="J127" s="335"/>
      <c r="K127" s="334">
        <f t="shared" si="22"/>
        <v>0</v>
      </c>
      <c r="L127" s="335"/>
      <c r="M127" s="302"/>
      <c r="N127" s="302"/>
      <c r="P127" s="302"/>
      <c r="Q127" s="302"/>
      <c r="R127" s="302"/>
      <c r="S127" s="302"/>
      <c r="AC127" s="17"/>
    </row>
    <row r="128" spans="1:29" x14ac:dyDescent="0.25">
      <c r="A128" s="53"/>
      <c r="B128" s="53"/>
      <c r="C128" s="314"/>
      <c r="D128" s="314"/>
      <c r="E128" s="314"/>
      <c r="F128" s="310"/>
      <c r="G128" s="310"/>
      <c r="H128" s="312"/>
      <c r="I128" s="334">
        <f t="shared" si="23"/>
        <v>0</v>
      </c>
      <c r="J128" s="19"/>
      <c r="K128" s="334">
        <f t="shared" si="22"/>
        <v>0</v>
      </c>
      <c r="L128" s="19"/>
      <c r="AC128" s="17"/>
    </row>
    <row r="129" spans="1:30" x14ac:dyDescent="0.25">
      <c r="A129" s="53"/>
      <c r="B129" s="53"/>
      <c r="C129" s="53"/>
      <c r="D129" s="53"/>
      <c r="E129" s="53"/>
      <c r="F129" s="310"/>
      <c r="G129" s="310"/>
      <c r="H129" s="311"/>
      <c r="I129" s="334">
        <f t="shared" si="23"/>
        <v>0</v>
      </c>
      <c r="J129" s="19"/>
      <c r="K129" s="334">
        <f t="shared" si="22"/>
        <v>0</v>
      </c>
      <c r="L129" s="19"/>
      <c r="AC129" s="17"/>
    </row>
    <row r="130" spans="1:30" x14ac:dyDescent="0.25">
      <c r="A130" s="62"/>
      <c r="B130" s="62"/>
      <c r="C130" s="62"/>
      <c r="D130" s="62"/>
      <c r="E130" s="62"/>
      <c r="F130" s="179"/>
      <c r="G130" s="179"/>
      <c r="H130" s="253"/>
      <c r="I130" s="334">
        <f t="shared" si="23"/>
        <v>0</v>
      </c>
      <c r="J130" s="19"/>
      <c r="K130" s="334">
        <f t="shared" si="22"/>
        <v>0</v>
      </c>
      <c r="L130" s="19"/>
      <c r="AC130" s="17"/>
    </row>
    <row r="131" spans="1:30" x14ac:dyDescent="0.25">
      <c r="A131" s="62"/>
      <c r="B131" s="62"/>
      <c r="C131" s="62"/>
      <c r="D131" s="62"/>
      <c r="E131" s="62"/>
      <c r="F131" s="179"/>
      <c r="G131" s="179"/>
      <c r="H131" s="253"/>
      <c r="I131" s="334">
        <f t="shared" si="23"/>
        <v>0</v>
      </c>
      <c r="J131" s="19"/>
      <c r="K131" s="334">
        <f t="shared" si="22"/>
        <v>0</v>
      </c>
      <c r="L131" s="19"/>
      <c r="P131" s="337" t="s">
        <v>477</v>
      </c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38"/>
      <c r="AB131" s="338"/>
      <c r="AC131" s="17"/>
      <c r="AD131" s="17"/>
    </row>
    <row r="132" spans="1:30" x14ac:dyDescent="0.25">
      <c r="A132" s="62"/>
      <c r="B132" s="62"/>
      <c r="C132" s="62"/>
      <c r="D132" s="62"/>
      <c r="E132" s="62"/>
      <c r="F132" s="179"/>
      <c r="G132" s="179"/>
      <c r="H132" s="253"/>
      <c r="I132" s="334">
        <f t="shared" si="23"/>
        <v>0</v>
      </c>
      <c r="J132" s="19"/>
      <c r="K132" s="334">
        <f t="shared" si="22"/>
        <v>0</v>
      </c>
      <c r="L132" s="19"/>
      <c r="P132" s="338">
        <v>1</v>
      </c>
      <c r="Q132" s="338">
        <v>2</v>
      </c>
      <c r="R132" s="338">
        <v>3</v>
      </c>
      <c r="S132" s="338">
        <v>4</v>
      </c>
      <c r="T132" s="338">
        <v>5</v>
      </c>
      <c r="U132" s="338">
        <v>6</v>
      </c>
      <c r="V132" s="338">
        <v>7</v>
      </c>
      <c r="W132" s="338">
        <v>8</v>
      </c>
      <c r="X132" s="338">
        <v>9</v>
      </c>
      <c r="Y132" s="338">
        <v>10</v>
      </c>
      <c r="Z132" s="338">
        <v>11</v>
      </c>
      <c r="AA132" s="338">
        <v>12</v>
      </c>
      <c r="AB132" s="338"/>
      <c r="AC132" s="17"/>
      <c r="AD132" s="17"/>
    </row>
    <row r="133" spans="1:30" ht="15" customHeight="1" x14ac:dyDescent="0.25">
      <c r="A133" s="62"/>
      <c r="B133" s="62"/>
      <c r="C133" s="62"/>
      <c r="D133" s="62"/>
      <c r="E133" s="62"/>
      <c r="F133" s="179"/>
      <c r="G133" s="179"/>
      <c r="H133" s="253"/>
      <c r="I133" s="334">
        <f t="shared" si="23"/>
        <v>0</v>
      </c>
      <c r="J133" s="19"/>
      <c r="K133" s="334">
        <f t="shared" si="22"/>
        <v>0</v>
      </c>
      <c r="L133" s="19"/>
      <c r="N133" t="s">
        <v>478</v>
      </c>
      <c r="P133" s="339" t="s">
        <v>2</v>
      </c>
      <c r="Q133" s="339" t="s">
        <v>3</v>
      </c>
      <c r="R133" s="339" t="s">
        <v>479</v>
      </c>
      <c r="S133" s="339" t="s">
        <v>480</v>
      </c>
      <c r="T133" s="339" t="s">
        <v>481</v>
      </c>
      <c r="U133" s="339" t="s">
        <v>482</v>
      </c>
      <c r="V133" s="339" t="s">
        <v>483</v>
      </c>
      <c r="W133" s="339" t="s">
        <v>484</v>
      </c>
      <c r="X133" s="339" t="s">
        <v>485</v>
      </c>
      <c r="Y133" s="339" t="s">
        <v>486</v>
      </c>
      <c r="Z133" s="339" t="s">
        <v>487</v>
      </c>
      <c r="AA133" s="339" t="s">
        <v>488</v>
      </c>
      <c r="AB133" s="338"/>
      <c r="AC133" s="17"/>
      <c r="AD133" s="17"/>
    </row>
    <row r="134" spans="1:30" x14ac:dyDescent="0.25">
      <c r="A134" s="62"/>
      <c r="B134" s="62"/>
      <c r="C134" s="62"/>
      <c r="D134" s="62"/>
      <c r="E134" s="62"/>
      <c r="F134" s="179"/>
      <c r="G134" s="179"/>
      <c r="H134" s="253"/>
      <c r="I134" s="334">
        <f t="shared" si="23"/>
        <v>0</v>
      </c>
      <c r="J134" s="19"/>
      <c r="K134" s="334">
        <f t="shared" si="22"/>
        <v>0</v>
      </c>
      <c r="L134" s="19"/>
      <c r="N134" s="340">
        <f>COUNTA(R134:AD134)</f>
        <v>0</v>
      </c>
      <c r="P134" s="339" t="s">
        <v>55</v>
      </c>
      <c r="Q134" s="341" t="s">
        <v>56</v>
      </c>
      <c r="R134" s="342"/>
      <c r="S134" s="342"/>
      <c r="T134" s="342"/>
      <c r="U134" s="342"/>
      <c r="V134" s="342"/>
      <c r="W134" s="342"/>
      <c r="X134" s="342"/>
      <c r="Y134" s="342"/>
      <c r="Z134" s="342"/>
      <c r="AA134" s="343"/>
      <c r="AB134" s="338"/>
      <c r="AC134" s="17"/>
      <c r="AD134" s="17"/>
    </row>
    <row r="135" spans="1:30" x14ac:dyDescent="0.25">
      <c r="A135" s="62"/>
      <c r="B135" s="62"/>
      <c r="C135" s="62"/>
      <c r="D135" s="62"/>
      <c r="E135" s="62"/>
      <c r="F135" s="179"/>
      <c r="G135" s="179"/>
      <c r="H135" s="253"/>
      <c r="I135" s="334">
        <f t="shared" si="23"/>
        <v>0</v>
      </c>
      <c r="J135" s="19"/>
      <c r="K135" s="334">
        <f t="shared" si="22"/>
        <v>0</v>
      </c>
      <c r="L135" s="19"/>
      <c r="N135" s="344" t="s">
        <v>489</v>
      </c>
      <c r="P135" s="345" t="s">
        <v>28</v>
      </c>
      <c r="Q135" s="345" t="s">
        <v>490</v>
      </c>
      <c r="R135" s="346"/>
      <c r="S135" s="346"/>
      <c r="T135" s="346"/>
      <c r="U135" s="346"/>
      <c r="V135" s="346"/>
      <c r="W135" s="346"/>
      <c r="X135" s="346"/>
      <c r="Y135" s="346"/>
      <c r="Z135" s="346"/>
      <c r="AA135" s="343"/>
      <c r="AB135" s="338"/>
      <c r="AC135" s="17"/>
      <c r="AD135" s="17"/>
    </row>
    <row r="136" spans="1:30" x14ac:dyDescent="0.25">
      <c r="A136" s="62"/>
      <c r="B136" s="62"/>
      <c r="C136" s="62"/>
      <c r="D136" s="62"/>
      <c r="E136" s="62"/>
      <c r="F136" s="179"/>
      <c r="G136" s="179"/>
      <c r="H136" s="253"/>
      <c r="I136" s="334">
        <f t="shared" si="23"/>
        <v>0</v>
      </c>
      <c r="J136" s="19"/>
      <c r="K136" s="334">
        <f t="shared" si="22"/>
        <v>0</v>
      </c>
      <c r="L136" s="19"/>
      <c r="N136" s="344">
        <v>12</v>
      </c>
      <c r="P136" s="345" t="s">
        <v>18</v>
      </c>
      <c r="Q136" s="345" t="s">
        <v>491</v>
      </c>
      <c r="R136" s="341"/>
      <c r="S136" s="345"/>
      <c r="T136" s="345"/>
      <c r="U136" s="345"/>
      <c r="V136" s="345"/>
      <c r="W136" s="345"/>
      <c r="X136" s="345"/>
      <c r="Y136" s="345"/>
      <c r="Z136" s="345"/>
      <c r="AA136" s="345"/>
      <c r="AB136" s="338"/>
      <c r="AC136" s="17"/>
      <c r="AD136" s="17"/>
    </row>
    <row r="137" spans="1:30" x14ac:dyDescent="0.25">
      <c r="A137" s="62"/>
      <c r="B137" s="62"/>
      <c r="C137" s="62"/>
      <c r="D137" s="62"/>
      <c r="E137" s="62"/>
      <c r="F137" s="179"/>
      <c r="G137" s="179"/>
      <c r="H137" s="253"/>
      <c r="I137" s="334">
        <f t="shared" si="23"/>
        <v>0</v>
      </c>
      <c r="J137" s="19"/>
      <c r="K137" s="334">
        <f t="shared" si="22"/>
        <v>0</v>
      </c>
      <c r="L137" s="19"/>
      <c r="N137" s="344"/>
      <c r="P137" s="345" t="s">
        <v>13</v>
      </c>
      <c r="Q137" s="345" t="s">
        <v>492</v>
      </c>
      <c r="R137" s="347"/>
      <c r="S137" s="347"/>
      <c r="T137" s="347"/>
      <c r="U137" s="347"/>
      <c r="V137" s="347"/>
      <c r="W137" s="347"/>
      <c r="X137" s="347"/>
      <c r="Y137" s="347"/>
      <c r="Z137" s="347"/>
      <c r="AA137" s="347"/>
      <c r="AB137" s="338"/>
      <c r="AC137" s="17"/>
      <c r="AD137" s="17"/>
    </row>
    <row r="138" spans="1:30" x14ac:dyDescent="0.25">
      <c r="A138" s="62"/>
      <c r="B138" s="62"/>
      <c r="C138" s="62"/>
      <c r="D138" s="62"/>
      <c r="E138" s="62"/>
      <c r="F138" s="179"/>
      <c r="G138" s="179"/>
      <c r="H138" s="253"/>
      <c r="I138" s="334">
        <f t="shared" si="23"/>
        <v>0</v>
      </c>
      <c r="J138" s="19"/>
      <c r="K138" s="334">
        <f t="shared" si="22"/>
        <v>0</v>
      </c>
      <c r="L138" s="19"/>
      <c r="N138" s="344"/>
      <c r="P138" s="345" t="s">
        <v>35</v>
      </c>
      <c r="Q138" s="345" t="s">
        <v>493</v>
      </c>
      <c r="R138" s="347"/>
      <c r="S138" s="347"/>
      <c r="T138" s="347"/>
      <c r="U138" s="347"/>
      <c r="V138" s="347"/>
      <c r="W138" s="347"/>
      <c r="X138" s="347"/>
      <c r="Y138" s="347"/>
      <c r="Z138" s="347"/>
      <c r="AA138" s="347"/>
      <c r="AB138" s="338"/>
      <c r="AC138" s="17"/>
      <c r="AD138" s="17"/>
    </row>
    <row r="139" spans="1:30" x14ac:dyDescent="0.25">
      <c r="A139" s="62"/>
      <c r="B139" s="62"/>
      <c r="C139" s="62"/>
      <c r="D139" s="62"/>
      <c r="E139" s="62"/>
      <c r="F139" s="179"/>
      <c r="G139" s="179"/>
      <c r="H139" s="253"/>
      <c r="I139" s="334">
        <f t="shared" si="23"/>
        <v>0</v>
      </c>
      <c r="J139" s="19"/>
      <c r="K139" s="334">
        <f t="shared" si="22"/>
        <v>0</v>
      </c>
      <c r="L139" s="19"/>
      <c r="N139" s="344"/>
      <c r="P139" s="345" t="s">
        <v>48</v>
      </c>
      <c r="Q139" s="345" t="s">
        <v>494</v>
      </c>
      <c r="R139" s="347"/>
      <c r="S139" s="347"/>
      <c r="T139" s="347"/>
      <c r="U139" s="347"/>
      <c r="V139" s="347"/>
      <c r="W139" s="347"/>
      <c r="X139" s="347"/>
      <c r="Y139" s="347"/>
      <c r="Z139" s="347"/>
      <c r="AA139" s="347"/>
      <c r="AB139" s="338"/>
      <c r="AC139" s="17"/>
      <c r="AD139" s="17"/>
    </row>
    <row r="140" spans="1:30" x14ac:dyDescent="0.25">
      <c r="A140" s="62"/>
      <c r="B140" s="62"/>
      <c r="C140" s="62"/>
      <c r="D140" s="62"/>
      <c r="E140" s="62"/>
      <c r="F140" s="179"/>
      <c r="G140" s="179"/>
      <c r="H140" s="253"/>
      <c r="I140" s="334">
        <f t="shared" si="23"/>
        <v>0</v>
      </c>
      <c r="J140" s="19"/>
      <c r="K140" s="334">
        <f t="shared" si="22"/>
        <v>0</v>
      </c>
      <c r="L140" s="19"/>
      <c r="N140" s="344"/>
      <c r="P140" s="345" t="s">
        <v>69</v>
      </c>
      <c r="Q140" s="345" t="s">
        <v>495</v>
      </c>
      <c r="R140" s="347"/>
      <c r="S140" s="347"/>
      <c r="T140" s="347"/>
      <c r="U140" s="347"/>
      <c r="V140" s="347"/>
      <c r="W140" s="347"/>
      <c r="X140" s="347"/>
      <c r="Y140" s="347"/>
      <c r="Z140" s="347"/>
      <c r="AA140" s="347"/>
      <c r="AB140" s="338"/>
      <c r="AC140" s="17"/>
      <c r="AD140" s="17"/>
    </row>
    <row r="141" spans="1:30" x14ac:dyDescent="0.25">
      <c r="A141" s="62"/>
      <c r="B141" s="62"/>
      <c r="C141" s="62"/>
      <c r="D141" s="62"/>
      <c r="E141" s="62"/>
      <c r="F141" s="179"/>
      <c r="G141" s="179"/>
      <c r="H141" s="253"/>
      <c r="I141" s="334">
        <f t="shared" si="23"/>
        <v>0</v>
      </c>
      <c r="J141" s="19"/>
      <c r="K141" s="334">
        <f t="shared" si="22"/>
        <v>0</v>
      </c>
      <c r="L141" s="19"/>
      <c r="N141" s="344"/>
      <c r="P141" s="345" t="s">
        <v>93</v>
      </c>
      <c r="Q141" s="345" t="s">
        <v>496</v>
      </c>
      <c r="R141" s="347"/>
      <c r="S141" s="347"/>
      <c r="T141" s="347"/>
      <c r="U141" s="347"/>
      <c r="V141" s="347"/>
      <c r="W141" s="347"/>
      <c r="X141" s="347"/>
      <c r="Y141" s="347"/>
      <c r="Z141" s="347"/>
      <c r="AA141" s="347"/>
      <c r="AB141" s="338"/>
      <c r="AC141" s="17"/>
      <c r="AD141" s="17"/>
    </row>
    <row r="142" spans="1:30" x14ac:dyDescent="0.25">
      <c r="A142" s="62"/>
      <c r="B142" s="62"/>
      <c r="C142" s="62"/>
      <c r="D142" s="62"/>
      <c r="E142" s="62"/>
      <c r="F142" s="179"/>
      <c r="G142" s="179"/>
      <c r="H142" s="253"/>
      <c r="I142" s="334">
        <f t="shared" si="23"/>
        <v>0</v>
      </c>
      <c r="J142" s="19"/>
      <c r="K142" s="334">
        <f t="shared" si="22"/>
        <v>0</v>
      </c>
      <c r="L142" s="19"/>
      <c r="N142" s="344"/>
      <c r="P142" s="345" t="s">
        <v>101</v>
      </c>
      <c r="Q142" s="345" t="s">
        <v>497</v>
      </c>
      <c r="R142" s="347"/>
      <c r="S142" s="347"/>
      <c r="T142" s="347"/>
      <c r="U142" s="347"/>
      <c r="V142" s="347"/>
      <c r="W142" s="347"/>
      <c r="X142" s="347"/>
      <c r="Y142" s="347"/>
      <c r="Z142" s="347"/>
      <c r="AA142" s="347"/>
      <c r="AB142" s="338"/>
      <c r="AC142" s="17"/>
      <c r="AD142" s="17"/>
    </row>
    <row r="143" spans="1:30" x14ac:dyDescent="0.25">
      <c r="A143" t="s">
        <v>498</v>
      </c>
      <c r="B143" s="253"/>
      <c r="N143" s="344"/>
      <c r="P143" s="345" t="s">
        <v>109</v>
      </c>
      <c r="Q143" s="345" t="s">
        <v>499</v>
      </c>
      <c r="R143" s="347"/>
      <c r="S143" s="347"/>
      <c r="T143" s="347"/>
      <c r="U143" s="347"/>
      <c r="V143" s="347"/>
      <c r="W143" s="347"/>
      <c r="X143" s="347"/>
      <c r="Y143" s="347"/>
      <c r="Z143" s="347"/>
      <c r="AA143" s="347"/>
      <c r="AB143" s="338"/>
      <c r="AC143" s="17"/>
      <c r="AD143" s="17"/>
    </row>
    <row r="144" spans="1:30" x14ac:dyDescent="0.25">
      <c r="N144" s="348"/>
      <c r="P144" s="345" t="s">
        <v>117</v>
      </c>
      <c r="Q144" s="345" t="s">
        <v>500</v>
      </c>
      <c r="R144" s="347"/>
      <c r="S144" s="347"/>
      <c r="T144" s="347"/>
      <c r="U144" s="347"/>
      <c r="V144" s="347"/>
      <c r="W144" s="347"/>
      <c r="X144" s="347"/>
      <c r="Y144" s="347"/>
      <c r="Z144" s="347"/>
      <c r="AA144" s="347"/>
      <c r="AB144" s="338"/>
      <c r="AC144" s="17"/>
      <c r="AD144" s="17"/>
    </row>
    <row r="145" spans="1:30" x14ac:dyDescent="0.25">
      <c r="P145" s="345" t="s">
        <v>125</v>
      </c>
      <c r="Q145" s="345" t="s">
        <v>501</v>
      </c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38"/>
      <c r="AC145" s="17"/>
      <c r="AD145" s="17"/>
    </row>
    <row r="146" spans="1:30" x14ac:dyDescent="0.25">
      <c r="P146" s="349" t="s">
        <v>502</v>
      </c>
      <c r="Q146" s="349" t="s">
        <v>503</v>
      </c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38"/>
      <c r="AC146" s="17"/>
      <c r="AD146" s="17"/>
    </row>
    <row r="147" spans="1:30" x14ac:dyDescent="0.25">
      <c r="A147" s="350" t="s">
        <v>504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2"/>
      <c r="P147" s="28"/>
      <c r="Q147" s="349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38"/>
      <c r="AC147" s="17"/>
      <c r="AD147" s="17"/>
    </row>
    <row r="148" spans="1:30" ht="15.75" thickBot="1" x14ac:dyDescent="0.3">
      <c r="A148" s="353" t="s">
        <v>297</v>
      </c>
      <c r="B148" s="354" t="s">
        <v>505</v>
      </c>
      <c r="C148" s="353" t="s">
        <v>506</v>
      </c>
      <c r="D148" s="354" t="s">
        <v>436</v>
      </c>
      <c r="E148" s="355" t="s">
        <v>437</v>
      </c>
      <c r="F148" s="355" t="s">
        <v>434</v>
      </c>
      <c r="G148" s="355" t="s">
        <v>507</v>
      </c>
      <c r="H148" s="355" t="s">
        <v>508</v>
      </c>
      <c r="I148" s="355" t="s">
        <v>509</v>
      </c>
      <c r="J148" s="355" t="s">
        <v>510</v>
      </c>
      <c r="K148" s="355" t="s">
        <v>511</v>
      </c>
      <c r="P148" s="345"/>
      <c r="Q148" s="345"/>
      <c r="R148" s="347"/>
      <c r="S148" s="347"/>
      <c r="T148" s="347"/>
      <c r="U148" s="347"/>
      <c r="V148" s="347"/>
      <c r="W148" s="347"/>
      <c r="X148" s="347"/>
      <c r="Y148" s="347"/>
      <c r="Z148" s="347"/>
      <c r="AA148" s="347"/>
      <c r="AB148" s="338"/>
      <c r="AC148" s="17"/>
      <c r="AD148" s="17"/>
    </row>
    <row r="149" spans="1:30" ht="15.75" thickTop="1" x14ac:dyDescent="0.25">
      <c r="A149" s="356">
        <v>6515</v>
      </c>
      <c r="B149" s="357">
        <v>0.95773895776417506</v>
      </c>
      <c r="C149" s="358"/>
      <c r="D149" s="358"/>
      <c r="E149" s="358"/>
      <c r="F149" s="358"/>
      <c r="G149" s="358"/>
      <c r="H149" s="358"/>
      <c r="I149" s="358">
        <v>42.179070259987796</v>
      </c>
      <c r="J149" s="358"/>
      <c r="K149" s="359"/>
      <c r="P149" s="345"/>
      <c r="Q149" s="345"/>
      <c r="R149" s="345"/>
      <c r="S149" s="347"/>
      <c r="T149" s="347"/>
      <c r="U149" s="347"/>
      <c r="V149" s="347"/>
      <c r="W149" s="347"/>
      <c r="X149" s="347"/>
      <c r="Y149" s="347"/>
      <c r="Z149" s="347"/>
      <c r="AA149" s="347"/>
      <c r="AB149" s="338"/>
      <c r="AC149" s="17"/>
      <c r="AD149" s="17"/>
    </row>
    <row r="150" spans="1:30" x14ac:dyDescent="0.25">
      <c r="A150" s="53">
        <v>6015</v>
      </c>
      <c r="B150" s="360">
        <v>0.96264747855930366</v>
      </c>
      <c r="C150" s="53"/>
      <c r="D150" s="53"/>
      <c r="E150" s="360"/>
      <c r="F150" s="360"/>
      <c r="G150" s="360"/>
      <c r="H150" s="360"/>
      <c r="I150" s="361">
        <v>41.964000000000006</v>
      </c>
      <c r="J150" s="62"/>
      <c r="K150" s="179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  <c r="AA150" s="338"/>
      <c r="AB150" s="338"/>
      <c r="AC150" s="17"/>
      <c r="AD150" s="17"/>
    </row>
    <row r="151" spans="1:30" x14ac:dyDescent="0.25">
      <c r="A151" s="362">
        <v>5515</v>
      </c>
      <c r="B151" s="360">
        <v>0.96786583241825719</v>
      </c>
      <c r="C151" s="314"/>
      <c r="D151" s="314"/>
      <c r="E151" s="360"/>
      <c r="F151" s="360"/>
      <c r="G151" s="360"/>
      <c r="H151" s="360"/>
      <c r="I151" s="360">
        <v>41.737746531799779</v>
      </c>
      <c r="J151" s="62"/>
      <c r="K151" s="179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  <c r="AA151" s="338"/>
      <c r="AB151" s="338"/>
      <c r="AC151" s="17"/>
      <c r="AD151" s="17"/>
    </row>
    <row r="152" spans="1:30" x14ac:dyDescent="0.25">
      <c r="A152" s="362">
        <v>5015</v>
      </c>
      <c r="B152" s="360">
        <v>0.97350924874873412</v>
      </c>
      <c r="C152" s="314"/>
      <c r="D152" s="314"/>
      <c r="E152" s="360"/>
      <c r="F152" s="360"/>
      <c r="G152" s="360"/>
      <c r="H152" s="360"/>
      <c r="I152" s="360">
        <v>41.495793534766001</v>
      </c>
      <c r="J152" s="62"/>
      <c r="K152" s="179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38"/>
      <c r="AB152" s="338"/>
      <c r="AC152" s="17"/>
      <c r="AD152" s="17"/>
    </row>
    <row r="153" spans="1:30" x14ac:dyDescent="0.25">
      <c r="A153" s="362">
        <v>4520</v>
      </c>
      <c r="B153" s="360">
        <v>0.9796852166953901</v>
      </c>
      <c r="C153" s="314"/>
      <c r="D153" s="314"/>
      <c r="E153" s="360"/>
      <c r="F153" s="360"/>
      <c r="G153" s="360"/>
      <c r="H153" s="360"/>
      <c r="I153" s="360">
        <v>41.234202682495891</v>
      </c>
      <c r="J153" s="62"/>
      <c r="K153" s="179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38"/>
      <c r="AB153" s="338"/>
      <c r="AC153" s="17"/>
      <c r="AD153" s="17"/>
    </row>
    <row r="154" spans="1:30" x14ac:dyDescent="0.25">
      <c r="A154" s="362">
        <v>4015</v>
      </c>
      <c r="B154" s="360">
        <v>0.9867123305838188</v>
      </c>
      <c r="C154" s="314"/>
      <c r="D154" s="314"/>
      <c r="E154" s="360"/>
      <c r="F154" s="360"/>
      <c r="G154" s="360"/>
      <c r="H154" s="360"/>
      <c r="I154" s="360">
        <v>40.940543193942624</v>
      </c>
      <c r="J154" s="62"/>
      <c r="K154" s="179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38"/>
      <c r="AB154" s="338"/>
      <c r="AC154" s="17"/>
      <c r="AD154" s="17"/>
    </row>
    <row r="155" spans="1:30" x14ac:dyDescent="0.25">
      <c r="A155" s="362">
        <v>3515</v>
      </c>
      <c r="B155" s="360">
        <v>0.99458866961251968</v>
      </c>
      <c r="C155" s="314"/>
      <c r="D155" s="314"/>
      <c r="E155" s="360"/>
      <c r="F155" s="360"/>
      <c r="G155" s="360"/>
      <c r="H155" s="360"/>
      <c r="I155" s="360">
        <v>40.616327155627715</v>
      </c>
      <c r="J155" s="62"/>
      <c r="K155" s="179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  <c r="AA155" s="338"/>
      <c r="AB155" s="338"/>
      <c r="AC155" s="17"/>
      <c r="AD155" s="17"/>
    </row>
    <row r="156" spans="1:30" x14ac:dyDescent="0.25">
      <c r="A156" s="362">
        <v>3215</v>
      </c>
      <c r="B156" s="360">
        <v>1</v>
      </c>
      <c r="C156" s="314"/>
      <c r="D156" s="314"/>
      <c r="E156" s="360"/>
      <c r="F156" s="360"/>
      <c r="G156" s="360"/>
      <c r="H156" s="314"/>
      <c r="I156" s="360">
        <v>40.396538790262625</v>
      </c>
      <c r="J156" s="62"/>
      <c r="K156" s="179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  <c r="AA156" s="338"/>
      <c r="AB156" s="338"/>
      <c r="AC156" s="17"/>
      <c r="AD156" s="17"/>
    </row>
    <row r="157" spans="1:30" x14ac:dyDescent="0.25">
      <c r="A157" s="362">
        <v>3022</v>
      </c>
      <c r="B157" s="360">
        <v>1.0180804854126775</v>
      </c>
      <c r="C157" s="314"/>
      <c r="D157" s="314"/>
      <c r="E157" s="360"/>
      <c r="F157" s="360"/>
      <c r="G157" s="360"/>
      <c r="H157" s="360"/>
      <c r="I157" s="360"/>
      <c r="J157" s="62"/>
      <c r="K157" s="179">
        <v>3.5322608113175646</v>
      </c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38"/>
      <c r="AB157" s="338"/>
      <c r="AC157" s="17"/>
      <c r="AD157" s="17"/>
    </row>
    <row r="158" spans="1:30" x14ac:dyDescent="0.25">
      <c r="A158" s="362">
        <v>2829</v>
      </c>
      <c r="B158" s="360">
        <v>1.0402130367759264</v>
      </c>
      <c r="C158" s="314"/>
      <c r="D158" s="314"/>
      <c r="E158" s="360"/>
      <c r="F158" s="360"/>
      <c r="G158" s="360"/>
      <c r="H158" s="314"/>
      <c r="I158" s="360"/>
      <c r="J158" s="62"/>
      <c r="K158" s="179">
        <v>3.3930283329675315</v>
      </c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38"/>
      <c r="AB158" s="338"/>
      <c r="AC158" s="17"/>
      <c r="AD158" s="17"/>
    </row>
    <row r="159" spans="1:30" x14ac:dyDescent="0.25">
      <c r="A159" s="362">
        <v>2636</v>
      </c>
      <c r="B159" s="360">
        <v>1.0675060747991409</v>
      </c>
      <c r="C159" s="314"/>
      <c r="D159" s="314"/>
      <c r="E159" s="360"/>
      <c r="F159" s="363"/>
      <c r="G159" s="360"/>
      <c r="H159" s="314"/>
      <c r="I159" s="361"/>
      <c r="J159" s="62"/>
      <c r="K159" s="179">
        <v>3.2537958546174988</v>
      </c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  <c r="AA159" s="338"/>
      <c r="AB159" s="338"/>
      <c r="AC159" s="17"/>
      <c r="AD159" s="17"/>
    </row>
    <row r="160" spans="1:30" x14ac:dyDescent="0.25">
      <c r="A160" s="362">
        <v>2443</v>
      </c>
      <c r="B160" s="360">
        <v>1.1014604211946251</v>
      </c>
      <c r="C160" s="314"/>
      <c r="D160" s="314"/>
      <c r="E160" s="360"/>
      <c r="F160" s="363"/>
      <c r="G160" s="360"/>
      <c r="H160" s="314"/>
      <c r="I160" s="361"/>
      <c r="J160" s="62"/>
      <c r="K160" s="179">
        <v>3.1145633762674656</v>
      </c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338"/>
      <c r="AB160" s="338"/>
      <c r="AC160" s="17"/>
      <c r="AD160" s="17"/>
    </row>
    <row r="161" spans="1:30" x14ac:dyDescent="0.25">
      <c r="A161" s="362">
        <v>2250</v>
      </c>
      <c r="B161" s="360">
        <v>1.1441482993333909</v>
      </c>
      <c r="C161" s="314"/>
      <c r="D161" s="314"/>
      <c r="E161" s="360"/>
      <c r="F161" s="363"/>
      <c r="G161" s="360"/>
      <c r="H161" s="314"/>
      <c r="I161" s="361"/>
      <c r="J161" s="62"/>
      <c r="K161" s="179">
        <v>2.9753308979174329</v>
      </c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  <c r="AA161" s="338"/>
      <c r="AB161" s="338"/>
      <c r="AC161" s="17"/>
      <c r="AD161" s="17"/>
    </row>
    <row r="162" spans="1:30" x14ac:dyDescent="0.25">
      <c r="A162" s="362">
        <v>2057</v>
      </c>
      <c r="B162" s="360">
        <v>1.1984965531988108</v>
      </c>
      <c r="C162" s="314"/>
      <c r="D162" s="314"/>
      <c r="E162" s="360"/>
      <c r="F162" s="363"/>
      <c r="G162" s="360"/>
      <c r="H162" s="314"/>
      <c r="I162" s="361"/>
      <c r="J162" s="62"/>
      <c r="K162" s="179">
        <v>2.8360984195674002</v>
      </c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338"/>
      <c r="AB162" s="338"/>
      <c r="AC162" s="17"/>
      <c r="AD162" s="17"/>
    </row>
    <row r="163" spans="1:30" x14ac:dyDescent="0.25">
      <c r="A163" s="362">
        <v>1864</v>
      </c>
      <c r="B163" s="360">
        <v>1.2687509959794863</v>
      </c>
      <c r="C163" s="314"/>
      <c r="D163" s="314"/>
      <c r="E163" s="360"/>
      <c r="F163" s="363"/>
      <c r="G163" s="360"/>
      <c r="H163" s="314"/>
      <c r="I163" s="361"/>
      <c r="J163" s="62"/>
      <c r="K163" s="179">
        <v>2.696865941217367</v>
      </c>
      <c r="P163" s="338"/>
      <c r="Q163" s="338"/>
      <c r="R163" s="338"/>
      <c r="S163" s="338"/>
      <c r="T163" s="338"/>
      <c r="U163" s="338"/>
      <c r="V163" s="338"/>
      <c r="W163" s="338"/>
      <c r="X163" s="338"/>
      <c r="Y163" s="338"/>
      <c r="Z163" s="338"/>
      <c r="AA163" s="338"/>
      <c r="AB163" s="338"/>
      <c r="AC163" s="17"/>
      <c r="AD163" s="17"/>
    </row>
    <row r="164" spans="1:30" x14ac:dyDescent="0.25">
      <c r="A164" s="362">
        <v>1671</v>
      </c>
      <c r="B164" s="360">
        <v>1.361270533733139</v>
      </c>
      <c r="C164" s="314"/>
      <c r="D164" s="314"/>
      <c r="E164" s="360"/>
      <c r="F164" s="363"/>
      <c r="G164" s="360"/>
      <c r="H164" s="314"/>
      <c r="I164" s="361"/>
      <c r="J164" s="62"/>
      <c r="K164" s="179">
        <v>2.5576334628673338</v>
      </c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  <c r="AA164" s="338"/>
      <c r="AB164" s="338"/>
      <c r="AC164" s="17"/>
      <c r="AD164" s="17"/>
    </row>
    <row r="165" spans="1:30" x14ac:dyDescent="0.25">
      <c r="A165" s="362">
        <v>1478</v>
      </c>
      <c r="B165" s="360">
        <v>1.485956139622493</v>
      </c>
      <c r="C165" s="314"/>
      <c r="D165" s="314"/>
      <c r="E165" s="360"/>
      <c r="F165" s="363"/>
      <c r="G165" s="360"/>
      <c r="H165" s="314"/>
      <c r="I165" s="361"/>
      <c r="J165" s="62"/>
      <c r="K165" s="179">
        <v>2.4184009845173011</v>
      </c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38"/>
      <c r="AB165" s="338"/>
      <c r="AC165" s="17"/>
      <c r="AD165" s="17"/>
    </row>
    <row r="166" spans="1:30" x14ac:dyDescent="0.25">
      <c r="A166" s="362">
        <v>1285</v>
      </c>
      <c r="B166" s="360">
        <v>1.6589883640580636</v>
      </c>
      <c r="C166" s="314"/>
      <c r="D166" s="314"/>
      <c r="E166" s="360"/>
      <c r="F166" s="363"/>
      <c r="G166" s="360"/>
      <c r="H166" s="314"/>
      <c r="I166" s="361"/>
      <c r="J166" s="62"/>
      <c r="K166" s="179">
        <v>2.2791685061672684</v>
      </c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38"/>
      <c r="AB166" s="338"/>
      <c r="AC166" s="17"/>
      <c r="AD166" s="17"/>
    </row>
    <row r="167" spans="1:30" x14ac:dyDescent="0.25">
      <c r="A167" s="362">
        <v>1092</v>
      </c>
      <c r="B167" s="360">
        <v>1.9085034173298365</v>
      </c>
      <c r="C167" s="314"/>
      <c r="D167" s="314"/>
      <c r="E167" s="360"/>
      <c r="F167" s="363"/>
      <c r="G167" s="360"/>
      <c r="H167" s="314"/>
      <c r="I167" s="361"/>
      <c r="J167" s="62"/>
      <c r="K167" s="179">
        <v>2.1399360278172352</v>
      </c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38"/>
      <c r="AB167" s="338"/>
      <c r="AC167" s="17"/>
      <c r="AD167" s="17"/>
    </row>
    <row r="168" spans="1:30" x14ac:dyDescent="0.25">
      <c r="A168" s="362">
        <v>939</v>
      </c>
      <c r="B168" s="360">
        <v>2.1942761678375131</v>
      </c>
      <c r="C168" s="314"/>
      <c r="D168" s="314"/>
      <c r="E168" s="360"/>
      <c r="F168" s="363"/>
      <c r="G168" s="360"/>
      <c r="H168" s="314"/>
      <c r="I168" s="361"/>
      <c r="J168" s="62"/>
      <c r="K168" s="179">
        <v>2.0295600216641003</v>
      </c>
      <c r="P168" s="338"/>
      <c r="Q168" s="338"/>
      <c r="R168" s="338"/>
      <c r="S168" s="338"/>
      <c r="T168" s="338"/>
      <c r="U168" s="338"/>
      <c r="V168" s="338"/>
      <c r="W168" s="338"/>
      <c r="X168" s="338"/>
      <c r="Y168" s="338"/>
      <c r="Z168" s="338"/>
      <c r="AA168" s="338"/>
      <c r="AB168" s="338"/>
      <c r="AC168" s="17"/>
      <c r="AD168" s="17"/>
    </row>
    <row r="169" spans="1:30" x14ac:dyDescent="0.25">
      <c r="A169" s="53">
        <v>746</v>
      </c>
      <c r="B169" s="360">
        <v>2.7508349207716911</v>
      </c>
      <c r="C169" s="314"/>
      <c r="D169" s="314"/>
      <c r="E169" s="360"/>
      <c r="F169" s="363"/>
      <c r="G169" s="360"/>
      <c r="H169" s="314"/>
      <c r="I169" s="361"/>
      <c r="J169" s="62"/>
      <c r="K169" s="179">
        <v>1.8903275433140674</v>
      </c>
      <c r="P169" s="338"/>
      <c r="Q169" s="338"/>
      <c r="R169" s="338"/>
      <c r="S169" s="338"/>
      <c r="T169" s="338"/>
      <c r="U169" s="338"/>
      <c r="V169" s="338"/>
      <c r="W169" s="338"/>
      <c r="X169" s="338"/>
      <c r="Y169" s="338"/>
      <c r="Z169" s="338"/>
      <c r="AA169" s="338"/>
      <c r="AB169" s="338"/>
      <c r="AC169" s="17"/>
      <c r="AD169" s="17"/>
    </row>
    <row r="170" spans="1:30" x14ac:dyDescent="0.25">
      <c r="A170" s="53">
        <v>553</v>
      </c>
      <c r="B170" s="360">
        <v>3.7489902262418742</v>
      </c>
      <c r="C170" s="314"/>
      <c r="D170" s="314"/>
      <c r="E170" s="360"/>
      <c r="F170" s="363"/>
      <c r="G170" s="360"/>
      <c r="H170" s="314"/>
      <c r="I170" s="361"/>
      <c r="J170" s="62"/>
      <c r="K170" s="179">
        <v>1.7510950649640344</v>
      </c>
      <c r="P170" s="338"/>
      <c r="Q170" s="338"/>
      <c r="R170" s="338"/>
      <c r="S170" s="338"/>
      <c r="T170" s="338"/>
      <c r="U170" s="338"/>
      <c r="V170" s="338"/>
      <c r="W170" s="338"/>
      <c r="X170" s="338"/>
      <c r="Y170" s="338"/>
      <c r="Z170" s="338"/>
      <c r="AA170" s="338"/>
      <c r="AB170" s="338"/>
      <c r="AC170" s="17"/>
      <c r="AD170" s="17"/>
    </row>
    <row r="171" spans="1:30" x14ac:dyDescent="0.25">
      <c r="A171" s="53">
        <v>360</v>
      </c>
      <c r="B171" s="360">
        <v>5.9201188869425092</v>
      </c>
      <c r="C171" s="314"/>
      <c r="D171" s="314"/>
      <c r="E171" s="360"/>
      <c r="F171" s="363"/>
      <c r="G171" s="360"/>
      <c r="H171" s="314"/>
      <c r="I171" s="361"/>
      <c r="J171" s="62"/>
      <c r="K171" s="179">
        <v>1.6118625866140015</v>
      </c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38"/>
      <c r="AB171" s="338"/>
      <c r="AC171" s="17"/>
      <c r="AD171" s="17"/>
    </row>
    <row r="172" spans="1:30" x14ac:dyDescent="0.25">
      <c r="A172" s="53"/>
      <c r="B172" s="360"/>
      <c r="C172" s="314"/>
      <c r="D172" s="314"/>
      <c r="E172" s="360"/>
      <c r="F172" s="363"/>
      <c r="G172" s="360"/>
      <c r="H172" s="314"/>
      <c r="I172" s="361"/>
      <c r="J172" s="62"/>
      <c r="K172" s="179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38"/>
      <c r="AB172" s="338"/>
      <c r="AC172" s="17"/>
      <c r="AD172" s="17"/>
    </row>
    <row r="173" spans="1:30" x14ac:dyDescent="0.25">
      <c r="A173" s="53"/>
      <c r="B173" s="360"/>
      <c r="C173" s="314"/>
      <c r="D173" s="314"/>
      <c r="E173" s="360"/>
      <c r="F173" s="363"/>
      <c r="G173" s="360"/>
      <c r="H173" s="314"/>
      <c r="I173" s="361"/>
      <c r="J173" s="62"/>
      <c r="K173" s="179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  <c r="AA173" s="338"/>
      <c r="AB173" s="338"/>
      <c r="AC173" s="17"/>
      <c r="AD173" s="17"/>
    </row>
    <row r="174" spans="1:30" x14ac:dyDescent="0.25">
      <c r="A174" s="53"/>
      <c r="B174" s="360"/>
      <c r="C174" s="314"/>
      <c r="D174" s="314"/>
      <c r="E174" s="360"/>
      <c r="F174" s="363"/>
      <c r="G174" s="360"/>
      <c r="H174" s="314"/>
      <c r="I174" s="361"/>
      <c r="J174" s="62"/>
      <c r="K174" s="179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  <c r="AA174" s="338"/>
      <c r="AB174" s="338"/>
      <c r="AC174" s="17"/>
      <c r="AD174" s="17"/>
    </row>
    <row r="175" spans="1:30" x14ac:dyDescent="0.25">
      <c r="A175" s="53"/>
      <c r="B175" s="360"/>
      <c r="C175" s="314"/>
      <c r="D175" s="314"/>
      <c r="E175" s="360"/>
      <c r="F175" s="363"/>
      <c r="G175" s="360"/>
      <c r="H175" s="314"/>
      <c r="I175" s="361"/>
      <c r="J175" s="62"/>
      <c r="K175" s="179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  <c r="AA175" s="338"/>
      <c r="AB175" s="338"/>
      <c r="AC175" s="17"/>
      <c r="AD175" s="17"/>
    </row>
    <row r="176" spans="1:30" x14ac:dyDescent="0.25">
      <c r="A176" s="53"/>
      <c r="B176" s="360"/>
      <c r="C176" s="314"/>
      <c r="D176" s="314"/>
      <c r="E176" s="360"/>
      <c r="F176" s="363"/>
      <c r="G176" s="360"/>
      <c r="H176" s="314"/>
      <c r="I176" s="361"/>
      <c r="J176" s="62"/>
      <c r="K176" s="179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  <c r="AA176" s="338"/>
      <c r="AB176" s="338"/>
      <c r="AC176" s="17"/>
      <c r="AD176" s="17"/>
    </row>
    <row r="177" spans="1:30" x14ac:dyDescent="0.25">
      <c r="A177" s="53"/>
      <c r="B177" s="360"/>
      <c r="C177" s="314"/>
      <c r="D177" s="314"/>
      <c r="E177" s="360"/>
      <c r="F177" s="363"/>
      <c r="G177" s="360"/>
      <c r="H177" s="314"/>
      <c r="I177" s="361"/>
      <c r="J177" s="62"/>
      <c r="K177" s="179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  <c r="AA177" s="338"/>
      <c r="AB177" s="338"/>
      <c r="AC177" s="17"/>
      <c r="AD177" s="17"/>
    </row>
    <row r="178" spans="1:30" x14ac:dyDescent="0.25">
      <c r="A178" s="53"/>
      <c r="B178" s="360"/>
      <c r="C178" s="314"/>
      <c r="D178" s="314"/>
      <c r="E178" s="360"/>
      <c r="F178" s="363"/>
      <c r="G178" s="360"/>
      <c r="H178" s="314"/>
      <c r="I178" s="361"/>
      <c r="J178" s="62"/>
      <c r="K178" s="179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38"/>
      <c r="AB178" s="338"/>
      <c r="AC178" s="17"/>
      <c r="AD178" s="17"/>
    </row>
    <row r="179" spans="1:30" x14ac:dyDescent="0.25">
      <c r="A179" s="53"/>
      <c r="B179" s="360"/>
      <c r="C179" s="314"/>
      <c r="D179" s="314"/>
      <c r="E179" s="360"/>
      <c r="F179" s="363"/>
      <c r="G179" s="360"/>
      <c r="H179" s="314"/>
      <c r="I179" s="361"/>
      <c r="J179" s="62"/>
      <c r="K179" s="179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338"/>
      <c r="AB179" s="338"/>
      <c r="AC179" s="17"/>
      <c r="AD179" s="17"/>
    </row>
    <row r="180" spans="1:30" x14ac:dyDescent="0.25">
      <c r="A180" s="53"/>
      <c r="B180" s="360"/>
      <c r="C180" s="314"/>
      <c r="D180" s="314"/>
      <c r="E180" s="360"/>
      <c r="F180" s="363"/>
      <c r="G180" s="360"/>
      <c r="H180" s="314"/>
      <c r="I180" s="361"/>
      <c r="J180" s="62"/>
      <c r="K180" s="179"/>
      <c r="P180" s="347" t="s">
        <v>466</v>
      </c>
      <c r="Q180" s="345"/>
      <c r="R180" s="364">
        <f>SUM(R135:R147)</f>
        <v>0</v>
      </c>
      <c r="S180" s="364">
        <f t="shared" ref="S180:AA180" si="24">SUM(S135:S147)</f>
        <v>0</v>
      </c>
      <c r="T180" s="364">
        <f t="shared" si="24"/>
        <v>0</v>
      </c>
      <c r="U180" s="364">
        <f t="shared" si="24"/>
        <v>0</v>
      </c>
      <c r="V180" s="364">
        <f t="shared" si="24"/>
        <v>0</v>
      </c>
      <c r="W180" s="364">
        <f t="shared" si="24"/>
        <v>0</v>
      </c>
      <c r="X180" s="364">
        <f t="shared" si="24"/>
        <v>0</v>
      </c>
      <c r="Y180" s="364">
        <f t="shared" si="24"/>
        <v>0</v>
      </c>
      <c r="Z180" s="364">
        <f t="shared" si="24"/>
        <v>0</v>
      </c>
      <c r="AA180" s="364">
        <f t="shared" si="24"/>
        <v>0</v>
      </c>
      <c r="AB180" s="338"/>
      <c r="AC180" s="17"/>
      <c r="AD180" s="17"/>
    </row>
    <row r="181" spans="1:30" x14ac:dyDescent="0.25">
      <c r="A181" s="53"/>
      <c r="B181" s="360"/>
      <c r="C181" s="314"/>
      <c r="D181" s="314"/>
      <c r="E181" s="360"/>
      <c r="F181" s="363"/>
      <c r="G181" s="360"/>
      <c r="H181" s="314"/>
      <c r="I181" s="361"/>
      <c r="J181" s="62"/>
      <c r="K181" s="179"/>
      <c r="P181" s="28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341"/>
      <c r="AB181" s="338"/>
      <c r="AC181" s="17"/>
      <c r="AD181" s="17"/>
    </row>
    <row r="182" spans="1:30" x14ac:dyDescent="0.25">
      <c r="A182" s="53"/>
      <c r="B182" s="360"/>
      <c r="C182" s="314"/>
      <c r="D182" s="314"/>
      <c r="E182" s="360"/>
      <c r="F182" s="363"/>
      <c r="G182" s="360"/>
      <c r="H182" s="314"/>
      <c r="I182" s="361"/>
      <c r="J182" s="62"/>
      <c r="K182" s="179"/>
      <c r="M182" s="365" t="s">
        <v>512</v>
      </c>
      <c r="N182" s="365"/>
      <c r="O182" s="366"/>
      <c r="P182" s="367" t="s">
        <v>513</v>
      </c>
      <c r="Q182" s="345"/>
      <c r="R182" s="368"/>
      <c r="S182" s="368"/>
      <c r="T182" s="368"/>
      <c r="U182" s="368"/>
      <c r="V182" s="368"/>
      <c r="W182" s="368"/>
      <c r="X182" s="368"/>
      <c r="Y182" s="368"/>
      <c r="Z182" s="368"/>
      <c r="AA182" s="368"/>
      <c r="AB182" s="338"/>
      <c r="AC182" s="17"/>
      <c r="AD182" s="17"/>
    </row>
    <row r="183" spans="1:30" x14ac:dyDescent="0.25">
      <c r="A183" s="53"/>
      <c r="B183" s="360"/>
      <c r="C183" s="314"/>
      <c r="D183" s="314"/>
      <c r="E183" s="360"/>
      <c r="F183" s="363"/>
      <c r="G183" s="360"/>
      <c r="H183" s="314"/>
      <c r="I183" s="361"/>
      <c r="J183" s="62"/>
      <c r="K183" s="179"/>
      <c r="M183" s="365"/>
      <c r="N183" s="365"/>
      <c r="O183" s="366"/>
      <c r="P183" s="369" t="s">
        <v>514</v>
      </c>
      <c r="Q183" s="345"/>
      <c r="R183" s="347"/>
      <c r="S183" s="347"/>
      <c r="T183" s="347"/>
      <c r="U183" s="347"/>
      <c r="V183" s="347"/>
      <c r="W183" s="347"/>
      <c r="X183" s="347"/>
      <c r="Y183" s="347"/>
      <c r="Z183" s="347"/>
      <c r="AA183" s="347"/>
      <c r="AB183" s="338"/>
      <c r="AC183" s="17"/>
      <c r="AD183" s="17"/>
    </row>
    <row r="184" spans="1:30" x14ac:dyDescent="0.25">
      <c r="A184" s="53"/>
      <c r="B184" s="360"/>
      <c r="C184" s="314"/>
      <c r="D184" s="314"/>
      <c r="E184" s="360"/>
      <c r="F184" s="363"/>
      <c r="G184" s="360"/>
      <c r="H184" s="314"/>
      <c r="I184" s="361"/>
      <c r="J184" s="62"/>
      <c r="K184" s="179"/>
      <c r="M184" s="370" t="s">
        <v>515</v>
      </c>
      <c r="N184" s="371"/>
      <c r="O184" s="372"/>
      <c r="P184" s="367" t="s">
        <v>516</v>
      </c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41"/>
      <c r="AB184" s="338"/>
      <c r="AD184" s="17"/>
    </row>
    <row r="185" spans="1:30" x14ac:dyDescent="0.25">
      <c r="A185" s="53"/>
      <c r="B185" s="360"/>
      <c r="C185" s="314"/>
      <c r="D185" s="314"/>
      <c r="E185" s="360"/>
      <c r="F185" s="363"/>
      <c r="G185" s="360"/>
      <c r="H185" s="314"/>
      <c r="I185" s="361"/>
      <c r="J185" s="62"/>
      <c r="K185" s="179"/>
      <c r="M185" s="371"/>
      <c r="N185" s="371"/>
      <c r="O185" s="372"/>
      <c r="P185" s="367" t="s">
        <v>517</v>
      </c>
      <c r="Q185" s="347"/>
      <c r="R185" s="368"/>
      <c r="S185" s="368"/>
      <c r="T185" s="368"/>
      <c r="U185" s="368"/>
      <c r="V185" s="368"/>
      <c r="W185" s="368"/>
      <c r="X185" s="368"/>
      <c r="Y185" s="368"/>
      <c r="Z185" s="368"/>
      <c r="AA185" s="368"/>
      <c r="AB185" s="338"/>
      <c r="AD185" s="17"/>
    </row>
    <row r="186" spans="1:30" x14ac:dyDescent="0.25">
      <c r="A186" s="53"/>
      <c r="B186" s="360"/>
      <c r="C186" s="314"/>
      <c r="D186" s="314"/>
      <c r="E186" s="360"/>
      <c r="F186" s="363"/>
      <c r="G186" s="360"/>
      <c r="H186" s="314"/>
      <c r="I186" s="361"/>
      <c r="J186" s="62"/>
      <c r="K186" s="179"/>
      <c r="M186" s="371"/>
      <c r="N186" s="371"/>
      <c r="O186" s="372"/>
      <c r="P186" s="369" t="s">
        <v>518</v>
      </c>
      <c r="Q186" s="345"/>
      <c r="R186" s="347"/>
      <c r="S186" s="347"/>
      <c r="T186" s="347"/>
      <c r="U186" s="347"/>
      <c r="V186" s="347"/>
      <c r="W186" s="347"/>
      <c r="X186" s="347"/>
      <c r="Y186" s="347"/>
      <c r="Z186" s="347"/>
      <c r="AA186" s="347"/>
      <c r="AB186" s="338"/>
      <c r="AD186" s="17"/>
    </row>
    <row r="187" spans="1:30" x14ac:dyDescent="0.25">
      <c r="A187" s="53"/>
      <c r="B187" s="360"/>
      <c r="C187" s="314"/>
      <c r="D187" s="314"/>
      <c r="E187" s="360"/>
      <c r="F187" s="363"/>
      <c r="G187" s="360"/>
      <c r="H187" s="314"/>
      <c r="I187" s="361"/>
      <c r="J187" s="62"/>
      <c r="K187" s="179"/>
      <c r="P187" s="28"/>
      <c r="Q187" s="373"/>
      <c r="R187" s="347"/>
      <c r="S187" s="347"/>
      <c r="T187" s="347"/>
      <c r="U187" s="347"/>
      <c r="V187" s="347"/>
      <c r="W187" s="347"/>
      <c r="X187" s="347"/>
      <c r="Y187" s="347"/>
      <c r="Z187" s="347"/>
      <c r="AA187" s="347"/>
      <c r="AB187" s="338"/>
      <c r="AD187" s="17"/>
    </row>
    <row r="188" spans="1:30" x14ac:dyDescent="0.25">
      <c r="A188" s="53"/>
      <c r="B188" s="360"/>
      <c r="C188" s="314"/>
      <c r="D188" s="314"/>
      <c r="E188" s="360"/>
      <c r="F188" s="363"/>
      <c r="G188" s="360"/>
      <c r="H188" s="314"/>
      <c r="I188" s="361"/>
      <c r="J188" s="62"/>
      <c r="K188" s="179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374"/>
    </row>
    <row r="189" spans="1:30" x14ac:dyDescent="0.25">
      <c r="A189" s="53"/>
      <c r="B189" s="360"/>
      <c r="C189" s="53"/>
      <c r="D189" s="53"/>
      <c r="E189" s="360"/>
      <c r="F189" s="360"/>
      <c r="G189" s="360"/>
      <c r="H189" s="360"/>
      <c r="I189" s="361"/>
      <c r="J189" s="62"/>
      <c r="K189" s="179"/>
      <c r="P189" s="375"/>
      <c r="Q189" s="376"/>
      <c r="R189" s="377"/>
      <c r="S189" s="377"/>
      <c r="T189" s="377"/>
      <c r="U189" s="377"/>
      <c r="V189" s="377"/>
      <c r="W189" s="377"/>
      <c r="X189" s="377"/>
      <c r="Y189" s="377"/>
      <c r="Z189" s="377"/>
      <c r="AA189" s="378"/>
    </row>
    <row r="190" spans="1:30" x14ac:dyDescent="0.25">
      <c r="A190" s="303" t="s">
        <v>519</v>
      </c>
      <c r="I190" s="190"/>
      <c r="J190" s="190"/>
      <c r="P190" s="375"/>
      <c r="Q190" s="376"/>
      <c r="R190" s="377"/>
      <c r="S190" s="377"/>
      <c r="T190" s="377"/>
      <c r="U190" s="377"/>
      <c r="V190" s="377"/>
      <c r="W190" s="377"/>
      <c r="X190" s="377"/>
      <c r="Y190" s="377"/>
      <c r="Z190" s="377"/>
      <c r="AA190" s="378"/>
    </row>
    <row r="191" spans="1:30" x14ac:dyDescent="0.25">
      <c r="A191" s="303"/>
      <c r="I191" s="190"/>
      <c r="J191" s="190"/>
      <c r="P191" s="379"/>
      <c r="Q191" s="380"/>
      <c r="R191" s="377"/>
      <c r="S191" s="377"/>
      <c r="T191" s="377"/>
      <c r="U191" s="377"/>
      <c r="V191" s="377"/>
      <c r="W191" s="377"/>
      <c r="X191" s="377"/>
      <c r="Y191" s="377"/>
      <c r="Z191" s="377"/>
      <c r="AA191" s="376"/>
    </row>
    <row r="192" spans="1:30" x14ac:dyDescent="0.25">
      <c r="A192" s="381" t="s">
        <v>520</v>
      </c>
      <c r="B192" s="382"/>
      <c r="C192" s="383"/>
      <c r="D192" s="382"/>
      <c r="E192" s="383"/>
      <c r="F192" s="383"/>
      <c r="G192" s="383"/>
      <c r="H192" s="383"/>
      <c r="I192" s="384"/>
      <c r="J192" s="190"/>
    </row>
    <row r="193" spans="1:11" x14ac:dyDescent="0.25">
      <c r="A193" s="381" t="s">
        <v>521</v>
      </c>
      <c r="B193" s="382"/>
      <c r="C193" s="383"/>
      <c r="D193" s="382"/>
      <c r="E193" s="383"/>
      <c r="F193" s="383"/>
      <c r="G193" s="383"/>
      <c r="H193" s="383"/>
      <c r="I193" s="384"/>
      <c r="J193" s="190"/>
    </row>
    <row r="194" spans="1:11" x14ac:dyDescent="0.25">
      <c r="A194" s="381" t="s">
        <v>522</v>
      </c>
      <c r="B194" s="382"/>
      <c r="C194" s="383"/>
      <c r="D194" s="382"/>
      <c r="E194" s="383"/>
      <c r="F194" s="383"/>
      <c r="G194" s="383"/>
      <c r="H194" s="383"/>
      <c r="I194" s="384"/>
      <c r="J194" s="190"/>
    </row>
    <row r="195" spans="1:11" x14ac:dyDescent="0.25">
      <c r="A195" s="381"/>
      <c r="B195" s="382"/>
      <c r="C195" s="383"/>
      <c r="D195" s="382"/>
      <c r="E195" s="383"/>
      <c r="F195" s="383"/>
      <c r="G195" s="383"/>
      <c r="H195" s="383"/>
      <c r="I195" s="384"/>
      <c r="J195" s="190"/>
    </row>
    <row r="196" spans="1:11" x14ac:dyDescent="0.25">
      <c r="A196" s="385" t="s">
        <v>523</v>
      </c>
      <c r="B196" s="386"/>
      <c r="C196" s="387"/>
      <c r="D196" s="386"/>
      <c r="E196" s="387"/>
      <c r="F196" s="387"/>
      <c r="G196" s="387"/>
      <c r="H196" s="387"/>
      <c r="I196" s="388"/>
      <c r="J196" s="211"/>
    </row>
    <row r="200" spans="1:11" x14ac:dyDescent="0.25">
      <c r="A200">
        <v>1</v>
      </c>
      <c r="B200">
        <v>2</v>
      </c>
      <c r="C200">
        <v>3</v>
      </c>
      <c r="D200">
        <v>4</v>
      </c>
      <c r="E200">
        <v>5</v>
      </c>
      <c r="F200">
        <v>6</v>
      </c>
      <c r="G200">
        <v>7</v>
      </c>
      <c r="H200">
        <v>8</v>
      </c>
      <c r="I200">
        <v>9</v>
      </c>
      <c r="J200">
        <v>10</v>
      </c>
      <c r="K200">
        <v>11</v>
      </c>
    </row>
    <row r="201" spans="1:11" x14ac:dyDescent="0.25">
      <c r="A201" s="265" t="s">
        <v>524</v>
      </c>
      <c r="B201" s="89"/>
      <c r="C201" s="89"/>
      <c r="D201" s="89"/>
      <c r="E201" s="89"/>
      <c r="F201" s="89"/>
      <c r="G201" s="89"/>
      <c r="H201" s="89"/>
      <c r="I201" s="89"/>
      <c r="J201" s="89"/>
      <c r="K201" s="89"/>
    </row>
    <row r="202" spans="1:11" x14ac:dyDescent="0.25">
      <c r="A202" s="268" t="s">
        <v>431</v>
      </c>
      <c r="B202" s="269" t="s">
        <v>310</v>
      </c>
      <c r="C202" s="269" t="s">
        <v>432</v>
      </c>
      <c r="D202" s="269" t="s">
        <v>433</v>
      </c>
      <c r="E202" s="268" t="s">
        <v>434</v>
      </c>
      <c r="F202" s="268" t="s">
        <v>335</v>
      </c>
      <c r="G202" s="268" t="s">
        <v>435</v>
      </c>
      <c r="H202" s="268" t="s">
        <v>436</v>
      </c>
      <c r="I202" s="268" t="s">
        <v>437</v>
      </c>
      <c r="J202" s="268" t="s">
        <v>438</v>
      </c>
      <c r="K202" s="268" t="s">
        <v>348</v>
      </c>
    </row>
    <row r="203" spans="1:11" x14ac:dyDescent="0.25">
      <c r="A203" s="69"/>
      <c r="B203" s="389"/>
      <c r="C203" s="271"/>
      <c r="D203" s="218"/>
      <c r="E203" s="69"/>
      <c r="F203" s="69"/>
      <c r="G203" s="69"/>
      <c r="H203" s="218"/>
      <c r="I203" s="218"/>
      <c r="J203" s="273"/>
      <c r="K203" s="390"/>
    </row>
    <row r="204" spans="1:11" x14ac:dyDescent="0.25">
      <c r="A204" s="69"/>
      <c r="B204" s="389"/>
      <c r="C204" s="271"/>
      <c r="D204" s="218"/>
      <c r="E204" s="69"/>
      <c r="F204" s="69"/>
      <c r="G204" s="69"/>
      <c r="H204" s="218"/>
      <c r="I204" s="218"/>
      <c r="J204" s="273"/>
      <c r="K204" s="390"/>
    </row>
    <row r="205" spans="1:11" x14ac:dyDescent="0.25">
      <c r="A205" s="69"/>
      <c r="B205" s="389"/>
      <c r="C205" s="271"/>
      <c r="D205" s="218"/>
      <c r="E205" s="69"/>
      <c r="F205" s="218"/>
      <c r="G205" s="218"/>
      <c r="H205" s="218"/>
      <c r="I205" s="218"/>
      <c r="J205" s="272"/>
      <c r="K205" s="272"/>
    </row>
    <row r="206" spans="1:11" x14ac:dyDescent="0.25">
      <c r="A206" s="153"/>
      <c r="B206" s="389"/>
      <c r="C206" s="271"/>
      <c r="D206" s="218"/>
      <c r="E206" s="218"/>
      <c r="F206" s="218"/>
      <c r="G206" s="218"/>
      <c r="H206" s="218"/>
      <c r="I206" s="218"/>
      <c r="J206" s="272"/>
      <c r="K206" s="272"/>
    </row>
    <row r="207" spans="1:11" x14ac:dyDescent="0.25">
      <c r="A207" s="153"/>
      <c r="B207" s="389"/>
      <c r="C207" s="271"/>
      <c r="D207" s="218"/>
      <c r="E207" s="218"/>
      <c r="F207" s="218"/>
      <c r="G207" s="218"/>
      <c r="H207" s="218"/>
      <c r="I207" s="218"/>
      <c r="J207" s="272"/>
      <c r="K207" s="272"/>
    </row>
    <row r="208" spans="1:11" x14ac:dyDescent="0.25">
      <c r="A208" s="153"/>
      <c r="B208" s="389"/>
      <c r="C208" s="271"/>
      <c r="D208" s="218"/>
      <c r="E208" s="218"/>
      <c r="F208" s="218"/>
      <c r="G208" s="218"/>
      <c r="H208" s="218"/>
      <c r="I208" s="218"/>
      <c r="J208" s="272"/>
      <c r="K208" s="272"/>
    </row>
    <row r="209" spans="1:11" x14ac:dyDescent="0.25">
      <c r="A209" s="153"/>
      <c r="B209" s="389"/>
      <c r="C209" s="271"/>
      <c r="D209" s="218"/>
      <c r="E209" s="218"/>
      <c r="F209" s="218"/>
      <c r="G209" s="218"/>
      <c r="H209" s="218"/>
      <c r="I209" s="218"/>
      <c r="J209" s="272"/>
      <c r="K209" s="272"/>
    </row>
    <row r="210" spans="1:11" x14ac:dyDescent="0.25">
      <c r="A210" s="153"/>
      <c r="B210" s="389"/>
      <c r="C210" s="271"/>
      <c r="D210" s="218"/>
      <c r="E210" s="218"/>
      <c r="F210" s="218"/>
      <c r="G210" s="218"/>
      <c r="H210" s="218"/>
      <c r="I210" s="218"/>
      <c r="J210" s="272"/>
      <c r="K210" s="272"/>
    </row>
    <row r="211" spans="1:11" x14ac:dyDescent="0.25">
      <c r="A211" s="153"/>
      <c r="B211" s="389"/>
      <c r="C211" s="271"/>
      <c r="D211" s="218"/>
      <c r="E211" s="218"/>
      <c r="F211" s="218"/>
      <c r="G211" s="218"/>
      <c r="H211" s="218"/>
      <c r="I211" s="218"/>
      <c r="J211" s="272"/>
      <c r="K211" s="272"/>
    </row>
    <row r="212" spans="1:11" x14ac:dyDescent="0.25">
      <c r="A212" s="153"/>
      <c r="B212" s="389"/>
      <c r="C212" s="271"/>
      <c r="D212" s="218"/>
      <c r="E212" s="218"/>
      <c r="F212" s="218"/>
      <c r="G212" s="218"/>
      <c r="H212" s="218"/>
      <c r="I212" s="218"/>
      <c r="J212" s="272"/>
      <c r="K212" s="272"/>
    </row>
    <row r="213" spans="1:11" x14ac:dyDescent="0.25">
      <c r="A213" s="153"/>
      <c r="B213" s="389"/>
      <c r="C213" s="271"/>
      <c r="D213" s="218"/>
      <c r="E213" s="218"/>
      <c r="F213" s="218"/>
      <c r="G213" s="218"/>
      <c r="H213" s="218"/>
      <c r="I213" s="218"/>
      <c r="J213" s="272"/>
      <c r="K213" s="272"/>
    </row>
    <row r="214" spans="1:11" x14ac:dyDescent="0.25">
      <c r="A214" s="153"/>
      <c r="B214" s="389"/>
      <c r="C214" s="271"/>
      <c r="D214" s="218"/>
      <c r="E214" s="218"/>
      <c r="F214" s="218"/>
      <c r="G214" s="218"/>
      <c r="H214" s="218"/>
      <c r="I214" s="218"/>
      <c r="J214" s="272"/>
      <c r="K214" s="272"/>
    </row>
    <row r="215" spans="1:11" x14ac:dyDescent="0.25">
      <c r="A215" s="153"/>
      <c r="B215" s="389"/>
      <c r="C215" s="271"/>
      <c r="D215" s="218"/>
      <c r="E215" s="218"/>
      <c r="F215" s="218"/>
      <c r="G215" s="218"/>
      <c r="H215" s="218"/>
      <c r="I215" s="218"/>
      <c r="J215" s="272"/>
      <c r="K215" s="272"/>
    </row>
    <row r="216" spans="1:11" x14ac:dyDescent="0.25">
      <c r="A216" s="153"/>
      <c r="B216" s="389"/>
      <c r="C216" s="271"/>
      <c r="D216" s="218"/>
      <c r="E216" s="218"/>
      <c r="F216" s="218"/>
      <c r="G216" s="218"/>
      <c r="H216" s="218"/>
      <c r="I216" s="218"/>
      <c r="J216" s="272"/>
      <c r="K216" s="272"/>
    </row>
    <row r="217" spans="1:11" x14ac:dyDescent="0.25">
      <c r="A217" s="153"/>
      <c r="B217" s="389"/>
      <c r="C217" s="223"/>
      <c r="D217" s="218"/>
      <c r="E217" s="218"/>
      <c r="F217" s="218"/>
      <c r="G217" s="218"/>
      <c r="H217" s="218"/>
      <c r="I217" s="218"/>
      <c r="J217" s="272"/>
      <c r="K217" s="272"/>
    </row>
    <row r="218" spans="1:11" x14ac:dyDescent="0.25">
      <c r="A218" s="153"/>
      <c r="B218" s="389"/>
      <c r="C218" s="223"/>
      <c r="D218" s="218"/>
      <c r="E218" s="218"/>
      <c r="F218" s="218"/>
      <c r="G218" s="218"/>
      <c r="H218" s="218"/>
      <c r="I218" s="218"/>
      <c r="J218" s="272"/>
      <c r="K218" s="272"/>
    </row>
    <row r="219" spans="1:11" x14ac:dyDescent="0.25">
      <c r="A219" s="153"/>
      <c r="B219" s="389"/>
      <c r="C219" s="223"/>
      <c r="D219" s="218"/>
      <c r="E219" s="218"/>
      <c r="F219" s="218"/>
      <c r="G219" s="218"/>
      <c r="H219" s="218"/>
      <c r="I219" s="218"/>
      <c r="J219" s="272"/>
      <c r="K219" s="272"/>
    </row>
    <row r="220" spans="1:11" x14ac:dyDescent="0.25">
      <c r="A220" s="153"/>
      <c r="B220" s="389"/>
      <c r="C220" s="69"/>
      <c r="D220" s="218"/>
      <c r="E220" s="69"/>
      <c r="F220" s="69"/>
      <c r="G220" s="69"/>
      <c r="H220" s="218"/>
      <c r="I220" s="218"/>
      <c r="J220" s="390"/>
      <c r="K220" s="390"/>
    </row>
    <row r="221" spans="1:11" x14ac:dyDescent="0.25">
      <c r="A221" s="153"/>
      <c r="B221" s="389"/>
      <c r="C221" s="69"/>
      <c r="D221" s="69"/>
      <c r="E221" s="69"/>
      <c r="F221" s="69"/>
      <c r="G221" s="69"/>
      <c r="H221" s="218"/>
      <c r="I221" s="69"/>
      <c r="J221" s="390"/>
      <c r="K221" s="390"/>
    </row>
    <row r="222" spans="1:11" x14ac:dyDescent="0.25">
      <c r="A222" s="153"/>
      <c r="B222" s="69"/>
      <c r="C222" s="69"/>
      <c r="D222" s="69"/>
      <c r="E222" s="69"/>
      <c r="F222" s="69"/>
      <c r="G222" s="69"/>
      <c r="H222" s="218"/>
      <c r="I222" s="69"/>
      <c r="J222" s="390"/>
      <c r="K222" s="390"/>
    </row>
    <row r="223" spans="1:11" x14ac:dyDescent="0.25">
      <c r="A223" s="153"/>
      <c r="B223" s="69"/>
      <c r="C223" s="69"/>
      <c r="D223" s="69"/>
      <c r="E223" s="69"/>
      <c r="F223" s="69"/>
      <c r="G223" s="69"/>
      <c r="H223" s="218"/>
      <c r="I223" s="69"/>
      <c r="J223" s="390"/>
      <c r="K223" s="390"/>
    </row>
    <row r="224" spans="1:11" x14ac:dyDescent="0.25">
      <c r="A224" s="153"/>
      <c r="B224" s="69"/>
      <c r="C224" s="69"/>
      <c r="D224" s="69"/>
      <c r="E224" s="69"/>
      <c r="F224" s="69"/>
      <c r="G224" s="69"/>
      <c r="H224" s="218"/>
      <c r="I224" s="69"/>
      <c r="J224" s="390"/>
      <c r="K224" s="390"/>
    </row>
    <row r="225" spans="1:11" x14ac:dyDescent="0.25">
      <c r="A225" s="153"/>
      <c r="B225" s="69"/>
      <c r="C225" s="69"/>
      <c r="D225" s="69"/>
      <c r="E225" s="69"/>
      <c r="F225" s="69"/>
      <c r="G225" s="69"/>
      <c r="H225" s="69"/>
      <c r="I225" s="69"/>
      <c r="J225" s="390"/>
      <c r="K225" s="390"/>
    </row>
    <row r="226" spans="1:11" x14ac:dyDescent="0.25">
      <c r="A226" s="153"/>
      <c r="B226" s="69"/>
      <c r="C226" s="69"/>
      <c r="D226" s="69"/>
      <c r="E226" s="69"/>
      <c r="F226" s="69"/>
      <c r="G226" s="69"/>
      <c r="H226" s="69"/>
      <c r="I226" s="69"/>
      <c r="J226" s="390"/>
      <c r="K226" s="390"/>
    </row>
    <row r="227" spans="1:11" x14ac:dyDescent="0.25">
      <c r="A227" s="153"/>
      <c r="B227" s="69"/>
      <c r="C227" s="69"/>
      <c r="D227" s="69"/>
      <c r="E227" s="69"/>
      <c r="F227" s="69"/>
      <c r="G227" s="69"/>
      <c r="H227" s="69"/>
      <c r="I227" s="69"/>
      <c r="J227" s="390"/>
      <c r="K227" s="390"/>
    </row>
    <row r="228" spans="1:11" x14ac:dyDescent="0.25">
      <c r="A228" s="153"/>
      <c r="B228" s="69"/>
      <c r="C228" s="69"/>
      <c r="D228" s="69"/>
      <c r="E228" s="69"/>
      <c r="F228" s="69"/>
      <c r="G228" s="69"/>
      <c r="H228" s="69"/>
      <c r="I228" s="69"/>
      <c r="J228" s="390"/>
      <c r="K228" s="390"/>
    </row>
    <row r="229" spans="1:11" x14ac:dyDescent="0.25">
      <c r="A229" s="153"/>
      <c r="B229" s="69"/>
      <c r="C229" s="69"/>
      <c r="D229" s="69"/>
      <c r="E229" s="69"/>
      <c r="F229" s="69"/>
      <c r="G229" s="69"/>
      <c r="H229" s="69"/>
      <c r="I229" s="69"/>
      <c r="J229" s="390"/>
      <c r="K229" s="390"/>
    </row>
    <row r="230" spans="1:11" x14ac:dyDescent="0.25">
      <c r="A230" s="153"/>
      <c r="B230" s="69"/>
      <c r="C230" s="69"/>
      <c r="D230" s="69"/>
      <c r="E230" s="69"/>
      <c r="F230" s="69"/>
      <c r="G230" s="69"/>
      <c r="H230" s="69"/>
      <c r="I230" s="69"/>
      <c r="J230" s="390"/>
      <c r="K230" s="390"/>
    </row>
    <row r="231" spans="1:11" x14ac:dyDescent="0.25">
      <c r="A231" s="153"/>
      <c r="B231" s="69"/>
      <c r="C231" s="69"/>
      <c r="D231" s="69"/>
      <c r="E231" s="69"/>
      <c r="F231" s="69"/>
      <c r="G231" s="69"/>
      <c r="H231" s="69"/>
      <c r="I231" s="69"/>
      <c r="J231" s="390"/>
      <c r="K231" s="390"/>
    </row>
    <row r="232" spans="1:11" x14ac:dyDescent="0.25">
      <c r="A232" s="153"/>
      <c r="B232" s="69"/>
      <c r="C232" s="69"/>
      <c r="D232" s="69"/>
      <c r="E232" s="69"/>
      <c r="F232" s="69"/>
      <c r="G232" s="69"/>
      <c r="H232" s="69"/>
      <c r="I232" s="69"/>
      <c r="J232" s="390"/>
      <c r="K232" s="390"/>
    </row>
    <row r="236" spans="1:11" ht="15.75" thickBot="1" x14ac:dyDescent="0.3"/>
    <row r="237" spans="1:11" ht="15.75" thickBot="1" x14ac:dyDescent="0.3">
      <c r="A237" s="391" t="s">
        <v>525</v>
      </c>
    </row>
    <row r="238" spans="1:11" x14ac:dyDescent="0.25">
      <c r="A238" s="391" t="s">
        <v>526</v>
      </c>
      <c r="B238" s="392"/>
      <c r="C238" s="393" t="s">
        <v>527</v>
      </c>
      <c r="D238" s="392"/>
      <c r="E238" s="392"/>
      <c r="F238" s="392"/>
      <c r="G238" s="392"/>
      <c r="H238" s="392"/>
      <c r="I238" s="392"/>
    </row>
    <row r="239" spans="1:11" x14ac:dyDescent="0.25">
      <c r="A239" s="394" t="s">
        <v>528</v>
      </c>
      <c r="B239" s="395"/>
      <c r="C239" s="396"/>
      <c r="D239" s="396"/>
      <c r="E239" s="396"/>
      <c r="F239" s="396"/>
      <c r="G239" s="396"/>
      <c r="H239" s="397"/>
      <c r="I239" s="398"/>
    </row>
    <row r="240" spans="1:11" ht="15.75" thickBot="1" x14ac:dyDescent="0.3">
      <c r="A240" s="399" t="s">
        <v>529</v>
      </c>
      <c r="B240" s="400"/>
      <c r="C240" s="401" t="s">
        <v>530</v>
      </c>
      <c r="D240" s="401" t="s">
        <v>530</v>
      </c>
      <c r="E240" s="401" t="s">
        <v>530</v>
      </c>
      <c r="F240" s="401" t="s">
        <v>530</v>
      </c>
      <c r="G240" s="401" t="s">
        <v>530</v>
      </c>
      <c r="H240" s="401" t="s">
        <v>530</v>
      </c>
      <c r="I240" s="402" t="s">
        <v>530</v>
      </c>
    </row>
    <row r="241" spans="1:9" x14ac:dyDescent="0.25">
      <c r="A241" s="403" t="s">
        <v>531</v>
      </c>
      <c r="B241" s="404"/>
      <c r="C241" s="405"/>
      <c r="D241" s="405"/>
      <c r="E241" s="405"/>
      <c r="F241" s="405"/>
      <c r="G241" s="405"/>
      <c r="H241" s="405"/>
      <c r="I241" s="405"/>
    </row>
    <row r="242" spans="1:9" x14ac:dyDescent="0.25">
      <c r="A242" s="406" t="s">
        <v>28</v>
      </c>
      <c r="B242" s="407"/>
      <c r="C242" s="405"/>
      <c r="D242" s="405"/>
      <c r="E242" s="405"/>
      <c r="F242" s="405"/>
      <c r="G242" s="405"/>
      <c r="H242" s="405"/>
      <c r="I242" s="405"/>
    </row>
    <row r="243" spans="1:9" x14ac:dyDescent="0.25">
      <c r="A243" s="406" t="s">
        <v>18</v>
      </c>
      <c r="B243" s="407"/>
      <c r="C243" s="405"/>
      <c r="D243" s="405"/>
      <c r="E243" s="405"/>
      <c r="F243" s="405"/>
      <c r="G243" s="405"/>
      <c r="H243" s="405"/>
      <c r="I243" s="405"/>
    </row>
    <row r="244" spans="1:9" x14ac:dyDescent="0.25">
      <c r="A244" s="406" t="s">
        <v>35</v>
      </c>
      <c r="B244" s="407"/>
      <c r="C244" s="405"/>
      <c r="D244" s="405"/>
      <c r="E244" s="405"/>
      <c r="F244" s="405"/>
      <c r="G244" s="405"/>
      <c r="H244" s="405"/>
      <c r="I244" s="405"/>
    </row>
    <row r="245" spans="1:9" x14ac:dyDescent="0.25">
      <c r="A245" s="406" t="s">
        <v>48</v>
      </c>
      <c r="B245" s="407"/>
      <c r="C245" s="405"/>
      <c r="D245" s="405"/>
      <c r="E245" s="405"/>
      <c r="F245" s="405"/>
      <c r="G245" s="405"/>
      <c r="H245" s="405"/>
      <c r="I245" s="405"/>
    </row>
    <row r="246" spans="1:9" x14ac:dyDescent="0.25">
      <c r="A246" s="406" t="s">
        <v>69</v>
      </c>
      <c r="B246" s="407"/>
      <c r="C246" s="405"/>
      <c r="D246" s="405"/>
      <c r="E246" s="405"/>
      <c r="F246" s="405"/>
      <c r="G246" s="405"/>
      <c r="H246" s="405"/>
      <c r="I246" s="405"/>
    </row>
    <row r="247" spans="1:9" x14ac:dyDescent="0.25">
      <c r="A247" s="406" t="s">
        <v>532</v>
      </c>
      <c r="B247" s="407"/>
      <c r="C247" s="405"/>
      <c r="D247" s="405"/>
      <c r="E247" s="405"/>
      <c r="F247" s="405"/>
      <c r="G247" s="405"/>
      <c r="H247" s="405"/>
      <c r="I247" s="405"/>
    </row>
    <row r="248" spans="1:9" x14ac:dyDescent="0.25">
      <c r="A248" s="406" t="s">
        <v>533</v>
      </c>
      <c r="B248" s="407"/>
      <c r="C248" s="405"/>
      <c r="D248" s="405"/>
      <c r="E248" s="405"/>
      <c r="F248" s="405"/>
      <c r="G248" s="405"/>
      <c r="H248" s="405"/>
      <c r="I248" s="405"/>
    </row>
    <row r="249" spans="1:9" x14ac:dyDescent="0.25">
      <c r="A249" s="406" t="s">
        <v>534</v>
      </c>
      <c r="B249" s="407"/>
      <c r="C249" s="405"/>
      <c r="D249" s="405"/>
      <c r="E249" s="405"/>
      <c r="F249" s="405"/>
      <c r="G249" s="405"/>
      <c r="H249" s="405"/>
      <c r="I249" s="405"/>
    </row>
    <row r="250" spans="1:9" x14ac:dyDescent="0.25">
      <c r="A250" s="406" t="s">
        <v>535</v>
      </c>
      <c r="B250" s="407"/>
      <c r="C250" s="405"/>
      <c r="D250" s="405"/>
      <c r="E250" s="405"/>
      <c r="F250" s="405"/>
      <c r="G250" s="405"/>
      <c r="H250" s="405"/>
      <c r="I250" s="405"/>
    </row>
    <row r="251" spans="1:9" x14ac:dyDescent="0.25">
      <c r="A251" s="406" t="s">
        <v>125</v>
      </c>
      <c r="B251" s="407"/>
      <c r="C251" s="405"/>
      <c r="D251" s="405"/>
      <c r="E251" s="405"/>
      <c r="F251" s="405"/>
      <c r="G251" s="405"/>
      <c r="H251" s="405"/>
      <c r="I251" s="405"/>
    </row>
    <row r="252" spans="1:9" ht="15.75" thickBot="1" x14ac:dyDescent="0.3">
      <c r="A252" s="408" t="s">
        <v>502</v>
      </c>
      <c r="B252" s="409"/>
      <c r="C252" s="410"/>
      <c r="D252" s="410"/>
      <c r="E252" s="410"/>
      <c r="F252" s="410"/>
      <c r="G252" s="410"/>
      <c r="H252" s="410"/>
      <c r="I252" s="410"/>
    </row>
    <row r="253" spans="1:9" ht="15.75" thickBot="1" x14ac:dyDescent="0.3">
      <c r="A253" s="408"/>
      <c r="B253" s="411"/>
      <c r="C253" s="410"/>
      <c r="D253" s="410"/>
      <c r="E253" s="410"/>
      <c r="F253" s="410"/>
      <c r="G253" s="410"/>
      <c r="H253" s="410"/>
      <c r="I253" s="410"/>
    </row>
    <row r="257" spans="1:9" ht="15.75" thickBot="1" x14ac:dyDescent="0.3"/>
    <row r="258" spans="1:9" x14ac:dyDescent="0.25">
      <c r="A258" s="391" t="s">
        <v>525</v>
      </c>
    </row>
    <row r="259" spans="1:9" ht="16.5" thickBot="1" x14ac:dyDescent="0.3">
      <c r="A259" s="412"/>
      <c r="B259" s="413"/>
      <c r="C259" s="414" t="s">
        <v>536</v>
      </c>
      <c r="D259" s="415"/>
      <c r="E259" s="415"/>
      <c r="F259" s="415"/>
      <c r="G259" s="416"/>
      <c r="H259" s="413"/>
      <c r="I259" s="417"/>
    </row>
    <row r="260" spans="1:9" ht="15.75" thickBot="1" x14ac:dyDescent="0.3">
      <c r="A260" s="418" t="s">
        <v>537</v>
      </c>
      <c r="B260" s="419"/>
      <c r="C260" s="410"/>
      <c r="D260" s="410"/>
      <c r="E260" s="410"/>
      <c r="F260" s="410"/>
      <c r="G260" s="410"/>
      <c r="H260" s="410"/>
      <c r="I260" s="410"/>
    </row>
    <row r="261" spans="1:9" ht="15.75" thickBot="1" x14ac:dyDescent="0.3">
      <c r="A261" s="418" t="s">
        <v>87</v>
      </c>
      <c r="B261" s="419"/>
      <c r="C261" s="410"/>
      <c r="D261" s="410"/>
      <c r="E261" s="410"/>
      <c r="F261" s="410"/>
      <c r="G261" s="410"/>
      <c r="H261" s="410"/>
      <c r="I261" s="420"/>
    </row>
    <row r="262" spans="1:9" ht="15.75" thickBot="1" x14ac:dyDescent="0.3">
      <c r="A262" s="421"/>
      <c r="B262" s="421"/>
      <c r="C262" s="421"/>
      <c r="D262" s="421"/>
      <c r="E262" s="421"/>
      <c r="F262" s="421"/>
      <c r="G262" s="421"/>
      <c r="H262" s="421"/>
      <c r="I262" s="421"/>
    </row>
    <row r="263" spans="1:9" ht="15.75" thickBot="1" x14ac:dyDescent="0.3">
      <c r="A263" s="421"/>
      <c r="B263" s="421"/>
      <c r="C263" s="421"/>
      <c r="D263" s="421"/>
      <c r="E263" s="421"/>
      <c r="F263" s="421"/>
      <c r="G263" s="421"/>
      <c r="H263" s="421"/>
      <c r="I263" s="421"/>
    </row>
    <row r="264" spans="1:9" ht="15.75" thickBot="1" x14ac:dyDescent="0.3">
      <c r="A264" s="421"/>
      <c r="B264" s="421"/>
      <c r="C264" s="421"/>
      <c r="D264" s="421"/>
      <c r="E264" s="421"/>
      <c r="F264" s="421"/>
      <c r="G264" s="421"/>
      <c r="H264" s="421"/>
      <c r="I264" s="421"/>
    </row>
    <row r="265" spans="1:9" ht="15.75" thickBot="1" x14ac:dyDescent="0.3">
      <c r="A265" s="422"/>
      <c r="B265" s="423"/>
      <c r="C265" s="424" t="s">
        <v>538</v>
      </c>
      <c r="D265" s="425"/>
      <c r="E265" s="425"/>
      <c r="F265" s="425"/>
      <c r="G265" s="426"/>
      <c r="H265" s="423"/>
      <c r="I265" s="427"/>
    </row>
    <row r="266" spans="1:9" ht="15.75" thickBot="1" x14ac:dyDescent="0.3">
      <c r="A266" s="418" t="s">
        <v>539</v>
      </c>
      <c r="B266" s="419"/>
      <c r="C266" s="410"/>
      <c r="D266" s="410"/>
      <c r="E266" s="410"/>
      <c r="F266" s="410"/>
      <c r="G266" s="410"/>
      <c r="H266" s="410"/>
      <c r="I266" s="410"/>
    </row>
    <row r="267" spans="1:9" ht="15.75" thickBot="1" x14ac:dyDescent="0.3">
      <c r="A267" s="428" t="s">
        <v>540</v>
      </c>
      <c r="B267" s="429"/>
      <c r="C267" s="410"/>
      <c r="D267" s="410"/>
      <c r="E267" s="410"/>
      <c r="F267" s="410"/>
      <c r="G267" s="410"/>
      <c r="H267" s="410"/>
      <c r="I267" s="410"/>
    </row>
    <row r="268" spans="1:9" ht="15.75" thickBot="1" x14ac:dyDescent="0.3">
      <c r="A268" s="430"/>
      <c r="B268" s="421"/>
      <c r="C268" s="421"/>
      <c r="D268" s="421"/>
      <c r="E268" s="421"/>
      <c r="F268" s="421"/>
      <c r="G268" s="421"/>
      <c r="H268" s="421"/>
      <c r="I268" s="421"/>
    </row>
    <row r="269" spans="1:9" ht="15.75" thickBot="1" x14ac:dyDescent="0.3">
      <c r="A269" s="430"/>
      <c r="B269" s="421"/>
      <c r="C269" s="421"/>
      <c r="D269" s="421"/>
      <c r="E269" s="421"/>
      <c r="F269" s="421"/>
      <c r="G269" s="421"/>
      <c r="H269" s="421"/>
      <c r="I269" s="421"/>
    </row>
    <row r="270" spans="1:9" ht="15.75" thickBot="1" x14ac:dyDescent="0.3">
      <c r="A270" s="430"/>
      <c r="B270" s="421"/>
      <c r="C270" s="421"/>
      <c r="D270" s="421"/>
      <c r="E270" s="421"/>
      <c r="F270" s="421"/>
      <c r="G270" s="421"/>
      <c r="H270" s="421"/>
      <c r="I270" s="421"/>
    </row>
    <row r="271" spans="1:9" ht="15.75" thickBot="1" x14ac:dyDescent="0.3">
      <c r="A271" s="422"/>
      <c r="B271" s="423"/>
      <c r="C271" s="423"/>
      <c r="D271" s="424" t="s">
        <v>541</v>
      </c>
      <c r="E271" s="425"/>
      <c r="F271" s="426"/>
      <c r="G271" s="423"/>
      <c r="H271" s="423"/>
      <c r="I271" s="427"/>
    </row>
    <row r="272" spans="1:9" ht="15.75" thickBot="1" x14ac:dyDescent="0.3">
      <c r="A272" s="418" t="s">
        <v>542</v>
      </c>
      <c r="B272" s="419"/>
      <c r="C272" s="410"/>
      <c r="D272" s="410"/>
      <c r="E272" s="410"/>
      <c r="F272" s="410"/>
      <c r="G272" s="410"/>
      <c r="H272" s="431"/>
      <c r="I272" s="420"/>
    </row>
    <row r="273" spans="1:9" ht="15.75" thickBot="1" x14ac:dyDescent="0.3">
      <c r="A273" s="418" t="s">
        <v>543</v>
      </c>
      <c r="B273" s="419"/>
      <c r="C273" s="410"/>
      <c r="D273" s="410"/>
      <c r="E273" s="410"/>
      <c r="F273" s="410"/>
      <c r="G273" s="410"/>
      <c r="H273" s="431"/>
      <c r="I273" s="420"/>
    </row>
    <row r="274" spans="1:9" ht="15.75" thickBot="1" x14ac:dyDescent="0.3">
      <c r="A274" s="421"/>
      <c r="B274" s="421"/>
      <c r="C274" s="421"/>
      <c r="D274" s="421"/>
      <c r="E274" s="421"/>
      <c r="F274" s="421"/>
      <c r="G274" s="421"/>
      <c r="H274" s="421"/>
      <c r="I274" s="421"/>
    </row>
    <row r="275" spans="1:9" ht="15.75" thickBot="1" x14ac:dyDescent="0.3">
      <c r="A275" s="421"/>
      <c r="B275" s="421"/>
      <c r="C275" s="421"/>
      <c r="D275" s="421"/>
      <c r="E275" s="421"/>
      <c r="F275" s="421"/>
      <c r="G275" s="421"/>
      <c r="H275" s="421"/>
      <c r="I275" s="421"/>
    </row>
    <row r="276" spans="1:9" ht="15.75" thickBot="1" x14ac:dyDescent="0.3">
      <c r="A276" s="421"/>
      <c r="B276" s="421"/>
      <c r="C276" s="421"/>
      <c r="D276" s="421"/>
      <c r="E276" s="421"/>
      <c r="F276" s="421"/>
      <c r="G276" s="421"/>
      <c r="H276" s="421"/>
      <c r="I276" s="421"/>
    </row>
    <row r="277" spans="1:9" ht="15.75" thickBot="1" x14ac:dyDescent="0.3">
      <c r="A277" s="422"/>
      <c r="B277" s="423"/>
      <c r="C277" s="424" t="s">
        <v>544</v>
      </c>
      <c r="D277" s="425"/>
      <c r="E277" s="425"/>
      <c r="F277" s="425"/>
      <c r="G277" s="426"/>
      <c r="H277" s="423"/>
      <c r="I277" s="427"/>
    </row>
    <row r="278" spans="1:9" ht="15.75" thickBot="1" x14ac:dyDescent="0.3">
      <c r="A278" s="418" t="s">
        <v>545</v>
      </c>
      <c r="B278" s="419"/>
      <c r="C278" s="410"/>
      <c r="D278" s="410"/>
      <c r="E278" s="410"/>
      <c r="F278" s="410"/>
      <c r="G278" s="410"/>
      <c r="H278" s="410"/>
      <c r="I278" s="410"/>
    </row>
    <row r="279" spans="1:9" ht="15.75" thickBot="1" x14ac:dyDescent="0.3">
      <c r="A279" s="421"/>
      <c r="B279" s="421"/>
      <c r="C279" s="421"/>
      <c r="D279" s="421"/>
      <c r="E279" s="421"/>
      <c r="F279" s="421"/>
      <c r="G279" s="421"/>
      <c r="H279" s="421"/>
      <c r="I279" s="421"/>
    </row>
    <row r="280" spans="1:9" ht="15.75" thickBot="1" x14ac:dyDescent="0.3">
      <c r="A280" s="421"/>
      <c r="B280" s="421"/>
      <c r="C280" s="421"/>
      <c r="D280" s="421"/>
      <c r="E280" s="421"/>
      <c r="F280" s="421"/>
      <c r="G280" s="421"/>
      <c r="H280" s="421"/>
      <c r="I280" s="421"/>
    </row>
    <row r="281" spans="1:9" ht="15.75" thickBot="1" x14ac:dyDescent="0.3">
      <c r="A281" s="421"/>
      <c r="B281" s="421"/>
      <c r="C281" s="421"/>
      <c r="D281" s="421"/>
      <c r="E281" s="421"/>
      <c r="F281" s="421"/>
      <c r="G281" s="421"/>
      <c r="H281" s="421"/>
      <c r="I281" s="421"/>
    </row>
    <row r="282" spans="1:9" ht="15.75" thickBot="1" x14ac:dyDescent="0.3">
      <c r="A282" s="422"/>
      <c r="B282" s="423"/>
      <c r="C282" s="424" t="s">
        <v>546</v>
      </c>
      <c r="D282" s="425"/>
      <c r="E282" s="425"/>
      <c r="F282" s="425"/>
      <c r="G282" s="426"/>
      <c r="H282" s="423"/>
      <c r="I282" s="427"/>
    </row>
    <row r="283" spans="1:9" ht="20.25" thickBot="1" x14ac:dyDescent="0.3">
      <c r="A283" s="432" t="s">
        <v>547</v>
      </c>
      <c r="B283" s="433" t="s">
        <v>548</v>
      </c>
      <c r="C283" s="410"/>
      <c r="D283" s="410"/>
      <c r="E283" s="410"/>
      <c r="F283" s="410"/>
      <c r="G283" s="410"/>
      <c r="H283" s="410"/>
      <c r="I283" s="410"/>
    </row>
    <row r="284" spans="1:9" ht="20.25" thickBot="1" x14ac:dyDescent="0.3">
      <c r="A284" s="432" t="s">
        <v>549</v>
      </c>
      <c r="B284" s="433" t="s">
        <v>550</v>
      </c>
      <c r="C284" s="410"/>
      <c r="D284" s="410"/>
      <c r="E284" s="410"/>
      <c r="F284" s="410"/>
      <c r="G284" s="410"/>
      <c r="H284" s="410"/>
      <c r="I284" s="410"/>
    </row>
    <row r="285" spans="1:9" ht="15.75" thickBot="1" x14ac:dyDescent="0.3">
      <c r="A285" s="418" t="s">
        <v>551</v>
      </c>
      <c r="B285" s="419"/>
      <c r="C285" s="410"/>
      <c r="D285" s="410"/>
      <c r="E285" s="410"/>
      <c r="F285" s="410"/>
      <c r="G285" s="410"/>
      <c r="H285" s="410"/>
      <c r="I285" s="410"/>
    </row>
    <row r="289" spans="1:10" ht="15.75" thickBot="1" x14ac:dyDescent="0.3"/>
    <row r="290" spans="1:10" ht="15.75" thickBot="1" x14ac:dyDescent="0.3">
      <c r="A290" s="434" t="s">
        <v>552</v>
      </c>
      <c r="B290" s="435"/>
      <c r="C290" s="436"/>
      <c r="D290" s="437"/>
      <c r="E290" s="438" t="s">
        <v>553</v>
      </c>
      <c r="F290" s="438"/>
      <c r="G290" s="438"/>
      <c r="H290" s="438"/>
      <c r="I290" s="436"/>
      <c r="J290" s="439"/>
    </row>
    <row r="291" spans="1:10" x14ac:dyDescent="0.25">
      <c r="A291" s="440" t="s">
        <v>554</v>
      </c>
      <c r="B291" s="441" t="s">
        <v>555</v>
      </c>
      <c r="C291" s="441" t="s">
        <v>527</v>
      </c>
      <c r="D291" s="442"/>
      <c r="E291" s="443"/>
      <c r="F291" s="443"/>
      <c r="G291" s="443"/>
      <c r="H291" s="442"/>
      <c r="I291" s="443"/>
      <c r="J291" s="443"/>
    </row>
    <row r="292" spans="1:10" ht="15.75" thickBot="1" x14ac:dyDescent="0.3">
      <c r="A292" s="444" t="s">
        <v>556</v>
      </c>
      <c r="B292" s="445" t="s">
        <v>557</v>
      </c>
      <c r="C292" s="445"/>
      <c r="D292" s="446"/>
      <c r="E292" s="427"/>
      <c r="F292" s="447"/>
      <c r="G292" s="447"/>
      <c r="H292" s="448"/>
      <c r="I292" s="449"/>
      <c r="J292" s="445"/>
    </row>
    <row r="293" spans="1:10" ht="16.5" thickBot="1" x14ac:dyDescent="0.3">
      <c r="A293" s="450" t="s">
        <v>558</v>
      </c>
      <c r="B293" s="451"/>
      <c r="C293" s="451"/>
      <c r="D293" s="452"/>
      <c r="E293" s="453"/>
      <c r="F293" s="451"/>
      <c r="G293" s="451"/>
      <c r="H293" s="454"/>
      <c r="I293" s="451"/>
      <c r="J293" s="451"/>
    </row>
    <row r="294" spans="1:10" ht="15.75" x14ac:dyDescent="0.25">
      <c r="A294" s="455" t="s">
        <v>559</v>
      </c>
      <c r="B294" s="456"/>
      <c r="C294" s="456"/>
      <c r="D294" s="457"/>
      <c r="E294" s="456"/>
      <c r="F294" s="456"/>
      <c r="G294" s="456"/>
      <c r="H294" s="457"/>
      <c r="I294" s="456"/>
      <c r="J294" s="456"/>
    </row>
    <row r="295" spans="1:10" x14ac:dyDescent="0.25">
      <c r="A295" s="458" t="s">
        <v>560</v>
      </c>
      <c r="B295" s="459"/>
      <c r="C295" s="459"/>
      <c r="D295" s="460"/>
      <c r="E295" s="461"/>
      <c r="F295" s="459"/>
      <c r="G295" s="459"/>
      <c r="H295" s="462"/>
      <c r="I295" s="459"/>
      <c r="J295" s="459"/>
    </row>
    <row r="296" spans="1:10" x14ac:dyDescent="0.25">
      <c r="A296" s="458" t="s">
        <v>561</v>
      </c>
      <c r="B296" s="459"/>
      <c r="C296" s="459"/>
      <c r="D296" s="460"/>
      <c r="E296" s="461"/>
      <c r="F296" s="459"/>
      <c r="G296" s="459"/>
      <c r="H296" s="462"/>
      <c r="I296" s="459"/>
      <c r="J296" s="459"/>
    </row>
    <row r="297" spans="1:10" x14ac:dyDescent="0.25">
      <c r="A297" s="458" t="s">
        <v>562</v>
      </c>
      <c r="B297" s="459"/>
      <c r="C297" s="459"/>
      <c r="D297" s="460"/>
      <c r="E297" s="461"/>
      <c r="F297" s="459"/>
      <c r="G297" s="459"/>
      <c r="H297" s="462"/>
      <c r="I297" s="459"/>
      <c r="J297" s="459"/>
    </row>
    <row r="298" spans="1:10" x14ac:dyDescent="0.25">
      <c r="A298" s="458" t="s">
        <v>563</v>
      </c>
      <c r="B298" s="459"/>
      <c r="C298" s="459"/>
      <c r="D298" s="460"/>
      <c r="E298" s="461"/>
      <c r="F298" s="459"/>
      <c r="G298" s="459"/>
      <c r="H298" s="462"/>
      <c r="I298" s="459"/>
      <c r="J298" s="459"/>
    </row>
    <row r="299" spans="1:10" x14ac:dyDescent="0.25">
      <c r="A299" s="458" t="s">
        <v>564</v>
      </c>
      <c r="B299" s="459"/>
      <c r="C299" s="459"/>
      <c r="D299" s="460"/>
      <c r="E299" s="461"/>
      <c r="F299" s="459"/>
      <c r="G299" s="459"/>
      <c r="H299" s="462"/>
      <c r="I299" s="459"/>
      <c r="J299" s="459"/>
    </row>
    <row r="300" spans="1:10" x14ac:dyDescent="0.25">
      <c r="A300" s="458" t="s">
        <v>565</v>
      </c>
      <c r="B300" s="459"/>
      <c r="C300" s="459"/>
      <c r="D300" s="460"/>
      <c r="E300" s="461"/>
      <c r="F300" s="463"/>
      <c r="G300" s="463"/>
      <c r="H300" s="462"/>
      <c r="I300" s="464"/>
      <c r="J300" s="459"/>
    </row>
    <row r="301" spans="1:10" ht="15.75" thickBot="1" x14ac:dyDescent="0.3">
      <c r="A301" s="465" t="s">
        <v>566</v>
      </c>
      <c r="B301" s="451"/>
      <c r="C301" s="451"/>
      <c r="D301" s="452"/>
      <c r="E301" s="411"/>
      <c r="F301" s="466"/>
      <c r="G301" s="466"/>
      <c r="H301" s="421"/>
      <c r="I301" s="467"/>
      <c r="J301" s="451"/>
    </row>
    <row r="302" spans="1:10" ht="15.75" x14ac:dyDescent="0.25">
      <c r="A302" s="455" t="s">
        <v>567</v>
      </c>
      <c r="B302" s="456"/>
      <c r="C302" s="456"/>
      <c r="D302" s="457"/>
      <c r="E302" s="456"/>
      <c r="F302" s="456"/>
      <c r="G302" s="456"/>
      <c r="H302" s="457"/>
      <c r="I302" s="456"/>
      <c r="J302" s="456"/>
    </row>
    <row r="303" spans="1:10" x14ac:dyDescent="0.25">
      <c r="A303" s="455" t="s">
        <v>568</v>
      </c>
      <c r="B303" s="468"/>
      <c r="C303" s="468"/>
      <c r="D303" s="469"/>
      <c r="E303" s="468"/>
      <c r="F303" s="468"/>
      <c r="G303" s="468"/>
      <c r="H303" s="469"/>
      <c r="I303" s="468"/>
      <c r="J303" s="468"/>
    </row>
    <row r="304" spans="1:10" x14ac:dyDescent="0.25">
      <c r="A304" s="458" t="s">
        <v>569</v>
      </c>
      <c r="B304" s="459"/>
      <c r="C304" s="459"/>
      <c r="D304" s="460"/>
      <c r="E304" s="470"/>
      <c r="F304" s="459"/>
      <c r="G304" s="459"/>
      <c r="H304" s="471"/>
      <c r="I304" s="459"/>
      <c r="J304" s="459"/>
    </row>
    <row r="305" spans="1:10" x14ac:dyDescent="0.25">
      <c r="A305" s="458" t="s">
        <v>570</v>
      </c>
      <c r="B305" s="459"/>
      <c r="C305" s="459"/>
      <c r="D305" s="460"/>
      <c r="E305" s="461"/>
      <c r="F305" s="459"/>
      <c r="G305" s="459"/>
      <c r="H305" s="462"/>
      <c r="I305" s="459"/>
      <c r="J305" s="459"/>
    </row>
    <row r="306" spans="1:10" x14ac:dyDescent="0.25">
      <c r="A306" s="458" t="s">
        <v>571</v>
      </c>
      <c r="B306" s="459"/>
      <c r="C306" s="459"/>
      <c r="D306" s="460"/>
      <c r="E306" s="461"/>
      <c r="F306" s="459"/>
      <c r="G306" s="459"/>
      <c r="H306" s="462"/>
      <c r="I306" s="459"/>
      <c r="J306" s="459"/>
    </row>
    <row r="307" spans="1:10" x14ac:dyDescent="0.25">
      <c r="A307" s="458" t="s">
        <v>572</v>
      </c>
      <c r="B307" s="459"/>
      <c r="C307" s="459"/>
      <c r="D307" s="460"/>
      <c r="E307" s="461"/>
      <c r="F307" s="459"/>
      <c r="G307" s="459"/>
      <c r="H307" s="462"/>
      <c r="I307" s="459"/>
      <c r="J307" s="459"/>
    </row>
    <row r="308" spans="1:10" ht="15.75" thickBot="1" x14ac:dyDescent="0.3">
      <c r="A308" s="465" t="s">
        <v>573</v>
      </c>
      <c r="B308" s="451"/>
      <c r="C308" s="451"/>
      <c r="D308" s="452"/>
      <c r="E308" s="411"/>
      <c r="F308" s="451"/>
      <c r="G308" s="451"/>
      <c r="H308" s="421"/>
      <c r="I308" s="451"/>
      <c r="J308" s="451"/>
    </row>
    <row r="313" spans="1:10" ht="15.75" thickBot="1" x14ac:dyDescent="0.3"/>
    <row r="314" spans="1:10" ht="15.75" x14ac:dyDescent="0.25">
      <c r="A314" s="472"/>
      <c r="B314" s="473" t="s">
        <v>574</v>
      </c>
      <c r="C314" s="474"/>
      <c r="D314" s="475"/>
    </row>
    <row r="315" spans="1:10" ht="16.5" thickBot="1" x14ac:dyDescent="0.3">
      <c r="A315" s="476" t="s">
        <v>575</v>
      </c>
      <c r="B315" s="477"/>
      <c r="C315" s="478" t="s">
        <v>576</v>
      </c>
      <c r="D315" s="479"/>
    </row>
    <row r="316" spans="1:10" ht="16.5" thickBot="1" x14ac:dyDescent="0.3">
      <c r="A316" s="480" t="s">
        <v>577</v>
      </c>
      <c r="B316" s="481">
        <v>-1</v>
      </c>
      <c r="C316" s="417"/>
      <c r="D316" s="482">
        <v>-2</v>
      </c>
    </row>
    <row r="317" spans="1:10" ht="15.75" x14ac:dyDescent="0.25">
      <c r="A317" s="483"/>
      <c r="B317" s="484"/>
      <c r="C317" s="456"/>
      <c r="D317" s="485"/>
    </row>
    <row r="318" spans="1:10" ht="15.75" x14ac:dyDescent="0.25">
      <c r="A318" s="483"/>
      <c r="B318" s="484"/>
      <c r="C318" s="456"/>
      <c r="D318" s="485"/>
    </row>
    <row r="319" spans="1:10" ht="15.75" x14ac:dyDescent="0.25">
      <c r="A319" s="483"/>
      <c r="B319" s="484"/>
      <c r="C319" s="456"/>
      <c r="D319" s="485"/>
    </row>
    <row r="320" spans="1:10" ht="15.75" x14ac:dyDescent="0.25">
      <c r="A320" s="483"/>
      <c r="B320" s="484"/>
      <c r="C320" s="456"/>
      <c r="D320" s="485"/>
    </row>
    <row r="321" spans="1:4" ht="15.75" x14ac:dyDescent="0.25">
      <c r="A321" s="483"/>
      <c r="B321" s="484"/>
      <c r="C321" s="456"/>
      <c r="D321" s="485"/>
    </row>
    <row r="322" spans="1:4" ht="15.75" x14ac:dyDescent="0.25">
      <c r="A322" s="483"/>
      <c r="B322" s="484"/>
      <c r="C322" s="456"/>
      <c r="D322" s="485"/>
    </row>
    <row r="323" spans="1:4" ht="16.5" thickBot="1" x14ac:dyDescent="0.3">
      <c r="A323" s="486"/>
      <c r="B323" s="487"/>
      <c r="C323" s="453"/>
      <c r="D323" s="488"/>
    </row>
    <row r="350" spans="1:4" x14ac:dyDescent="0.25">
      <c r="A350" s="265" t="s">
        <v>524</v>
      </c>
      <c r="B350" s="89" t="s">
        <v>578</v>
      </c>
      <c r="C350" s="89" t="s">
        <v>578</v>
      </c>
      <c r="D350" s="89" t="s">
        <v>579</v>
      </c>
    </row>
    <row r="351" spans="1:4" x14ac:dyDescent="0.25">
      <c r="A351" s="268" t="s">
        <v>431</v>
      </c>
      <c r="B351" s="269" t="s">
        <v>310</v>
      </c>
      <c r="C351" s="269" t="s">
        <v>432</v>
      </c>
      <c r="D351" s="269"/>
    </row>
    <row r="352" spans="1:4" x14ac:dyDescent="0.25">
      <c r="A352" s="69">
        <v>6515</v>
      </c>
      <c r="B352" s="389">
        <v>1.5140456783234792</v>
      </c>
      <c r="C352" s="271">
        <v>1063.9000000000001</v>
      </c>
      <c r="D352" t="s">
        <v>580</v>
      </c>
    </row>
    <row r="353" spans="1:3" x14ac:dyDescent="0.25">
      <c r="A353" s="69">
        <v>6015</v>
      </c>
      <c r="B353" s="389">
        <v>1.5218053341634949</v>
      </c>
      <c r="C353" s="271">
        <v>1063.9000000000001</v>
      </c>
    </row>
    <row r="354" spans="1:3" x14ac:dyDescent="0.25">
      <c r="A354" s="69">
        <v>5515</v>
      </c>
      <c r="B354" s="389">
        <v>1.5300547909116633</v>
      </c>
      <c r="C354" s="271">
        <v>1063.9000000000001</v>
      </c>
    </row>
    <row r="355" spans="1:3" x14ac:dyDescent="0.25">
      <c r="A355" s="153">
        <v>5015</v>
      </c>
      <c r="B355" s="389">
        <v>1.5389762094640473</v>
      </c>
      <c r="C355" s="271">
        <v>1063.9000000000001</v>
      </c>
    </row>
    <row r="356" spans="1:3" x14ac:dyDescent="0.25">
      <c r="A356" s="153">
        <v>4520</v>
      </c>
      <c r="B356" s="389">
        <v>1.5487395144891747</v>
      </c>
      <c r="C356" s="271">
        <v>1063.9000000000001</v>
      </c>
    </row>
    <row r="357" spans="1:3" x14ac:dyDescent="0.25">
      <c r="A357" s="153">
        <v>4015</v>
      </c>
      <c r="B357" s="389">
        <v>1.5598483571728843</v>
      </c>
      <c r="C357" s="271">
        <v>1063.9000000000001</v>
      </c>
    </row>
    <row r="358" spans="1:3" x14ac:dyDescent="0.25">
      <c r="A358" s="153">
        <v>3515</v>
      </c>
      <c r="B358" s="389">
        <v>1.5722997010080086</v>
      </c>
      <c r="C358" s="271">
        <v>1063.9000000000001</v>
      </c>
    </row>
    <row r="359" spans="1:3" x14ac:dyDescent="0.25">
      <c r="A359" s="153">
        <v>3215</v>
      </c>
      <c r="B359" s="389">
        <v>1.5808542255167237</v>
      </c>
      <c r="C359" s="271">
        <v>1063.9000000000001</v>
      </c>
    </row>
    <row r="360" spans="1:3" x14ac:dyDescent="0.25">
      <c r="A360" s="153">
        <v>2815</v>
      </c>
      <c r="B360" s="389">
        <v>1.5092331762468914</v>
      </c>
      <c r="C360" s="271">
        <v>924.63273101951222</v>
      </c>
    </row>
    <row r="361" spans="1:3" x14ac:dyDescent="0.25">
      <c r="A361" s="153">
        <v>2415</v>
      </c>
      <c r="B361" s="389">
        <v>1.4503064366171701</v>
      </c>
      <c r="C361" s="271">
        <v>792.39150913313176</v>
      </c>
    </row>
    <row r="362" spans="1:3" x14ac:dyDescent="0.25">
      <c r="A362" s="153">
        <v>2115</v>
      </c>
      <c r="B362" s="389">
        <v>1.4089703945809198</v>
      </c>
      <c r="C362" s="271">
        <v>699.20489977895465</v>
      </c>
    </row>
    <row r="363" spans="1:3" x14ac:dyDescent="0.25">
      <c r="A363" s="153">
        <v>1815</v>
      </c>
      <c r="B363" s="389">
        <v>1.3710167390101822</v>
      </c>
      <c r="C363" s="271">
        <v>618.58252518397035</v>
      </c>
    </row>
    <row r="364" spans="1:3" x14ac:dyDescent="0.25">
      <c r="A364" s="153">
        <v>1515</v>
      </c>
      <c r="B364" s="389">
        <v>1.3324148244776211</v>
      </c>
      <c r="C364" s="271">
        <v>531.01285688245662</v>
      </c>
    </row>
    <row r="365" spans="1:3" x14ac:dyDescent="0.25">
      <c r="A365" s="153">
        <v>1215</v>
      </c>
      <c r="B365" s="389">
        <v>1.2974355335552479</v>
      </c>
      <c r="C365" s="271">
        <v>448.4963865770481</v>
      </c>
    </row>
    <row r="366" spans="1:3" x14ac:dyDescent="0.25">
      <c r="A366" s="153">
        <v>915</v>
      </c>
      <c r="B366" s="389">
        <v>1.2612016708773468</v>
      </c>
      <c r="C366" s="223">
        <v>368.20959023226874</v>
      </c>
    </row>
    <row r="367" spans="1:3" x14ac:dyDescent="0.25">
      <c r="A367" s="153">
        <v>615</v>
      </c>
      <c r="B367" s="389">
        <v>1.2252957509683677</v>
      </c>
      <c r="C367" s="223">
        <v>288.17037402070122</v>
      </c>
    </row>
    <row r="368" spans="1:3" x14ac:dyDescent="0.25">
      <c r="A368" s="153">
        <v>315</v>
      </c>
      <c r="B368" s="389">
        <v>1.184726179822273</v>
      </c>
      <c r="C368" s="223">
        <v>201.05006497359909</v>
      </c>
    </row>
    <row r="369" spans="1:3" x14ac:dyDescent="0.25">
      <c r="A369" s="153">
        <v>15</v>
      </c>
      <c r="B369" s="389">
        <v>1.0598981967912167</v>
      </c>
      <c r="C369" s="69">
        <v>0</v>
      </c>
    </row>
    <row r="370" spans="1:3" x14ac:dyDescent="0.25">
      <c r="A370" s="153"/>
      <c r="B370" s="389"/>
      <c r="C370" s="69"/>
    </row>
    <row r="371" spans="1:3" x14ac:dyDescent="0.25">
      <c r="A371" s="153"/>
      <c r="B371" s="69"/>
      <c r="C371" s="69"/>
    </row>
    <row r="372" spans="1:3" x14ac:dyDescent="0.25">
      <c r="A372" s="153"/>
      <c r="B372" s="69"/>
      <c r="C372" s="69"/>
    </row>
    <row r="373" spans="1:3" x14ac:dyDescent="0.25">
      <c r="A373" s="153"/>
      <c r="B373" s="69"/>
      <c r="C373" s="69"/>
    </row>
    <row r="374" spans="1:3" x14ac:dyDescent="0.25">
      <c r="A374" s="153"/>
      <c r="B374" s="69"/>
      <c r="C374" s="69"/>
    </row>
    <row r="375" spans="1:3" x14ac:dyDescent="0.25">
      <c r="A375" s="153"/>
      <c r="B375" s="69"/>
      <c r="C375" s="69"/>
    </row>
    <row r="376" spans="1:3" x14ac:dyDescent="0.25">
      <c r="A376" s="153"/>
      <c r="B376" s="69"/>
      <c r="C376" s="69"/>
    </row>
    <row r="377" spans="1:3" x14ac:dyDescent="0.25">
      <c r="A377" s="153"/>
      <c r="B377" s="69"/>
      <c r="C377" s="69"/>
    </row>
    <row r="378" spans="1:3" x14ac:dyDescent="0.25">
      <c r="A378" s="153"/>
      <c r="B378" s="69"/>
      <c r="C378" s="69"/>
    </row>
    <row r="379" spans="1:3" x14ac:dyDescent="0.25">
      <c r="A379" s="153"/>
      <c r="B379" s="69"/>
      <c r="C379" s="69"/>
    </row>
    <row r="380" spans="1:3" x14ac:dyDescent="0.25">
      <c r="A380" s="153"/>
      <c r="B380" s="69"/>
      <c r="C380" s="69"/>
    </row>
    <row r="381" spans="1:3" x14ac:dyDescent="0.25">
      <c r="A381" s="153"/>
      <c r="B381" s="69"/>
      <c r="C381" s="69"/>
    </row>
  </sheetData>
  <mergeCells count="47">
    <mergeCell ref="A278:B278"/>
    <mergeCell ref="C282:G282"/>
    <mergeCell ref="A285:B285"/>
    <mergeCell ref="E290:H290"/>
    <mergeCell ref="B314:D314"/>
    <mergeCell ref="C315:D315"/>
    <mergeCell ref="A266:B266"/>
    <mergeCell ref="A267:B267"/>
    <mergeCell ref="D271:F271"/>
    <mergeCell ref="A272:B272"/>
    <mergeCell ref="A273:B273"/>
    <mergeCell ref="C277:G277"/>
    <mergeCell ref="M182:O183"/>
    <mergeCell ref="M184:O186"/>
    <mergeCell ref="C259:G259"/>
    <mergeCell ref="A260:B260"/>
    <mergeCell ref="A261:B261"/>
    <mergeCell ref="C265:G265"/>
    <mergeCell ref="R63:R65"/>
    <mergeCell ref="R66:R68"/>
    <mergeCell ref="M67:N67"/>
    <mergeCell ref="R81:R83"/>
    <mergeCell ref="S81:AB81"/>
    <mergeCell ref="I116:J116"/>
    <mergeCell ref="K116:L116"/>
    <mergeCell ref="R42:R43"/>
    <mergeCell ref="R44:R46"/>
    <mergeCell ref="A46:A56"/>
    <mergeCell ref="R47:R49"/>
    <mergeCell ref="R50:R52"/>
    <mergeCell ref="G51:J51"/>
    <mergeCell ref="R53:R55"/>
    <mergeCell ref="R56:R58"/>
    <mergeCell ref="A57:A62"/>
    <mergeCell ref="R60:R62"/>
    <mergeCell ref="E14:E19"/>
    <mergeCell ref="F14:F16"/>
    <mergeCell ref="F17:F19"/>
    <mergeCell ref="F20:F22"/>
    <mergeCell ref="H35:L35"/>
    <mergeCell ref="E41:F41"/>
    <mergeCell ref="M6:N6"/>
    <mergeCell ref="K7:L8"/>
    <mergeCell ref="BE7:BF7"/>
    <mergeCell ref="G8:H8"/>
    <mergeCell ref="AK8:AL8"/>
    <mergeCell ref="M10:N10"/>
  </mergeCells>
  <conditionalFormatting sqref="BQ46:BS46">
    <cfRule type="cellIs" dxfId="0" priority="1" operator="notEqual">
      <formula>0</formula>
    </cfRule>
  </conditionalFormatting>
  <dataValidations count="2">
    <dataValidation type="textLength" operator="equal" allowBlank="1" showInputMessage="1" showErrorMessage="1" sqref="T3:X38 B5:B8 M8 BQ9:BU40 N12 H20:H26 B28:B32 H34 O18:O34 I37:I38 T40:X40 BQ41:BS41 Y42:Y43 E42:F45 BQ44:BS46 T45:X45 AU9:AV62 T48:X48 T51:X51 C47:C54 E47:E54 T54:X54 S56:S58 T59 BZ9:CA60 C61:C62 T61:X61 T64:X64 G53:G65 I53:I65 BE9:BE66 AK10:AK67 T67:X67 BM48:BO73 AW74:BC74 BM77:BO87 M69:M93 S112:AB112 N134 I118:I142 K118:K142 R180:AA180" xr:uid="{24076654-0FEC-4640-A269-528153B308DF}">
      <formula1>0</formula1>
    </dataValidation>
    <dataValidation allowBlank="1" showInputMessage="1" showErrorMessage="1" promptTitle="Special Test" prompt="Type Name of Tests or &quot;No&quot;" sqref="B33" xr:uid="{8B7FE05F-479B-44FA-9F1A-102A5D3C8BF7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Macro31">
                <anchor moveWithCells="1" sizeWithCells="1">
                  <from>
                    <xdr:col>6</xdr:col>
                    <xdr:colOff>847725</xdr:colOff>
                    <xdr:row>1</xdr:row>
                    <xdr:rowOff>47625</xdr:rowOff>
                  </from>
                  <to>
                    <xdr:col>6</xdr:col>
                    <xdr:colOff>1914525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B7AF-8BA1-4C93-8620-602B7AB0B812}">
  <sheetPr codeName="Sheet210">
    <tabColor rgb="FF92D050"/>
  </sheetPr>
  <dimension ref="A1:CC381"/>
  <sheetViews>
    <sheetView tabSelected="1" zoomScale="75" zoomScaleNormal="75" workbookViewId="0">
      <selection activeCell="E12" sqref="E12"/>
    </sheetView>
  </sheetViews>
  <sheetFormatPr defaultColWidth="9.140625" defaultRowHeight="15" x14ac:dyDescent="0.25"/>
  <cols>
    <col min="1" max="1" width="47.7109375" customWidth="1"/>
    <col min="2" max="2" width="39.28515625" customWidth="1"/>
    <col min="3" max="3" width="20.7109375" bestFit="1" customWidth="1"/>
    <col min="4" max="4" width="17.28515625" bestFit="1" customWidth="1"/>
    <col min="5" max="5" width="19.28515625" bestFit="1" customWidth="1"/>
    <col min="6" max="6" width="23.5703125" bestFit="1" customWidth="1"/>
    <col min="7" max="7" width="37.7109375" bestFit="1" customWidth="1"/>
    <col min="8" max="8" width="23.28515625" customWidth="1"/>
    <col min="9" max="9" width="23" customWidth="1"/>
    <col min="10" max="10" width="25.85546875" bestFit="1" customWidth="1"/>
    <col min="11" max="11" width="20.140625" bestFit="1" customWidth="1"/>
    <col min="12" max="12" width="17" bestFit="1" customWidth="1"/>
    <col min="13" max="13" width="26.5703125" customWidth="1"/>
    <col min="14" max="14" width="18.5703125" customWidth="1"/>
    <col min="15" max="15" width="18" customWidth="1"/>
    <col min="16" max="16" width="12.5703125" customWidth="1"/>
    <col min="17" max="17" width="12.85546875" customWidth="1"/>
    <col min="18" max="18" width="22.42578125" customWidth="1"/>
    <col min="19" max="19" width="36.140625" customWidth="1"/>
    <col min="20" max="20" width="16" customWidth="1"/>
    <col min="21" max="21" width="16.85546875" customWidth="1"/>
    <col min="22" max="22" width="13.5703125" bestFit="1" customWidth="1"/>
    <col min="23" max="23" width="12.42578125" bestFit="1" customWidth="1"/>
    <col min="24" max="24" width="12" bestFit="1" customWidth="1"/>
    <col min="27" max="27" width="22.140625" customWidth="1"/>
    <col min="29" max="29" width="22.28515625" customWidth="1"/>
    <col min="30" max="30" width="11.7109375" customWidth="1"/>
    <col min="31" max="31" width="14" customWidth="1"/>
    <col min="38" max="38" width="12.7109375" bestFit="1" customWidth="1"/>
    <col min="46" max="46" width="11.85546875" customWidth="1"/>
    <col min="64" max="64" width="42.42578125" bestFit="1" customWidth="1"/>
    <col min="69" max="69" width="16.140625" customWidth="1"/>
    <col min="80" max="80" width="27.42578125" bestFit="1" customWidth="1"/>
  </cols>
  <sheetData>
    <row r="1" spans="1:8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</row>
    <row r="2" spans="1:81" x14ac:dyDescent="0.25">
      <c r="A2" s="1" t="s">
        <v>0</v>
      </c>
      <c r="B2" s="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s="3" t="s">
        <v>9</v>
      </c>
    </row>
    <row r="3" spans="1:81" x14ac:dyDescent="0.25">
      <c r="A3" s="4" t="s">
        <v>10</v>
      </c>
      <c r="B3" s="5" t="s">
        <v>11</v>
      </c>
      <c r="C3" s="6" t="s">
        <v>12</v>
      </c>
      <c r="R3" s="7" t="s">
        <v>13</v>
      </c>
      <c r="S3" s="8" t="s">
        <v>14</v>
      </c>
      <c r="T3" s="9">
        <f>IF(SUM($AC$10:$AC$67)&lt;&gt;0,   SUMIF($AB$10:$AB$67,S3,$AC$10:$AC$67),  "")</f>
        <v>0</v>
      </c>
      <c r="U3" s="9" t="str">
        <f>IF(SUM($AD$10:$AD$67)&lt;&gt;0,  SUMIF($AB$10:$AB$67,S3,$AD$10:$AD$67),  "")</f>
        <v/>
      </c>
      <c r="V3" s="9" t="str">
        <f>IF(SUM($AE$10:$AE$67)&lt;&gt;0,  SUMIF($AB$10:$AB$67,S3,$AE$10:$AE$67),  "")</f>
        <v/>
      </c>
      <c r="W3" s="10" t="str">
        <f>IF(SUM($AG$10:$AG$67)&lt;&gt;0,  SUMIF($AB$10:$AB$67,S3,$AG$10:$AG$67),  "")</f>
        <v/>
      </c>
      <c r="X3" s="10" t="str">
        <f>IF(SUM($AH$10:$AH$67)&lt;&gt;0,  SUMIF($AB$10:$AB$67,S3,$AH$10:$AH$67),  "")</f>
        <v/>
      </c>
      <c r="Y3" s="11">
        <v>34.08</v>
      </c>
      <c r="AN3" t="s">
        <v>15</v>
      </c>
    </row>
    <row r="4" spans="1:81" x14ac:dyDescent="0.25">
      <c r="A4" s="12" t="s">
        <v>16</v>
      </c>
      <c r="B4" s="13"/>
      <c r="C4" s="14" t="s">
        <v>17</v>
      </c>
      <c r="D4" s="15"/>
      <c r="P4" s="16"/>
      <c r="R4" s="7" t="s">
        <v>18</v>
      </c>
      <c r="S4" s="8" t="s">
        <v>19</v>
      </c>
      <c r="T4" s="9">
        <f t="shared" ref="T4:T37" si="0">IF(SUM($AC$10:$AC$67)&lt;&gt;0,   SUMIF($AB$10:$AB$67,S4,$AC$10:$AC$67),  "")</f>
        <v>2.0599999999999998E-3</v>
      </c>
      <c r="U4" s="9" t="str">
        <f t="shared" ref="U4:U37" si="1">IF(SUM($AD$10:$AD$67)&lt;&gt;0,  SUMIF($AB$10:$AB$67,S4,$AD$10:$AD$67),  "")</f>
        <v/>
      </c>
      <c r="V4" s="9" t="str">
        <f t="shared" ref="V4:V37" si="2">IF(SUM($AE$10:$AE$67)&lt;&gt;0,  SUMIF($AB$10:$AB$67,S4,$AE$10:$AE$67),  "")</f>
        <v/>
      </c>
      <c r="W4" s="10" t="str">
        <f t="shared" ref="W4:W37" si="3">IF(SUM($AG$10:$AG$67)&lt;&gt;0,  SUMIF($AB$10:$AB$67,S4,$AG$10:$AG$67),  "")</f>
        <v/>
      </c>
      <c r="X4" s="10" t="str">
        <f t="shared" ref="X4:X37" si="4">IF(SUM($AH$10:$AH$67)&lt;&gt;0,  SUMIF($AB$10:$AB$67,S4,$AH$10:$AH$67),  "")</f>
        <v/>
      </c>
      <c r="Y4" s="11">
        <v>44.01</v>
      </c>
      <c r="AA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22</v>
      </c>
      <c r="AS4" t="s">
        <v>25</v>
      </c>
    </row>
    <row r="5" spans="1:81" ht="15.75" thickBot="1" x14ac:dyDescent="0.3">
      <c r="A5" s="17" t="s">
        <v>26</v>
      </c>
      <c r="B5" s="18" t="str">
        <f>IFERROR(IF($H$20&gt;0,$H$20,IF($C$58&gt;0,$C$58,IF($H$15&gt;0,$H$15,IF($C$50&gt;0,$C$50,"")))),"")</f>
        <v/>
      </c>
      <c r="C5" s="19" t="s">
        <v>27</v>
      </c>
      <c r="D5" s="19"/>
      <c r="P5" s="16"/>
      <c r="R5" s="7" t="s">
        <v>28</v>
      </c>
      <c r="S5" s="8" t="s">
        <v>29</v>
      </c>
      <c r="T5" s="9">
        <f t="shared" si="0"/>
        <v>3.62E-3</v>
      </c>
      <c r="U5" s="9" t="str">
        <f t="shared" si="1"/>
        <v/>
      </c>
      <c r="V5" s="9" t="str">
        <f t="shared" si="2"/>
        <v/>
      </c>
      <c r="W5" s="10" t="str">
        <f t="shared" si="3"/>
        <v/>
      </c>
      <c r="X5" s="10" t="str">
        <f t="shared" si="4"/>
        <v/>
      </c>
      <c r="Y5" s="11">
        <v>28.013000000000002</v>
      </c>
      <c r="AN5" s="20" t="s">
        <v>14</v>
      </c>
      <c r="AO5" s="21" t="s">
        <v>30</v>
      </c>
      <c r="AP5" s="20" t="s">
        <v>29</v>
      </c>
      <c r="AQ5" s="4" t="s">
        <v>29</v>
      </c>
      <c r="AR5" s="20" t="s">
        <v>29</v>
      </c>
      <c r="AS5" s="22" t="s">
        <v>19</v>
      </c>
      <c r="AU5" s="23" t="s">
        <v>31</v>
      </c>
      <c r="AV5" s="24"/>
      <c r="AW5" s="24"/>
      <c r="AX5" s="24"/>
      <c r="AY5" s="24"/>
      <c r="AZ5" s="24"/>
      <c r="BA5" s="24"/>
      <c r="BB5" s="25"/>
    </row>
    <row r="6" spans="1:81" ht="15.75" thickTop="1" x14ac:dyDescent="0.25">
      <c r="A6" s="17" t="s">
        <v>32</v>
      </c>
      <c r="B6" s="18" t="str">
        <f>IFERROR(IF($H$22&gt;0,$H$22,IF($C$57&gt;0,$C$57,IF($H$14&gt;0,$H$14,IF($C$49&gt;0,$C$49,"")))),"")</f>
        <v/>
      </c>
      <c r="C6" s="19" t="s">
        <v>33</v>
      </c>
      <c r="D6" s="19"/>
      <c r="I6" s="26"/>
      <c r="M6" s="27" t="s">
        <v>34</v>
      </c>
      <c r="N6" s="27"/>
      <c r="O6" s="28"/>
      <c r="R6" s="7" t="s">
        <v>35</v>
      </c>
      <c r="S6" s="8" t="s">
        <v>36</v>
      </c>
      <c r="T6" s="9">
        <f t="shared" si="0"/>
        <v>0.56640000000000001</v>
      </c>
      <c r="U6" s="9" t="str">
        <f t="shared" si="1"/>
        <v/>
      </c>
      <c r="V6" s="9" t="str">
        <f t="shared" si="2"/>
        <v/>
      </c>
      <c r="W6" s="10" t="str">
        <f t="shared" si="3"/>
        <v/>
      </c>
      <c r="X6" s="10" t="str">
        <f t="shared" si="4"/>
        <v/>
      </c>
      <c r="Y6" s="11">
        <v>16.042999999999999</v>
      </c>
      <c r="Z6" s="29"/>
      <c r="AA6" s="30" t="s">
        <v>37</v>
      </c>
      <c r="AB6" s="30"/>
      <c r="AC6" s="30"/>
      <c r="AD6" s="30"/>
      <c r="AE6" s="30"/>
      <c r="AF6" s="30"/>
      <c r="AG6" s="30"/>
      <c r="AH6" s="31"/>
      <c r="AN6" s="20" t="s">
        <v>29</v>
      </c>
      <c r="AO6" s="32" t="s">
        <v>38</v>
      </c>
      <c r="AP6" s="20" t="s">
        <v>19</v>
      </c>
      <c r="AQ6" s="4" t="s">
        <v>19</v>
      </c>
      <c r="AR6" s="20" t="s">
        <v>19</v>
      </c>
      <c r="AS6" s="20" t="s">
        <v>14</v>
      </c>
      <c r="AT6" s="33" t="s">
        <v>39</v>
      </c>
      <c r="AU6" s="34" t="s">
        <v>40</v>
      </c>
      <c r="AV6" s="35" t="s">
        <v>41</v>
      </c>
      <c r="AW6" s="35" t="s">
        <v>42</v>
      </c>
      <c r="AZ6" s="36"/>
      <c r="BA6" s="35" t="s">
        <v>43</v>
      </c>
      <c r="BB6" s="35" t="s">
        <v>42</v>
      </c>
    </row>
    <row r="7" spans="1:81" x14ac:dyDescent="0.25">
      <c r="A7" s="17" t="s">
        <v>44</v>
      </c>
      <c r="B7" s="18" t="str">
        <f>IFERROR(IF($H$21&gt;0,$H$21,IF($C$60&gt;0,$C$60,IF($H$18&gt;0,$H$18,IF($C$56&gt;0,$C$56,"")))),"")</f>
        <v/>
      </c>
      <c r="C7" s="19" t="s">
        <v>45</v>
      </c>
      <c r="D7" s="19"/>
      <c r="K7" s="37" t="s">
        <v>46</v>
      </c>
      <c r="L7" s="37"/>
      <c r="M7" s="38"/>
      <c r="N7" s="39" t="s">
        <v>47</v>
      </c>
      <c r="O7" s="28"/>
      <c r="R7" s="7" t="s">
        <v>48</v>
      </c>
      <c r="S7" s="8" t="s">
        <v>49</v>
      </c>
      <c r="T7" s="9">
        <f t="shared" si="0"/>
        <v>9.0649999999999994E-2</v>
      </c>
      <c r="U7" s="9" t="str">
        <f t="shared" si="1"/>
        <v/>
      </c>
      <c r="V7" s="9" t="str">
        <f t="shared" si="2"/>
        <v/>
      </c>
      <c r="W7" s="10" t="str">
        <f t="shared" si="3"/>
        <v/>
      </c>
      <c r="X7" s="10" t="str">
        <f t="shared" si="4"/>
        <v/>
      </c>
      <c r="Y7" s="11">
        <v>30.07</v>
      </c>
      <c r="Z7" s="40" t="s">
        <v>50</v>
      </c>
      <c r="AA7" s="35" t="s">
        <v>40</v>
      </c>
      <c r="AB7" s="35" t="s">
        <v>41</v>
      </c>
      <c r="AC7" s="35" t="s">
        <v>42</v>
      </c>
      <c r="AD7" s="35" t="s">
        <v>43</v>
      </c>
      <c r="AE7" s="35" t="s">
        <v>42</v>
      </c>
      <c r="AF7" s="36"/>
      <c r="AG7" s="36" t="s">
        <v>51</v>
      </c>
      <c r="AH7" s="41" t="s">
        <v>51</v>
      </c>
      <c r="AI7" s="42" t="s">
        <v>52</v>
      </c>
      <c r="AN7" s="20" t="s">
        <v>19</v>
      </c>
      <c r="AO7" s="43" t="s">
        <v>53</v>
      </c>
      <c r="AP7" s="20" t="s">
        <v>14</v>
      </c>
      <c r="AQ7" s="4" t="s">
        <v>14</v>
      </c>
      <c r="AR7" s="20" t="s">
        <v>14</v>
      </c>
      <c r="AS7" s="20" t="s">
        <v>29</v>
      </c>
      <c r="AT7" s="33" t="s">
        <v>54</v>
      </c>
      <c r="AU7" s="34" t="s">
        <v>55</v>
      </c>
      <c r="AV7" s="35" t="s">
        <v>56</v>
      </c>
      <c r="AW7" s="35" t="s">
        <v>57</v>
      </c>
      <c r="AZ7" s="36"/>
      <c r="BA7" s="35" t="s">
        <v>58</v>
      </c>
      <c r="BB7" s="35" t="s">
        <v>59</v>
      </c>
      <c r="BC7" s="42" t="s">
        <v>60</v>
      </c>
      <c r="BD7" s="42" t="s">
        <v>39</v>
      </c>
      <c r="BE7" s="44" t="s">
        <v>61</v>
      </c>
      <c r="BF7" s="44"/>
      <c r="BL7" t="s">
        <v>62</v>
      </c>
      <c r="BM7" s="45" t="s">
        <v>63</v>
      </c>
      <c r="BN7" t="s">
        <v>64</v>
      </c>
      <c r="BO7" s="45" t="s">
        <v>63</v>
      </c>
    </row>
    <row r="8" spans="1:81" x14ac:dyDescent="0.25">
      <c r="A8" s="17" t="s">
        <v>65</v>
      </c>
      <c r="B8" s="18" t="str">
        <f>IF($B$26="","",IFERROR(IF(OR($B$26="BO", $B$26="VO"), "Oil", "Gas"),""))</f>
        <v>Oil</v>
      </c>
      <c r="C8" s="19" t="s">
        <v>66</v>
      </c>
      <c r="D8" s="19"/>
      <c r="G8" s="46" t="s">
        <v>67</v>
      </c>
      <c r="H8" s="47"/>
      <c r="K8" s="37"/>
      <c r="L8" s="37"/>
      <c r="M8" s="48">
        <f>M7/5.615</f>
        <v>0</v>
      </c>
      <c r="N8" s="39" t="s">
        <v>68</v>
      </c>
      <c r="O8" s="28"/>
      <c r="R8" s="7" t="s">
        <v>69</v>
      </c>
      <c r="S8" s="8" t="s">
        <v>70</v>
      </c>
      <c r="T8" s="9">
        <f t="shared" si="0"/>
        <v>5.7820000000000003E-2</v>
      </c>
      <c r="U8" s="9" t="str">
        <f t="shared" si="1"/>
        <v/>
      </c>
      <c r="V8" s="9" t="str">
        <f t="shared" si="2"/>
        <v/>
      </c>
      <c r="W8" s="10" t="str">
        <f t="shared" si="3"/>
        <v/>
      </c>
      <c r="X8" s="10" t="str">
        <f t="shared" si="4"/>
        <v/>
      </c>
      <c r="Y8" s="11">
        <v>44.097000000000001</v>
      </c>
      <c r="Z8" s="40" t="s">
        <v>9</v>
      </c>
      <c r="AA8" s="35" t="s">
        <v>55</v>
      </c>
      <c r="AB8" s="35" t="s">
        <v>56</v>
      </c>
      <c r="AC8" s="35" t="s">
        <v>57</v>
      </c>
      <c r="AD8" s="35" t="s">
        <v>71</v>
      </c>
      <c r="AE8" s="35" t="s">
        <v>72</v>
      </c>
      <c r="AF8" s="36"/>
      <c r="AG8" s="36" t="s">
        <v>73</v>
      </c>
      <c r="AH8" s="41" t="s">
        <v>74</v>
      </c>
      <c r="AI8" s="42" t="s">
        <v>75</v>
      </c>
      <c r="AK8" s="44" t="s">
        <v>61</v>
      </c>
      <c r="AL8" s="44"/>
      <c r="AN8" s="20" t="s">
        <v>36</v>
      </c>
      <c r="AO8" s="32" t="s">
        <v>76</v>
      </c>
      <c r="AP8" s="20" t="s">
        <v>36</v>
      </c>
      <c r="AQ8" s="4" t="s">
        <v>36</v>
      </c>
      <c r="AR8" s="20" t="s">
        <v>36</v>
      </c>
      <c r="AS8" s="20" t="s">
        <v>36</v>
      </c>
      <c r="AT8" s="33" t="s">
        <v>77</v>
      </c>
      <c r="AU8" s="49"/>
      <c r="AV8" s="50"/>
      <c r="AW8" s="50"/>
      <c r="AZ8" s="50"/>
      <c r="BA8" s="50"/>
      <c r="BB8" s="50"/>
      <c r="BC8" s="42" t="s">
        <v>78</v>
      </c>
      <c r="BD8" s="42" t="s">
        <v>79</v>
      </c>
      <c r="BE8" s="51" t="s">
        <v>80</v>
      </c>
      <c r="BF8" s="17" t="s">
        <v>81</v>
      </c>
      <c r="BL8" t="s">
        <v>55</v>
      </c>
      <c r="BM8" t="s">
        <v>56</v>
      </c>
      <c r="BN8" t="s">
        <v>9</v>
      </c>
      <c r="BO8" t="s">
        <v>82</v>
      </c>
      <c r="BP8" t="s">
        <v>83</v>
      </c>
      <c r="BQ8" t="s">
        <v>84</v>
      </c>
      <c r="BR8" t="s">
        <v>85</v>
      </c>
      <c r="BS8" t="s">
        <v>86</v>
      </c>
      <c r="BT8" t="s">
        <v>87</v>
      </c>
      <c r="BU8" t="s">
        <v>88</v>
      </c>
      <c r="CB8" t="s">
        <v>89</v>
      </c>
      <c r="CC8" t="s">
        <v>90</v>
      </c>
    </row>
    <row r="9" spans="1:81" x14ac:dyDescent="0.25">
      <c r="A9" s="19"/>
      <c r="B9" s="19"/>
      <c r="C9" s="19"/>
      <c r="D9" s="19"/>
      <c r="G9" s="52" t="s">
        <v>91</v>
      </c>
      <c r="H9" s="53">
        <v>4238.6549999999997</v>
      </c>
      <c r="I9" s="17" t="s">
        <v>92</v>
      </c>
      <c r="J9" s="17"/>
      <c r="L9" s="54"/>
      <c r="O9" s="28"/>
      <c r="R9" s="7" t="s">
        <v>93</v>
      </c>
      <c r="S9" s="8" t="s">
        <v>94</v>
      </c>
      <c r="T9" s="9">
        <f t="shared" si="0"/>
        <v>9.9799999999999993E-3</v>
      </c>
      <c r="U9" s="9" t="str">
        <f t="shared" si="1"/>
        <v/>
      </c>
      <c r="V9" s="9" t="str">
        <f t="shared" si="2"/>
        <v/>
      </c>
      <c r="W9" s="10" t="str">
        <f t="shared" si="3"/>
        <v/>
      </c>
      <c r="X9" s="10" t="str">
        <f t="shared" si="4"/>
        <v/>
      </c>
      <c r="Y9" s="11">
        <v>58.124000000000002</v>
      </c>
      <c r="Z9" s="50"/>
      <c r="AA9" s="50"/>
      <c r="AB9" s="50"/>
      <c r="AC9" s="50"/>
      <c r="AD9" s="50"/>
      <c r="AE9" s="50"/>
      <c r="AF9" s="50"/>
      <c r="AG9" s="50"/>
      <c r="AH9" s="55"/>
      <c r="AK9" s="51" t="s">
        <v>80</v>
      </c>
      <c r="AL9" s="17" t="s">
        <v>81</v>
      </c>
      <c r="AN9" s="20" t="s">
        <v>49</v>
      </c>
      <c r="AO9" s="32" t="s">
        <v>95</v>
      </c>
      <c r="AP9" s="20" t="s">
        <v>49</v>
      </c>
      <c r="AQ9" s="4" t="s">
        <v>49</v>
      </c>
      <c r="AR9" s="20" t="s">
        <v>49</v>
      </c>
      <c r="AS9" s="20" t="s">
        <v>49</v>
      </c>
      <c r="AU9" s="56" t="str">
        <f>AA10</f>
        <v>Nitrogen</v>
      </c>
      <c r="AV9" s="56" t="str">
        <f>AB10</f>
        <v>N2</v>
      </c>
      <c r="AZ9" s="57"/>
      <c r="BE9" s="18">
        <f>BF9*100</f>
        <v>0</v>
      </c>
      <c r="BL9" s="58" t="s">
        <v>96</v>
      </c>
      <c r="BM9" t="s">
        <v>97</v>
      </c>
      <c r="BN9">
        <v>72.150000000000006</v>
      </c>
      <c r="BO9">
        <v>627</v>
      </c>
      <c r="BQ9" s="59">
        <f t="shared" ref="BQ9:BQ41" ca="1" si="5">SUMIF($AA$10:$AA$67,BL9,$AC$10:$AC$63)</f>
        <v>0</v>
      </c>
      <c r="BR9" s="59">
        <f t="shared" ref="BR9:BR41" ca="1" si="6">SUMIF($AA$10:$AA$67,BL9,$AG$10:$AG$52)</f>
        <v>0</v>
      </c>
      <c r="BS9" s="59">
        <f>SUMIF($AA$10:$AA$67,BL9,$AH$10:$AH$67)</f>
        <v>0</v>
      </c>
      <c r="BT9" s="60">
        <f>IF($BO9="","",$BO9/1000)</f>
        <v>0.627</v>
      </c>
      <c r="BU9" s="60">
        <f>IF($BO9="","",4.5579*$BN9^0.15178*$BT9^(-0.84573))</f>
        <v>12.949852632750996</v>
      </c>
      <c r="BZ9" s="61" t="str">
        <f>IF($AA10="","",$AA10)</f>
        <v>Nitrogen</v>
      </c>
      <c r="CA9" s="60" t="str">
        <f>IF($AB10="","",$AB10)</f>
        <v>N2</v>
      </c>
    </row>
    <row r="10" spans="1:81" ht="15.75" x14ac:dyDescent="0.25">
      <c r="A10" s="19"/>
      <c r="B10" s="19"/>
      <c r="C10" s="19"/>
      <c r="D10" s="19"/>
      <c r="G10" s="52" t="s">
        <v>98</v>
      </c>
      <c r="H10" s="62">
        <v>7300</v>
      </c>
      <c r="I10" s="17" t="s">
        <v>99</v>
      </c>
      <c r="J10" s="17"/>
      <c r="L10" s="54"/>
      <c r="M10" s="63" t="s">
        <v>100</v>
      </c>
      <c r="N10" s="63"/>
      <c r="O10" s="28"/>
      <c r="R10" s="7" t="s">
        <v>101</v>
      </c>
      <c r="S10" s="8" t="s">
        <v>102</v>
      </c>
      <c r="T10" s="9">
        <f t="shared" si="0"/>
        <v>2.7779999999999999E-2</v>
      </c>
      <c r="U10" s="9" t="str">
        <f t="shared" si="1"/>
        <v/>
      </c>
      <c r="V10" s="9" t="str">
        <f t="shared" si="2"/>
        <v/>
      </c>
      <c r="W10" s="10" t="str">
        <f t="shared" si="3"/>
        <v/>
      </c>
      <c r="X10" s="10" t="str">
        <f t="shared" si="4"/>
        <v/>
      </c>
      <c r="Y10" s="11">
        <v>58.124000000000002</v>
      </c>
      <c r="Z10" s="64">
        <v>28.01</v>
      </c>
      <c r="AA10" s="65" t="s">
        <v>28</v>
      </c>
      <c r="AB10" s="20" t="s">
        <v>29</v>
      </c>
      <c r="AC10" s="66">
        <v>3.62E-3</v>
      </c>
      <c r="AF10" s="57"/>
      <c r="AH10" s="67"/>
      <c r="AK10" s="18">
        <f>AL10/100</f>
        <v>3.62E-3</v>
      </c>
      <c r="AL10">
        <v>0.36199999999999999</v>
      </c>
      <c r="AN10" s="20" t="s">
        <v>70</v>
      </c>
      <c r="AO10" s="32" t="s">
        <v>103</v>
      </c>
      <c r="AP10" s="20" t="s">
        <v>70</v>
      </c>
      <c r="AQ10" s="4" t="s">
        <v>70</v>
      </c>
      <c r="AR10" s="20" t="s">
        <v>70</v>
      </c>
      <c r="AS10" s="20" t="s">
        <v>70</v>
      </c>
      <c r="AU10" s="56" t="str">
        <f t="shared" ref="AU10:AV62" si="7">AA11</f>
        <v>Carbon Dioxide</v>
      </c>
      <c r="AV10" s="56" t="str">
        <f t="shared" si="7"/>
        <v>CO2</v>
      </c>
      <c r="BE10" s="18">
        <f t="shared" ref="BE10:BE66" si="8">BF10*100</f>
        <v>0</v>
      </c>
      <c r="BL10" s="58" t="s">
        <v>104</v>
      </c>
      <c r="BM10" t="s">
        <v>105</v>
      </c>
      <c r="BN10">
        <v>86.17</v>
      </c>
      <c r="BO10">
        <v>791</v>
      </c>
      <c r="BP10">
        <v>122</v>
      </c>
      <c r="BQ10" s="59">
        <f t="shared" ca="1" si="5"/>
        <v>0</v>
      </c>
      <c r="BR10" s="59">
        <f t="shared" ca="1" si="6"/>
        <v>0</v>
      </c>
      <c r="BS10" s="59">
        <f t="shared" ref="BS10:BS41" si="9">SUMIF($AA$10:$AA$67,BL10,$AH$10:$AH$67)</f>
        <v>0</v>
      </c>
      <c r="BT10" s="60">
        <f t="shared" ref="BT10:BT40" si="10">IF($BO10="","",$BO10/1000)</f>
        <v>0.79100000000000004</v>
      </c>
      <c r="BU10" s="60">
        <f t="shared" ref="BU10:BU40" si="11">IF($BO10="","",4.5579*$BN10^0.15178*$BT10^(-0.84573))</f>
        <v>10.930205895456753</v>
      </c>
      <c r="BZ10" s="61" t="str">
        <f t="shared" ref="BZ10:BZ60" si="12">IF($AA11="","",$AA11)</f>
        <v>Carbon Dioxide</v>
      </c>
      <c r="CA10" s="60" t="str">
        <f t="shared" ref="CA10:CA60" si="13">IF($AB11="","",$AB11)</f>
        <v>CO2</v>
      </c>
    </row>
    <row r="11" spans="1:81" ht="15.75" x14ac:dyDescent="0.25">
      <c r="A11" s="19"/>
      <c r="B11" s="19"/>
      <c r="C11" s="19"/>
      <c r="D11" s="19"/>
      <c r="G11" s="68" t="s">
        <v>106</v>
      </c>
      <c r="H11" s="69">
        <v>205</v>
      </c>
      <c r="I11" s="17" t="s">
        <v>107</v>
      </c>
      <c r="J11" s="17"/>
      <c r="L11" s="54"/>
      <c r="M11" s="19" t="s">
        <v>108</v>
      </c>
      <c r="N11" s="70"/>
      <c r="O11" s="28"/>
      <c r="R11" s="7" t="s">
        <v>109</v>
      </c>
      <c r="S11" s="8" t="s">
        <v>110</v>
      </c>
      <c r="T11" s="9">
        <f t="shared" si="0"/>
        <v>1.068E-2</v>
      </c>
      <c r="U11" s="9" t="str">
        <f t="shared" si="1"/>
        <v/>
      </c>
      <c r="V11" s="9" t="str">
        <f t="shared" si="2"/>
        <v/>
      </c>
      <c r="W11" s="10" t="str">
        <f t="shared" si="3"/>
        <v/>
      </c>
      <c r="X11" s="10" t="str">
        <f t="shared" si="4"/>
        <v/>
      </c>
      <c r="Y11" s="11">
        <v>72.150999999999996</v>
      </c>
      <c r="Z11" s="64">
        <v>44.01</v>
      </c>
      <c r="AA11" s="65" t="s">
        <v>18</v>
      </c>
      <c r="AB11" s="20" t="s">
        <v>19</v>
      </c>
      <c r="AC11" s="66">
        <v>2.0599999999999998E-3</v>
      </c>
      <c r="AH11" s="67"/>
      <c r="AK11" s="18">
        <f t="shared" ref="AK11:AK67" si="14">AL11/100</f>
        <v>2.0599999999999998E-3</v>
      </c>
      <c r="AL11">
        <v>0.20599999999999999</v>
      </c>
      <c r="AN11" s="20" t="s">
        <v>94</v>
      </c>
      <c r="AO11" s="32" t="s">
        <v>111</v>
      </c>
      <c r="AP11" s="20" t="s">
        <v>94</v>
      </c>
      <c r="AQ11" s="4" t="s">
        <v>94</v>
      </c>
      <c r="AR11" s="20" t="s">
        <v>94</v>
      </c>
      <c r="AS11" s="20" t="s">
        <v>94</v>
      </c>
      <c r="AU11" s="56" t="str">
        <f t="shared" si="7"/>
        <v>Hydrogen Sulphide</v>
      </c>
      <c r="AV11" s="56" t="str">
        <f t="shared" si="7"/>
        <v>H2S</v>
      </c>
      <c r="AZ11" s="57"/>
      <c r="BE11" s="18">
        <f t="shared" si="8"/>
        <v>0</v>
      </c>
      <c r="BL11" s="71" t="s">
        <v>112</v>
      </c>
      <c r="BM11" t="s">
        <v>113</v>
      </c>
      <c r="BN11">
        <v>70.099999999999994</v>
      </c>
      <c r="BO11">
        <v>751</v>
      </c>
      <c r="BP11">
        <v>120.2</v>
      </c>
      <c r="BQ11" s="59">
        <f t="shared" ca="1" si="5"/>
        <v>0</v>
      </c>
      <c r="BR11" s="59">
        <f t="shared" ca="1" si="6"/>
        <v>0</v>
      </c>
      <c r="BS11" s="59">
        <f t="shared" si="9"/>
        <v>0</v>
      </c>
      <c r="BT11" s="60">
        <f>IF($BO11="","",$BO11/1000)</f>
        <v>0.751</v>
      </c>
      <c r="BU11" s="60">
        <f t="shared" si="11"/>
        <v>11.068350652163748</v>
      </c>
      <c r="BZ11" s="61" t="str">
        <f t="shared" si="12"/>
        <v>Hydrogen Sulphide</v>
      </c>
      <c r="CA11" s="60" t="str">
        <f t="shared" si="13"/>
        <v>H2S</v>
      </c>
    </row>
    <row r="12" spans="1:81" ht="15.75" customHeight="1" thickBot="1" x14ac:dyDescent="0.3">
      <c r="A12" s="19"/>
      <c r="B12" s="19"/>
      <c r="C12" s="19"/>
      <c r="D12" s="19"/>
      <c r="G12" s="17" t="s">
        <v>114</v>
      </c>
      <c r="H12" s="72">
        <v>1.5089000000000001E-5</v>
      </c>
      <c r="I12" s="17" t="s">
        <v>115</v>
      </c>
      <c r="J12" s="17"/>
      <c r="L12" s="54"/>
      <c r="M12" s="19" t="s">
        <v>116</v>
      </c>
      <c r="N12" s="73">
        <f>M8</f>
        <v>0</v>
      </c>
      <c r="O12" s="28"/>
      <c r="R12" s="7" t="s">
        <v>117</v>
      </c>
      <c r="S12" s="8" t="s">
        <v>118</v>
      </c>
      <c r="T12" s="9">
        <f t="shared" si="0"/>
        <v>1.478E-2</v>
      </c>
      <c r="U12" s="9" t="str">
        <f t="shared" si="1"/>
        <v/>
      </c>
      <c r="V12" s="9" t="str">
        <f t="shared" si="2"/>
        <v/>
      </c>
      <c r="W12" s="10" t="str">
        <f t="shared" si="3"/>
        <v/>
      </c>
      <c r="X12" s="10" t="str">
        <f t="shared" si="4"/>
        <v/>
      </c>
      <c r="Y12" s="11">
        <v>72.150999999999996</v>
      </c>
      <c r="Z12" s="64">
        <v>34.08</v>
      </c>
      <c r="AA12" s="65" t="s">
        <v>13</v>
      </c>
      <c r="AB12" s="20" t="s">
        <v>14</v>
      </c>
      <c r="AC12" s="66">
        <v>0</v>
      </c>
      <c r="AF12" s="57"/>
      <c r="AH12" s="67"/>
      <c r="AK12" s="18">
        <f t="shared" si="14"/>
        <v>0</v>
      </c>
      <c r="AL12">
        <v>0</v>
      </c>
      <c r="AN12" s="20" t="s">
        <v>102</v>
      </c>
      <c r="AO12" s="32" t="s">
        <v>119</v>
      </c>
      <c r="AP12" s="20" t="s">
        <v>102</v>
      </c>
      <c r="AQ12" s="4" t="s">
        <v>102</v>
      </c>
      <c r="AR12" s="20" t="s">
        <v>102</v>
      </c>
      <c r="AS12" s="20" t="s">
        <v>102</v>
      </c>
      <c r="AU12" s="56" t="str">
        <f t="shared" si="7"/>
        <v>Methane</v>
      </c>
      <c r="AV12" s="56" t="str">
        <f t="shared" si="7"/>
        <v>C1</v>
      </c>
      <c r="BE12" s="18">
        <f t="shared" si="8"/>
        <v>0</v>
      </c>
      <c r="BL12" s="58" t="s">
        <v>120</v>
      </c>
      <c r="BM12" t="s">
        <v>105</v>
      </c>
      <c r="BN12">
        <v>86.18</v>
      </c>
      <c r="BO12">
        <v>660</v>
      </c>
      <c r="BP12">
        <v>136.80000000000001</v>
      </c>
      <c r="BQ12" s="59">
        <f t="shared" ca="1" si="5"/>
        <v>0</v>
      </c>
      <c r="BR12" s="59">
        <f t="shared" ca="1" si="6"/>
        <v>0</v>
      </c>
      <c r="BS12" s="59">
        <f t="shared" si="9"/>
        <v>0</v>
      </c>
      <c r="BT12" s="60">
        <f t="shared" si="10"/>
        <v>0.66</v>
      </c>
      <c r="BU12" s="60">
        <f t="shared" si="11"/>
        <v>12.739075072844928</v>
      </c>
      <c r="BZ12" s="61" t="str">
        <f t="shared" si="12"/>
        <v>Methane</v>
      </c>
      <c r="CA12" s="60" t="str">
        <f t="shared" si="13"/>
        <v>C1</v>
      </c>
    </row>
    <row r="13" spans="1:81" ht="15.75" customHeight="1" thickTop="1" x14ac:dyDescent="0.25">
      <c r="A13" s="74" t="s">
        <v>121</v>
      </c>
      <c r="B13" s="30"/>
      <c r="C13" s="31"/>
      <c r="G13" s="17" t="s">
        <v>122</v>
      </c>
      <c r="H13" s="75">
        <v>2.6845000000000001E-5</v>
      </c>
      <c r="I13" s="17" t="s">
        <v>123</v>
      </c>
      <c r="J13" s="17"/>
      <c r="L13" s="54"/>
      <c r="M13" s="19" t="s">
        <v>124</v>
      </c>
      <c r="N13" s="70"/>
      <c r="O13" s="28"/>
      <c r="R13" s="7" t="s">
        <v>125</v>
      </c>
      <c r="S13" s="8" t="s">
        <v>126</v>
      </c>
      <c r="T13" s="9">
        <f t="shared" si="0"/>
        <v>2.0110000000000003E-2</v>
      </c>
      <c r="U13" s="9" t="str">
        <f t="shared" si="1"/>
        <v/>
      </c>
      <c r="V13" s="9" t="str">
        <f t="shared" si="2"/>
        <v/>
      </c>
      <c r="W13" s="10" t="str">
        <f t="shared" si="3"/>
        <v/>
      </c>
      <c r="X13" s="10" t="str">
        <f t="shared" si="4"/>
        <v/>
      </c>
      <c r="Y13" s="11">
        <v>86</v>
      </c>
      <c r="Z13" s="64">
        <v>16.05</v>
      </c>
      <c r="AA13" s="65" t="s">
        <v>35</v>
      </c>
      <c r="AB13" s="20" t="s">
        <v>36</v>
      </c>
      <c r="AC13" s="66">
        <v>0.56640000000000001</v>
      </c>
      <c r="AH13" s="67"/>
      <c r="AK13" s="18">
        <f t="shared" si="14"/>
        <v>0.56640000000000001</v>
      </c>
      <c r="AL13">
        <v>56.64</v>
      </c>
      <c r="AN13" s="20" t="s">
        <v>118</v>
      </c>
      <c r="AO13" s="32" t="s">
        <v>127</v>
      </c>
      <c r="AP13" s="20" t="s">
        <v>110</v>
      </c>
      <c r="AQ13" s="4" t="s">
        <v>110</v>
      </c>
      <c r="AR13" s="20" t="s">
        <v>110</v>
      </c>
      <c r="AS13" s="20" t="s">
        <v>110</v>
      </c>
      <c r="AU13" s="56" t="str">
        <f t="shared" si="7"/>
        <v>Ethane</v>
      </c>
      <c r="AV13" s="56" t="str">
        <f t="shared" si="7"/>
        <v>C2</v>
      </c>
      <c r="BE13" s="18">
        <f t="shared" si="8"/>
        <v>0</v>
      </c>
      <c r="BL13" s="58" t="s">
        <v>128</v>
      </c>
      <c r="BM13" t="s">
        <v>105</v>
      </c>
      <c r="BN13">
        <v>86.18</v>
      </c>
      <c r="BO13">
        <v>653</v>
      </c>
      <c r="BP13">
        <v>140</v>
      </c>
      <c r="BQ13" s="59">
        <f t="shared" ca="1" si="5"/>
        <v>0</v>
      </c>
      <c r="BR13" s="59">
        <f t="shared" ca="1" si="6"/>
        <v>0</v>
      </c>
      <c r="BS13" s="59">
        <f t="shared" si="9"/>
        <v>0</v>
      </c>
      <c r="BT13" s="60">
        <f t="shared" si="10"/>
        <v>0.65300000000000002</v>
      </c>
      <c r="BU13" s="60">
        <f t="shared" si="11"/>
        <v>12.854472655933991</v>
      </c>
      <c r="BZ13" s="61" t="str">
        <f t="shared" si="12"/>
        <v>Ethane</v>
      </c>
      <c r="CA13" s="60" t="str">
        <f t="shared" si="13"/>
        <v>C2</v>
      </c>
    </row>
    <row r="14" spans="1:81" ht="15.75" x14ac:dyDescent="0.25">
      <c r="A14" s="76" t="s">
        <v>129</v>
      </c>
      <c r="B14" s="77"/>
      <c r="C14" s="67"/>
      <c r="E14" s="78" t="s">
        <v>130</v>
      </c>
      <c r="F14" s="79" t="s">
        <v>131</v>
      </c>
      <c r="G14" s="80" t="s">
        <v>132</v>
      </c>
      <c r="H14" s="81">
        <v>2.0872000000000002</v>
      </c>
      <c r="L14" s="54"/>
      <c r="M14" s="19" t="s">
        <v>133</v>
      </c>
      <c r="N14" s="82"/>
      <c r="O14" s="28"/>
      <c r="R14" s="7" t="s">
        <v>134</v>
      </c>
      <c r="S14" s="8" t="s">
        <v>135</v>
      </c>
      <c r="T14" s="9">
        <f t="shared" si="0"/>
        <v>2.4830000000000001E-2</v>
      </c>
      <c r="U14" s="9" t="str">
        <f t="shared" si="1"/>
        <v/>
      </c>
      <c r="V14" s="9" t="str">
        <f t="shared" si="2"/>
        <v/>
      </c>
      <c r="W14" s="10" t="str">
        <f t="shared" si="3"/>
        <v/>
      </c>
      <c r="X14" s="10" t="str">
        <f t="shared" si="4"/>
        <v/>
      </c>
      <c r="Y14" s="11">
        <v>96</v>
      </c>
      <c r="Z14" s="64">
        <v>30.07</v>
      </c>
      <c r="AA14" s="65" t="s">
        <v>48</v>
      </c>
      <c r="AB14" s="20" t="s">
        <v>49</v>
      </c>
      <c r="AC14" s="66">
        <v>9.0649999999999994E-2</v>
      </c>
      <c r="AH14" s="67"/>
      <c r="AK14" s="18">
        <f t="shared" si="14"/>
        <v>9.0649999999999994E-2</v>
      </c>
      <c r="AL14">
        <v>9.0649999999999995</v>
      </c>
      <c r="AN14" s="20" t="s">
        <v>110</v>
      </c>
      <c r="AO14" s="32" t="s">
        <v>136</v>
      </c>
      <c r="AP14" s="20" t="s">
        <v>118</v>
      </c>
      <c r="AQ14" s="4" t="s">
        <v>118</v>
      </c>
      <c r="AR14" s="20" t="s">
        <v>118</v>
      </c>
      <c r="AS14" s="20" t="s">
        <v>118</v>
      </c>
      <c r="AU14" s="56" t="str">
        <f t="shared" si="7"/>
        <v>Propane</v>
      </c>
      <c r="AV14" s="56" t="str">
        <f t="shared" si="7"/>
        <v>C3</v>
      </c>
      <c r="AZ14" s="57"/>
      <c r="BE14" s="18">
        <f t="shared" si="8"/>
        <v>0</v>
      </c>
      <c r="BL14" s="58" t="s">
        <v>137</v>
      </c>
      <c r="BM14" t="s">
        <v>105</v>
      </c>
      <c r="BN14">
        <v>86.18</v>
      </c>
      <c r="BO14">
        <v>664</v>
      </c>
      <c r="BQ14" s="59">
        <f t="shared" ca="1" si="5"/>
        <v>0</v>
      </c>
      <c r="BR14" s="59">
        <f t="shared" ca="1" si="6"/>
        <v>0</v>
      </c>
      <c r="BS14" s="59">
        <f t="shared" si="9"/>
        <v>0</v>
      </c>
      <c r="BT14" s="60">
        <f t="shared" si="10"/>
        <v>0.66400000000000003</v>
      </c>
      <c r="BU14" s="60">
        <f t="shared" si="11"/>
        <v>12.674142326709889</v>
      </c>
      <c r="BZ14" s="61" t="str">
        <f t="shared" si="12"/>
        <v>Propane</v>
      </c>
      <c r="CA14" s="60" t="str">
        <f t="shared" si="13"/>
        <v>C3</v>
      </c>
    </row>
    <row r="15" spans="1:81" ht="15.75" x14ac:dyDescent="0.25">
      <c r="A15" s="83" t="s">
        <v>138</v>
      </c>
      <c r="B15" s="84">
        <v>35011237910000</v>
      </c>
      <c r="C15" s="67"/>
      <c r="E15" s="78"/>
      <c r="F15" s="79"/>
      <c r="G15" s="80" t="s">
        <v>139</v>
      </c>
      <c r="H15" s="85">
        <v>1988</v>
      </c>
      <c r="J15" s="86"/>
      <c r="L15" s="54"/>
      <c r="R15" s="7" t="s">
        <v>140</v>
      </c>
      <c r="S15" s="8" t="s">
        <v>141</v>
      </c>
      <c r="T15" s="9">
        <f t="shared" si="0"/>
        <v>2.8039999999999999E-2</v>
      </c>
      <c r="U15" s="9" t="str">
        <f t="shared" si="1"/>
        <v/>
      </c>
      <c r="V15" s="9" t="str">
        <f t="shared" si="2"/>
        <v/>
      </c>
      <c r="W15" s="10" t="str">
        <f t="shared" si="3"/>
        <v/>
      </c>
      <c r="X15" s="10" t="str">
        <f t="shared" si="4"/>
        <v/>
      </c>
      <c r="Y15" s="11">
        <v>107</v>
      </c>
      <c r="Z15" s="64">
        <v>44.097000000000001</v>
      </c>
      <c r="AA15" s="65" t="s">
        <v>69</v>
      </c>
      <c r="AB15" s="20" t="s">
        <v>70</v>
      </c>
      <c r="AC15" s="66">
        <v>5.7820000000000003E-2</v>
      </c>
      <c r="AF15" s="57"/>
      <c r="AH15" s="67"/>
      <c r="AK15" s="18">
        <f t="shared" si="14"/>
        <v>5.7820000000000003E-2</v>
      </c>
      <c r="AL15">
        <v>5.782</v>
      </c>
      <c r="AN15" s="20" t="s">
        <v>118</v>
      </c>
      <c r="AO15" s="32" t="s">
        <v>142</v>
      </c>
      <c r="AP15" s="20" t="s">
        <v>126</v>
      </c>
      <c r="AQ15" s="4" t="s">
        <v>126</v>
      </c>
      <c r="AR15" s="20" t="s">
        <v>126</v>
      </c>
      <c r="AS15" s="20" t="s">
        <v>126</v>
      </c>
      <c r="AU15" s="56" t="str">
        <f t="shared" si="7"/>
        <v>i-Butane</v>
      </c>
      <c r="AV15" s="56" t="str">
        <f t="shared" si="7"/>
        <v>i-C4</v>
      </c>
      <c r="BE15" s="18">
        <f t="shared" si="8"/>
        <v>0</v>
      </c>
      <c r="BL15" s="58" t="s">
        <v>143</v>
      </c>
      <c r="BM15" t="s">
        <v>126</v>
      </c>
      <c r="BQ15" s="59">
        <f t="shared" ca="1" si="5"/>
        <v>0</v>
      </c>
      <c r="BR15" s="59">
        <f t="shared" ca="1" si="6"/>
        <v>0</v>
      </c>
      <c r="BS15" s="59">
        <f t="shared" si="9"/>
        <v>0</v>
      </c>
      <c r="BT15" s="60" t="str">
        <f t="shared" si="10"/>
        <v/>
      </c>
      <c r="BU15" s="60" t="str">
        <f t="shared" si="11"/>
        <v/>
      </c>
      <c r="BZ15" s="61" t="str">
        <f t="shared" si="12"/>
        <v>i-Butane</v>
      </c>
      <c r="CA15" s="60" t="str">
        <f t="shared" si="13"/>
        <v>i-C4</v>
      </c>
    </row>
    <row r="16" spans="1:81" ht="15.75" x14ac:dyDescent="0.25">
      <c r="A16" s="76" t="s">
        <v>144</v>
      </c>
      <c r="B16" s="87"/>
      <c r="C16" s="67"/>
      <c r="E16" s="78"/>
      <c r="F16" s="79"/>
      <c r="G16" s="80" t="s">
        <v>145</v>
      </c>
      <c r="H16" s="80"/>
      <c r="I16" s="88"/>
      <c r="M16" s="23" t="s">
        <v>146</v>
      </c>
      <c r="N16" s="89"/>
      <c r="O16" s="24"/>
      <c r="P16" s="25"/>
      <c r="R16" s="7" t="s">
        <v>147</v>
      </c>
      <c r="S16" s="8" t="s">
        <v>148</v>
      </c>
      <c r="T16" s="9">
        <f t="shared" si="0"/>
        <v>1.9710000000000002E-2</v>
      </c>
      <c r="U16" s="9" t="str">
        <f t="shared" si="1"/>
        <v/>
      </c>
      <c r="V16" s="9" t="str">
        <f t="shared" si="2"/>
        <v/>
      </c>
      <c r="W16" s="10" t="str">
        <f t="shared" si="3"/>
        <v/>
      </c>
      <c r="X16" s="10" t="str">
        <f t="shared" si="4"/>
        <v/>
      </c>
      <c r="Y16" s="11">
        <v>121</v>
      </c>
      <c r="Z16" s="64">
        <v>58.124000000000002</v>
      </c>
      <c r="AA16" s="65" t="s">
        <v>93</v>
      </c>
      <c r="AB16" s="20" t="s">
        <v>94</v>
      </c>
      <c r="AC16" s="66">
        <v>9.9799999999999993E-3</v>
      </c>
      <c r="AH16" s="67"/>
      <c r="AK16" s="18">
        <f t="shared" si="14"/>
        <v>9.9799999999999993E-3</v>
      </c>
      <c r="AL16">
        <v>0.998</v>
      </c>
      <c r="AN16" s="20" t="s">
        <v>126</v>
      </c>
      <c r="AO16" s="32" t="s">
        <v>149</v>
      </c>
      <c r="AP16" s="20" t="s">
        <v>135</v>
      </c>
      <c r="AQ16" s="4" t="s">
        <v>135</v>
      </c>
      <c r="AR16" s="20" t="s">
        <v>135</v>
      </c>
      <c r="AS16" s="20" t="s">
        <v>126</v>
      </c>
      <c r="AU16" s="56" t="str">
        <f t="shared" si="7"/>
        <v>n-Butane</v>
      </c>
      <c r="AV16" s="56" t="str">
        <f t="shared" si="7"/>
        <v>n-C4</v>
      </c>
      <c r="AZ16" s="57"/>
      <c r="BE16" s="18">
        <f t="shared" si="8"/>
        <v>0</v>
      </c>
      <c r="BL16" s="71" t="s">
        <v>150</v>
      </c>
      <c r="BM16" t="s">
        <v>151</v>
      </c>
      <c r="BN16">
        <v>84.16</v>
      </c>
      <c r="BO16">
        <v>749</v>
      </c>
      <c r="BP16">
        <v>161.19999999999999</v>
      </c>
      <c r="BQ16" s="59">
        <f t="shared" ca="1" si="5"/>
        <v>0</v>
      </c>
      <c r="BR16" s="59">
        <f t="shared" ca="1" si="6"/>
        <v>0</v>
      </c>
      <c r="BS16" s="59">
        <f t="shared" si="9"/>
        <v>0</v>
      </c>
      <c r="BT16" s="60">
        <f t="shared" si="10"/>
        <v>0.749</v>
      </c>
      <c r="BU16" s="60">
        <f t="shared" si="11"/>
        <v>11.405434430021367</v>
      </c>
      <c r="BZ16" s="61" t="str">
        <f t="shared" si="12"/>
        <v>n-Butane</v>
      </c>
      <c r="CA16" s="60" t="str">
        <f t="shared" si="13"/>
        <v>n-C4</v>
      </c>
    </row>
    <row r="17" spans="1:79" ht="15.75" x14ac:dyDescent="0.25">
      <c r="A17" s="76" t="s">
        <v>152</v>
      </c>
      <c r="B17" s="90">
        <v>35.812809999999999</v>
      </c>
      <c r="C17" s="67"/>
      <c r="E17" s="78"/>
      <c r="F17" s="79" t="s">
        <v>153</v>
      </c>
      <c r="G17" s="80" t="s">
        <v>154</v>
      </c>
      <c r="H17" s="91">
        <v>0.80410000000000004</v>
      </c>
      <c r="I17" s="92"/>
      <c r="K17" s="93"/>
      <c r="M17" s="94" t="s">
        <v>155</v>
      </c>
      <c r="N17" s="95" t="s">
        <v>156</v>
      </c>
      <c r="O17" s="94" t="s">
        <v>157</v>
      </c>
      <c r="P17" s="94" t="s">
        <v>158</v>
      </c>
      <c r="R17" s="7" t="s">
        <v>159</v>
      </c>
      <c r="S17" s="8" t="s">
        <v>160</v>
      </c>
      <c r="T17" s="9">
        <f t="shared" si="0"/>
        <v>1.5069999999999998E-2</v>
      </c>
      <c r="U17" s="9" t="str">
        <f t="shared" si="1"/>
        <v/>
      </c>
      <c r="V17" s="9" t="str">
        <f t="shared" si="2"/>
        <v/>
      </c>
      <c r="W17" s="10" t="str">
        <f t="shared" si="3"/>
        <v/>
      </c>
      <c r="X17" s="10" t="str">
        <f t="shared" si="4"/>
        <v/>
      </c>
      <c r="Y17" s="11">
        <v>134</v>
      </c>
      <c r="Z17" s="64">
        <v>58.124000000000002</v>
      </c>
      <c r="AA17" s="65" t="s">
        <v>101</v>
      </c>
      <c r="AB17" s="20" t="s">
        <v>102</v>
      </c>
      <c r="AC17" s="66">
        <v>2.7779999999999999E-2</v>
      </c>
      <c r="AF17" s="57"/>
      <c r="AH17" s="67"/>
      <c r="AK17" s="18">
        <f t="shared" si="14"/>
        <v>2.7779999999999999E-2</v>
      </c>
      <c r="AL17">
        <v>2.778</v>
      </c>
      <c r="AN17" s="20" t="s">
        <v>118</v>
      </c>
      <c r="AO17" s="32" t="s">
        <v>161</v>
      </c>
      <c r="AP17" s="20" t="s">
        <v>141</v>
      </c>
      <c r="AQ17" s="4" t="s">
        <v>141</v>
      </c>
      <c r="AR17" s="20" t="s">
        <v>141</v>
      </c>
      <c r="AS17" s="20" t="s">
        <v>126</v>
      </c>
      <c r="AU17" s="56" t="str">
        <f t="shared" si="7"/>
        <v>i-Pentane</v>
      </c>
      <c r="AV17" s="56" t="str">
        <f t="shared" si="7"/>
        <v>i-C5</v>
      </c>
      <c r="AZ17" s="57"/>
      <c r="BE17" s="18">
        <f t="shared" si="8"/>
        <v>0</v>
      </c>
      <c r="BL17" s="58" t="s">
        <v>162</v>
      </c>
      <c r="BM17" t="s">
        <v>163</v>
      </c>
      <c r="BN17">
        <v>78.11</v>
      </c>
      <c r="BO17">
        <v>876</v>
      </c>
      <c r="BP17">
        <v>176.2</v>
      </c>
      <c r="BQ17" s="59">
        <f t="shared" ca="1" si="5"/>
        <v>0</v>
      </c>
      <c r="BR17" s="59">
        <f t="shared" ca="1" si="6"/>
        <v>0</v>
      </c>
      <c r="BS17" s="59">
        <f t="shared" si="9"/>
        <v>0</v>
      </c>
      <c r="BT17" s="60">
        <f t="shared" si="10"/>
        <v>0.876</v>
      </c>
      <c r="BU17" s="60">
        <f t="shared" si="11"/>
        <v>9.8779269096496254</v>
      </c>
      <c r="BZ17" s="61" t="str">
        <f t="shared" si="12"/>
        <v>i-Pentane</v>
      </c>
      <c r="CA17" s="60" t="str">
        <f t="shared" si="13"/>
        <v>i-C5</v>
      </c>
    </row>
    <row r="18" spans="1:79" ht="15.75" x14ac:dyDescent="0.25">
      <c r="A18" s="76" t="s">
        <v>164</v>
      </c>
      <c r="B18" s="90">
        <v>-98.316540000000003</v>
      </c>
      <c r="C18" s="67"/>
      <c r="E18" s="78"/>
      <c r="F18" s="79"/>
      <c r="G18" s="80" t="s">
        <v>165</v>
      </c>
      <c r="H18" s="96">
        <v>44.47</v>
      </c>
      <c r="I18" s="97"/>
      <c r="K18" s="98"/>
      <c r="M18" s="19">
        <v>8515</v>
      </c>
      <c r="N18" s="19">
        <v>8015</v>
      </c>
      <c r="O18" s="99">
        <f>IFERROR(AVERAGE(M18:N18),"")</f>
        <v>8265</v>
      </c>
      <c r="P18" s="19">
        <v>1.404133792487277E-5</v>
      </c>
      <c r="R18" s="7" t="s">
        <v>166</v>
      </c>
      <c r="S18" s="8" t="s">
        <v>167</v>
      </c>
      <c r="T18" s="9">
        <f t="shared" si="0"/>
        <v>1.2500000000000001E-2</v>
      </c>
      <c r="U18" s="9" t="str">
        <f t="shared" si="1"/>
        <v/>
      </c>
      <c r="V18" s="9" t="str">
        <f t="shared" si="2"/>
        <v/>
      </c>
      <c r="W18" s="10" t="str">
        <f t="shared" si="3"/>
        <v/>
      </c>
      <c r="X18" s="10" t="str">
        <f t="shared" si="4"/>
        <v/>
      </c>
      <c r="Y18" s="11">
        <v>147</v>
      </c>
      <c r="Z18" s="64">
        <v>72.150999999999996</v>
      </c>
      <c r="AA18" s="65" t="s">
        <v>109</v>
      </c>
      <c r="AB18" s="20" t="s">
        <v>110</v>
      </c>
      <c r="AC18" s="66">
        <v>1.068E-2</v>
      </c>
      <c r="AF18" s="57"/>
      <c r="AH18" s="67"/>
      <c r="AK18" s="18">
        <f t="shared" si="14"/>
        <v>1.068E-2</v>
      </c>
      <c r="AL18">
        <v>1.0680000000000001</v>
      </c>
      <c r="AN18" s="20" t="s">
        <v>126</v>
      </c>
      <c r="AO18" s="32" t="s">
        <v>168</v>
      </c>
      <c r="AP18" s="20" t="s">
        <v>148</v>
      </c>
      <c r="AQ18" s="4" t="s">
        <v>148</v>
      </c>
      <c r="AR18" s="20" t="s">
        <v>148</v>
      </c>
      <c r="AS18" s="20" t="s">
        <v>135</v>
      </c>
      <c r="AU18" s="56" t="str">
        <f t="shared" si="7"/>
        <v>n-Pentane</v>
      </c>
      <c r="AV18" s="56" t="str">
        <f t="shared" si="7"/>
        <v>n-C5</v>
      </c>
      <c r="AZ18" s="57"/>
      <c r="BE18" s="18">
        <f t="shared" si="8"/>
        <v>0</v>
      </c>
      <c r="BL18" s="58" t="s">
        <v>169</v>
      </c>
      <c r="BM18" t="s">
        <v>151</v>
      </c>
      <c r="BN18">
        <v>84.16</v>
      </c>
      <c r="BO18">
        <v>779</v>
      </c>
      <c r="BP18">
        <v>177.3</v>
      </c>
      <c r="BQ18" s="59">
        <f t="shared" ca="1" si="5"/>
        <v>0</v>
      </c>
      <c r="BR18" s="59">
        <f t="shared" ca="1" si="6"/>
        <v>0</v>
      </c>
      <c r="BS18" s="59">
        <f t="shared" si="9"/>
        <v>0</v>
      </c>
      <c r="BT18" s="60">
        <f t="shared" si="10"/>
        <v>0.77900000000000003</v>
      </c>
      <c r="BU18" s="60">
        <f t="shared" si="11"/>
        <v>11.032841160459371</v>
      </c>
      <c r="BZ18" s="61" t="str">
        <f t="shared" si="12"/>
        <v>n-Pentane</v>
      </c>
      <c r="CA18" s="60" t="str">
        <f t="shared" si="13"/>
        <v>n-C5</v>
      </c>
    </row>
    <row r="19" spans="1:79" ht="15.75" x14ac:dyDescent="0.25">
      <c r="A19" s="76" t="s">
        <v>170</v>
      </c>
      <c r="B19" s="90" t="s">
        <v>171</v>
      </c>
      <c r="C19" s="67"/>
      <c r="E19" s="78"/>
      <c r="F19" s="79"/>
      <c r="G19" s="80" t="s">
        <v>172</v>
      </c>
      <c r="H19" s="85"/>
      <c r="I19" s="100"/>
      <c r="K19" s="39"/>
      <c r="M19" s="19">
        <v>8015</v>
      </c>
      <c r="N19" s="19">
        <v>7315</v>
      </c>
      <c r="O19" s="99">
        <f>IFERROR(AVERAGE(M19:N19),"")</f>
        <v>7665</v>
      </c>
      <c r="P19" s="19">
        <v>1.5088606469019163E-5</v>
      </c>
      <c r="R19" s="7" t="s">
        <v>173</v>
      </c>
      <c r="S19" s="8" t="s">
        <v>174</v>
      </c>
      <c r="T19" s="9">
        <f t="shared" si="0"/>
        <v>1.018E-2</v>
      </c>
      <c r="U19" s="9" t="str">
        <f t="shared" si="1"/>
        <v/>
      </c>
      <c r="V19" s="9" t="str">
        <f t="shared" si="2"/>
        <v/>
      </c>
      <c r="W19" s="10" t="str">
        <f t="shared" si="3"/>
        <v/>
      </c>
      <c r="X19" s="10" t="str">
        <f t="shared" si="4"/>
        <v/>
      </c>
      <c r="Y19" s="11">
        <v>161</v>
      </c>
      <c r="Z19" s="64">
        <v>72.150999999999996</v>
      </c>
      <c r="AA19" s="65" t="s">
        <v>117</v>
      </c>
      <c r="AB19" s="20" t="s">
        <v>118</v>
      </c>
      <c r="AC19" s="66">
        <v>1.478E-2</v>
      </c>
      <c r="AF19" s="57"/>
      <c r="AH19" s="67"/>
      <c r="AK19" s="18">
        <f t="shared" si="14"/>
        <v>1.478E-2</v>
      </c>
      <c r="AL19">
        <v>1.478</v>
      </c>
      <c r="AN19" s="20" t="s">
        <v>126</v>
      </c>
      <c r="AO19" s="32" t="s">
        <v>175</v>
      </c>
      <c r="AP19" s="20" t="s">
        <v>160</v>
      </c>
      <c r="AQ19" s="4" t="s">
        <v>160</v>
      </c>
      <c r="AR19" s="20" t="s">
        <v>160</v>
      </c>
      <c r="AS19" s="20" t="s">
        <v>135</v>
      </c>
      <c r="AU19" s="56" t="str">
        <f t="shared" si="7"/>
        <v>Hexanes</v>
      </c>
      <c r="AV19" s="56" t="str">
        <f t="shared" si="7"/>
        <v>C6</v>
      </c>
      <c r="BE19" s="18">
        <f t="shared" si="8"/>
        <v>0</v>
      </c>
      <c r="BL19" s="58" t="s">
        <v>176</v>
      </c>
      <c r="BM19" t="s">
        <v>177</v>
      </c>
      <c r="BN19">
        <v>100.2</v>
      </c>
      <c r="BO19">
        <v>670</v>
      </c>
      <c r="BP19">
        <v>194</v>
      </c>
      <c r="BQ19" s="59">
        <f t="shared" ca="1" si="5"/>
        <v>0</v>
      </c>
      <c r="BR19" s="59">
        <f t="shared" ca="1" si="6"/>
        <v>0</v>
      </c>
      <c r="BS19" s="59">
        <f t="shared" si="9"/>
        <v>0</v>
      </c>
      <c r="BT19" s="60">
        <f t="shared" si="10"/>
        <v>0.67</v>
      </c>
      <c r="BU19" s="60">
        <f t="shared" si="11"/>
        <v>12.869161541655693</v>
      </c>
      <c r="BZ19" s="61" t="str">
        <f t="shared" si="12"/>
        <v>Hexanes</v>
      </c>
      <c r="CA19" s="60" t="str">
        <f t="shared" si="13"/>
        <v>C6</v>
      </c>
    </row>
    <row r="20" spans="1:79" ht="15.75" x14ac:dyDescent="0.25">
      <c r="A20" s="76" t="s">
        <v>178</v>
      </c>
      <c r="B20" s="90" t="s">
        <v>179</v>
      </c>
      <c r="C20" s="67"/>
      <c r="F20" s="101" t="s">
        <v>180</v>
      </c>
      <c r="G20" s="102" t="s">
        <v>181</v>
      </c>
      <c r="H20" s="103" t="str">
        <f>IF(SUM(J39:L39)&lt;&gt;0,  SUM(J39:L39),  "")</f>
        <v/>
      </c>
      <c r="I20" s="104"/>
      <c r="J20" s="105"/>
      <c r="K20" s="39"/>
      <c r="M20" s="19">
        <v>7315</v>
      </c>
      <c r="N20" s="19">
        <v>6515</v>
      </c>
      <c r="O20" s="99">
        <f t="shared" ref="O20:O34" si="15">IFERROR(AVERAGE(M20:N20),"")</f>
        <v>6915</v>
      </c>
      <c r="P20" s="19">
        <v>1.6826506682939987E-5</v>
      </c>
      <c r="R20" s="7" t="s">
        <v>182</v>
      </c>
      <c r="S20" s="8" t="s">
        <v>183</v>
      </c>
      <c r="T20" s="9">
        <f t="shared" si="0"/>
        <v>9.7999999999999997E-3</v>
      </c>
      <c r="U20" s="9" t="str">
        <f t="shared" si="1"/>
        <v/>
      </c>
      <c r="V20" s="9" t="str">
        <f t="shared" si="2"/>
        <v/>
      </c>
      <c r="W20" s="10" t="str">
        <f t="shared" si="3"/>
        <v/>
      </c>
      <c r="X20" s="10" t="str">
        <f t="shared" si="4"/>
        <v/>
      </c>
      <c r="Y20" s="11">
        <v>175</v>
      </c>
      <c r="Z20" s="64">
        <v>86.177999999999997</v>
      </c>
      <c r="AA20" s="65" t="s">
        <v>125</v>
      </c>
      <c r="AB20" s="20" t="s">
        <v>126</v>
      </c>
      <c r="AC20" s="66">
        <v>2.0110000000000003E-2</v>
      </c>
      <c r="AH20" s="67"/>
      <c r="AK20" s="18">
        <f t="shared" si="14"/>
        <v>2.0110000000000003E-2</v>
      </c>
      <c r="AL20">
        <v>2.0110000000000001</v>
      </c>
      <c r="AN20" s="20" t="s">
        <v>126</v>
      </c>
      <c r="AO20" s="32" t="s">
        <v>184</v>
      </c>
      <c r="AP20" s="20" t="s">
        <v>167</v>
      </c>
      <c r="AQ20" s="4" t="s">
        <v>167</v>
      </c>
      <c r="AR20" s="20" t="s">
        <v>167</v>
      </c>
      <c r="AS20" s="20" t="s">
        <v>135</v>
      </c>
      <c r="AU20" s="56" t="str">
        <f t="shared" si="7"/>
        <v>Heptanes</v>
      </c>
      <c r="AV20" s="56" t="str">
        <f t="shared" si="7"/>
        <v>C7</v>
      </c>
      <c r="AZ20" s="57"/>
      <c r="BE20" s="18">
        <f t="shared" si="8"/>
        <v>0</v>
      </c>
      <c r="BL20" s="58" t="s">
        <v>185</v>
      </c>
      <c r="BM20" t="s">
        <v>177</v>
      </c>
      <c r="BN20">
        <v>100.2</v>
      </c>
      <c r="BO20">
        <v>686</v>
      </c>
      <c r="BQ20" s="59">
        <f t="shared" ca="1" si="5"/>
        <v>0</v>
      </c>
      <c r="BR20" s="59">
        <f t="shared" ca="1" si="6"/>
        <v>0</v>
      </c>
      <c r="BS20" s="59">
        <f t="shared" si="9"/>
        <v>0</v>
      </c>
      <c r="BT20" s="60">
        <f t="shared" si="10"/>
        <v>0.68600000000000005</v>
      </c>
      <c r="BU20" s="60">
        <f t="shared" si="11"/>
        <v>12.614850295063237</v>
      </c>
      <c r="BZ20" s="61" t="str">
        <f t="shared" si="12"/>
        <v>Heptanes</v>
      </c>
      <c r="CA20" s="60" t="str">
        <f t="shared" si="13"/>
        <v>C7</v>
      </c>
    </row>
    <row r="21" spans="1:79" ht="15.75" x14ac:dyDescent="0.25">
      <c r="A21" s="76" t="s">
        <v>186</v>
      </c>
      <c r="B21" s="90" t="s">
        <v>187</v>
      </c>
      <c r="C21" s="67"/>
      <c r="F21" s="101"/>
      <c r="G21" s="106" t="s">
        <v>188</v>
      </c>
      <c r="H21" s="107" t="str">
        <f>IF(L41&lt;&gt;"",  L41,  "")</f>
        <v/>
      </c>
      <c r="I21" s="98"/>
      <c r="J21" s="108"/>
      <c r="K21" s="93"/>
      <c r="M21" s="19">
        <v>6515</v>
      </c>
      <c r="N21" s="19">
        <v>6015</v>
      </c>
      <c r="O21" s="99">
        <f t="shared" si="15"/>
        <v>6265</v>
      </c>
      <c r="P21" s="19">
        <v>1.9414318572136631E-5</v>
      </c>
      <c r="R21" s="7" t="s">
        <v>189</v>
      </c>
      <c r="S21" s="8" t="s">
        <v>190</v>
      </c>
      <c r="T21" s="9">
        <f t="shared" si="0"/>
        <v>8.0800000000000004E-3</v>
      </c>
      <c r="U21" s="9" t="str">
        <f t="shared" si="1"/>
        <v/>
      </c>
      <c r="V21" s="9" t="str">
        <f t="shared" si="2"/>
        <v/>
      </c>
      <c r="W21" s="10" t="str">
        <f t="shared" si="3"/>
        <v/>
      </c>
      <c r="X21" s="10" t="str">
        <f t="shared" si="4"/>
        <v/>
      </c>
      <c r="Y21" s="11">
        <v>190</v>
      </c>
      <c r="Z21" s="64">
        <v>100.205</v>
      </c>
      <c r="AA21" s="65" t="s">
        <v>134</v>
      </c>
      <c r="AB21" s="20" t="s">
        <v>135</v>
      </c>
      <c r="AC21" s="66">
        <v>2.4830000000000001E-2</v>
      </c>
      <c r="AF21" s="57"/>
      <c r="AH21" s="67"/>
      <c r="AK21" s="18">
        <f t="shared" si="14"/>
        <v>2.4830000000000001E-2</v>
      </c>
      <c r="AL21">
        <v>2.4830000000000001</v>
      </c>
      <c r="AN21" s="20" t="s">
        <v>126</v>
      </c>
      <c r="AO21" s="32" t="s">
        <v>191</v>
      </c>
      <c r="AP21" s="20" t="s">
        <v>174</v>
      </c>
      <c r="AQ21" s="4" t="s">
        <v>174</v>
      </c>
      <c r="AR21" s="20" t="s">
        <v>174</v>
      </c>
      <c r="AS21" s="20" t="s">
        <v>141</v>
      </c>
      <c r="AU21" s="56" t="str">
        <f t="shared" si="7"/>
        <v>Octanes</v>
      </c>
      <c r="AV21" s="56" t="str">
        <f t="shared" si="7"/>
        <v>C8</v>
      </c>
      <c r="BE21" s="18">
        <f t="shared" si="8"/>
        <v>0</v>
      </c>
      <c r="BL21" s="58" t="s">
        <v>192</v>
      </c>
      <c r="BM21" t="s">
        <v>193</v>
      </c>
      <c r="BN21">
        <v>114.2</v>
      </c>
      <c r="BO21">
        <v>690</v>
      </c>
      <c r="BP21">
        <v>210.2</v>
      </c>
      <c r="BQ21" s="59">
        <f t="shared" ca="1" si="5"/>
        <v>0</v>
      </c>
      <c r="BR21" s="59">
        <f t="shared" ca="1" si="6"/>
        <v>0</v>
      </c>
      <c r="BS21" s="59">
        <f t="shared" si="9"/>
        <v>0</v>
      </c>
      <c r="BT21" s="60">
        <f t="shared" si="10"/>
        <v>0.69</v>
      </c>
      <c r="BU21" s="60">
        <f t="shared" si="11"/>
        <v>12.804644110960842</v>
      </c>
      <c r="BZ21" s="61" t="str">
        <f t="shared" si="12"/>
        <v>Octanes</v>
      </c>
      <c r="CA21" s="60" t="str">
        <f t="shared" si="13"/>
        <v>C8</v>
      </c>
    </row>
    <row r="22" spans="1:79" ht="15.75" x14ac:dyDescent="0.25">
      <c r="A22" s="76" t="s">
        <v>194</v>
      </c>
      <c r="B22" s="90"/>
      <c r="C22" s="67"/>
      <c r="F22" s="101"/>
      <c r="G22" s="106" t="s">
        <v>195</v>
      </c>
      <c r="H22" s="103" t="str">
        <f>IF(I40&lt;&gt;"",  I40,  "")</f>
        <v/>
      </c>
      <c r="I22" s="98"/>
      <c r="J22" s="109"/>
      <c r="K22" s="98"/>
      <c r="M22" s="19">
        <v>6015</v>
      </c>
      <c r="N22" s="19">
        <v>5515</v>
      </c>
      <c r="O22" s="99">
        <f t="shared" si="15"/>
        <v>5765</v>
      </c>
      <c r="P22" s="19">
        <v>2.1440760600788249E-5</v>
      </c>
      <c r="R22" s="7" t="s">
        <v>196</v>
      </c>
      <c r="S22" s="8" t="s">
        <v>197</v>
      </c>
      <c r="T22" s="9">
        <f t="shared" si="0"/>
        <v>7.4799999999999997E-3</v>
      </c>
      <c r="U22" s="9" t="str">
        <f t="shared" si="1"/>
        <v/>
      </c>
      <c r="V22" s="9" t="str">
        <f t="shared" si="2"/>
        <v/>
      </c>
      <c r="W22" s="10" t="str">
        <f t="shared" si="3"/>
        <v/>
      </c>
      <c r="X22" s="10" t="str">
        <f t="shared" si="4"/>
        <v/>
      </c>
      <c r="Y22" s="11">
        <v>206</v>
      </c>
      <c r="Z22" s="64">
        <v>114.232</v>
      </c>
      <c r="AA22" s="65" t="s">
        <v>140</v>
      </c>
      <c r="AB22" s="20" t="s">
        <v>141</v>
      </c>
      <c r="AC22" s="66">
        <v>2.8039999999999999E-2</v>
      </c>
      <c r="AH22" s="67"/>
      <c r="AK22" s="18">
        <f t="shared" si="14"/>
        <v>2.8039999999999999E-2</v>
      </c>
      <c r="AL22">
        <v>2.8039999999999998</v>
      </c>
      <c r="AN22" s="20" t="s">
        <v>126</v>
      </c>
      <c r="AO22" s="32" t="s">
        <v>198</v>
      </c>
      <c r="AP22" s="20" t="s">
        <v>183</v>
      </c>
      <c r="AQ22" s="4" t="s">
        <v>183</v>
      </c>
      <c r="AR22" s="20" t="s">
        <v>183</v>
      </c>
      <c r="AS22" s="20" t="s">
        <v>141</v>
      </c>
      <c r="AU22" s="56" t="str">
        <f t="shared" si="7"/>
        <v>Nonanes</v>
      </c>
      <c r="AV22" s="56" t="str">
        <f t="shared" si="7"/>
        <v>C9</v>
      </c>
      <c r="AZ22" s="57"/>
      <c r="BE22" s="18">
        <f t="shared" si="8"/>
        <v>0</v>
      </c>
      <c r="BL22" s="58" t="s">
        <v>199</v>
      </c>
      <c r="BM22" t="s">
        <v>177</v>
      </c>
      <c r="BQ22" s="59">
        <f t="shared" ca="1" si="5"/>
        <v>0</v>
      </c>
      <c r="BR22" s="59">
        <f t="shared" ca="1" si="6"/>
        <v>0</v>
      </c>
      <c r="BS22" s="59">
        <f t="shared" si="9"/>
        <v>0</v>
      </c>
      <c r="BT22" s="60" t="str">
        <f t="shared" si="10"/>
        <v/>
      </c>
      <c r="BU22" s="60" t="str">
        <f t="shared" si="11"/>
        <v/>
      </c>
      <c r="BZ22" s="61" t="str">
        <f t="shared" si="12"/>
        <v>Nonanes</v>
      </c>
      <c r="CA22" s="60" t="str">
        <f t="shared" si="13"/>
        <v>C9</v>
      </c>
    </row>
    <row r="23" spans="1:79" ht="15.75" x14ac:dyDescent="0.25">
      <c r="A23" s="76" t="s">
        <v>200</v>
      </c>
      <c r="B23" s="90" t="s">
        <v>201</v>
      </c>
      <c r="C23" s="67"/>
      <c r="F23" s="110" t="s">
        <v>202</v>
      </c>
      <c r="G23" s="80" t="s">
        <v>203</v>
      </c>
      <c r="H23" s="111">
        <f>IFERROR(SUM(T$6:T$7)/SUM(T$8:T$12),"")</f>
        <v>5.4283707865168545</v>
      </c>
      <c r="I23" s="104"/>
      <c r="J23" s="112"/>
      <c r="K23" s="39"/>
      <c r="M23" s="19">
        <v>5515</v>
      </c>
      <c r="N23" s="19">
        <v>5015</v>
      </c>
      <c r="O23" s="99">
        <f t="shared" si="15"/>
        <v>5265</v>
      </c>
      <c r="P23" s="19">
        <v>2.3768573285004734E-5</v>
      </c>
      <c r="R23" s="7" t="s">
        <v>204</v>
      </c>
      <c r="S23" s="8" t="s">
        <v>205</v>
      </c>
      <c r="T23" s="9">
        <f t="shared" si="0"/>
        <v>5.8199999999999997E-3</v>
      </c>
      <c r="U23" s="9" t="str">
        <f t="shared" si="1"/>
        <v/>
      </c>
      <c r="V23" s="9" t="str">
        <f t="shared" si="2"/>
        <v/>
      </c>
      <c r="W23" s="10" t="str">
        <f t="shared" si="3"/>
        <v/>
      </c>
      <c r="X23" s="10" t="str">
        <f t="shared" si="4"/>
        <v/>
      </c>
      <c r="Y23" s="11">
        <v>222</v>
      </c>
      <c r="Z23" s="64">
        <v>128.26</v>
      </c>
      <c r="AA23" s="65" t="s">
        <v>147</v>
      </c>
      <c r="AB23" s="20" t="s">
        <v>148</v>
      </c>
      <c r="AC23" s="66">
        <v>1.9710000000000002E-2</v>
      </c>
      <c r="AF23" s="57"/>
      <c r="AH23" s="67"/>
      <c r="AK23" s="18">
        <f t="shared" si="14"/>
        <v>1.9710000000000002E-2</v>
      </c>
      <c r="AL23">
        <v>1.9710000000000001</v>
      </c>
      <c r="AN23" s="20" t="s">
        <v>126</v>
      </c>
      <c r="AO23" s="32" t="s">
        <v>206</v>
      </c>
      <c r="AP23" s="20" t="s">
        <v>190</v>
      </c>
      <c r="AQ23" s="4" t="s">
        <v>190</v>
      </c>
      <c r="AR23" s="20" t="s">
        <v>190</v>
      </c>
      <c r="AS23" s="20" t="s">
        <v>141</v>
      </c>
      <c r="AU23" s="56" t="str">
        <f t="shared" si="7"/>
        <v>Decanes</v>
      </c>
      <c r="AV23" s="56" t="str">
        <f t="shared" si="7"/>
        <v>C10</v>
      </c>
      <c r="AZ23" s="57"/>
      <c r="BE23" s="18">
        <f t="shared" si="8"/>
        <v>0</v>
      </c>
      <c r="BL23" s="58" t="s">
        <v>207</v>
      </c>
      <c r="BM23" t="s">
        <v>208</v>
      </c>
      <c r="BN23">
        <v>98.186000000000007</v>
      </c>
      <c r="BO23">
        <v>770</v>
      </c>
      <c r="BP23">
        <v>213.8</v>
      </c>
      <c r="BQ23" s="59">
        <f t="shared" ca="1" si="5"/>
        <v>0</v>
      </c>
      <c r="BR23" s="59">
        <f t="shared" ca="1" si="6"/>
        <v>0</v>
      </c>
      <c r="BS23" s="59">
        <f t="shared" si="9"/>
        <v>0</v>
      </c>
      <c r="BT23" s="60">
        <f t="shared" si="10"/>
        <v>0.77</v>
      </c>
      <c r="BU23" s="60">
        <f t="shared" si="11"/>
        <v>11.4055511086057</v>
      </c>
      <c r="BZ23" s="61" t="str">
        <f t="shared" si="12"/>
        <v>Decanes</v>
      </c>
      <c r="CA23" s="60" t="str">
        <f t="shared" si="13"/>
        <v>C10</v>
      </c>
    </row>
    <row r="24" spans="1:79" ht="15.75" x14ac:dyDescent="0.25">
      <c r="A24" s="76" t="s">
        <v>209</v>
      </c>
      <c r="B24" s="90" t="s">
        <v>210</v>
      </c>
      <c r="C24" s="67"/>
      <c r="F24" s="110" t="s">
        <v>211</v>
      </c>
      <c r="G24" s="80" t="s">
        <v>212</v>
      </c>
      <c r="H24" s="111">
        <f>IFERROR(SUM(T$7:T$12)/SUM(T$6:T$12),"")</f>
        <v>0.27206364302330055</v>
      </c>
      <c r="I24" s="104"/>
      <c r="J24" s="112"/>
      <c r="M24" s="19">
        <v>5015</v>
      </c>
      <c r="N24" s="19">
        <v>4238.6549999999997</v>
      </c>
      <c r="O24" s="99">
        <f t="shared" si="15"/>
        <v>4626.8274999999994</v>
      </c>
      <c r="P24" s="19">
        <v>2.6844746749265253E-5</v>
      </c>
      <c r="R24" s="7" t="s">
        <v>213</v>
      </c>
      <c r="S24" s="8" t="s">
        <v>214</v>
      </c>
      <c r="T24" s="9">
        <f t="shared" si="0"/>
        <v>5.3E-3</v>
      </c>
      <c r="U24" s="9" t="str">
        <f t="shared" si="1"/>
        <v/>
      </c>
      <c r="V24" s="9" t="str">
        <f t="shared" si="2"/>
        <v/>
      </c>
      <c r="W24" s="10" t="str">
        <f t="shared" si="3"/>
        <v/>
      </c>
      <c r="X24" s="10" t="str">
        <f t="shared" si="4"/>
        <v/>
      </c>
      <c r="Y24" s="11">
        <v>237</v>
      </c>
      <c r="Z24" s="64">
        <v>142.286</v>
      </c>
      <c r="AA24" s="65" t="s">
        <v>159</v>
      </c>
      <c r="AB24" s="20" t="s">
        <v>160</v>
      </c>
      <c r="AC24" s="66">
        <v>1.5069999999999998E-2</v>
      </c>
      <c r="AF24" s="57"/>
      <c r="AH24" s="67"/>
      <c r="AK24" s="18">
        <f t="shared" si="14"/>
        <v>1.5069999999999998E-2</v>
      </c>
      <c r="AL24">
        <v>1.5069999999999999</v>
      </c>
      <c r="AN24" s="20" t="s">
        <v>126</v>
      </c>
      <c r="AO24" s="32" t="s">
        <v>215</v>
      </c>
      <c r="AP24" s="20" t="s">
        <v>197</v>
      </c>
      <c r="AQ24" s="4" t="s">
        <v>197</v>
      </c>
      <c r="AR24" s="20" t="s">
        <v>197</v>
      </c>
      <c r="AS24" s="20" t="s">
        <v>141</v>
      </c>
      <c r="AU24" s="56" t="str">
        <f t="shared" si="7"/>
        <v>Undecanes</v>
      </c>
      <c r="AV24" s="56" t="str">
        <f t="shared" si="7"/>
        <v>C11</v>
      </c>
      <c r="AZ24" s="57"/>
      <c r="BE24" s="18">
        <f t="shared" si="8"/>
        <v>0</v>
      </c>
      <c r="BL24" s="58" t="s">
        <v>216</v>
      </c>
      <c r="BM24" t="s">
        <v>217</v>
      </c>
      <c r="BN24">
        <v>92.14</v>
      </c>
      <c r="BO24">
        <v>867</v>
      </c>
      <c r="BP24">
        <v>231.1</v>
      </c>
      <c r="BQ24" s="59">
        <f t="shared" ca="1" si="5"/>
        <v>0</v>
      </c>
      <c r="BR24" s="59">
        <f t="shared" ca="1" si="6"/>
        <v>0</v>
      </c>
      <c r="BS24" s="59">
        <f t="shared" si="9"/>
        <v>0</v>
      </c>
      <c r="BT24" s="60">
        <f t="shared" si="10"/>
        <v>0.86699999999999999</v>
      </c>
      <c r="BU24" s="60">
        <f t="shared" si="11"/>
        <v>10.217575376517029</v>
      </c>
      <c r="BZ24" s="61" t="str">
        <f t="shared" si="12"/>
        <v>Undecanes</v>
      </c>
      <c r="CA24" s="60" t="str">
        <f t="shared" si="13"/>
        <v>C11</v>
      </c>
    </row>
    <row r="25" spans="1:79" ht="15.75" x14ac:dyDescent="0.25">
      <c r="A25" s="76" t="s">
        <v>218</v>
      </c>
      <c r="B25" s="113" t="s">
        <v>219</v>
      </c>
      <c r="C25" s="67"/>
      <c r="F25" s="110" t="s">
        <v>220</v>
      </c>
      <c r="G25" s="80" t="s">
        <v>221</v>
      </c>
      <c r="H25" s="111" t="str">
        <f>IF(B25="Dew Point",      IF( MAX(C149:C189)&lt;&gt;"",   MAX(C149:C189),   ""),                          "")</f>
        <v/>
      </c>
      <c r="M25" s="19"/>
      <c r="N25" s="19"/>
      <c r="O25" s="99" t="str">
        <f t="shared" si="15"/>
        <v/>
      </c>
      <c r="P25" s="19"/>
      <c r="R25" s="7" t="s">
        <v>222</v>
      </c>
      <c r="S25" s="8" t="s">
        <v>223</v>
      </c>
      <c r="T25" s="9">
        <f t="shared" si="0"/>
        <v>4.9899999999999996E-3</v>
      </c>
      <c r="U25" s="9" t="str">
        <f t="shared" si="1"/>
        <v/>
      </c>
      <c r="V25" s="9" t="str">
        <f t="shared" si="2"/>
        <v/>
      </c>
      <c r="W25" s="10" t="str">
        <f t="shared" si="3"/>
        <v/>
      </c>
      <c r="X25" s="10" t="str">
        <f t="shared" si="4"/>
        <v/>
      </c>
      <c r="Y25" s="11">
        <v>251</v>
      </c>
      <c r="Z25" s="64">
        <v>147</v>
      </c>
      <c r="AA25" s="65" t="s">
        <v>166</v>
      </c>
      <c r="AB25" s="20" t="s">
        <v>167</v>
      </c>
      <c r="AC25" s="66">
        <v>1.2500000000000001E-2</v>
      </c>
      <c r="AF25" s="57"/>
      <c r="AH25" s="67"/>
      <c r="AK25" s="18">
        <f t="shared" si="14"/>
        <v>1.2500000000000001E-2</v>
      </c>
      <c r="AL25">
        <v>1.25</v>
      </c>
      <c r="AN25" s="20" t="s">
        <v>126</v>
      </c>
      <c r="AO25" s="32" t="s">
        <v>224</v>
      </c>
      <c r="AP25" s="20" t="s">
        <v>205</v>
      </c>
      <c r="AQ25" s="4" t="s">
        <v>205</v>
      </c>
      <c r="AR25" s="20" t="s">
        <v>205</v>
      </c>
      <c r="AS25" s="20" t="s">
        <v>141</v>
      </c>
      <c r="AU25" s="56" t="str">
        <f t="shared" si="7"/>
        <v>Dodecanes</v>
      </c>
      <c r="AV25" s="56" t="str">
        <f t="shared" si="7"/>
        <v>C12</v>
      </c>
      <c r="BE25" s="18">
        <f t="shared" si="8"/>
        <v>0</v>
      </c>
      <c r="BL25" s="58" t="s">
        <v>225</v>
      </c>
      <c r="BM25" t="s">
        <v>141</v>
      </c>
      <c r="BQ25" s="59">
        <f t="shared" ca="1" si="5"/>
        <v>0</v>
      </c>
      <c r="BR25" s="59">
        <f t="shared" ca="1" si="6"/>
        <v>0</v>
      </c>
      <c r="BS25" s="59">
        <f t="shared" si="9"/>
        <v>0</v>
      </c>
      <c r="BT25" s="60" t="str">
        <f t="shared" si="10"/>
        <v/>
      </c>
      <c r="BU25" s="60" t="str">
        <f t="shared" si="11"/>
        <v/>
      </c>
      <c r="BZ25" s="61" t="str">
        <f t="shared" si="12"/>
        <v>Dodecanes</v>
      </c>
      <c r="CA25" s="60" t="str">
        <f t="shared" si="13"/>
        <v>C12</v>
      </c>
    </row>
    <row r="26" spans="1:79" ht="15.75" x14ac:dyDescent="0.25">
      <c r="A26" s="76" t="s">
        <v>226</v>
      </c>
      <c r="B26" s="113" t="s">
        <v>227</v>
      </c>
      <c r="C26" s="67"/>
      <c r="F26" s="114" t="s">
        <v>228</v>
      </c>
      <c r="G26" s="80" t="s">
        <v>229</v>
      </c>
      <c r="H26" s="111" t="str">
        <f>IF(B26="Dew Point",      IF( MAX(C107:C142)&lt;&gt;"",   MAX(C107:C142),   ""),                          "")</f>
        <v/>
      </c>
      <c r="M26" s="19"/>
      <c r="N26" s="19"/>
      <c r="O26" s="99" t="str">
        <f t="shared" si="15"/>
        <v/>
      </c>
      <c r="P26" s="19"/>
      <c r="R26" s="7" t="s">
        <v>230</v>
      </c>
      <c r="S26" s="8" t="s">
        <v>231</v>
      </c>
      <c r="T26" s="9">
        <f t="shared" si="0"/>
        <v>4.4299999999999999E-3</v>
      </c>
      <c r="U26" s="9" t="str">
        <f t="shared" si="1"/>
        <v/>
      </c>
      <c r="V26" s="9" t="str">
        <f t="shared" si="2"/>
        <v/>
      </c>
      <c r="W26" s="10" t="str">
        <f t="shared" si="3"/>
        <v/>
      </c>
      <c r="X26" s="10" t="str">
        <f t="shared" si="4"/>
        <v/>
      </c>
      <c r="Y26" s="11">
        <v>263</v>
      </c>
      <c r="Z26" s="64">
        <v>161</v>
      </c>
      <c r="AA26" s="65" t="s">
        <v>173</v>
      </c>
      <c r="AB26" s="20" t="s">
        <v>174</v>
      </c>
      <c r="AC26" s="66">
        <v>1.018E-2</v>
      </c>
      <c r="AH26" s="67"/>
      <c r="AK26" s="18">
        <f t="shared" si="14"/>
        <v>1.018E-2</v>
      </c>
      <c r="AL26">
        <v>1.018</v>
      </c>
      <c r="AN26" s="22" t="s">
        <v>135</v>
      </c>
      <c r="AO26" s="32" t="s">
        <v>232</v>
      </c>
      <c r="AP26" s="22" t="s">
        <v>214</v>
      </c>
      <c r="AQ26" s="4" t="s">
        <v>214</v>
      </c>
      <c r="AR26" s="22" t="s">
        <v>214</v>
      </c>
      <c r="AS26" s="20" t="s">
        <v>148</v>
      </c>
      <c r="AU26" s="56" t="str">
        <f t="shared" si="7"/>
        <v>Tridecanes</v>
      </c>
      <c r="AV26" s="56" t="str">
        <f t="shared" si="7"/>
        <v>C13</v>
      </c>
      <c r="AZ26" s="57"/>
      <c r="BE26" s="18">
        <f t="shared" si="8"/>
        <v>0</v>
      </c>
      <c r="BL26" s="58" t="s">
        <v>233</v>
      </c>
      <c r="BM26" t="s">
        <v>234</v>
      </c>
      <c r="BN26">
        <v>106.2</v>
      </c>
      <c r="BO26">
        <v>866</v>
      </c>
      <c r="BP26">
        <v>276.8</v>
      </c>
      <c r="BQ26" s="59">
        <f t="shared" ca="1" si="5"/>
        <v>0</v>
      </c>
      <c r="BR26" s="59">
        <f t="shared" ca="1" si="6"/>
        <v>0</v>
      </c>
      <c r="BS26" s="59">
        <f t="shared" si="9"/>
        <v>0</v>
      </c>
      <c r="BT26" s="60">
        <f t="shared" si="10"/>
        <v>0.86599999999999999</v>
      </c>
      <c r="BU26" s="60">
        <f t="shared" si="11"/>
        <v>10.450401228500866</v>
      </c>
      <c r="BZ26" s="61" t="str">
        <f t="shared" si="12"/>
        <v>Tridecanes</v>
      </c>
      <c r="CA26" s="60" t="str">
        <f t="shared" si="13"/>
        <v>C13</v>
      </c>
    </row>
    <row r="27" spans="1:79" ht="15.75" x14ac:dyDescent="0.25">
      <c r="A27" s="76" t="s">
        <v>235</v>
      </c>
      <c r="B27" s="113"/>
      <c r="C27" s="67"/>
      <c r="G27" s="80" t="s">
        <v>236</v>
      </c>
      <c r="H27" s="115"/>
      <c r="I27" s="116"/>
      <c r="M27" s="19"/>
      <c r="N27" s="19"/>
      <c r="O27" s="99" t="str">
        <f t="shared" si="15"/>
        <v/>
      </c>
      <c r="P27" s="19"/>
      <c r="R27" s="7" t="s">
        <v>237</v>
      </c>
      <c r="S27" s="8" t="s">
        <v>238</v>
      </c>
      <c r="T27" s="9">
        <f t="shared" si="0"/>
        <v>3.7000000000000002E-3</v>
      </c>
      <c r="U27" s="9" t="str">
        <f t="shared" si="1"/>
        <v/>
      </c>
      <c r="V27" s="9" t="str">
        <f t="shared" si="2"/>
        <v/>
      </c>
      <c r="W27" s="10" t="str">
        <f t="shared" si="3"/>
        <v/>
      </c>
      <c r="X27" s="10" t="str">
        <f t="shared" si="4"/>
        <v/>
      </c>
      <c r="Y27" s="11">
        <v>275</v>
      </c>
      <c r="Z27" s="64">
        <v>175</v>
      </c>
      <c r="AA27" s="65" t="s">
        <v>182</v>
      </c>
      <c r="AB27" s="20" t="s">
        <v>183</v>
      </c>
      <c r="AC27" s="66">
        <v>9.7999999999999997E-3</v>
      </c>
      <c r="AF27" s="57"/>
      <c r="AH27" s="67"/>
      <c r="AK27" s="18">
        <f t="shared" si="14"/>
        <v>9.7999999999999997E-3</v>
      </c>
      <c r="AL27">
        <v>0.98</v>
      </c>
      <c r="AN27" s="22" t="s">
        <v>135</v>
      </c>
      <c r="AO27" s="32" t="s">
        <v>239</v>
      </c>
      <c r="AP27" s="22" t="s">
        <v>223</v>
      </c>
      <c r="AQ27" s="4" t="s">
        <v>223</v>
      </c>
      <c r="AR27" s="22" t="s">
        <v>223</v>
      </c>
      <c r="AS27" s="20" t="s">
        <v>160</v>
      </c>
      <c r="AU27" s="56" t="str">
        <f t="shared" si="7"/>
        <v>Tetradecanes</v>
      </c>
      <c r="AV27" s="56" t="str">
        <f t="shared" si="7"/>
        <v>C14</v>
      </c>
      <c r="BE27" s="18">
        <f t="shared" si="8"/>
        <v>0</v>
      </c>
      <c r="BL27" s="58" t="s">
        <v>240</v>
      </c>
      <c r="BM27" t="s">
        <v>234</v>
      </c>
      <c r="BN27">
        <v>106.16</v>
      </c>
      <c r="BO27">
        <v>861</v>
      </c>
      <c r="BP27">
        <v>281</v>
      </c>
      <c r="BQ27" s="59">
        <f t="shared" ca="1" si="5"/>
        <v>0</v>
      </c>
      <c r="BR27" s="59">
        <f t="shared" ca="1" si="6"/>
        <v>0</v>
      </c>
      <c r="BS27" s="59">
        <f t="shared" si="9"/>
        <v>0</v>
      </c>
      <c r="BT27" s="60">
        <f t="shared" si="10"/>
        <v>0.86099999999999999</v>
      </c>
      <c r="BU27" s="60">
        <f t="shared" si="11"/>
        <v>10.501103142731166</v>
      </c>
      <c r="BZ27" s="61" t="str">
        <f t="shared" si="12"/>
        <v>Tetradecanes</v>
      </c>
      <c r="CA27" s="60" t="str">
        <f t="shared" si="13"/>
        <v>C14</v>
      </c>
    </row>
    <row r="28" spans="1:79" ht="15.75" x14ac:dyDescent="0.25">
      <c r="A28" s="76" t="s">
        <v>241</v>
      </c>
      <c r="B28" s="117" t="str">
        <f>IF(SUM(H14:H19)&lt;&gt;0,  "Yes",  "No")</f>
        <v>Yes</v>
      </c>
      <c r="C28" s="67"/>
      <c r="G28" s="80" t="s">
        <v>242</v>
      </c>
      <c r="H28" s="115"/>
      <c r="I28" s="116"/>
      <c r="M28" s="19"/>
      <c r="N28" s="19"/>
      <c r="O28" s="99" t="str">
        <f t="shared" si="15"/>
        <v/>
      </c>
      <c r="P28" s="19"/>
      <c r="R28" s="7" t="s">
        <v>243</v>
      </c>
      <c r="S28" s="8" t="s">
        <v>244</v>
      </c>
      <c r="T28" s="9">
        <f t="shared" si="0"/>
        <v>3.29E-3</v>
      </c>
      <c r="U28" s="9" t="str">
        <f t="shared" si="1"/>
        <v/>
      </c>
      <c r="V28" s="9" t="str">
        <f t="shared" si="2"/>
        <v/>
      </c>
      <c r="W28" s="10" t="str">
        <f t="shared" si="3"/>
        <v/>
      </c>
      <c r="X28" s="10" t="str">
        <f t="shared" si="4"/>
        <v/>
      </c>
      <c r="Y28" s="11">
        <v>291</v>
      </c>
      <c r="Z28" s="64">
        <v>190</v>
      </c>
      <c r="AA28" s="65" t="s">
        <v>189</v>
      </c>
      <c r="AB28" s="20" t="s">
        <v>190</v>
      </c>
      <c r="AC28" s="66">
        <v>8.0800000000000004E-3</v>
      </c>
      <c r="AH28" s="67"/>
      <c r="AK28" s="18">
        <f t="shared" si="14"/>
        <v>8.0800000000000004E-3</v>
      </c>
      <c r="AL28">
        <v>0.80800000000000005</v>
      </c>
      <c r="AN28" s="22" t="s">
        <v>135</v>
      </c>
      <c r="AO28" s="32" t="s">
        <v>245</v>
      </c>
      <c r="AP28" s="22" t="s">
        <v>231</v>
      </c>
      <c r="AQ28" s="4" t="s">
        <v>231</v>
      </c>
      <c r="AR28" s="22" t="s">
        <v>231</v>
      </c>
      <c r="AS28" s="20" t="s">
        <v>167</v>
      </c>
      <c r="AU28" s="56" t="str">
        <f t="shared" si="7"/>
        <v>Pentadecanes</v>
      </c>
      <c r="AV28" s="56" t="str">
        <f t="shared" si="7"/>
        <v>C15</v>
      </c>
      <c r="AZ28" s="57"/>
      <c r="BE28" s="18">
        <f t="shared" si="8"/>
        <v>0</v>
      </c>
      <c r="BL28" s="58" t="s">
        <v>246</v>
      </c>
      <c r="BM28" t="s">
        <v>234</v>
      </c>
      <c r="BN28">
        <v>106.16</v>
      </c>
      <c r="BO28">
        <v>880</v>
      </c>
      <c r="BP28">
        <v>291.2</v>
      </c>
      <c r="BQ28" s="59">
        <f t="shared" ca="1" si="5"/>
        <v>0</v>
      </c>
      <c r="BR28" s="59">
        <f t="shared" ca="1" si="6"/>
        <v>0</v>
      </c>
      <c r="BS28" s="59">
        <f t="shared" si="9"/>
        <v>0</v>
      </c>
      <c r="BT28" s="60">
        <f t="shared" si="10"/>
        <v>0.88</v>
      </c>
      <c r="BU28" s="60">
        <f t="shared" si="11"/>
        <v>10.309030134965806</v>
      </c>
      <c r="BZ28" s="61" t="str">
        <f t="shared" si="12"/>
        <v>Pentadecanes</v>
      </c>
      <c r="CA28" s="60" t="str">
        <f t="shared" si="13"/>
        <v>C15</v>
      </c>
    </row>
    <row r="29" spans="1:79" ht="15.75" x14ac:dyDescent="0.25">
      <c r="A29" s="76" t="s">
        <v>247</v>
      </c>
      <c r="B29" s="117" t="str">
        <f>IF(A149&lt;&gt;"",  "Yes",  "No")</f>
        <v>Yes</v>
      </c>
      <c r="C29" s="67"/>
      <c r="G29" s="118" t="s">
        <v>248</v>
      </c>
      <c r="H29" s="119"/>
      <c r="I29" s="120"/>
      <c r="M29" s="19"/>
      <c r="N29" s="19"/>
      <c r="O29" s="99" t="str">
        <f t="shared" si="15"/>
        <v/>
      </c>
      <c r="P29" s="19"/>
      <c r="R29" s="7" t="s">
        <v>249</v>
      </c>
      <c r="S29" s="8" t="s">
        <v>250</v>
      </c>
      <c r="T29" s="9">
        <f t="shared" si="0"/>
        <v>2.9399999999999999E-3</v>
      </c>
      <c r="U29" s="9" t="str">
        <f t="shared" si="1"/>
        <v/>
      </c>
      <c r="V29" s="9" t="str">
        <f t="shared" si="2"/>
        <v/>
      </c>
      <c r="W29" s="10" t="str">
        <f t="shared" si="3"/>
        <v/>
      </c>
      <c r="X29" s="10" t="str">
        <f t="shared" si="4"/>
        <v/>
      </c>
      <c r="Y29" s="11">
        <v>300</v>
      </c>
      <c r="Z29" s="64">
        <v>206</v>
      </c>
      <c r="AA29" s="65" t="s">
        <v>196</v>
      </c>
      <c r="AB29" s="20" t="s">
        <v>197</v>
      </c>
      <c r="AC29" s="66">
        <v>7.4799999999999997E-3</v>
      </c>
      <c r="AF29" s="57"/>
      <c r="AH29" s="67"/>
      <c r="AK29" s="18">
        <f t="shared" si="14"/>
        <v>7.4799999999999997E-3</v>
      </c>
      <c r="AL29">
        <v>0.748</v>
      </c>
      <c r="AN29" s="22" t="s">
        <v>135</v>
      </c>
      <c r="AO29" s="32" t="s">
        <v>251</v>
      </c>
      <c r="AP29" s="22" t="s">
        <v>238</v>
      </c>
      <c r="AQ29" s="4" t="s">
        <v>238</v>
      </c>
      <c r="AR29" s="22" t="s">
        <v>238</v>
      </c>
      <c r="AS29" s="20" t="s">
        <v>174</v>
      </c>
      <c r="AU29" s="56" t="str">
        <f t="shared" si="7"/>
        <v>Hexadecanes</v>
      </c>
      <c r="AV29" s="56" t="str">
        <f t="shared" si="7"/>
        <v>C16</v>
      </c>
      <c r="AZ29" s="57"/>
      <c r="BE29" s="18">
        <f t="shared" si="8"/>
        <v>0</v>
      </c>
      <c r="BL29" s="58" t="s">
        <v>252</v>
      </c>
      <c r="BM29" t="s">
        <v>148</v>
      </c>
      <c r="BQ29" s="59">
        <f t="shared" ca="1" si="5"/>
        <v>0</v>
      </c>
      <c r="BR29" s="59">
        <f t="shared" ca="1" si="6"/>
        <v>0</v>
      </c>
      <c r="BS29" s="59">
        <f t="shared" si="9"/>
        <v>0</v>
      </c>
      <c r="BT29" s="60" t="str">
        <f t="shared" si="10"/>
        <v/>
      </c>
      <c r="BU29" s="60" t="str">
        <f t="shared" si="11"/>
        <v/>
      </c>
      <c r="BZ29" s="61" t="str">
        <f t="shared" si="12"/>
        <v>Hexadecanes</v>
      </c>
      <c r="CA29" s="60" t="str">
        <f t="shared" si="13"/>
        <v>C16</v>
      </c>
    </row>
    <row r="30" spans="1:79" ht="15.75" x14ac:dyDescent="0.25">
      <c r="A30" s="76" t="s">
        <v>253</v>
      </c>
      <c r="B30" s="117" t="str">
        <f>IF(A107&lt;&gt;"",  "Yes",  "No")</f>
        <v>No</v>
      </c>
      <c r="C30" s="67"/>
      <c r="G30" s="19" t="s">
        <v>254</v>
      </c>
      <c r="H30" s="115"/>
      <c r="M30" s="19"/>
      <c r="N30" s="19"/>
      <c r="O30" s="99" t="str">
        <f t="shared" si="15"/>
        <v/>
      </c>
      <c r="P30" s="19"/>
      <c r="R30" s="7" t="s">
        <v>255</v>
      </c>
      <c r="S30" s="8" t="s">
        <v>256</v>
      </c>
      <c r="T30" s="9">
        <f t="shared" si="0"/>
        <v>2.6199999999999999E-3</v>
      </c>
      <c r="U30" s="9" t="str">
        <f t="shared" si="1"/>
        <v/>
      </c>
      <c r="V30" s="9" t="str">
        <f t="shared" si="2"/>
        <v/>
      </c>
      <c r="W30" s="10" t="str">
        <f t="shared" si="3"/>
        <v/>
      </c>
      <c r="X30" s="10" t="str">
        <f t="shared" si="4"/>
        <v/>
      </c>
      <c r="Y30" s="11">
        <v>312</v>
      </c>
      <c r="Z30" s="64">
        <v>222</v>
      </c>
      <c r="AA30" s="65" t="s">
        <v>204</v>
      </c>
      <c r="AB30" s="20" t="s">
        <v>205</v>
      </c>
      <c r="AC30" s="66">
        <v>5.8199999999999997E-3</v>
      </c>
      <c r="AF30" s="57"/>
      <c r="AH30" s="67"/>
      <c r="AK30" s="18">
        <f t="shared" si="14"/>
        <v>5.8199999999999997E-3</v>
      </c>
      <c r="AL30">
        <v>0.58199999999999996</v>
      </c>
      <c r="AN30" s="20" t="s">
        <v>135</v>
      </c>
      <c r="AO30" s="32" t="s">
        <v>257</v>
      </c>
      <c r="AP30" s="20" t="s">
        <v>244</v>
      </c>
      <c r="AQ30" s="4" t="s">
        <v>244</v>
      </c>
      <c r="AR30" s="20" t="s">
        <v>244</v>
      </c>
      <c r="AS30" s="20" t="s">
        <v>183</v>
      </c>
      <c r="AU30" s="56" t="str">
        <f t="shared" si="7"/>
        <v>Heptadecanes</v>
      </c>
      <c r="AV30" s="56" t="str">
        <f t="shared" si="7"/>
        <v>C17</v>
      </c>
      <c r="AZ30" s="57"/>
      <c r="BE30" s="18">
        <f t="shared" si="8"/>
        <v>0</v>
      </c>
      <c r="BL30" s="58" t="s">
        <v>258</v>
      </c>
      <c r="BM30" t="s">
        <v>160</v>
      </c>
      <c r="BQ30" s="59">
        <f t="shared" ca="1" si="5"/>
        <v>0</v>
      </c>
      <c r="BR30" s="59">
        <f t="shared" ca="1" si="6"/>
        <v>0</v>
      </c>
      <c r="BS30" s="59">
        <f t="shared" si="9"/>
        <v>0</v>
      </c>
      <c r="BT30" s="60" t="str">
        <f t="shared" si="10"/>
        <v/>
      </c>
      <c r="BU30" s="60" t="str">
        <f t="shared" si="11"/>
        <v/>
      </c>
      <c r="BZ30" s="61" t="str">
        <f t="shared" si="12"/>
        <v>Heptadecanes</v>
      </c>
      <c r="CA30" s="60" t="str">
        <f t="shared" si="13"/>
        <v>C17</v>
      </c>
    </row>
    <row r="31" spans="1:79" ht="15.75" x14ac:dyDescent="0.25">
      <c r="A31" s="76" t="s">
        <v>259</v>
      </c>
      <c r="B31" s="117" t="str">
        <f>IF(A71&lt;&gt;"",  "Yes",  "No")</f>
        <v>Yes</v>
      </c>
      <c r="C31" s="67"/>
      <c r="G31" s="19" t="s">
        <v>260</v>
      </c>
      <c r="H31" s="115"/>
      <c r="M31" s="19"/>
      <c r="N31" s="19"/>
      <c r="O31" s="99" t="str">
        <f t="shared" si="15"/>
        <v/>
      </c>
      <c r="P31" s="19"/>
      <c r="R31" s="7" t="s">
        <v>261</v>
      </c>
      <c r="S31" s="8" t="s">
        <v>262</v>
      </c>
      <c r="T31" s="9">
        <f t="shared" si="0"/>
        <v>2.3400000000000001E-3</v>
      </c>
      <c r="U31" s="9" t="str">
        <f t="shared" si="1"/>
        <v/>
      </c>
      <c r="V31" s="9" t="str">
        <f t="shared" si="2"/>
        <v/>
      </c>
      <c r="W31" s="10" t="str">
        <f t="shared" si="3"/>
        <v/>
      </c>
      <c r="X31" s="10" t="str">
        <f t="shared" si="4"/>
        <v/>
      </c>
      <c r="Y31" s="11">
        <v>324</v>
      </c>
      <c r="Z31" s="64">
        <v>237</v>
      </c>
      <c r="AA31" s="65" t="s">
        <v>213</v>
      </c>
      <c r="AB31" s="22" t="s">
        <v>214</v>
      </c>
      <c r="AC31" s="66">
        <v>5.3E-3</v>
      </c>
      <c r="AF31" s="57"/>
      <c r="AH31" s="67"/>
      <c r="AK31" s="18">
        <f t="shared" si="14"/>
        <v>5.3E-3</v>
      </c>
      <c r="AL31">
        <v>0.53</v>
      </c>
      <c r="AN31" s="22" t="s">
        <v>135</v>
      </c>
      <c r="AO31" s="32" t="s">
        <v>263</v>
      </c>
      <c r="AP31" s="22" t="s">
        <v>250</v>
      </c>
      <c r="AQ31" s="4" t="s">
        <v>250</v>
      </c>
      <c r="AR31" s="22" t="s">
        <v>250</v>
      </c>
      <c r="AS31" s="20" t="s">
        <v>190</v>
      </c>
      <c r="AU31" s="56" t="str">
        <f t="shared" si="7"/>
        <v>Octadecanes</v>
      </c>
      <c r="AV31" s="56" t="str">
        <f t="shared" si="7"/>
        <v>C18</v>
      </c>
      <c r="BE31" s="18">
        <f t="shared" si="8"/>
        <v>0</v>
      </c>
      <c r="BL31" s="58" t="s">
        <v>93</v>
      </c>
      <c r="BM31" t="s">
        <v>264</v>
      </c>
      <c r="BN31">
        <v>58.12</v>
      </c>
      <c r="BP31">
        <v>10.94</v>
      </c>
      <c r="BQ31" s="59">
        <f t="shared" ca="1" si="5"/>
        <v>9.9799999999999993E-3</v>
      </c>
      <c r="BR31" s="59">
        <f t="shared" ca="1" si="6"/>
        <v>0</v>
      </c>
      <c r="BS31" s="59">
        <f t="shared" si="9"/>
        <v>0</v>
      </c>
      <c r="BT31" s="60" t="str">
        <f t="shared" si="10"/>
        <v/>
      </c>
      <c r="BU31" s="60" t="str">
        <f t="shared" si="11"/>
        <v/>
      </c>
      <c r="BZ31" s="61" t="str">
        <f t="shared" si="12"/>
        <v>Octadecanes</v>
      </c>
      <c r="CA31" s="60" t="str">
        <f t="shared" si="13"/>
        <v>C18</v>
      </c>
    </row>
    <row r="32" spans="1:79" ht="15.75" x14ac:dyDescent="0.25">
      <c r="A32" s="76" t="s">
        <v>265</v>
      </c>
      <c r="B32" s="117" t="str">
        <f>IF(SUM(C57:C60)&lt;&gt;0,  "Yes",  "No")</f>
        <v>Yes</v>
      </c>
      <c r="C32" s="67"/>
      <c r="G32" s="19" t="s">
        <v>266</v>
      </c>
      <c r="H32" s="115"/>
      <c r="K32" s="121"/>
      <c r="M32" s="19"/>
      <c r="N32" s="19"/>
      <c r="O32" s="99" t="str">
        <f t="shared" si="15"/>
        <v/>
      </c>
      <c r="P32" s="19"/>
      <c r="R32" s="7" t="s">
        <v>267</v>
      </c>
      <c r="S32" s="8" t="s">
        <v>268</v>
      </c>
      <c r="T32" s="9">
        <f t="shared" si="0"/>
        <v>2.1199999999999999E-3</v>
      </c>
      <c r="U32" s="9" t="str">
        <f t="shared" si="1"/>
        <v/>
      </c>
      <c r="V32" s="9" t="str">
        <f t="shared" si="2"/>
        <v/>
      </c>
      <c r="W32" s="10" t="str">
        <f t="shared" si="3"/>
        <v/>
      </c>
      <c r="X32" s="10" t="str">
        <f t="shared" si="4"/>
        <v/>
      </c>
      <c r="Y32" s="11">
        <v>337</v>
      </c>
      <c r="Z32" s="64">
        <v>251</v>
      </c>
      <c r="AA32" s="65" t="s">
        <v>222</v>
      </c>
      <c r="AB32" s="22" t="s">
        <v>223</v>
      </c>
      <c r="AC32" s="66">
        <v>4.9899999999999996E-3</v>
      </c>
      <c r="AH32" s="67"/>
      <c r="AK32" s="18">
        <f t="shared" si="14"/>
        <v>4.9899999999999996E-3</v>
      </c>
      <c r="AL32">
        <v>0.499</v>
      </c>
      <c r="AN32" s="22" t="s">
        <v>135</v>
      </c>
      <c r="AO32" s="32" t="s">
        <v>269</v>
      </c>
      <c r="AP32" s="22" t="s">
        <v>256</v>
      </c>
      <c r="AQ32" s="4" t="s">
        <v>256</v>
      </c>
      <c r="AR32" s="22" t="s">
        <v>256</v>
      </c>
      <c r="AS32" s="20" t="s">
        <v>197</v>
      </c>
      <c r="AU32" s="56" t="str">
        <f t="shared" si="7"/>
        <v>Nonadecanes</v>
      </c>
      <c r="AV32" s="56" t="str">
        <f t="shared" si="7"/>
        <v>C19</v>
      </c>
      <c r="AZ32" s="57"/>
      <c r="BE32" s="18">
        <f t="shared" si="8"/>
        <v>0</v>
      </c>
      <c r="BL32" s="58" t="s">
        <v>101</v>
      </c>
      <c r="BM32" t="s">
        <v>264</v>
      </c>
      <c r="BN32">
        <v>58.12</v>
      </c>
      <c r="BP32">
        <v>30.2</v>
      </c>
      <c r="BQ32" s="59">
        <f t="shared" ca="1" si="5"/>
        <v>2.7779999999999999E-2</v>
      </c>
      <c r="BR32" s="59">
        <f t="shared" ca="1" si="6"/>
        <v>0</v>
      </c>
      <c r="BS32" s="59">
        <f t="shared" si="9"/>
        <v>0</v>
      </c>
      <c r="BT32" s="60" t="str">
        <f t="shared" si="10"/>
        <v/>
      </c>
      <c r="BU32" s="60" t="str">
        <f t="shared" si="11"/>
        <v/>
      </c>
      <c r="BZ32" s="61" t="str">
        <f t="shared" si="12"/>
        <v>Nonadecanes</v>
      </c>
      <c r="CA32" s="60" t="str">
        <f t="shared" si="13"/>
        <v>C19</v>
      </c>
    </row>
    <row r="33" spans="1:79" ht="16.5" thickBot="1" x14ac:dyDescent="0.3">
      <c r="A33" s="122" t="s">
        <v>270</v>
      </c>
      <c r="B33" s="123"/>
      <c r="C33" s="124"/>
      <c r="G33" s="125" t="s">
        <v>271</v>
      </c>
      <c r="H33" s="126"/>
      <c r="M33" s="19"/>
      <c r="N33" s="19"/>
      <c r="O33" s="99" t="str">
        <f t="shared" si="15"/>
        <v/>
      </c>
      <c r="P33" s="19"/>
      <c r="R33" s="7" t="s">
        <v>272</v>
      </c>
      <c r="S33" s="8" t="s">
        <v>273</v>
      </c>
      <c r="T33" s="9">
        <f t="shared" si="0"/>
        <v>1.98E-3</v>
      </c>
      <c r="U33" s="9" t="str">
        <f t="shared" si="1"/>
        <v/>
      </c>
      <c r="V33" s="9" t="str">
        <f t="shared" si="2"/>
        <v/>
      </c>
      <c r="W33" s="10" t="str">
        <f t="shared" si="3"/>
        <v/>
      </c>
      <c r="X33" s="10" t="str">
        <f t="shared" si="4"/>
        <v/>
      </c>
      <c r="Y33" s="11">
        <v>349</v>
      </c>
      <c r="Z33" s="64">
        <v>263</v>
      </c>
      <c r="AA33" s="65" t="s">
        <v>230</v>
      </c>
      <c r="AB33" s="22" t="s">
        <v>231</v>
      </c>
      <c r="AC33" s="66">
        <v>4.4299999999999999E-3</v>
      </c>
      <c r="AF33" s="57"/>
      <c r="AH33" s="67"/>
      <c r="AK33" s="18">
        <f t="shared" si="14"/>
        <v>4.4299999999999999E-3</v>
      </c>
      <c r="AL33">
        <v>0.443</v>
      </c>
      <c r="AN33" s="20" t="s">
        <v>141</v>
      </c>
      <c r="AO33" s="32" t="s">
        <v>274</v>
      </c>
      <c r="AP33" s="20" t="s">
        <v>262</v>
      </c>
      <c r="AQ33" s="4" t="s">
        <v>262</v>
      </c>
      <c r="AR33" s="20" t="s">
        <v>262</v>
      </c>
      <c r="AS33" s="20" t="s">
        <v>205</v>
      </c>
      <c r="AU33" s="56" t="str">
        <f t="shared" si="7"/>
        <v>Eicosanes</v>
      </c>
      <c r="AV33" s="56" t="str">
        <f t="shared" si="7"/>
        <v>C20</v>
      </c>
      <c r="BE33" s="18">
        <f t="shared" si="8"/>
        <v>0</v>
      </c>
      <c r="BL33" s="58" t="s">
        <v>109</v>
      </c>
      <c r="BM33" t="s">
        <v>275</v>
      </c>
      <c r="BN33">
        <v>72.150000000000006</v>
      </c>
      <c r="BO33">
        <v>616</v>
      </c>
      <c r="BP33">
        <v>82.04</v>
      </c>
      <c r="BQ33" s="59">
        <f t="shared" ca="1" si="5"/>
        <v>1.068E-2</v>
      </c>
      <c r="BR33" s="59">
        <f t="shared" ca="1" si="6"/>
        <v>0</v>
      </c>
      <c r="BS33" s="59">
        <f t="shared" si="9"/>
        <v>0</v>
      </c>
      <c r="BT33" s="60">
        <f t="shared" si="10"/>
        <v>0.61599999999999999</v>
      </c>
      <c r="BU33" s="60">
        <f t="shared" si="11"/>
        <v>13.145157918785724</v>
      </c>
      <c r="BZ33" s="61" t="str">
        <f t="shared" si="12"/>
        <v>Eicosanes</v>
      </c>
      <c r="CA33" s="60" t="str">
        <f t="shared" si="13"/>
        <v>C20</v>
      </c>
    </row>
    <row r="34" spans="1:79" ht="16.5" thickTop="1" x14ac:dyDescent="0.25">
      <c r="A34" s="127" t="s">
        <v>276</v>
      </c>
      <c r="B34" s="128" t="s">
        <v>277</v>
      </c>
      <c r="C34" s="129"/>
      <c r="E34" s="130"/>
      <c r="F34" s="110" t="s">
        <v>278</v>
      </c>
      <c r="G34" s="19" t="s">
        <v>278</v>
      </c>
      <c r="H34" s="111">
        <f>IFERROR(SUM(T$9:T$12)/SUM(T$8),"")</f>
        <v>1.0933932895191973</v>
      </c>
      <c r="M34" s="19"/>
      <c r="N34" s="19"/>
      <c r="O34" s="99" t="str">
        <f t="shared" si="15"/>
        <v/>
      </c>
      <c r="P34" s="19"/>
      <c r="R34" s="7" t="s">
        <v>279</v>
      </c>
      <c r="S34" s="8" t="s">
        <v>280</v>
      </c>
      <c r="T34" s="9">
        <f t="shared" si="0"/>
        <v>1.7899999999999999E-3</v>
      </c>
      <c r="U34" s="9" t="str">
        <f t="shared" si="1"/>
        <v/>
      </c>
      <c r="V34" s="9" t="str">
        <f t="shared" si="2"/>
        <v/>
      </c>
      <c r="W34" s="10" t="str">
        <f t="shared" si="3"/>
        <v/>
      </c>
      <c r="X34" s="10" t="str">
        <f t="shared" si="4"/>
        <v/>
      </c>
      <c r="Y34" s="11">
        <v>360</v>
      </c>
      <c r="Z34" s="64">
        <v>275</v>
      </c>
      <c r="AA34" s="65" t="s">
        <v>237</v>
      </c>
      <c r="AB34" s="22" t="s">
        <v>238</v>
      </c>
      <c r="AC34" s="66">
        <v>3.7000000000000002E-3</v>
      </c>
      <c r="AH34" s="67"/>
      <c r="AK34" s="18">
        <f t="shared" si="14"/>
        <v>3.7000000000000002E-3</v>
      </c>
      <c r="AL34">
        <v>0.37</v>
      </c>
      <c r="AN34" s="20" t="s">
        <v>141</v>
      </c>
      <c r="AO34" s="32" t="s">
        <v>281</v>
      </c>
      <c r="AP34" s="20" t="s">
        <v>268</v>
      </c>
      <c r="AQ34" s="4" t="s">
        <v>268</v>
      </c>
      <c r="AR34" s="20" t="s">
        <v>268</v>
      </c>
      <c r="AS34" s="22" t="s">
        <v>214</v>
      </c>
      <c r="AU34" s="56" t="str">
        <f t="shared" si="7"/>
        <v>Heneicosanes</v>
      </c>
      <c r="AV34" s="56" t="str">
        <f t="shared" si="7"/>
        <v>C21</v>
      </c>
      <c r="AZ34" s="57"/>
      <c r="BE34" s="18">
        <f t="shared" si="8"/>
        <v>0</v>
      </c>
      <c r="BL34" s="58" t="s">
        <v>117</v>
      </c>
      <c r="BM34" t="s">
        <v>275</v>
      </c>
      <c r="BN34">
        <v>72.150000000000006</v>
      </c>
      <c r="BO34">
        <v>626</v>
      </c>
      <c r="BP34">
        <v>96.98</v>
      </c>
      <c r="BQ34" s="59">
        <f t="shared" ca="1" si="5"/>
        <v>1.478E-2</v>
      </c>
      <c r="BR34" s="59">
        <f t="shared" ca="1" si="6"/>
        <v>0</v>
      </c>
      <c r="BS34" s="59">
        <f t="shared" si="9"/>
        <v>0</v>
      </c>
      <c r="BT34" s="60">
        <f t="shared" si="10"/>
        <v>0.626</v>
      </c>
      <c r="BU34" s="60">
        <f t="shared" si="11"/>
        <v>12.967345811973459</v>
      </c>
      <c r="BZ34" s="61" t="str">
        <f t="shared" si="12"/>
        <v>Heneicosanes</v>
      </c>
      <c r="CA34" s="60" t="str">
        <f t="shared" si="13"/>
        <v>C21</v>
      </c>
    </row>
    <row r="35" spans="1:79" ht="15.75" x14ac:dyDescent="0.25">
      <c r="A35" s="127" t="s">
        <v>282</v>
      </c>
      <c r="B35" s="131"/>
      <c r="C35" s="132"/>
      <c r="H35" s="133" t="s">
        <v>283</v>
      </c>
      <c r="I35" s="134"/>
      <c r="J35" s="134"/>
      <c r="K35" s="134"/>
      <c r="L35" s="135"/>
      <c r="R35" s="7" t="s">
        <v>284</v>
      </c>
      <c r="S35" s="8" t="s">
        <v>285</v>
      </c>
      <c r="T35" s="9">
        <f t="shared" si="0"/>
        <v>1.67E-3</v>
      </c>
      <c r="U35" s="9" t="str">
        <f t="shared" si="1"/>
        <v/>
      </c>
      <c r="V35" s="9" t="str">
        <f t="shared" si="2"/>
        <v/>
      </c>
      <c r="W35" s="10" t="str">
        <f t="shared" si="3"/>
        <v/>
      </c>
      <c r="X35" s="10" t="str">
        <f t="shared" si="4"/>
        <v/>
      </c>
      <c r="Y35" s="11">
        <v>372</v>
      </c>
      <c r="Z35" s="64">
        <v>291</v>
      </c>
      <c r="AA35" s="65" t="s">
        <v>243</v>
      </c>
      <c r="AB35" s="20" t="s">
        <v>244</v>
      </c>
      <c r="AC35" s="66">
        <v>3.29E-3</v>
      </c>
      <c r="AF35" s="57"/>
      <c r="AH35" s="67"/>
      <c r="AK35" s="18">
        <f t="shared" si="14"/>
        <v>3.29E-3</v>
      </c>
      <c r="AL35">
        <v>0.32900000000000001</v>
      </c>
      <c r="AN35" s="20" t="s">
        <v>141</v>
      </c>
      <c r="AO35" s="32" t="s">
        <v>286</v>
      </c>
      <c r="AP35" s="20" t="s">
        <v>273</v>
      </c>
      <c r="AQ35" s="4" t="s">
        <v>273</v>
      </c>
      <c r="AR35" s="20" t="s">
        <v>273</v>
      </c>
      <c r="AS35" s="22" t="s">
        <v>223</v>
      </c>
      <c r="AU35" s="56" t="str">
        <f t="shared" si="7"/>
        <v>Docosanes</v>
      </c>
      <c r="AV35" s="56" t="str">
        <f t="shared" si="7"/>
        <v>C22</v>
      </c>
      <c r="AZ35" s="57"/>
      <c r="BE35" s="18">
        <f t="shared" si="8"/>
        <v>0</v>
      </c>
      <c r="BL35" s="58" t="s">
        <v>125</v>
      </c>
      <c r="BM35" t="s">
        <v>126</v>
      </c>
      <c r="BN35">
        <v>86.2</v>
      </c>
      <c r="BO35">
        <v>664</v>
      </c>
      <c r="BQ35" s="59">
        <f t="shared" ca="1" si="5"/>
        <v>2.0110000000000003E-2</v>
      </c>
      <c r="BR35" s="59">
        <f t="shared" ca="1" si="6"/>
        <v>0</v>
      </c>
      <c r="BS35" s="59">
        <f t="shared" si="9"/>
        <v>0</v>
      </c>
      <c r="BT35" s="60">
        <f t="shared" si="10"/>
        <v>0.66400000000000003</v>
      </c>
      <c r="BU35" s="60">
        <f t="shared" si="11"/>
        <v>12.674588716130303</v>
      </c>
      <c r="BZ35" s="61" t="str">
        <f t="shared" si="12"/>
        <v>Docosanes</v>
      </c>
      <c r="CA35" s="60" t="str">
        <f t="shared" si="13"/>
        <v>C22</v>
      </c>
    </row>
    <row r="36" spans="1:79" ht="15.75" x14ac:dyDescent="0.25">
      <c r="A36" s="127" t="s">
        <v>287</v>
      </c>
      <c r="B36" s="131"/>
      <c r="C36" s="136"/>
      <c r="E36" s="137"/>
      <c r="F36" s="137"/>
      <c r="H36" s="138"/>
      <c r="I36" s="139" t="s">
        <v>288</v>
      </c>
      <c r="J36" s="139" t="s">
        <v>289</v>
      </c>
      <c r="K36" s="139" t="s">
        <v>290</v>
      </c>
      <c r="L36" s="139" t="s">
        <v>291</v>
      </c>
      <c r="R36" s="7" t="s">
        <v>292</v>
      </c>
      <c r="S36" s="8" t="s">
        <v>293</v>
      </c>
      <c r="T36" s="9">
        <f t="shared" si="0"/>
        <v>1.5E-3</v>
      </c>
      <c r="U36" s="9" t="str">
        <f t="shared" si="1"/>
        <v/>
      </c>
      <c r="V36" s="9" t="str">
        <f t="shared" si="2"/>
        <v/>
      </c>
      <c r="W36" s="10" t="str">
        <f t="shared" si="3"/>
        <v/>
      </c>
      <c r="X36" s="10" t="str">
        <f t="shared" si="4"/>
        <v/>
      </c>
      <c r="Y36" s="11">
        <v>382</v>
      </c>
      <c r="Z36" s="64">
        <v>305</v>
      </c>
      <c r="AA36" s="65" t="s">
        <v>249</v>
      </c>
      <c r="AB36" s="22" t="s">
        <v>250</v>
      </c>
      <c r="AC36" s="66">
        <v>2.9399999999999999E-3</v>
      </c>
      <c r="AF36" s="57"/>
      <c r="AH36" s="67"/>
      <c r="AK36" s="18">
        <f t="shared" si="14"/>
        <v>2.9399999999999999E-3</v>
      </c>
      <c r="AL36">
        <v>0.29399999999999998</v>
      </c>
      <c r="AN36" s="20" t="s">
        <v>141</v>
      </c>
      <c r="AO36" s="32" t="s">
        <v>294</v>
      </c>
      <c r="AP36" s="20" t="s">
        <v>280</v>
      </c>
      <c r="AQ36" s="4" t="s">
        <v>280</v>
      </c>
      <c r="AR36" s="20" t="s">
        <v>280</v>
      </c>
      <c r="AS36" s="22" t="s">
        <v>231</v>
      </c>
      <c r="AU36" s="56" t="str">
        <f t="shared" si="7"/>
        <v>Tricosanes</v>
      </c>
      <c r="AV36" s="56" t="str">
        <f t="shared" si="7"/>
        <v>C23</v>
      </c>
      <c r="AZ36" s="57"/>
      <c r="BE36" s="18">
        <f t="shared" si="8"/>
        <v>0</v>
      </c>
      <c r="BL36" s="58" t="s">
        <v>134</v>
      </c>
      <c r="BM36" t="s">
        <v>135</v>
      </c>
      <c r="BN36">
        <v>100.2</v>
      </c>
      <c r="BO36">
        <v>688.2</v>
      </c>
      <c r="BQ36" s="59">
        <f t="shared" ca="1" si="5"/>
        <v>2.4830000000000001E-2</v>
      </c>
      <c r="BR36" s="59">
        <f t="shared" ca="1" si="6"/>
        <v>0</v>
      </c>
      <c r="BS36" s="59">
        <f t="shared" si="9"/>
        <v>0</v>
      </c>
      <c r="BT36" s="60">
        <f t="shared" si="10"/>
        <v>0.68820000000000003</v>
      </c>
      <c r="BU36" s="60">
        <f t="shared" si="11"/>
        <v>12.580736576891665</v>
      </c>
      <c r="BZ36" s="61" t="str">
        <f t="shared" si="12"/>
        <v>Tricosanes</v>
      </c>
      <c r="CA36" s="60" t="str">
        <f t="shared" si="13"/>
        <v>C23</v>
      </c>
    </row>
    <row r="37" spans="1:79" ht="15.75" x14ac:dyDescent="0.25">
      <c r="A37" s="127" t="s">
        <v>295</v>
      </c>
      <c r="B37" s="140"/>
      <c r="C37" s="141" t="s">
        <v>296</v>
      </c>
      <c r="E37" s="39"/>
      <c r="F37" s="142"/>
      <c r="H37" s="139" t="s">
        <v>297</v>
      </c>
      <c r="I37" s="143">
        <f>IF(H9="","",H9)</f>
        <v>4238.6549999999997</v>
      </c>
      <c r="J37" s="62"/>
      <c r="K37" s="62"/>
      <c r="L37" s="62"/>
      <c r="R37" s="7" t="s">
        <v>298</v>
      </c>
      <c r="S37" s="8" t="s">
        <v>299</v>
      </c>
      <c r="T37" s="9">
        <f t="shared" si="0"/>
        <v>1.593E-2</v>
      </c>
      <c r="U37" s="9" t="str">
        <f t="shared" si="1"/>
        <v/>
      </c>
      <c r="V37" s="9" t="str">
        <f t="shared" si="2"/>
        <v/>
      </c>
      <c r="W37" s="10" t="str">
        <f t="shared" si="3"/>
        <v/>
      </c>
      <c r="X37" s="10" t="str">
        <f t="shared" si="4"/>
        <v/>
      </c>
      <c r="Y37" s="11"/>
      <c r="Z37" s="64">
        <v>318</v>
      </c>
      <c r="AA37" s="65" t="s">
        <v>255</v>
      </c>
      <c r="AB37" s="22" t="s">
        <v>256</v>
      </c>
      <c r="AC37" s="66">
        <v>2.6199999999999999E-3</v>
      </c>
      <c r="AF37" s="57"/>
      <c r="AH37" s="67"/>
      <c r="AK37" s="18">
        <f t="shared" si="14"/>
        <v>2.6199999999999999E-3</v>
      </c>
      <c r="AL37">
        <v>0.26200000000000001</v>
      </c>
      <c r="AN37" s="22" t="s">
        <v>141</v>
      </c>
      <c r="AO37" s="32" t="s">
        <v>300</v>
      </c>
      <c r="AP37" s="22" t="s">
        <v>285</v>
      </c>
      <c r="AQ37" s="4" t="s">
        <v>285</v>
      </c>
      <c r="AR37" s="22" t="s">
        <v>285</v>
      </c>
      <c r="AS37" s="22" t="s">
        <v>238</v>
      </c>
      <c r="AU37" s="56" t="str">
        <f t="shared" si="7"/>
        <v>Tetracosanes</v>
      </c>
      <c r="AV37" s="56" t="str">
        <f t="shared" si="7"/>
        <v>C24</v>
      </c>
      <c r="BE37" s="18">
        <f t="shared" si="8"/>
        <v>0</v>
      </c>
      <c r="BL37" s="58" t="s">
        <v>140</v>
      </c>
      <c r="BM37" t="s">
        <v>141</v>
      </c>
      <c r="BN37">
        <v>114.2</v>
      </c>
      <c r="BO37">
        <v>703</v>
      </c>
      <c r="BQ37" s="59">
        <f t="shared" ca="1" si="5"/>
        <v>2.8039999999999999E-2</v>
      </c>
      <c r="BR37" s="59">
        <f t="shared" ca="1" si="6"/>
        <v>0</v>
      </c>
      <c r="BS37" s="59">
        <f t="shared" si="9"/>
        <v>0</v>
      </c>
      <c r="BT37" s="60">
        <f t="shared" si="10"/>
        <v>0.70299999999999996</v>
      </c>
      <c r="BU37" s="60">
        <f t="shared" si="11"/>
        <v>12.604099611261832</v>
      </c>
      <c r="BZ37" s="61" t="str">
        <f t="shared" si="12"/>
        <v>Tetracosanes</v>
      </c>
      <c r="CA37" s="60" t="str">
        <f t="shared" si="13"/>
        <v>C24</v>
      </c>
    </row>
    <row r="38" spans="1:79" ht="15.75" x14ac:dyDescent="0.25">
      <c r="A38" s="127" t="s">
        <v>301</v>
      </c>
      <c r="B38" s="144"/>
      <c r="C38" s="136" t="s">
        <v>302</v>
      </c>
      <c r="E38" s="137"/>
      <c r="F38" s="137"/>
      <c r="H38" s="139" t="s">
        <v>303</v>
      </c>
      <c r="I38" s="143">
        <f>IF(H11="","",H11)</f>
        <v>205</v>
      </c>
      <c r="J38" s="69"/>
      <c r="K38" s="69"/>
      <c r="L38" s="69"/>
      <c r="R38" s="7"/>
      <c r="S38" s="8"/>
      <c r="Y38" s="145"/>
      <c r="Z38" s="64">
        <v>331</v>
      </c>
      <c r="AA38" s="65" t="s">
        <v>261</v>
      </c>
      <c r="AB38" s="20" t="s">
        <v>262</v>
      </c>
      <c r="AC38" s="66">
        <v>2.3400000000000001E-3</v>
      </c>
      <c r="AH38" s="67"/>
      <c r="AK38" s="18">
        <f t="shared" si="14"/>
        <v>2.3400000000000001E-3</v>
      </c>
      <c r="AL38">
        <v>0.23400000000000001</v>
      </c>
      <c r="AN38" s="20" t="s">
        <v>148</v>
      </c>
      <c r="AO38" s="32" t="s">
        <v>304</v>
      </c>
      <c r="AP38" s="20" t="s">
        <v>293</v>
      </c>
      <c r="AQ38" s="4" t="s">
        <v>293</v>
      </c>
      <c r="AR38" s="20" t="s">
        <v>293</v>
      </c>
      <c r="AS38" s="20" t="s">
        <v>244</v>
      </c>
      <c r="AU38" s="56" t="str">
        <f t="shared" si="7"/>
        <v>Pentacosanes</v>
      </c>
      <c r="AV38" s="56" t="str">
        <f t="shared" si="7"/>
        <v>C25</v>
      </c>
      <c r="AZ38" s="57"/>
      <c r="BE38" s="18">
        <f t="shared" si="8"/>
        <v>0</v>
      </c>
      <c r="BL38" s="58" t="s">
        <v>147</v>
      </c>
      <c r="BM38" t="s">
        <v>148</v>
      </c>
      <c r="BN38">
        <v>128.19999999999999</v>
      </c>
      <c r="BQ38" s="59">
        <f t="shared" ca="1" si="5"/>
        <v>1.9710000000000002E-2</v>
      </c>
      <c r="BR38" s="59">
        <f t="shared" ca="1" si="6"/>
        <v>0</v>
      </c>
      <c r="BS38" s="59">
        <f t="shared" si="9"/>
        <v>0</v>
      </c>
      <c r="BT38" s="60" t="str">
        <f t="shared" si="10"/>
        <v/>
      </c>
      <c r="BU38" s="60" t="str">
        <f t="shared" si="11"/>
        <v/>
      </c>
      <c r="BZ38" s="61" t="str">
        <f t="shared" si="12"/>
        <v>Pentacosanes</v>
      </c>
      <c r="CA38" s="60" t="str">
        <f t="shared" si="13"/>
        <v>C25</v>
      </c>
    </row>
    <row r="39" spans="1:79" ht="15.75" x14ac:dyDescent="0.25">
      <c r="A39" s="146" t="s">
        <v>305</v>
      </c>
      <c r="C39" s="67"/>
      <c r="E39" s="39"/>
      <c r="F39" s="142"/>
      <c r="H39" s="68" t="s">
        <v>306</v>
      </c>
      <c r="I39" s="69"/>
      <c r="J39" s="69"/>
      <c r="K39" s="69"/>
      <c r="L39" s="147"/>
      <c r="M39" s="148"/>
      <c r="Y39" s="145"/>
      <c r="Z39" s="64">
        <v>345</v>
      </c>
      <c r="AA39" s="65" t="s">
        <v>267</v>
      </c>
      <c r="AB39" s="20" t="s">
        <v>268</v>
      </c>
      <c r="AC39" s="66">
        <v>2.1199999999999999E-3</v>
      </c>
      <c r="AF39" s="57"/>
      <c r="AH39" s="67"/>
      <c r="AK39" s="18">
        <f t="shared" si="14"/>
        <v>2.1199999999999999E-3</v>
      </c>
      <c r="AL39">
        <v>0.21199999999999999</v>
      </c>
      <c r="AN39" s="20" t="s">
        <v>148</v>
      </c>
      <c r="AO39" s="32" t="s">
        <v>307</v>
      </c>
      <c r="AP39" s="20" t="s">
        <v>308</v>
      </c>
      <c r="AQ39" s="4" t="s">
        <v>308</v>
      </c>
      <c r="AR39" s="20" t="s">
        <v>308</v>
      </c>
      <c r="AS39" s="22" t="s">
        <v>250</v>
      </c>
      <c r="AU39" s="56" t="str">
        <f t="shared" si="7"/>
        <v>Hexacosanes</v>
      </c>
      <c r="AV39" s="56" t="str">
        <f t="shared" si="7"/>
        <v>C26</v>
      </c>
      <c r="BE39" s="18">
        <f t="shared" si="8"/>
        <v>0</v>
      </c>
      <c r="BL39" s="58" t="s">
        <v>159</v>
      </c>
      <c r="BM39" t="s">
        <v>160</v>
      </c>
      <c r="BN39">
        <v>142.29</v>
      </c>
      <c r="BQ39" s="59">
        <f t="shared" ca="1" si="5"/>
        <v>1.5069999999999998E-2</v>
      </c>
      <c r="BR39" s="59">
        <f t="shared" ca="1" si="6"/>
        <v>0</v>
      </c>
      <c r="BS39" s="59">
        <f t="shared" si="9"/>
        <v>0</v>
      </c>
      <c r="BT39" s="60" t="str">
        <f t="shared" si="10"/>
        <v/>
      </c>
      <c r="BU39" s="60" t="str">
        <f t="shared" si="11"/>
        <v/>
      </c>
      <c r="BZ39" s="61" t="str">
        <f t="shared" si="12"/>
        <v>Hexacosanes</v>
      </c>
      <c r="CA39" s="60" t="str">
        <f t="shared" si="13"/>
        <v>C26</v>
      </c>
    </row>
    <row r="40" spans="1:79" ht="15.75" x14ac:dyDescent="0.25">
      <c r="A40" s="127" t="s">
        <v>309</v>
      </c>
      <c r="B40" s="144"/>
      <c r="C40" s="132"/>
      <c r="E40" s="137"/>
      <c r="F40" s="137"/>
      <c r="H40" s="149" t="s">
        <v>310</v>
      </c>
      <c r="I40" s="69"/>
      <c r="J40" s="69"/>
      <c r="K40" s="69"/>
      <c r="L40" s="69"/>
      <c r="S40" s="8" t="s">
        <v>311</v>
      </c>
      <c r="T40" s="150">
        <f>SUM(T3:T38)</f>
        <v>0.99999000000000005</v>
      </c>
      <c r="U40" s="150">
        <f>SUM(U3:U38)</f>
        <v>0</v>
      </c>
      <c r="V40" s="150">
        <f>SUM(V3:V38)</f>
        <v>0</v>
      </c>
      <c r="W40" s="150">
        <f>SUM(W3:W38)</f>
        <v>0</v>
      </c>
      <c r="X40" s="150">
        <f>SUM(X3:X38)</f>
        <v>0</v>
      </c>
      <c r="Y40" s="145"/>
      <c r="Z40" s="64">
        <v>359</v>
      </c>
      <c r="AA40" s="65" t="s">
        <v>272</v>
      </c>
      <c r="AB40" s="20" t="s">
        <v>273</v>
      </c>
      <c r="AC40" s="66">
        <v>1.98E-3</v>
      </c>
      <c r="AH40" s="67"/>
      <c r="AK40" s="18">
        <f t="shared" si="14"/>
        <v>1.98E-3</v>
      </c>
      <c r="AL40">
        <v>0.19800000000000001</v>
      </c>
      <c r="AN40" s="20" t="s">
        <v>160</v>
      </c>
      <c r="AO40" s="32" t="s">
        <v>312</v>
      </c>
      <c r="AR40" s="20"/>
      <c r="AS40" s="22" t="s">
        <v>256</v>
      </c>
      <c r="AU40" s="56" t="str">
        <f t="shared" si="7"/>
        <v>Heptacosanes</v>
      </c>
      <c r="AV40" s="56" t="str">
        <f t="shared" si="7"/>
        <v>C27</v>
      </c>
      <c r="AZ40" s="57"/>
      <c r="BE40" s="18">
        <f t="shared" si="8"/>
        <v>0</v>
      </c>
      <c r="BL40" s="58" t="s">
        <v>313</v>
      </c>
      <c r="BM40" t="s">
        <v>314</v>
      </c>
      <c r="BN40">
        <v>120.19</v>
      </c>
      <c r="BO40">
        <v>876</v>
      </c>
      <c r="BQ40" s="59">
        <f t="shared" ca="1" si="5"/>
        <v>0</v>
      </c>
      <c r="BR40" s="59">
        <f t="shared" ca="1" si="6"/>
        <v>0</v>
      </c>
      <c r="BS40" s="59">
        <f t="shared" si="9"/>
        <v>0</v>
      </c>
      <c r="BT40" s="60">
        <f t="shared" si="10"/>
        <v>0.876</v>
      </c>
      <c r="BU40" s="60">
        <f t="shared" si="11"/>
        <v>10.545646536007558</v>
      </c>
      <c r="BZ40" s="61" t="str">
        <f t="shared" si="12"/>
        <v>Heptacosanes</v>
      </c>
      <c r="CA40" s="60" t="str">
        <f t="shared" si="13"/>
        <v>C27</v>
      </c>
    </row>
    <row r="41" spans="1:79" ht="16.5" thickBot="1" x14ac:dyDescent="0.3">
      <c r="A41" s="127"/>
      <c r="B41" s="140"/>
      <c r="C41" s="67"/>
      <c r="E41" s="151" t="s">
        <v>315</v>
      </c>
      <c r="F41" s="151"/>
      <c r="H41" s="152" t="s">
        <v>316</v>
      </c>
      <c r="I41" s="153"/>
      <c r="J41" s="153"/>
      <c r="K41" s="153"/>
      <c r="L41" s="153"/>
      <c r="V41" s="154"/>
      <c r="Y41" s="145"/>
      <c r="Z41" s="64">
        <v>374</v>
      </c>
      <c r="AA41" s="65" t="s">
        <v>279</v>
      </c>
      <c r="AB41" s="20" t="s">
        <v>280</v>
      </c>
      <c r="AC41" s="66">
        <v>1.7899999999999999E-3</v>
      </c>
      <c r="AF41" s="57"/>
      <c r="AH41" s="67"/>
      <c r="AK41" s="18">
        <f t="shared" si="14"/>
        <v>1.7899999999999999E-3</v>
      </c>
      <c r="AL41">
        <v>0.17899999999999999</v>
      </c>
      <c r="AN41" s="20" t="s">
        <v>160</v>
      </c>
      <c r="AO41" s="32" t="s">
        <v>312</v>
      </c>
      <c r="AR41" s="20"/>
      <c r="AS41" s="20" t="s">
        <v>262</v>
      </c>
      <c r="AU41" s="56" t="str">
        <f t="shared" si="7"/>
        <v>Octacosanes</v>
      </c>
      <c r="AV41" s="56" t="str">
        <f t="shared" si="7"/>
        <v>C28</v>
      </c>
      <c r="AZ41" s="57"/>
      <c r="BE41" s="18">
        <f t="shared" si="8"/>
        <v>0</v>
      </c>
      <c r="BL41" s="58" t="s">
        <v>317</v>
      </c>
      <c r="BM41" s="71" t="s">
        <v>234</v>
      </c>
      <c r="BN41" s="71">
        <v>106.2</v>
      </c>
      <c r="BO41" s="71">
        <v>863</v>
      </c>
      <c r="BP41" s="71"/>
      <c r="BQ41" s="59">
        <f t="shared" ca="1" si="5"/>
        <v>0</v>
      </c>
      <c r="BR41" s="59">
        <f t="shared" ca="1" si="6"/>
        <v>0</v>
      </c>
      <c r="BS41" s="59">
        <f t="shared" si="9"/>
        <v>0</v>
      </c>
      <c r="BZ41" s="61" t="str">
        <f t="shared" si="12"/>
        <v>Octacosanes</v>
      </c>
      <c r="CA41" s="60" t="str">
        <f t="shared" si="13"/>
        <v>C28</v>
      </c>
    </row>
    <row r="42" spans="1:79" ht="17.25" thickTop="1" thickBot="1" x14ac:dyDescent="0.3">
      <c r="A42" s="155"/>
      <c r="B42" s="156"/>
      <c r="C42" s="124"/>
      <c r="E42" s="157">
        <f>INDEX(A71:A100,MATCH(H10,A71:A100,-1))</f>
        <v>7315</v>
      </c>
      <c r="F42" s="158">
        <f>INDEX(D71:D100,MATCH(E42,A71:A100,0))</f>
        <v>0.59007558292734863</v>
      </c>
      <c r="H42" s="159" t="s">
        <v>318</v>
      </c>
      <c r="I42" s="153"/>
      <c r="J42" s="160"/>
      <c r="K42" s="161"/>
      <c r="L42" s="69"/>
      <c r="M42" s="162" t="s">
        <v>319</v>
      </c>
      <c r="N42" s="163"/>
      <c r="O42" s="164"/>
      <c r="P42" s="164"/>
      <c r="Q42" s="28"/>
      <c r="R42" s="165" t="s">
        <v>320</v>
      </c>
      <c r="S42" s="166" t="s">
        <v>321</v>
      </c>
      <c r="T42" s="167"/>
      <c r="U42" s="168"/>
      <c r="V42" s="168"/>
      <c r="W42" s="168"/>
      <c r="X42" s="168"/>
      <c r="Y42" s="169">
        <f>SUMPRODUCT(X3:X36,Y3:Y36)</f>
        <v>0</v>
      </c>
      <c r="Z42" s="64">
        <v>388</v>
      </c>
      <c r="AA42" s="65" t="s">
        <v>284</v>
      </c>
      <c r="AB42" s="22" t="s">
        <v>285</v>
      </c>
      <c r="AC42" s="66">
        <v>1.67E-3</v>
      </c>
      <c r="AF42" s="57"/>
      <c r="AH42" s="67"/>
      <c r="AK42" s="18">
        <f t="shared" si="14"/>
        <v>1.67E-3</v>
      </c>
      <c r="AL42">
        <v>0.16700000000000001</v>
      </c>
      <c r="AN42" s="20" t="s">
        <v>167</v>
      </c>
      <c r="AO42" s="32" t="s">
        <v>312</v>
      </c>
      <c r="AR42" s="20" t="s">
        <v>118</v>
      </c>
      <c r="AS42" s="20" t="s">
        <v>268</v>
      </c>
      <c r="AU42" s="56" t="str">
        <f t="shared" si="7"/>
        <v>Nonacosanes</v>
      </c>
      <c r="AV42" s="56" t="str">
        <f t="shared" si="7"/>
        <v>C29</v>
      </c>
      <c r="AZ42" s="57"/>
      <c r="BE42" s="18">
        <f t="shared" si="8"/>
        <v>0</v>
      </c>
      <c r="BZ42" s="61" t="str">
        <f t="shared" si="12"/>
        <v>Nonacosanes</v>
      </c>
      <c r="CA42" s="60" t="str">
        <f t="shared" si="13"/>
        <v>C29</v>
      </c>
    </row>
    <row r="43" spans="1:79" ht="16.5" thickTop="1" x14ac:dyDescent="0.25">
      <c r="E43" s="170">
        <f>INDEX(A71:A100,MATCH(H10,A71:A100,-1)+1)</f>
        <v>6515</v>
      </c>
      <c r="F43" s="171">
        <f>INDEX(D71:D100,MATCH(E43,A71:A100,0))</f>
        <v>0.58213245433569527</v>
      </c>
      <c r="H43" s="159" t="s">
        <v>322</v>
      </c>
      <c r="I43" s="62"/>
      <c r="J43" s="62"/>
      <c r="K43" s="62"/>
      <c r="L43" s="172"/>
      <c r="M43" s="173"/>
      <c r="N43" s="174" t="s">
        <v>323</v>
      </c>
      <c r="O43" s="175" t="s">
        <v>324</v>
      </c>
      <c r="P43" s="174" t="s">
        <v>325</v>
      </c>
      <c r="Q43" s="174" t="s">
        <v>326</v>
      </c>
      <c r="R43" s="165"/>
      <c r="S43" s="166" t="s">
        <v>327</v>
      </c>
      <c r="T43" s="168"/>
      <c r="U43" s="168"/>
      <c r="V43" s="168"/>
      <c r="W43" s="168"/>
      <c r="X43" s="168"/>
      <c r="Y43" s="176">
        <f>Y42/28.97</f>
        <v>0</v>
      </c>
      <c r="Z43" s="64">
        <v>402</v>
      </c>
      <c r="AA43" s="65" t="s">
        <v>292</v>
      </c>
      <c r="AB43" s="20" t="s">
        <v>293</v>
      </c>
      <c r="AC43" s="66">
        <v>1.5E-3</v>
      </c>
      <c r="AF43" s="57"/>
      <c r="AH43" s="67"/>
      <c r="AK43" s="18">
        <f t="shared" si="14"/>
        <v>1.5E-3</v>
      </c>
      <c r="AL43">
        <v>0.15</v>
      </c>
      <c r="AN43" s="20" t="s">
        <v>174</v>
      </c>
      <c r="AO43" s="32" t="s">
        <v>312</v>
      </c>
      <c r="AR43" s="20" t="s">
        <v>126</v>
      </c>
      <c r="AS43" s="20" t="s">
        <v>273</v>
      </c>
      <c r="AU43" s="56" t="str">
        <f t="shared" si="7"/>
        <v>Tricontanes</v>
      </c>
      <c r="AV43" s="56" t="str">
        <f t="shared" si="7"/>
        <v>C30+</v>
      </c>
      <c r="BE43" s="18">
        <f t="shared" si="8"/>
        <v>0</v>
      </c>
      <c r="BZ43" s="61" t="str">
        <f t="shared" si="12"/>
        <v>Tricontanes</v>
      </c>
      <c r="CA43" s="60" t="str">
        <f t="shared" si="13"/>
        <v>C30+</v>
      </c>
    </row>
    <row r="44" spans="1:79" ht="15.75" x14ac:dyDescent="0.25">
      <c r="E44" s="177">
        <f>E42</f>
        <v>7315</v>
      </c>
      <c r="F44" s="171">
        <f>INDEX(H71:H100,MATCH(E44,A71:A100,0))</f>
        <v>0.22362924292609596</v>
      </c>
      <c r="H44" s="19" t="s">
        <v>328</v>
      </c>
      <c r="I44" s="178"/>
      <c r="J44" s="179"/>
      <c r="K44" s="178"/>
      <c r="L44" s="179"/>
      <c r="M44" s="180"/>
      <c r="N44" s="174" t="s">
        <v>329</v>
      </c>
      <c r="O44" s="174" t="s">
        <v>9</v>
      </c>
      <c r="P44" s="174" t="s">
        <v>9</v>
      </c>
      <c r="Q44" s="174" t="s">
        <v>9</v>
      </c>
      <c r="R44" s="165" t="s">
        <v>330</v>
      </c>
      <c r="S44" s="166" t="s">
        <v>331</v>
      </c>
      <c r="T44" s="168"/>
      <c r="U44" s="168"/>
      <c r="V44" s="168"/>
      <c r="W44" s="168"/>
      <c r="X44" s="168"/>
      <c r="Y44" s="181"/>
      <c r="Z44" s="64">
        <v>416</v>
      </c>
      <c r="AA44" s="65" t="s">
        <v>332</v>
      </c>
      <c r="AB44" s="20" t="s">
        <v>299</v>
      </c>
      <c r="AC44" s="66">
        <v>1.2600000000000001E-3</v>
      </c>
      <c r="AH44" s="67"/>
      <c r="AK44" s="18">
        <f t="shared" si="14"/>
        <v>1.2600000000000001E-3</v>
      </c>
      <c r="AL44">
        <v>0.126</v>
      </c>
      <c r="AN44" s="20" t="s">
        <v>183</v>
      </c>
      <c r="AO44" s="32" t="s">
        <v>312</v>
      </c>
      <c r="AR44" s="20" t="s">
        <v>126</v>
      </c>
      <c r="AS44" s="20" t="s">
        <v>280</v>
      </c>
      <c r="AU44" s="56" t="str">
        <f t="shared" si="7"/>
        <v>Hentriacontanes</v>
      </c>
      <c r="AV44" s="56" t="str">
        <f t="shared" si="7"/>
        <v>C30+</v>
      </c>
      <c r="AZ44" s="57"/>
      <c r="BE44" s="18">
        <f t="shared" si="8"/>
        <v>0</v>
      </c>
      <c r="BL44" s="65" t="s">
        <v>333</v>
      </c>
      <c r="BQ44" s="182">
        <f ca="1">SUM(BQ9:BQ43)</f>
        <v>0.17098000000000002</v>
      </c>
      <c r="BR44" s="182">
        <f ca="1">SUM(BR9:BR43)</f>
        <v>0</v>
      </c>
      <c r="BS44" s="182">
        <f>SUM(BS9:BS43)</f>
        <v>0</v>
      </c>
      <c r="BZ44" s="61" t="str">
        <f t="shared" si="12"/>
        <v>Hentriacontanes</v>
      </c>
      <c r="CA44" s="60" t="str">
        <f t="shared" si="13"/>
        <v>C30+</v>
      </c>
    </row>
    <row r="45" spans="1:79" ht="16.5" thickBot="1" x14ac:dyDescent="0.3">
      <c r="A45" s="183" t="s">
        <v>334</v>
      </c>
      <c r="B45" s="184"/>
      <c r="C45" s="184"/>
      <c r="E45" s="185">
        <f>E43</f>
        <v>6515</v>
      </c>
      <c r="F45" s="186">
        <f>INDEX(H71:H100,MATCH(E45,A71:A100,0))</f>
        <v>0.21198774742943197</v>
      </c>
      <c r="G45" s="90"/>
      <c r="H45" s="19" t="s">
        <v>335</v>
      </c>
      <c r="I45" s="178"/>
      <c r="J45" s="179"/>
      <c r="K45" s="178"/>
      <c r="L45" s="178"/>
      <c r="M45" s="164" t="s">
        <v>336</v>
      </c>
      <c r="N45" s="174">
        <v>6</v>
      </c>
      <c r="O45" s="187"/>
      <c r="P45" s="174"/>
      <c r="Q45" s="174"/>
      <c r="R45" s="165"/>
      <c r="S45" s="166" t="s">
        <v>337</v>
      </c>
      <c r="T45" s="188">
        <f>IF(SUM(T$13:T$38)=0,"",SUM(T$13:T$38))</f>
        <v>0.21622000000000002</v>
      </c>
      <c r="U45" s="188" t="str">
        <f>IF(SUM(U$13:U$38)=0,"",SUM(U$13:U$38))</f>
        <v/>
      </c>
      <c r="V45" s="188" t="str">
        <f>IF(SUM(V$13:V$38)=0,"",SUM(V$13:V$38))</f>
        <v/>
      </c>
      <c r="W45" s="188" t="str">
        <f>IF(SUM(W$13:W$38)=0,"",SUM(W$13:W$38))</f>
        <v/>
      </c>
      <c r="X45" s="188" t="str">
        <f>IF(SUM(X$13:X$38)=0,"",SUM(X$13:X$38))</f>
        <v/>
      </c>
      <c r="Y45" s="189"/>
      <c r="Z45" s="64">
        <v>430</v>
      </c>
      <c r="AA45" s="65" t="s">
        <v>338</v>
      </c>
      <c r="AB45" s="20" t="s">
        <v>299</v>
      </c>
      <c r="AC45" s="66">
        <v>1.2199999999999999E-3</v>
      </c>
      <c r="AF45" s="57"/>
      <c r="AH45" s="67"/>
      <c r="AK45" s="18">
        <f t="shared" si="14"/>
        <v>1.2199999999999999E-3</v>
      </c>
      <c r="AL45">
        <v>0.122</v>
      </c>
      <c r="AN45" s="20" t="s">
        <v>190</v>
      </c>
      <c r="AO45" s="32" t="s">
        <v>312</v>
      </c>
      <c r="AR45" s="20" t="s">
        <v>135</v>
      </c>
      <c r="AS45" s="22" t="s">
        <v>285</v>
      </c>
      <c r="AU45" s="56" t="str">
        <f t="shared" si="7"/>
        <v>Dotriacontanes</v>
      </c>
      <c r="AV45" s="56" t="str">
        <f t="shared" si="7"/>
        <v>C30+</v>
      </c>
      <c r="BB45" s="190"/>
      <c r="BE45" s="18">
        <f t="shared" si="8"/>
        <v>0</v>
      </c>
      <c r="BL45" s="65" t="s">
        <v>339</v>
      </c>
      <c r="BQ45" s="150">
        <f>SUM($T$9:$T$17)</f>
        <v>0.17098000000000002</v>
      </c>
      <c r="BR45" s="150">
        <f>SUM($W$9:$W$17)</f>
        <v>0</v>
      </c>
      <c r="BS45" s="150">
        <f>SUM($X$9:$X$17)</f>
        <v>0</v>
      </c>
      <c r="BZ45" s="61" t="str">
        <f t="shared" si="12"/>
        <v>Dotriacontanes</v>
      </c>
      <c r="CA45" s="60" t="str">
        <f t="shared" si="13"/>
        <v>C30+</v>
      </c>
    </row>
    <row r="46" spans="1:79" ht="16.5" thickTop="1" x14ac:dyDescent="0.25">
      <c r="A46" s="191" t="s">
        <v>340</v>
      </c>
      <c r="B46" s="192" t="s">
        <v>340</v>
      </c>
      <c r="C46" s="193"/>
      <c r="D46" s="194"/>
      <c r="G46" s="90"/>
      <c r="H46" s="19" t="s">
        <v>341</v>
      </c>
      <c r="I46" s="178"/>
      <c r="J46" s="178"/>
      <c r="K46" s="178"/>
      <c r="L46" s="178"/>
      <c r="M46" s="180" t="s">
        <v>342</v>
      </c>
      <c r="N46" s="174">
        <v>7</v>
      </c>
      <c r="O46" s="195"/>
      <c r="P46" s="174"/>
      <c r="Q46" s="174"/>
      <c r="R46" s="165"/>
      <c r="S46" s="166" t="s">
        <v>343</v>
      </c>
      <c r="T46" s="168"/>
      <c r="U46" s="168"/>
      <c r="V46" s="168"/>
      <c r="W46" s="168"/>
      <c r="X46" s="168"/>
      <c r="Y46" s="181"/>
      <c r="Z46" s="64">
        <v>444</v>
      </c>
      <c r="AA46" s="65" t="s">
        <v>344</v>
      </c>
      <c r="AB46" s="20" t="s">
        <v>299</v>
      </c>
      <c r="AC46" s="66">
        <v>1.1100000000000001E-3</v>
      </c>
      <c r="AH46" s="67"/>
      <c r="AK46" s="18">
        <f t="shared" si="14"/>
        <v>1.1100000000000001E-3</v>
      </c>
      <c r="AL46">
        <v>0.111</v>
      </c>
      <c r="AN46" s="20" t="s">
        <v>197</v>
      </c>
      <c r="AR46" s="20"/>
      <c r="AS46" s="20" t="s">
        <v>293</v>
      </c>
      <c r="AU46" s="56" t="str">
        <f t="shared" si="7"/>
        <v>Tritriacontanes</v>
      </c>
      <c r="AV46" s="56" t="str">
        <f t="shared" si="7"/>
        <v>C30+</v>
      </c>
      <c r="AZ46" s="57"/>
      <c r="BB46" s="190"/>
      <c r="BE46" s="18">
        <f t="shared" si="8"/>
        <v>0</v>
      </c>
      <c r="BL46" s="65" t="s">
        <v>345</v>
      </c>
      <c r="BQ46" s="196">
        <f ca="1">BQ44-BQ45</f>
        <v>0</v>
      </c>
      <c r="BR46" s="196">
        <f ca="1">BR44-BR45</f>
        <v>0</v>
      </c>
      <c r="BS46" s="196">
        <f>BS44-BS45</f>
        <v>0</v>
      </c>
      <c r="BZ46" s="61" t="str">
        <f t="shared" si="12"/>
        <v>Tritriacontanes</v>
      </c>
      <c r="CA46" s="60" t="str">
        <f t="shared" si="13"/>
        <v>C30+</v>
      </c>
    </row>
    <row r="47" spans="1:79" ht="15.75" x14ac:dyDescent="0.25">
      <c r="A47" s="197"/>
      <c r="B47" s="19" t="s">
        <v>346</v>
      </c>
      <c r="C47" s="198">
        <f t="shared" ref="C47:C54" si="16">IF(E47&lt;&gt;0,  E47,  "")</f>
        <v>0.2234109648855335</v>
      </c>
      <c r="D47" s="199" t="s">
        <v>347</v>
      </c>
      <c r="E47" s="200">
        <f>IF(AND(B31="Yes", H10&lt;&gt;"", H10&gt;=MIN(A71:A100),  H10&lt;=MAX(A71:A100)),  F45+((H10-E45)/(E44-E45))*(F44-F45),  "")</f>
        <v>0.2234109648855335</v>
      </c>
      <c r="G47" s="90"/>
      <c r="H47" s="19" t="s">
        <v>348</v>
      </c>
      <c r="I47" s="201"/>
      <c r="J47" s="201"/>
      <c r="K47" s="201"/>
      <c r="L47" s="201"/>
      <c r="M47" s="180" t="s">
        <v>349</v>
      </c>
      <c r="N47" s="174">
        <v>8</v>
      </c>
      <c r="O47" s="195"/>
      <c r="P47" s="174"/>
      <c r="Q47" s="174"/>
      <c r="R47" s="165" t="s">
        <v>350</v>
      </c>
      <c r="S47" s="166" t="s">
        <v>351</v>
      </c>
      <c r="T47" s="168"/>
      <c r="U47" s="168"/>
      <c r="V47" s="168"/>
      <c r="W47" s="168"/>
      <c r="X47" s="168"/>
      <c r="Y47" s="181"/>
      <c r="Z47" s="64">
        <v>458</v>
      </c>
      <c r="AA47" s="65" t="s">
        <v>352</v>
      </c>
      <c r="AB47" s="20" t="s">
        <v>299</v>
      </c>
      <c r="AC47" s="66">
        <v>1.06E-3</v>
      </c>
      <c r="AF47" s="57"/>
      <c r="AH47" s="67"/>
      <c r="AK47" s="18">
        <f t="shared" si="14"/>
        <v>1.06E-3</v>
      </c>
      <c r="AL47">
        <v>0.106</v>
      </c>
      <c r="AN47" s="20" t="s">
        <v>205</v>
      </c>
      <c r="AR47" s="20"/>
      <c r="AS47" s="20" t="s">
        <v>308</v>
      </c>
      <c r="AU47" s="56" t="str">
        <f t="shared" si="7"/>
        <v>Tetratriacontanes</v>
      </c>
      <c r="AV47" s="56" t="str">
        <f t="shared" si="7"/>
        <v>C30+</v>
      </c>
      <c r="AZ47" s="57"/>
      <c r="BB47" s="190"/>
      <c r="BE47" s="18">
        <f t="shared" si="8"/>
        <v>0</v>
      </c>
      <c r="BZ47" s="61" t="str">
        <f t="shared" si="12"/>
        <v>Tetratriacontanes</v>
      </c>
      <c r="CA47" s="60" t="str">
        <f t="shared" si="13"/>
        <v>C30+</v>
      </c>
    </row>
    <row r="48" spans="1:79" ht="15.75" x14ac:dyDescent="0.25">
      <c r="A48" s="197"/>
      <c r="B48" s="19" t="s">
        <v>353</v>
      </c>
      <c r="C48" s="198">
        <f t="shared" si="16"/>
        <v>0.58992664926625515</v>
      </c>
      <c r="D48" s="199" t="s">
        <v>354</v>
      </c>
      <c r="E48" s="200">
        <f>IF(AND(B31="Yes", H10&lt;&gt;"", H10&gt;=MIN(A71:A100),  H10&lt;=MAX(A71:A100)),  F43+((H10-E43)/(E42-E43))*(F42-F43),  "")</f>
        <v>0.58992664926625515</v>
      </c>
      <c r="G48" s="90"/>
      <c r="I48" s="92"/>
      <c r="J48" s="92"/>
      <c r="K48" s="92"/>
      <c r="L48" s="92"/>
      <c r="M48" s="180" t="s">
        <v>355</v>
      </c>
      <c r="N48" s="174">
        <v>9</v>
      </c>
      <c r="O48" s="195"/>
      <c r="P48" s="174"/>
      <c r="Q48" s="174"/>
      <c r="R48" s="165"/>
      <c r="S48" s="166" t="s">
        <v>356</v>
      </c>
      <c r="T48" s="188">
        <f>IF(SUM(T$14:T$38)=0,"",SUM(T$14:T$38))</f>
        <v>0.19611000000000001</v>
      </c>
      <c r="U48" s="188" t="str">
        <f>IF(SUM(U$14:U$38)=0,"",SUM(U$14:U$38))</f>
        <v/>
      </c>
      <c r="V48" s="188" t="str">
        <f>IF(SUM(V$14:V$38)=0,"",SUM(V$14:V$38))</f>
        <v/>
      </c>
      <c r="W48" s="188" t="str">
        <f>IF(SUM(W$14:W$38)=0,"",SUM(W$14:W$38))</f>
        <v/>
      </c>
      <c r="X48" s="188" t="str">
        <f>IF(SUM(X$14:X$38)=0,"",SUM(X$14:X$38))</f>
        <v/>
      </c>
      <c r="Y48" s="189"/>
      <c r="Z48" s="64">
        <v>472</v>
      </c>
      <c r="AA48" s="65" t="s">
        <v>357</v>
      </c>
      <c r="AB48" s="20" t="s">
        <v>299</v>
      </c>
      <c r="AC48" s="66">
        <v>9.7000000000000005E-4</v>
      </c>
      <c r="AF48" s="57"/>
      <c r="AH48" s="67"/>
      <c r="AK48" s="18">
        <f t="shared" si="14"/>
        <v>9.7000000000000005E-4</v>
      </c>
      <c r="AL48">
        <v>9.7000000000000003E-2</v>
      </c>
      <c r="AN48" s="20" t="s">
        <v>214</v>
      </c>
      <c r="AR48" s="20" t="s">
        <v>126</v>
      </c>
      <c r="AS48" s="22"/>
      <c r="AU48" s="56" t="str">
        <f t="shared" si="7"/>
        <v>Pentatriacontanes</v>
      </c>
      <c r="AV48" s="56" t="str">
        <f t="shared" si="7"/>
        <v>C30+</v>
      </c>
      <c r="AZ48" s="57"/>
      <c r="BB48" s="190"/>
      <c r="BE48" s="18">
        <f t="shared" si="8"/>
        <v>0</v>
      </c>
      <c r="BL48" t="s">
        <v>264</v>
      </c>
      <c r="BM48" s="150">
        <f>SUM($T$9:$T$10)</f>
        <v>3.7760000000000002E-2</v>
      </c>
      <c r="BN48" s="150">
        <f>SUM($W$9:$W$10)</f>
        <v>0</v>
      </c>
      <c r="BO48" s="150">
        <f>SUM($X$9:$X$10)</f>
        <v>0</v>
      </c>
      <c r="BZ48" s="61" t="str">
        <f t="shared" si="12"/>
        <v>Pentatriacontanes</v>
      </c>
      <c r="CA48" s="60" t="str">
        <f t="shared" si="13"/>
        <v>C30+</v>
      </c>
    </row>
    <row r="49" spans="1:79" ht="15.75" x14ac:dyDescent="0.25">
      <c r="A49" s="197"/>
      <c r="B49" s="19" t="s">
        <v>358</v>
      </c>
      <c r="C49" s="198">
        <f t="shared" si="16"/>
        <v>2.2293403578100737</v>
      </c>
      <c r="D49" s="202" t="s">
        <v>359</v>
      </c>
      <c r="E49" s="203">
        <f>IF(B31="Yes",VLOOKUP(H9,A71:K100,2,FALSE), "")</f>
        <v>2.2293403578100737</v>
      </c>
      <c r="G49" s="90"/>
      <c r="I49" s="97"/>
      <c r="J49" s="97"/>
      <c r="K49" s="97"/>
      <c r="L49" s="97"/>
      <c r="M49" s="164" t="s">
        <v>360</v>
      </c>
      <c r="N49" s="174">
        <v>10</v>
      </c>
      <c r="O49" s="204"/>
      <c r="P49" s="174"/>
      <c r="Q49" s="174"/>
      <c r="R49" s="165"/>
      <c r="S49" s="166" t="s">
        <v>361</v>
      </c>
      <c r="T49" s="168"/>
      <c r="U49" s="168"/>
      <c r="V49" s="168"/>
      <c r="W49" s="168"/>
      <c r="X49" s="168"/>
      <c r="Y49" s="181"/>
      <c r="Z49" s="64">
        <v>486</v>
      </c>
      <c r="AA49" s="65" t="s">
        <v>362</v>
      </c>
      <c r="AB49" s="20" t="s">
        <v>299</v>
      </c>
      <c r="AC49" s="66">
        <v>7.3999999999999999E-4</v>
      </c>
      <c r="AF49" s="57"/>
      <c r="AH49" s="67"/>
      <c r="AK49" s="18">
        <f t="shared" si="14"/>
        <v>7.3999999999999999E-4</v>
      </c>
      <c r="AL49">
        <v>7.3999999999999996E-2</v>
      </c>
      <c r="AN49" s="20" t="s">
        <v>223</v>
      </c>
      <c r="AR49" s="20" t="s">
        <v>135</v>
      </c>
      <c r="AS49" s="22"/>
      <c r="AU49" s="56" t="str">
        <f t="shared" si="7"/>
        <v>Hexatriacontanes plus</v>
      </c>
      <c r="AV49" s="56" t="str">
        <f t="shared" si="7"/>
        <v>C30+</v>
      </c>
      <c r="AW49" s="205"/>
      <c r="BB49" s="190"/>
      <c r="BE49" s="18">
        <f t="shared" si="8"/>
        <v>0</v>
      </c>
      <c r="BL49" s="65" t="s">
        <v>275</v>
      </c>
      <c r="BM49" s="150">
        <f>SUM($T$11:$T$12)</f>
        <v>2.546E-2</v>
      </c>
      <c r="BN49" s="150">
        <f>SUM($W$11:$W$12)</f>
        <v>0</v>
      </c>
      <c r="BO49" s="150">
        <f>SUM($X$11:$X$12)</f>
        <v>0</v>
      </c>
      <c r="BZ49" s="61" t="str">
        <f t="shared" si="12"/>
        <v>Hexatriacontanes plus</v>
      </c>
      <c r="CA49" s="60" t="str">
        <f t="shared" si="13"/>
        <v>C30+</v>
      </c>
    </row>
    <row r="50" spans="1:79" ht="15.75" x14ac:dyDescent="0.25">
      <c r="A50" s="197"/>
      <c r="B50" s="19" t="s">
        <v>363</v>
      </c>
      <c r="C50" s="206">
        <f t="shared" si="16"/>
        <v>2167.6704286654417</v>
      </c>
      <c r="D50" s="202" t="s">
        <v>364</v>
      </c>
      <c r="E50" s="207">
        <f>IF(B31="Yes",VLOOKUP(H9,A71:K100,3,FALSE), "")</f>
        <v>2167.6704286654417</v>
      </c>
      <c r="G50" s="90"/>
      <c r="I50" s="100"/>
      <c r="J50" s="100"/>
      <c r="K50" s="100"/>
      <c r="L50" s="100"/>
      <c r="M50" s="180"/>
      <c r="N50" s="180"/>
      <c r="O50" s="180"/>
      <c r="P50" s="180"/>
      <c r="Q50" s="164"/>
      <c r="R50" s="165" t="s">
        <v>365</v>
      </c>
      <c r="S50" s="166" t="s">
        <v>366</v>
      </c>
      <c r="T50" s="168"/>
      <c r="U50" s="208"/>
      <c r="V50" s="168"/>
      <c r="W50" s="168"/>
      <c r="X50" s="168"/>
      <c r="Y50" s="181"/>
      <c r="Z50" s="64">
        <v>645.04356599119683</v>
      </c>
      <c r="AA50" s="65" t="s">
        <v>367</v>
      </c>
      <c r="AB50" s="20" t="s">
        <v>299</v>
      </c>
      <c r="AC50" s="66">
        <v>9.5700000000000004E-3</v>
      </c>
      <c r="AH50" s="67"/>
      <c r="AK50" s="18">
        <f t="shared" si="14"/>
        <v>9.5700000000000004E-3</v>
      </c>
      <c r="AL50">
        <v>0.95699999999999996</v>
      </c>
      <c r="AN50" s="20" t="s">
        <v>231</v>
      </c>
      <c r="AR50" s="20" t="s">
        <v>141</v>
      </c>
      <c r="AS50" s="20"/>
      <c r="AU50" s="56">
        <f t="shared" si="7"/>
        <v>0</v>
      </c>
      <c r="AV50" s="56">
        <f t="shared" si="7"/>
        <v>0</v>
      </c>
      <c r="BB50" s="190"/>
      <c r="BE50" s="18">
        <f t="shared" si="8"/>
        <v>0</v>
      </c>
      <c r="BL50" s="65" t="s">
        <v>126</v>
      </c>
      <c r="BM50" s="150">
        <f>$T$13</f>
        <v>2.0110000000000003E-2</v>
      </c>
      <c r="BN50" s="150" t="str">
        <f>$W$13</f>
        <v/>
      </c>
      <c r="BO50" s="150" t="str">
        <f>$X$13</f>
        <v/>
      </c>
      <c r="BZ50" s="61" t="str">
        <f t="shared" si="12"/>
        <v/>
      </c>
      <c r="CA50" s="60" t="str">
        <f t="shared" si="13"/>
        <v/>
      </c>
    </row>
    <row r="51" spans="1:79" ht="15.75" x14ac:dyDescent="0.25">
      <c r="A51" s="197"/>
      <c r="B51" s="19" t="s">
        <v>368</v>
      </c>
      <c r="C51" s="198">
        <f t="shared" si="16"/>
        <v>0.55177959353108852</v>
      </c>
      <c r="D51" s="209" t="s">
        <v>369</v>
      </c>
      <c r="E51" s="203">
        <f>IF(B31="Yes",VLOOKUP(H9,A71:K100,4,FALSE), "")</f>
        <v>0.55177959353108852</v>
      </c>
      <c r="F51" s="88"/>
      <c r="G51" s="44" t="s">
        <v>370</v>
      </c>
      <c r="H51" s="44"/>
      <c r="I51" s="44"/>
      <c r="J51" s="44"/>
      <c r="M51" s="210"/>
      <c r="N51" s="210"/>
      <c r="O51" s="210"/>
      <c r="P51" s="210"/>
      <c r="Q51" s="164"/>
      <c r="R51" s="165"/>
      <c r="S51" s="166" t="s">
        <v>371</v>
      </c>
      <c r="T51" s="188">
        <f>IF(SUM(T$19:T$38)=0,"",SUM(T$19:T$38))</f>
        <v>9.5959999999999976E-2</v>
      </c>
      <c r="U51" s="188" t="str">
        <f>IF(SUM(U$19:U$38)=0,"",SUM(U$19:U$38))</f>
        <v/>
      </c>
      <c r="V51" s="188" t="str">
        <f>IF(SUM(V$19:V$38)=0,"",SUM(V$19:V$38))</f>
        <v/>
      </c>
      <c r="W51" s="188" t="str">
        <f>IF(SUM(W$19:W$38)=0,"",SUM(W$19:W$38))</f>
        <v/>
      </c>
      <c r="X51" s="188" t="str">
        <f>IF(SUM(X$19:X$38)=0,"",SUM(X$19:X$38))</f>
        <v/>
      </c>
      <c r="Y51" s="189"/>
      <c r="Z51" s="64"/>
      <c r="AA51" s="65"/>
      <c r="AB51" s="20"/>
      <c r="AC51" s="66"/>
      <c r="AH51" s="67"/>
      <c r="AK51" s="18">
        <f t="shared" si="14"/>
        <v>0</v>
      </c>
      <c r="AN51" s="20" t="s">
        <v>238</v>
      </c>
      <c r="AR51" s="20" t="s">
        <v>141</v>
      </c>
      <c r="AS51" s="20"/>
      <c r="AU51" s="56">
        <f t="shared" si="7"/>
        <v>0</v>
      </c>
      <c r="AV51" s="56">
        <f t="shared" si="7"/>
        <v>0</v>
      </c>
      <c r="AZ51" s="205"/>
      <c r="BA51" s="205"/>
      <c r="BB51" s="211"/>
      <c r="BE51" s="18">
        <f t="shared" si="8"/>
        <v>0</v>
      </c>
      <c r="BF51" s="205"/>
      <c r="BL51" s="65" t="s">
        <v>135</v>
      </c>
      <c r="BM51" s="150">
        <f>$T$14</f>
        <v>2.4830000000000001E-2</v>
      </c>
      <c r="BN51" s="150" t="str">
        <f>$W$14</f>
        <v/>
      </c>
      <c r="BO51" s="150" t="str">
        <f>$X$14</f>
        <v/>
      </c>
      <c r="BZ51" s="61" t="str">
        <f t="shared" si="12"/>
        <v/>
      </c>
      <c r="CA51" s="60" t="str">
        <f t="shared" si="13"/>
        <v/>
      </c>
    </row>
    <row r="52" spans="1:79" ht="15.75" x14ac:dyDescent="0.25">
      <c r="A52" s="197"/>
      <c r="B52" s="19" t="s">
        <v>372</v>
      </c>
      <c r="C52" s="198">
        <f t="shared" si="16"/>
        <v>0.17235682865134191</v>
      </c>
      <c r="D52" s="202" t="s">
        <v>347</v>
      </c>
      <c r="E52" s="203">
        <f>IF(B31="Yes",VLOOKUP(H9,A71:K100,8,FALSE), "")</f>
        <v>0.17235682865134191</v>
      </c>
      <c r="F52" s="92"/>
      <c r="G52" s="17" t="s">
        <v>373</v>
      </c>
      <c r="H52" s="17" t="s">
        <v>374</v>
      </c>
      <c r="I52" s="17" t="s">
        <v>373</v>
      </c>
      <c r="J52" s="17" t="s">
        <v>375</v>
      </c>
      <c r="M52" s="212" t="s">
        <v>376</v>
      </c>
      <c r="N52" s="210"/>
      <c r="O52" s="210"/>
      <c r="P52" s="210"/>
      <c r="Q52" s="164"/>
      <c r="R52" s="165"/>
      <c r="S52" s="166" t="s">
        <v>377</v>
      </c>
      <c r="T52" s="168"/>
      <c r="U52" s="213"/>
      <c r="V52" s="168"/>
      <c r="W52" s="168"/>
      <c r="X52" s="168"/>
      <c r="Y52" s="181"/>
      <c r="Z52" s="64"/>
      <c r="AA52" s="65"/>
      <c r="AB52" s="20"/>
      <c r="AC52" s="66"/>
      <c r="AH52" s="67"/>
      <c r="AK52" s="18">
        <f t="shared" si="14"/>
        <v>0</v>
      </c>
      <c r="AL52" s="205"/>
      <c r="AN52" s="20" t="s">
        <v>244</v>
      </c>
      <c r="AR52" s="20" t="s">
        <v>148</v>
      </c>
      <c r="AS52" s="20"/>
      <c r="AU52" s="56">
        <f t="shared" si="7"/>
        <v>0</v>
      </c>
      <c r="AV52" s="56">
        <f t="shared" si="7"/>
        <v>0</v>
      </c>
      <c r="BE52" s="18">
        <f t="shared" si="8"/>
        <v>0</v>
      </c>
      <c r="BL52" s="65" t="s">
        <v>141</v>
      </c>
      <c r="BM52" s="150">
        <f>$T$15</f>
        <v>2.8039999999999999E-2</v>
      </c>
      <c r="BN52" s="150" t="str">
        <f>$W$15</f>
        <v/>
      </c>
      <c r="BO52" s="150" t="str">
        <f>$X$15</f>
        <v/>
      </c>
      <c r="BZ52" s="61" t="str">
        <f t="shared" si="12"/>
        <v/>
      </c>
      <c r="CA52" s="60" t="str">
        <f t="shared" si="13"/>
        <v/>
      </c>
    </row>
    <row r="53" spans="1:79" ht="15.75" x14ac:dyDescent="0.25">
      <c r="A53" s="197"/>
      <c r="B53" s="19" t="s">
        <v>378</v>
      </c>
      <c r="C53" s="214">
        <f t="shared" si="16"/>
        <v>0.75445001729643135</v>
      </c>
      <c r="D53" s="209" t="s">
        <v>369</v>
      </c>
      <c r="E53" s="215">
        <f>IF(B31="Yes",INDEX(D71:D100,MATCH(MIN(A71:A100),A71:A100,0)),"")</f>
        <v>0.75445001729643135</v>
      </c>
      <c r="F53" s="97"/>
      <c r="G53" s="18">
        <f>H53/10^6*5.615</f>
        <v>0</v>
      </c>
      <c r="H53" s="17"/>
      <c r="I53" s="18">
        <f>J53/1000*5.615</f>
        <v>0</v>
      </c>
      <c r="J53" s="17"/>
      <c r="M53" s="173"/>
      <c r="N53" s="174" t="s">
        <v>323</v>
      </c>
      <c r="O53" s="175" t="s">
        <v>324</v>
      </c>
      <c r="P53" s="174" t="s">
        <v>325</v>
      </c>
      <c r="Q53" s="174" t="s">
        <v>326</v>
      </c>
      <c r="R53" s="165" t="s">
        <v>379</v>
      </c>
      <c r="S53" s="166" t="s">
        <v>380</v>
      </c>
      <c r="T53" s="168"/>
      <c r="U53" s="213"/>
      <c r="V53" s="168"/>
      <c r="W53" s="168"/>
      <c r="X53" s="168"/>
      <c r="Y53" s="181"/>
      <c r="Z53" s="64"/>
      <c r="AA53" s="65"/>
      <c r="AB53" s="20"/>
      <c r="AC53" s="66"/>
      <c r="AH53" s="67"/>
      <c r="AK53" s="18">
        <f t="shared" si="14"/>
        <v>0</v>
      </c>
      <c r="AN53" s="20" t="s">
        <v>250</v>
      </c>
      <c r="AU53" s="56">
        <f t="shared" si="7"/>
        <v>0</v>
      </c>
      <c r="AV53" s="56">
        <f t="shared" si="7"/>
        <v>0</v>
      </c>
      <c r="BE53" s="18">
        <f t="shared" si="8"/>
        <v>0</v>
      </c>
      <c r="BL53" s="65" t="s">
        <v>148</v>
      </c>
      <c r="BM53" s="150">
        <f>$T$16</f>
        <v>1.9710000000000002E-2</v>
      </c>
      <c r="BN53" s="150" t="str">
        <f>$W$16</f>
        <v/>
      </c>
      <c r="BO53" s="150" t="str">
        <f>$X$16</f>
        <v/>
      </c>
      <c r="BZ53" s="61" t="str">
        <f t="shared" si="12"/>
        <v/>
      </c>
      <c r="CA53" s="60" t="str">
        <f t="shared" si="13"/>
        <v/>
      </c>
    </row>
    <row r="54" spans="1:79" ht="15.75" x14ac:dyDescent="0.25">
      <c r="A54" s="197"/>
      <c r="B54" s="19" t="s">
        <v>381</v>
      </c>
      <c r="C54" s="216">
        <f t="shared" si="16"/>
        <v>0.90401000500417006</v>
      </c>
      <c r="D54" s="202" t="s">
        <v>347</v>
      </c>
      <c r="E54" s="217">
        <f>IF(B31="Yes",INDEX(H71:H100,MATCH(MIN(A71:A100),A71:A100,0)),"")</f>
        <v>0.90401000500417006</v>
      </c>
      <c r="F54" s="100"/>
      <c r="G54" s="18">
        <f t="shared" ref="G54:G65" si="17">H54/10^6*5.615</f>
        <v>0</v>
      </c>
      <c r="H54" s="17"/>
      <c r="I54" s="18">
        <f t="shared" ref="I54:I65" si="18">J54/1000*5.615</f>
        <v>0</v>
      </c>
      <c r="J54" s="17"/>
      <c r="M54" s="180"/>
      <c r="N54" s="174" t="s">
        <v>329</v>
      </c>
      <c r="O54" s="174" t="s">
        <v>75</v>
      </c>
      <c r="P54" s="174" t="s">
        <v>75</v>
      </c>
      <c r="Q54" s="174" t="s">
        <v>75</v>
      </c>
      <c r="R54" s="165"/>
      <c r="S54" s="166" t="s">
        <v>382</v>
      </c>
      <c r="T54" s="188">
        <f>IF(SUM(T$37:T$38)=0,"",SUM(T$37:T$38))</f>
        <v>1.593E-2</v>
      </c>
      <c r="U54" s="188" t="str">
        <f>IF(SUM(U$37:U$38)=0,"",SUM(U$37:U$38))</f>
        <v/>
      </c>
      <c r="V54" s="188" t="str">
        <f>IF(SUM(V$37:V$38)=0,"",SUM(V$37:V$38))</f>
        <v/>
      </c>
      <c r="W54" s="188" t="str">
        <f>IF(SUM(W$37:W$38)=0,"",SUM(W$37:W$38))</f>
        <v/>
      </c>
      <c r="X54" s="188" t="str">
        <f>IF(SUM(X$37:X$38)=0,"",SUM(X$37:X$38))</f>
        <v/>
      </c>
      <c r="Y54" s="189"/>
      <c r="Z54" s="64"/>
      <c r="AA54" s="65"/>
      <c r="AB54" s="20"/>
      <c r="AC54" s="66"/>
      <c r="AH54" s="67"/>
      <c r="AK54" s="18">
        <f t="shared" si="14"/>
        <v>0</v>
      </c>
      <c r="AN54" s="20" t="s">
        <v>256</v>
      </c>
      <c r="AU54" s="56">
        <f t="shared" si="7"/>
        <v>0</v>
      </c>
      <c r="AV54" s="56">
        <f t="shared" si="7"/>
        <v>0</v>
      </c>
      <c r="BE54" s="18">
        <f t="shared" si="8"/>
        <v>0</v>
      </c>
      <c r="BL54" s="65" t="s">
        <v>160</v>
      </c>
      <c r="BM54" s="150">
        <f>$T$17</f>
        <v>1.5069999999999998E-2</v>
      </c>
      <c r="BN54" s="150" t="str">
        <f>$W$17</f>
        <v/>
      </c>
      <c r="BO54" s="150" t="str">
        <f>$X$17</f>
        <v/>
      </c>
      <c r="BZ54" s="61" t="str">
        <f t="shared" si="12"/>
        <v/>
      </c>
      <c r="CA54" s="60" t="str">
        <f t="shared" si="13"/>
        <v/>
      </c>
    </row>
    <row r="55" spans="1:79" ht="15.75" x14ac:dyDescent="0.25">
      <c r="A55" s="197"/>
      <c r="B55" s="19" t="s">
        <v>383</v>
      </c>
      <c r="C55" s="218">
        <v>0.80930000000000002</v>
      </c>
      <c r="D55" s="219" t="s">
        <v>369</v>
      </c>
      <c r="E55" s="220"/>
      <c r="G55" s="18">
        <f t="shared" si="17"/>
        <v>0</v>
      </c>
      <c r="H55" s="17"/>
      <c r="I55" s="18">
        <f t="shared" si="18"/>
        <v>0</v>
      </c>
      <c r="J55" s="17"/>
      <c r="M55" s="164" t="s">
        <v>336</v>
      </c>
      <c r="N55" s="174">
        <v>6</v>
      </c>
      <c r="O55" s="221"/>
      <c r="P55" s="174"/>
      <c r="Q55" s="174"/>
      <c r="R55" s="165"/>
      <c r="S55" s="166" t="s">
        <v>384</v>
      </c>
      <c r="T55" s="168"/>
      <c r="U55" s="213"/>
      <c r="V55" s="168"/>
      <c r="W55" s="168"/>
      <c r="X55" s="168"/>
      <c r="Y55" s="181"/>
      <c r="Z55" s="64"/>
      <c r="AA55" s="65"/>
      <c r="AB55" s="20"/>
      <c r="AC55" s="66"/>
      <c r="AH55" s="67"/>
      <c r="AK55" s="18">
        <f t="shared" si="14"/>
        <v>0</v>
      </c>
      <c r="AN55" s="20" t="s">
        <v>262</v>
      </c>
      <c r="AU55" s="56">
        <f t="shared" si="7"/>
        <v>0</v>
      </c>
      <c r="AV55" s="56">
        <f t="shared" si="7"/>
        <v>0</v>
      </c>
      <c r="BE55" s="18">
        <f t="shared" si="8"/>
        <v>0</v>
      </c>
      <c r="BL55" s="65" t="s">
        <v>385</v>
      </c>
      <c r="BM55" s="222">
        <f ca="1">IFERROR(IF(BQ$17="","",BQ$17/BM$50*100),"")</f>
        <v>0</v>
      </c>
      <c r="BN55" s="222" t="str">
        <f ca="1">IFERROR(IF(BR$17="","",BR$17/BN$50*100),"")</f>
        <v/>
      </c>
      <c r="BO55" s="222" t="str">
        <f>IFERROR(IF(BS$17="","",BS$17/BO$50*100),"")</f>
        <v/>
      </c>
      <c r="BZ55" s="61" t="str">
        <f t="shared" si="12"/>
        <v/>
      </c>
      <c r="CA55" s="60" t="str">
        <f t="shared" si="13"/>
        <v/>
      </c>
    </row>
    <row r="56" spans="1:79" ht="15.75" x14ac:dyDescent="0.25">
      <c r="A56" s="197"/>
      <c r="B56" s="19" t="s">
        <v>386</v>
      </c>
      <c r="C56" s="223">
        <v>43.35</v>
      </c>
      <c r="D56" s="224"/>
      <c r="E56" s="225"/>
      <c r="G56" s="18">
        <f t="shared" si="17"/>
        <v>0</v>
      </c>
      <c r="H56" s="17"/>
      <c r="I56" s="18">
        <f t="shared" si="18"/>
        <v>0</v>
      </c>
      <c r="J56" s="17"/>
      <c r="M56" s="180" t="s">
        <v>342</v>
      </c>
      <c r="N56" s="174">
        <v>7</v>
      </c>
      <c r="O56" s="226"/>
      <c r="P56" s="174"/>
      <c r="Q56" s="174"/>
      <c r="R56" s="227" t="s">
        <v>387</v>
      </c>
      <c r="S56" s="228" t="str">
        <f>R56&amp;"_MW"</f>
        <v>C36_PLUS_MW</v>
      </c>
      <c r="T56" s="229"/>
      <c r="U56" s="230"/>
      <c r="V56" s="168"/>
      <c r="W56" s="168"/>
      <c r="X56" s="168"/>
      <c r="Y56" s="181"/>
      <c r="Z56" s="64"/>
      <c r="AA56" s="65"/>
      <c r="AB56" s="20"/>
      <c r="AC56" s="66"/>
      <c r="AH56" s="67"/>
      <c r="AK56" s="18">
        <f t="shared" si="14"/>
        <v>0</v>
      </c>
      <c r="AN56" s="20" t="s">
        <v>268</v>
      </c>
      <c r="AS56" s="20"/>
      <c r="AU56" s="56">
        <f t="shared" si="7"/>
        <v>0</v>
      </c>
      <c r="AV56" s="56">
        <f t="shared" si="7"/>
        <v>0</v>
      </c>
      <c r="BE56" s="18">
        <f t="shared" si="8"/>
        <v>0</v>
      </c>
      <c r="BL56" s="65" t="s">
        <v>388</v>
      </c>
      <c r="BM56" s="222">
        <f ca="1">IFERROR(IF(BQ$24="","",BQ$24/BM$51*100),"")</f>
        <v>0</v>
      </c>
      <c r="BN56" s="222" t="str">
        <f ca="1">IFERROR(IF(BR$24="","",BR$24/BN$51*100),"")</f>
        <v/>
      </c>
      <c r="BO56" s="222" t="str">
        <f>IFERROR(IF(BS$24="","",BS$24/BO$51*100),"")</f>
        <v/>
      </c>
      <c r="BZ56" s="61" t="str">
        <f t="shared" si="12"/>
        <v/>
      </c>
      <c r="CA56" s="60" t="str">
        <f t="shared" si="13"/>
        <v/>
      </c>
    </row>
    <row r="57" spans="1:79" ht="26.45" customHeight="1" x14ac:dyDescent="0.25">
      <c r="A57" s="231" t="s">
        <v>389</v>
      </c>
      <c r="B57" s="232" t="s">
        <v>390</v>
      </c>
      <c r="C57" s="233">
        <v>1.9873000000000001</v>
      </c>
      <c r="D57" s="224" t="s">
        <v>359</v>
      </c>
      <c r="E57" s="234"/>
      <c r="F57" s="88"/>
      <c r="G57" s="18">
        <f t="shared" si="17"/>
        <v>0</v>
      </c>
      <c r="H57" s="17"/>
      <c r="I57" s="18">
        <f t="shared" si="18"/>
        <v>0</v>
      </c>
      <c r="J57" s="17"/>
      <c r="M57" s="180" t="s">
        <v>349</v>
      </c>
      <c r="N57" s="174">
        <v>8</v>
      </c>
      <c r="O57" s="226"/>
      <c r="P57" s="174"/>
      <c r="Q57" s="174"/>
      <c r="R57" s="235"/>
      <c r="S57" s="228" t="str">
        <f>R56 &amp; "_MOLE_FRACTION"</f>
        <v>C36_PLUS_MOLE_FRACTION</v>
      </c>
      <c r="T57" s="236"/>
      <c r="U57" s="237"/>
      <c r="V57" s="238"/>
      <c r="W57" s="238"/>
      <c r="X57" s="238"/>
      <c r="Y57" s="189"/>
      <c r="Z57" s="64"/>
      <c r="AA57" s="65"/>
      <c r="AB57" s="20"/>
      <c r="AC57" s="66"/>
      <c r="AH57" s="67"/>
      <c r="AK57" s="18">
        <f t="shared" si="14"/>
        <v>0</v>
      </c>
      <c r="AN57" s="20" t="s">
        <v>273</v>
      </c>
      <c r="AU57" s="56">
        <f t="shared" si="7"/>
        <v>0</v>
      </c>
      <c r="AV57" s="56">
        <f t="shared" si="7"/>
        <v>0</v>
      </c>
      <c r="BE57" s="18">
        <f t="shared" si="8"/>
        <v>0</v>
      </c>
      <c r="BL57" s="65" t="s">
        <v>391</v>
      </c>
      <c r="BM57" s="222">
        <f ca="1">IFERROR(IF(BQ$9="","",BQ$9/BM$49*100),"")</f>
        <v>0</v>
      </c>
      <c r="BN57" s="222" t="str">
        <f ca="1">IFERROR(IF(BR$9="","",BR$9/BN$49*100),"")</f>
        <v/>
      </c>
      <c r="BO57" s="222" t="str">
        <f>IFERROR(IF(BS$9="","",BS$9/BO$49*100),"")</f>
        <v/>
      </c>
      <c r="BZ57" s="61" t="str">
        <f t="shared" si="12"/>
        <v/>
      </c>
      <c r="CA57" s="60" t="str">
        <f t="shared" si="13"/>
        <v/>
      </c>
    </row>
    <row r="58" spans="1:79" ht="15.75" x14ac:dyDescent="0.25">
      <c r="A58" s="239"/>
      <c r="B58" s="232" t="s">
        <v>392</v>
      </c>
      <c r="C58" s="240">
        <v>1790</v>
      </c>
      <c r="D58" s="224" t="s">
        <v>364</v>
      </c>
      <c r="E58" s="241"/>
      <c r="F58" s="92"/>
      <c r="G58" s="18">
        <f t="shared" si="17"/>
        <v>0</v>
      </c>
      <c r="H58" s="17"/>
      <c r="I58" s="18">
        <f t="shared" si="18"/>
        <v>0</v>
      </c>
      <c r="J58" s="17"/>
      <c r="M58" s="180" t="s">
        <v>355</v>
      </c>
      <c r="N58" s="174">
        <v>9</v>
      </c>
      <c r="O58" s="226"/>
      <c r="P58" s="174"/>
      <c r="Q58" s="174"/>
      <c r="R58" s="242"/>
      <c r="S58" s="228" t="str">
        <f>R56 &amp; "_DENSITY_g/cc"</f>
        <v>C36_PLUS_DENSITY_g/cc</v>
      </c>
      <c r="T58" s="229"/>
      <c r="U58" s="230"/>
      <c r="V58" s="168"/>
      <c r="W58" s="168"/>
      <c r="X58" s="168"/>
      <c r="Y58" s="181"/>
      <c r="Z58" s="64"/>
      <c r="AA58" s="65"/>
      <c r="AB58" s="20"/>
      <c r="AC58" s="66"/>
      <c r="AH58" s="67"/>
      <c r="AK58" s="18">
        <f t="shared" si="14"/>
        <v>0</v>
      </c>
      <c r="AN58" s="20" t="s">
        <v>280</v>
      </c>
      <c r="AU58" s="56">
        <f t="shared" si="7"/>
        <v>0</v>
      </c>
      <c r="AV58" s="56">
        <f t="shared" si="7"/>
        <v>0</v>
      </c>
      <c r="BE58" s="18">
        <f t="shared" si="8"/>
        <v>0</v>
      </c>
      <c r="BL58" s="65" t="s">
        <v>393</v>
      </c>
      <c r="BM58" s="222">
        <f ca="1">IFERROR(IF(BQ$10="","",BQ$10/BM$50*100),"")</f>
        <v>0</v>
      </c>
      <c r="BN58" s="222" t="str">
        <f ca="1">IFERROR(IF(BR$10="","",BR$10/BN$50*100),"")</f>
        <v/>
      </c>
      <c r="BO58" s="222" t="str">
        <f>IFERROR(IF(BS$10="","",BS$10/BO$50*100),"")</f>
        <v/>
      </c>
      <c r="BZ58" s="61" t="str">
        <f t="shared" si="12"/>
        <v/>
      </c>
      <c r="CA58" s="60" t="str">
        <f t="shared" si="13"/>
        <v/>
      </c>
    </row>
    <row r="59" spans="1:79" ht="15.75" x14ac:dyDescent="0.25">
      <c r="A59" s="239"/>
      <c r="B59" s="232" t="s">
        <v>394</v>
      </c>
      <c r="C59" s="243">
        <v>0.79579999999999995</v>
      </c>
      <c r="D59" s="224" t="s">
        <v>369</v>
      </c>
      <c r="E59" s="244"/>
      <c r="F59" s="97"/>
      <c r="G59" s="18">
        <f t="shared" si="17"/>
        <v>0</v>
      </c>
      <c r="H59" s="17"/>
      <c r="I59" s="18">
        <f t="shared" si="18"/>
        <v>0</v>
      </c>
      <c r="J59" s="17"/>
      <c r="M59" s="164" t="s">
        <v>360</v>
      </c>
      <c r="N59" s="174">
        <v>10</v>
      </c>
      <c r="O59" s="245"/>
      <c r="P59" s="174"/>
      <c r="Q59" s="174"/>
      <c r="S59" s="110" t="s">
        <v>395</v>
      </c>
      <c r="T59" s="246" t="str">
        <f>R56</f>
        <v>C36_PLUS</v>
      </c>
      <c r="U59" s="168"/>
      <c r="V59" s="168"/>
      <c r="W59" s="168"/>
      <c r="X59" s="168"/>
      <c r="Y59" s="181"/>
      <c r="Z59" s="64"/>
      <c r="AA59" s="65"/>
      <c r="AB59" s="20"/>
      <c r="AC59" s="66"/>
      <c r="AH59" s="67"/>
      <c r="AK59" s="18">
        <f t="shared" si="14"/>
        <v>0</v>
      </c>
      <c r="AN59" s="20" t="s">
        <v>285</v>
      </c>
      <c r="AU59" s="56">
        <f t="shared" si="7"/>
        <v>0</v>
      </c>
      <c r="AV59" s="56">
        <f t="shared" si="7"/>
        <v>0</v>
      </c>
      <c r="BE59" s="18">
        <f t="shared" si="8"/>
        <v>0</v>
      </c>
      <c r="BL59" s="65" t="s">
        <v>396</v>
      </c>
      <c r="BM59" s="222">
        <f ca="1">IFERROR(IF(BQ$11="","",BQ$11/BM$49*100),"")</f>
        <v>0</v>
      </c>
      <c r="BN59" s="222" t="str">
        <f ca="1">IFERROR(IF(BR$11="","",BR$11/BN$49*100),"")</f>
        <v/>
      </c>
      <c r="BO59" s="222" t="str">
        <f>IFERROR(IF(BS$11="","",BS$11/BO$49*100),"")</f>
        <v/>
      </c>
      <c r="BZ59" s="61" t="str">
        <f t="shared" si="12"/>
        <v/>
      </c>
      <c r="CA59" s="60" t="str">
        <f t="shared" si="13"/>
        <v/>
      </c>
    </row>
    <row r="60" spans="1:79" ht="15.75" x14ac:dyDescent="0.25">
      <c r="A60" s="239"/>
      <c r="B60" s="232" t="s">
        <v>397</v>
      </c>
      <c r="C60" s="247">
        <v>46.31</v>
      </c>
      <c r="D60" s="224" t="s">
        <v>138</v>
      </c>
      <c r="E60" s="248"/>
      <c r="F60" s="100"/>
      <c r="G60" s="18">
        <f t="shared" si="17"/>
        <v>0</v>
      </c>
      <c r="H60" s="17"/>
      <c r="I60" s="18">
        <f t="shared" si="18"/>
        <v>0</v>
      </c>
      <c r="J60" s="17"/>
      <c r="R60" s="249" t="s">
        <v>398</v>
      </c>
      <c r="S60" s="166" t="s">
        <v>399</v>
      </c>
      <c r="T60" s="168"/>
      <c r="U60" s="168"/>
      <c r="V60" s="168"/>
      <c r="W60" s="168"/>
      <c r="X60" s="168"/>
      <c r="Y60" s="181"/>
      <c r="Z60" s="64"/>
      <c r="AA60" s="65"/>
      <c r="AB60" s="20"/>
      <c r="AC60" s="66"/>
      <c r="AH60" s="67"/>
      <c r="AK60" s="18">
        <f t="shared" si="14"/>
        <v>0</v>
      </c>
      <c r="AN60" s="20" t="s">
        <v>293</v>
      </c>
      <c r="AU60" s="56">
        <f t="shared" si="7"/>
        <v>0</v>
      </c>
      <c r="AV60" s="56">
        <f t="shared" si="7"/>
        <v>0</v>
      </c>
      <c r="BE60" s="18">
        <f t="shared" si="8"/>
        <v>0</v>
      </c>
      <c r="BL60" s="65" t="s">
        <v>400</v>
      </c>
      <c r="BM60" s="222">
        <f ca="1">IFERROR(IF(BQ$12="","",BQ$12/BM$50*100),"")</f>
        <v>0</v>
      </c>
      <c r="BN60" s="222" t="str">
        <f ca="1">IFERROR(IF(BR$12="","",BR$12/BN$50*100),"")</f>
        <v/>
      </c>
      <c r="BO60" s="222" t="str">
        <f>IFERROR(IF(BS$12="","",BS$12/BO$50*100),"")</f>
        <v/>
      </c>
      <c r="BZ60" s="61" t="str">
        <f t="shared" si="12"/>
        <v/>
      </c>
      <c r="CA60" s="60" t="str">
        <f t="shared" si="13"/>
        <v/>
      </c>
    </row>
    <row r="61" spans="1:79" ht="15.75" x14ac:dyDescent="0.25">
      <c r="A61" s="239"/>
      <c r="B61" s="232" t="s">
        <v>401</v>
      </c>
      <c r="C61" s="250" t="str">
        <f>IF(B37&lt;&gt;"",  B37,  "")</f>
        <v/>
      </c>
      <c r="D61" s="251" t="s">
        <v>402</v>
      </c>
      <c r="F61" s="86"/>
      <c r="G61" s="18">
        <f t="shared" si="17"/>
        <v>0</v>
      </c>
      <c r="H61" s="17"/>
      <c r="I61" s="18">
        <f t="shared" si="18"/>
        <v>0</v>
      </c>
      <c r="J61" s="17"/>
      <c r="R61" s="249"/>
      <c r="S61" s="166" t="s">
        <v>403</v>
      </c>
      <c r="T61" s="188">
        <f>IF(SUM(T$18:T$38)=0,"",SUM(T$18:T$38))</f>
        <v>0.10845999999999999</v>
      </c>
      <c r="U61" s="188" t="str">
        <f>IF(SUM(U$18:U$38)=0,"",SUM(U$18:U$38))</f>
        <v/>
      </c>
      <c r="V61" s="188" t="str">
        <f>IF(SUM(V$18:V$38)=0,"",SUM(V$18:V$38))</f>
        <v/>
      </c>
      <c r="W61" s="188" t="str">
        <f>IF(SUM(W$18:W$38)=0,"",SUM(W$18:W$38))</f>
        <v/>
      </c>
      <c r="X61" s="188" t="str">
        <f>IF(SUM(X$18:X$38)=0,"",SUM(X$18:X$38))</f>
        <v/>
      </c>
      <c r="Y61" s="189"/>
      <c r="Z61" s="64"/>
      <c r="AA61" s="65"/>
      <c r="AB61" s="20"/>
      <c r="AC61" s="66"/>
      <c r="AH61" s="67"/>
      <c r="AK61" s="18">
        <f t="shared" si="14"/>
        <v>0</v>
      </c>
      <c r="AN61" s="20" t="s">
        <v>308</v>
      </c>
      <c r="AU61" s="56">
        <f t="shared" si="7"/>
        <v>0</v>
      </c>
      <c r="AV61" s="56">
        <f t="shared" si="7"/>
        <v>0</v>
      </c>
      <c r="BE61" s="18">
        <f t="shared" si="8"/>
        <v>0</v>
      </c>
      <c r="BL61" s="65" t="s">
        <v>404</v>
      </c>
      <c r="BM61" s="222">
        <f ca="1">IFERROR(IF(BQ$13="","",BQ$13/BM$50*100),"")</f>
        <v>0</v>
      </c>
      <c r="BN61" s="222" t="str">
        <f ca="1">IFERROR(IF(BR$13="","",BR$13/BN$50*100),"")</f>
        <v/>
      </c>
      <c r="BO61" s="222" t="str">
        <f>IFERROR(IF(BS$13="","",BS$13/BO$50*100),"")</f>
        <v/>
      </c>
    </row>
    <row r="62" spans="1:79" ht="15.75" x14ac:dyDescent="0.25">
      <c r="A62" s="252"/>
      <c r="B62" s="232" t="s">
        <v>405</v>
      </c>
      <c r="C62" s="250" t="str">
        <f>IF(B38&lt;&gt;"",  B38,  "")</f>
        <v/>
      </c>
      <c r="D62" s="68" t="s">
        <v>302</v>
      </c>
      <c r="F62" s="86"/>
      <c r="G62" s="18">
        <f t="shared" si="17"/>
        <v>0</v>
      </c>
      <c r="H62" s="17"/>
      <c r="I62" s="18">
        <f t="shared" si="18"/>
        <v>0</v>
      </c>
      <c r="J62" s="17"/>
      <c r="R62" s="249"/>
      <c r="S62" s="166" t="s">
        <v>406</v>
      </c>
      <c r="T62" s="168"/>
      <c r="U62" s="168"/>
      <c r="V62" s="168"/>
      <c r="W62" s="168"/>
      <c r="X62" s="168"/>
      <c r="Y62" s="181"/>
      <c r="Z62" s="64"/>
      <c r="AA62" s="65"/>
      <c r="AB62" s="20"/>
      <c r="AC62" s="66"/>
      <c r="AH62" s="67"/>
      <c r="AK62" s="18">
        <f t="shared" si="14"/>
        <v>0</v>
      </c>
      <c r="AN62" s="20" t="s">
        <v>407</v>
      </c>
      <c r="AU62" s="56">
        <f t="shared" si="7"/>
        <v>0</v>
      </c>
      <c r="AV62" s="56">
        <f t="shared" si="7"/>
        <v>0</v>
      </c>
      <c r="BE62" s="18">
        <f t="shared" si="8"/>
        <v>0</v>
      </c>
      <c r="BL62" s="65" t="s">
        <v>408</v>
      </c>
      <c r="BM62" s="222">
        <f ca="1">IFERROR(IF(BQ$14="","",BQ$14/BM$50*100),"")</f>
        <v>0</v>
      </c>
      <c r="BN62" s="222" t="str">
        <f ca="1">IFERROR(IF(BR$14="","",BR$14/BN$50*100),"")</f>
        <v/>
      </c>
      <c r="BO62" s="222" t="str">
        <f>IFERROR(IF(BS$14="","",BS$14/BO$50*100),"")</f>
        <v/>
      </c>
      <c r="BZ62" t="s">
        <v>409</v>
      </c>
    </row>
    <row r="63" spans="1:79" ht="15.75" x14ac:dyDescent="0.25">
      <c r="A63" s="253"/>
      <c r="B63" s="19"/>
      <c r="C63" s="68"/>
      <c r="D63" s="19"/>
      <c r="F63" s="86"/>
      <c r="G63" s="18">
        <f t="shared" si="17"/>
        <v>0</v>
      </c>
      <c r="H63" s="17"/>
      <c r="I63" s="18">
        <f t="shared" si="18"/>
        <v>0</v>
      </c>
      <c r="J63" s="17"/>
      <c r="R63" s="249" t="s">
        <v>410</v>
      </c>
      <c r="S63" s="166" t="s">
        <v>411</v>
      </c>
      <c r="T63" s="168"/>
      <c r="U63" s="168"/>
      <c r="V63" s="168"/>
      <c r="W63" s="168"/>
      <c r="X63" s="168"/>
      <c r="Y63" s="181"/>
      <c r="Z63" s="64"/>
      <c r="AA63" s="65"/>
      <c r="AB63" s="20"/>
      <c r="AC63" s="66"/>
      <c r="AH63" s="67"/>
      <c r="AK63" s="18">
        <f t="shared" si="14"/>
        <v>0</v>
      </c>
      <c r="AU63" s="254"/>
      <c r="AV63" s="20"/>
      <c r="BE63" s="18">
        <f t="shared" si="8"/>
        <v>0</v>
      </c>
      <c r="BL63" s="65" t="s">
        <v>412</v>
      </c>
      <c r="BM63" s="222">
        <f ca="1">IFERROR(IF(BQ$16="","",BQ$16/BM$50*100),"")</f>
        <v>0</v>
      </c>
      <c r="BN63" s="222" t="str">
        <f ca="1">IFERROR(IF(BR$16="","",BR$16/BN$50*100),"")</f>
        <v/>
      </c>
      <c r="BO63" s="222" t="str">
        <f>IFERROR(IF(BS$16="","",BS$16/BO$50*100),"")</f>
        <v/>
      </c>
      <c r="BZ63" t="s">
        <v>413</v>
      </c>
    </row>
    <row r="64" spans="1:79" ht="15.75" x14ac:dyDescent="0.25">
      <c r="F64" s="86"/>
      <c r="G64" s="18">
        <f t="shared" si="17"/>
        <v>0</v>
      </c>
      <c r="H64" s="17"/>
      <c r="I64" s="18">
        <f t="shared" si="18"/>
        <v>0</v>
      </c>
      <c r="J64" s="17"/>
      <c r="R64" s="249"/>
      <c r="S64" s="166" t="s">
        <v>414</v>
      </c>
      <c r="T64" s="188">
        <f>IF(SUM(T$27:T$38)=0,"",SUM(T$27:T$38))</f>
        <v>3.9879999999999999E-2</v>
      </c>
      <c r="U64" s="188" t="str">
        <f>IF(SUM(U$27:U$38)=0,"",SUM(U$27:U$38))</f>
        <v/>
      </c>
      <c r="V64" s="188" t="str">
        <f>IF(SUM(V$27:V$38)=0,"",SUM(V$27:V$38))</f>
        <v/>
      </c>
      <c r="W64" s="188" t="str">
        <f>IF(SUM(W$27:W$38)=0,"",SUM(W$27:W$38))</f>
        <v/>
      </c>
      <c r="X64" s="188" t="str">
        <f>IF(SUM(X$27:X$38)=0,"",SUM(X$27:X$38))</f>
        <v/>
      </c>
      <c r="Y64" s="189"/>
      <c r="Z64" s="64"/>
      <c r="AA64" s="65"/>
      <c r="AB64" s="20"/>
      <c r="AC64" s="66"/>
      <c r="AH64" s="67"/>
      <c r="AK64" s="18">
        <f t="shared" si="14"/>
        <v>0</v>
      </c>
      <c r="AU64" s="254"/>
      <c r="AV64" s="20"/>
      <c r="BE64" s="18">
        <f t="shared" si="8"/>
        <v>0</v>
      </c>
      <c r="BL64" s="65" t="s">
        <v>415</v>
      </c>
      <c r="BM64" s="222">
        <f ca="1">IFERROR(IF(BQ$18="","",BQ$18/BM$50*100),"")</f>
        <v>0</v>
      </c>
      <c r="BN64" s="222" t="str">
        <f ca="1">IFERROR(IF(BR$18="","",BR$18/BN$50*100),"")</f>
        <v/>
      </c>
      <c r="BO64" s="222" t="str">
        <f>IFERROR(IF(BS$18="","",BS$18/BO$50*100),"")</f>
        <v/>
      </c>
      <c r="BZ64" t="s">
        <v>416</v>
      </c>
    </row>
    <row r="65" spans="1:78" ht="15.75" x14ac:dyDescent="0.25">
      <c r="F65" s="86"/>
      <c r="G65" s="18">
        <f t="shared" si="17"/>
        <v>0</v>
      </c>
      <c r="H65" s="17"/>
      <c r="I65" s="18">
        <f t="shared" si="18"/>
        <v>0</v>
      </c>
      <c r="J65" s="17"/>
      <c r="R65" s="249"/>
      <c r="S65" s="166" t="s">
        <v>417</v>
      </c>
      <c r="T65" s="168"/>
      <c r="U65" s="168"/>
      <c r="V65" s="168"/>
      <c r="W65" s="168"/>
      <c r="X65" s="168"/>
      <c r="Y65" s="181"/>
      <c r="Z65" s="64"/>
      <c r="AA65" s="65"/>
      <c r="AB65" s="20"/>
      <c r="AC65" s="66"/>
      <c r="AH65" s="67"/>
      <c r="AK65" s="18">
        <f t="shared" si="14"/>
        <v>0</v>
      </c>
      <c r="AU65" s="254"/>
      <c r="AV65" s="20"/>
      <c r="BE65" s="18">
        <f t="shared" si="8"/>
        <v>0</v>
      </c>
      <c r="BL65" s="65" t="s">
        <v>418</v>
      </c>
      <c r="BM65" s="222">
        <f ca="1">IFERROR(IF(BQ$19="","",BQ$19/BM$51*100),"")</f>
        <v>0</v>
      </c>
      <c r="BN65" s="222" t="str">
        <f ca="1">IFERROR(IF(BR$19="","",BR$19/BN$51*100),"")</f>
        <v/>
      </c>
      <c r="BO65" s="222" t="str">
        <f>IFERROR(IF(BS$19="","",BS$19/BO$51*100),"")</f>
        <v/>
      </c>
      <c r="BZ65" t="s">
        <v>419</v>
      </c>
    </row>
    <row r="66" spans="1:78" ht="15.75" x14ac:dyDescent="0.25">
      <c r="A66" s="255"/>
      <c r="B66" s="256"/>
      <c r="C66" s="88"/>
      <c r="D66" s="257"/>
      <c r="E66" s="86"/>
      <c r="R66" s="249" t="s">
        <v>420</v>
      </c>
      <c r="S66" s="166" t="s">
        <v>421</v>
      </c>
      <c r="T66" s="168"/>
      <c r="U66" s="168"/>
      <c r="V66" s="168"/>
      <c r="W66" s="168"/>
      <c r="X66" s="168"/>
      <c r="Y66" s="181"/>
      <c r="Z66" s="64"/>
      <c r="AA66" s="65"/>
      <c r="AB66" s="20"/>
      <c r="AC66" s="66"/>
      <c r="AH66" s="67"/>
      <c r="AK66" s="18">
        <f t="shared" si="14"/>
        <v>0</v>
      </c>
      <c r="AU66" s="258"/>
      <c r="AV66" s="20"/>
      <c r="BE66" s="18">
        <f t="shared" si="8"/>
        <v>0</v>
      </c>
      <c r="BL66" s="65" t="s">
        <v>422</v>
      </c>
      <c r="BM66" s="222">
        <f ca="1">IFERROR(IF(BQ$20="","",BQ$20/BM$51*100),"")</f>
        <v>0</v>
      </c>
      <c r="BN66" s="222" t="str">
        <f ca="1">IFERROR(IF(BR$20="","",BR$20/BN$51*100),"")</f>
        <v/>
      </c>
      <c r="BO66" s="222" t="str">
        <f>IFERROR(IF(BS$20="","",BS$20/BO$51*100),"")</f>
        <v/>
      </c>
    </row>
    <row r="67" spans="1:78" ht="16.5" thickBot="1" x14ac:dyDescent="0.3">
      <c r="A67" s="255"/>
      <c r="B67" s="256"/>
      <c r="C67" s="88"/>
      <c r="D67" s="257"/>
      <c r="E67" s="86"/>
      <c r="M67" s="44" t="s">
        <v>423</v>
      </c>
      <c r="N67" s="44"/>
      <c r="R67" s="249"/>
      <c r="S67" s="166" t="s">
        <v>424</v>
      </c>
      <c r="T67" s="188">
        <f>IF(SUM(T$17:T$38)=0,"",SUM(T$17:T$38))</f>
        <v>0.12352999999999999</v>
      </c>
      <c r="U67" s="188" t="str">
        <f>IF(SUM(U$17:U$38)=0,"",SUM(U$17:U$38))</f>
        <v/>
      </c>
      <c r="V67" s="188" t="str">
        <f>IF(SUM(V$17:V$38)=0,"",SUM(V$17:V$38))</f>
        <v/>
      </c>
      <c r="W67" s="188" t="str">
        <f>IF(SUM(W$17:W$38)=0,"",SUM(W$17:W$38))</f>
        <v/>
      </c>
      <c r="X67" s="188" t="str">
        <f>IF(SUM(X$17:X$38)=0,"",SUM(X$17:X$38))</f>
        <v/>
      </c>
      <c r="Y67" s="189"/>
      <c r="Z67" s="259"/>
      <c r="AA67" s="260"/>
      <c r="AB67" s="261"/>
      <c r="AC67" s="262"/>
      <c r="AD67" s="263"/>
      <c r="AE67" s="263"/>
      <c r="AF67" s="263"/>
      <c r="AG67" s="263"/>
      <c r="AH67" s="124"/>
      <c r="AK67" s="18">
        <f t="shared" si="14"/>
        <v>0</v>
      </c>
      <c r="BL67" s="65" t="s">
        <v>425</v>
      </c>
      <c r="BM67" s="222">
        <f ca="1">IFERROR(IF(BQ$21="","",BQ$21/BM$52*100),"")</f>
        <v>0</v>
      </c>
      <c r="BN67" s="222" t="str">
        <f ca="1">IFERROR(IF(BR$21="","",BR$21/BN$52*100),"")</f>
        <v/>
      </c>
      <c r="BO67" s="222" t="str">
        <f>IFERROR(IF(BS$21="","",BS$21/BO$52*100),"")</f>
        <v/>
      </c>
    </row>
    <row r="68" spans="1:78" ht="17.25" thickTop="1" thickBot="1" x14ac:dyDescent="0.3">
      <c r="A68">
        <v>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M68" s="264" t="s">
        <v>426</v>
      </c>
      <c r="N68" s="264">
        <v>15</v>
      </c>
      <c r="R68" s="249"/>
      <c r="S68" s="166" t="s">
        <v>427</v>
      </c>
      <c r="T68" s="168"/>
      <c r="U68" s="168"/>
      <c r="V68" s="168"/>
      <c r="W68" s="168"/>
      <c r="X68" s="168"/>
      <c r="Y68" s="181"/>
      <c r="BL68" s="65" t="s">
        <v>428</v>
      </c>
      <c r="BM68" s="222">
        <f ca="1">IFERROR(IF(BQ$23="","",BQ$23/BM$51*100),"")</f>
        <v>0</v>
      </c>
      <c r="BN68" s="222" t="str">
        <f ca="1">IFERROR(IF(BR$23="","",BR$23/BN$51*100),"")</f>
        <v/>
      </c>
      <c r="BO68" s="222" t="str">
        <f>IFERROR(IF(BS$23="","",BS$23/BO$51*100),"")</f>
        <v/>
      </c>
    </row>
    <row r="69" spans="1:78" ht="16.5" thickTop="1" x14ac:dyDescent="0.25">
      <c r="A69" s="265" t="s">
        <v>429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M69" s="266">
        <f t="shared" ref="M69:M93" si="19">N69+$N$68</f>
        <v>15</v>
      </c>
      <c r="N69" s="267"/>
      <c r="BL69" s="65" t="s">
        <v>430</v>
      </c>
      <c r="BM69" s="222">
        <f ca="1">IFERROR(IF(BQ$26="","",BQ$26/BM$52*100),"")</f>
        <v>0</v>
      </c>
      <c r="BN69" s="222" t="str">
        <f ca="1">IFERROR(IF(BR$26="","",BR$26/BN$52*100),"")</f>
        <v/>
      </c>
      <c r="BO69" s="222" t="str">
        <f>IFERROR(IF(BS$26="","",BS$26/BO$52*100),"")</f>
        <v/>
      </c>
    </row>
    <row r="70" spans="1:78" ht="15.75" x14ac:dyDescent="0.25">
      <c r="A70" s="268" t="s">
        <v>431</v>
      </c>
      <c r="B70" s="269" t="s">
        <v>310</v>
      </c>
      <c r="C70" s="269" t="s">
        <v>432</v>
      </c>
      <c r="D70" s="269" t="s">
        <v>433</v>
      </c>
      <c r="E70" s="268" t="s">
        <v>434</v>
      </c>
      <c r="F70" s="268" t="s">
        <v>335</v>
      </c>
      <c r="G70" s="268" t="s">
        <v>435</v>
      </c>
      <c r="H70" s="268" t="s">
        <v>436</v>
      </c>
      <c r="I70" s="268" t="s">
        <v>437</v>
      </c>
      <c r="J70" s="268" t="s">
        <v>438</v>
      </c>
      <c r="K70" s="268" t="s">
        <v>348</v>
      </c>
      <c r="M70" s="18">
        <f t="shared" si="19"/>
        <v>15</v>
      </c>
      <c r="N70" s="270"/>
      <c r="R70" s="166"/>
      <c r="BL70" s="65" t="s">
        <v>439</v>
      </c>
      <c r="BM70" s="222">
        <f ca="1">IFERROR(IF(BQ$27="","",BQ$27/BM$52*100),"")</f>
        <v>0</v>
      </c>
      <c r="BN70" s="222" t="str">
        <f ca="1">IFERROR(IF(BR$27="","",BR$27/BN$52*100),"")</f>
        <v/>
      </c>
      <c r="BO70" s="222" t="str">
        <f>IFERROR(IF(BS$27="","",BS$27/BO$52*100),"")</f>
        <v/>
      </c>
    </row>
    <row r="71" spans="1:78" ht="15.75" x14ac:dyDescent="0.25">
      <c r="A71" s="153">
        <v>8515</v>
      </c>
      <c r="B71" s="271">
        <v>2.0481565685234644</v>
      </c>
      <c r="C71" s="161">
        <v>2167.6704286654417</v>
      </c>
      <c r="D71" s="271">
        <v>0.60059105606447249</v>
      </c>
      <c r="E71" s="271"/>
      <c r="F71" s="218"/>
      <c r="G71" s="271"/>
      <c r="H71" s="271">
        <v>0.24262915669313198</v>
      </c>
      <c r="I71" s="218"/>
      <c r="J71" s="272">
        <v>2.0481565685234644</v>
      </c>
      <c r="K71" s="273"/>
      <c r="M71" s="18">
        <f t="shared" si="19"/>
        <v>15</v>
      </c>
      <c r="N71" s="270"/>
      <c r="BL71" s="65" t="s">
        <v>440</v>
      </c>
      <c r="BM71" s="222">
        <f ca="1">IFERROR(IF(BQ$28="","",BQ$28/BM$52*100),"")</f>
        <v>0</v>
      </c>
      <c r="BN71" s="222" t="str">
        <f ca="1">IFERROR(IF(BR$28="","",BR$28/BN$52*100),"")</f>
        <v/>
      </c>
      <c r="BO71" s="222" t="str">
        <f>IFERROR(IF(BS$28="","",BS$28/BO$52*100),"")</f>
        <v/>
      </c>
    </row>
    <row r="72" spans="1:78" ht="15.75" x14ac:dyDescent="0.25">
      <c r="A72" s="153">
        <v>8015</v>
      </c>
      <c r="B72" s="271">
        <v>2.0626376647571778</v>
      </c>
      <c r="C72" s="161">
        <v>2167.6704286654417</v>
      </c>
      <c r="D72" s="271">
        <v>0.59637450507804368</v>
      </c>
      <c r="E72" s="271"/>
      <c r="F72" s="218"/>
      <c r="G72" s="271"/>
      <c r="H72" s="271">
        <v>0.23490943360785349</v>
      </c>
      <c r="I72" s="218"/>
      <c r="J72" s="272">
        <v>2.0626376647571778</v>
      </c>
      <c r="K72" s="273"/>
      <c r="M72" s="18">
        <f t="shared" si="19"/>
        <v>15</v>
      </c>
      <c r="N72" s="270"/>
      <c r="BL72" s="65" t="s">
        <v>441</v>
      </c>
      <c r="BM72" s="222">
        <f ca="1">IFERROR(IF(BQ$40="","",BQ$40/BM$53*100),"")</f>
        <v>0</v>
      </c>
      <c r="BN72" s="222" t="str">
        <f ca="1">IFERROR(IF(BR$40="","",BR$40/BN$53*100),"")</f>
        <v/>
      </c>
      <c r="BO72" s="222" t="str">
        <f>IFERROR(IF(BS$40="","",BS$40/BO$53*100),"")</f>
        <v/>
      </c>
    </row>
    <row r="73" spans="1:78" x14ac:dyDescent="0.25">
      <c r="A73" s="153">
        <v>7315</v>
      </c>
      <c r="B73" s="271">
        <v>2.0846558509884092</v>
      </c>
      <c r="C73" s="161">
        <v>2167.6704286654417</v>
      </c>
      <c r="D73" s="271">
        <v>0.59007558292734863</v>
      </c>
      <c r="E73" s="271"/>
      <c r="F73" s="218"/>
      <c r="G73" s="271"/>
      <c r="H73" s="271">
        <v>0.22362924292609596</v>
      </c>
      <c r="I73" s="218"/>
      <c r="J73" s="272">
        <v>2.0846558509884092</v>
      </c>
      <c r="K73" s="273"/>
      <c r="M73" s="18">
        <f t="shared" si="19"/>
        <v>15</v>
      </c>
      <c r="N73" s="270"/>
      <c r="R73" t="s">
        <v>442</v>
      </c>
      <c r="Y73" t="s">
        <v>443</v>
      </c>
      <c r="BL73" t="s">
        <v>444</v>
      </c>
      <c r="BM73" s="60">
        <f ca="1">IFERROR(IF(BQ$41="","",BQ$41/BM$52*100),"")</f>
        <v>0</v>
      </c>
      <c r="BN73" s="60" t="str">
        <f ca="1">IFERROR(IF(BR$41="","",BR$41/BN$52*100),"")</f>
        <v/>
      </c>
      <c r="BO73" s="60" t="str">
        <f>IFERROR(IF(BS$41="","",BS$41/BO$52*100),"")</f>
        <v/>
      </c>
    </row>
    <row r="74" spans="1:78" ht="15.75" x14ac:dyDescent="0.25">
      <c r="A74" s="153">
        <v>6515</v>
      </c>
      <c r="B74" s="271">
        <v>2.1131007338847589</v>
      </c>
      <c r="C74" s="161">
        <v>2167.6704286654417</v>
      </c>
      <c r="D74" s="271">
        <v>0.58213245433569527</v>
      </c>
      <c r="E74" s="271"/>
      <c r="F74" s="218"/>
      <c r="G74" s="271"/>
      <c r="H74" s="271">
        <v>0.21198774742943197</v>
      </c>
      <c r="I74" s="218"/>
      <c r="J74" s="272">
        <v>2.1131007338847589</v>
      </c>
      <c r="K74" s="273"/>
      <c r="M74" s="18">
        <f t="shared" si="19"/>
        <v>15</v>
      </c>
      <c r="N74" s="274"/>
      <c r="P74" s="208"/>
      <c r="Q74" s="208"/>
      <c r="R74" s="208"/>
      <c r="S74" s="208"/>
      <c r="T74" s="208"/>
      <c r="U74" s="208"/>
      <c r="V74" s="208"/>
      <c r="W74" s="208"/>
      <c r="X74" s="208"/>
      <c r="Y74" s="208" t="s">
        <v>445</v>
      </c>
      <c r="Z74" s="230"/>
      <c r="AU74" t="s">
        <v>333</v>
      </c>
      <c r="AW74" s="222">
        <f t="shared" ref="AW74:BC74" si="20">SUM(AW9:AW70)</f>
        <v>0</v>
      </c>
      <c r="AX74" s="222">
        <f t="shared" si="20"/>
        <v>0</v>
      </c>
      <c r="AY74" s="222">
        <f t="shared" si="20"/>
        <v>0</v>
      </c>
      <c r="AZ74" s="222">
        <f t="shared" si="20"/>
        <v>0</v>
      </c>
      <c r="BA74" s="222">
        <f t="shared" si="20"/>
        <v>0</v>
      </c>
      <c r="BB74" s="222">
        <f t="shared" si="20"/>
        <v>0</v>
      </c>
      <c r="BC74" s="222">
        <f t="shared" si="20"/>
        <v>0</v>
      </c>
    </row>
    <row r="75" spans="1:78" ht="15.75" x14ac:dyDescent="0.25">
      <c r="A75" s="153">
        <v>6015</v>
      </c>
      <c r="B75" s="271">
        <v>2.1338140063310584</v>
      </c>
      <c r="C75" s="161">
        <v>2167.6704286654417</v>
      </c>
      <c r="D75" s="271">
        <v>0.57648160187586872</v>
      </c>
      <c r="E75" s="271"/>
      <c r="F75" s="218"/>
      <c r="G75" s="271"/>
      <c r="H75" s="271">
        <v>0.20288442505841781</v>
      </c>
      <c r="I75" s="218"/>
      <c r="J75" s="272">
        <v>2.1338140063310584</v>
      </c>
      <c r="K75" s="273"/>
      <c r="M75" s="18">
        <f t="shared" si="19"/>
        <v>15</v>
      </c>
      <c r="N75" s="274"/>
      <c r="P75" s="208"/>
      <c r="Q75" s="208"/>
      <c r="R75" s="208"/>
      <c r="S75" s="208"/>
      <c r="T75" s="208"/>
      <c r="U75" s="208"/>
      <c r="V75" s="208"/>
      <c r="X75" s="208"/>
      <c r="Y75" s="208"/>
      <c r="Z75" s="230"/>
    </row>
    <row r="76" spans="1:78" ht="15.75" x14ac:dyDescent="0.25">
      <c r="A76" s="153">
        <v>5515</v>
      </c>
      <c r="B76" s="271">
        <v>2.1569371933275949</v>
      </c>
      <c r="C76" s="161">
        <v>2167.6704286654417</v>
      </c>
      <c r="D76" s="271">
        <v>0.57030149986757905</v>
      </c>
      <c r="E76" s="271"/>
      <c r="F76" s="218"/>
      <c r="G76" s="271"/>
      <c r="H76" s="271">
        <v>0.19300946200337918</v>
      </c>
      <c r="I76" s="218"/>
      <c r="J76" s="272">
        <v>2.1569371933275949</v>
      </c>
      <c r="K76" s="273"/>
      <c r="M76" s="18">
        <f t="shared" si="19"/>
        <v>15</v>
      </c>
      <c r="N76" s="274"/>
      <c r="P76" s="208"/>
      <c r="Q76" s="208"/>
      <c r="R76" s="208"/>
      <c r="S76" s="208"/>
      <c r="T76" s="208"/>
      <c r="U76" s="208"/>
      <c r="V76" s="208"/>
      <c r="X76" s="208"/>
      <c r="Y76" s="208"/>
      <c r="Z76" s="230"/>
      <c r="BL76" t="s">
        <v>446</v>
      </c>
      <c r="BM76" t="s">
        <v>447</v>
      </c>
    </row>
    <row r="77" spans="1:78" ht="15.75" x14ac:dyDescent="0.25">
      <c r="A77" s="153">
        <v>5015</v>
      </c>
      <c r="B77" s="271">
        <v>2.1828791549104944</v>
      </c>
      <c r="C77" s="161">
        <v>2167.6704286654417</v>
      </c>
      <c r="D77" s="271">
        <v>0.5635238733705038</v>
      </c>
      <c r="E77" s="271"/>
      <c r="F77" s="218"/>
      <c r="G77" s="271"/>
      <c r="H77" s="271">
        <v>0.18522621838508305</v>
      </c>
      <c r="I77" s="218"/>
      <c r="J77" s="272">
        <v>2.1828791549104944</v>
      </c>
      <c r="K77" s="273"/>
      <c r="M77" s="18">
        <f t="shared" si="19"/>
        <v>15</v>
      </c>
      <c r="N77" s="274"/>
      <c r="P77" s="213"/>
      <c r="Q77" s="213"/>
      <c r="R77" s="275"/>
      <c r="S77" s="275"/>
      <c r="T77" s="213"/>
      <c r="U77" s="213"/>
      <c r="V77" s="213"/>
      <c r="X77" s="213"/>
      <c r="Y77" s="276"/>
      <c r="Z77" s="230"/>
      <c r="BL77" t="s">
        <v>448</v>
      </c>
      <c r="BM77" s="150" t="str">
        <f ca="1">IF(SUM(BQ$9,BQ$10,BQ$12,BQ$13,BQ$14,BQ$19,BQ$20,BQ$21)=0,"",SUM(BQ$9,BQ$10,BQ$12,BQ$13,BQ$14,BQ$19,BQ$20,BQ$21))</f>
        <v/>
      </c>
      <c r="BN77" s="150" t="str">
        <f ca="1">IF(SUM(BR$9,BR$10,BR$12,BR$13,BR$14,BR$19,BR$20,BR$21)=0,"",SUM(BR$9,BR$10,BR$12,BR$13,BR$14,BR$19,BR$20,BR$21))</f>
        <v/>
      </c>
      <c r="BO77" s="150" t="str">
        <f>IF(SUM(BS$9,BS$10,BS$12,BS$13,BS$14,BS$19,BS$20,BS$21)=0,"",SUM(BS$9,BS$10,BS$12,BS$13,BS$14,BS$19,BS$20,BS$21))</f>
        <v/>
      </c>
    </row>
    <row r="78" spans="1:78" ht="15.75" x14ac:dyDescent="0.25">
      <c r="A78" s="153">
        <v>4238.6549999999997</v>
      </c>
      <c r="B78" s="271">
        <v>2.2293403578100737</v>
      </c>
      <c r="C78" s="161">
        <v>2167.6704286654417</v>
      </c>
      <c r="D78" s="271">
        <v>0.55177959353108852</v>
      </c>
      <c r="E78" s="271"/>
      <c r="F78" s="218"/>
      <c r="G78" s="271"/>
      <c r="H78" s="271">
        <v>0.17235682865134191</v>
      </c>
      <c r="I78" s="218"/>
      <c r="J78" s="272">
        <v>2.2293403578100737</v>
      </c>
      <c r="K78" s="273"/>
      <c r="M78" s="18">
        <f t="shared" si="19"/>
        <v>15</v>
      </c>
      <c r="N78" s="274"/>
      <c r="P78" s="275"/>
      <c r="Q78" s="275"/>
      <c r="R78" s="275"/>
      <c r="S78" s="275"/>
      <c r="T78" s="213"/>
      <c r="U78" s="213"/>
      <c r="V78" s="213"/>
      <c r="W78" s="213"/>
      <c r="X78" s="213"/>
      <c r="Y78" s="276"/>
      <c r="Z78" s="230"/>
      <c r="BL78" t="s">
        <v>449</v>
      </c>
      <c r="BM78" s="150" t="str">
        <f ca="1">IF(SUM(BQ$11,BQ$16,BQ$18,BQ$23)=0,"",SUM(BQ$11,BQ$16,BQ$18,BQ$23))</f>
        <v/>
      </c>
      <c r="BN78" s="150" t="str">
        <f ca="1">IF(SUM(BR$11,BR$16,BR$18,BR$23)=0,"",SUM(BR$11,BR$16,BR$18,BR$23))</f>
        <v/>
      </c>
      <c r="BO78" s="150" t="str">
        <f>IF(SUM(BS$11,BS$16,BS$18,BS$23)=0,"",SUM(BS$11,BS$16,BS$18,BS$23))</f>
        <v/>
      </c>
    </row>
    <row r="79" spans="1:78" ht="15.75" x14ac:dyDescent="0.25">
      <c r="A79" s="153">
        <v>3915</v>
      </c>
      <c r="B79" s="271">
        <v>2.0222153209109734</v>
      </c>
      <c r="C79" s="161">
        <v>1833.7859253539111</v>
      </c>
      <c r="D79" s="271">
        <v>0.57642373136232794</v>
      </c>
      <c r="E79" s="271">
        <v>0.87925846664585094</v>
      </c>
      <c r="F79" s="218">
        <v>4.2405430023559629E-3</v>
      </c>
      <c r="G79" s="271">
        <v>0.89217554243003916</v>
      </c>
      <c r="H79" s="271">
        <v>0.19068528249900921</v>
      </c>
      <c r="I79" s="218">
        <v>2.889693579803965E-2</v>
      </c>
      <c r="J79" s="272">
        <v>2.2743894094648467</v>
      </c>
      <c r="K79" s="273">
        <v>235.81885608621809</v>
      </c>
      <c r="M79" s="18">
        <f t="shared" si="19"/>
        <v>15</v>
      </c>
      <c r="N79" s="274"/>
      <c r="P79" s="275"/>
      <c r="Q79" s="275"/>
      <c r="R79" s="275"/>
      <c r="S79" s="275"/>
      <c r="T79" s="230"/>
      <c r="U79" s="213"/>
      <c r="V79" s="277"/>
      <c r="W79" s="213"/>
      <c r="X79" s="213"/>
      <c r="Y79" s="276"/>
      <c r="Z79" s="230"/>
      <c r="BL79" t="s">
        <v>450</v>
      </c>
      <c r="BM79" s="150" t="str">
        <f ca="1">IF(SUM(BQ$17,BQ$24,BQ$26,BQ$27,BQ$28,BQ$41)=0,"",SUM(BQ$17,BQ$24,BQ$26,BQ$27,BQ$28,BQ$41))</f>
        <v/>
      </c>
      <c r="BN79" s="150" t="str">
        <f ca="1">IF(SUM(BR$17,BR$24,BR$26,BR$27,BR$28,BR$41)=0,"",SUM(BR$17,BR$24,BR$26,BR$27,BR$28,BR$41))</f>
        <v/>
      </c>
      <c r="BO79" s="150" t="str">
        <f>IF(SUM(BS$17,BS$24,BS$26,BS$27,BS$28,BS$41)=0,"",SUM(BS$17,BS$24,BS$26,BS$27,BS$28,BS$41))</f>
        <v/>
      </c>
    </row>
    <row r="80" spans="1:78" ht="15.75" x14ac:dyDescent="0.25">
      <c r="A80" s="153">
        <v>3115</v>
      </c>
      <c r="B80" s="271">
        <v>1.7457401656314697</v>
      </c>
      <c r="C80" s="161">
        <v>1306.5997832274272</v>
      </c>
      <c r="D80" s="271">
        <v>0.61484664819255797</v>
      </c>
      <c r="E80" s="271">
        <v>0.85081902192172165</v>
      </c>
      <c r="F80" s="218">
        <v>5.1538822767449666E-3</v>
      </c>
      <c r="G80" s="271">
        <v>0.80101221011608326</v>
      </c>
      <c r="H80" s="271">
        <v>0.24482399314947351</v>
      </c>
      <c r="I80" s="218">
        <v>2.2310969571467547E-2</v>
      </c>
      <c r="J80" s="272">
        <v>2.5361566773827198</v>
      </c>
      <c r="K80" s="273">
        <v>194.02849081596975</v>
      </c>
      <c r="M80" s="18">
        <f t="shared" si="19"/>
        <v>15</v>
      </c>
      <c r="N80" s="278"/>
      <c r="P80" s="230"/>
      <c r="Q80" s="230"/>
      <c r="R80" s="230"/>
      <c r="S80" s="230"/>
      <c r="T80" s="213"/>
      <c r="U80" s="230"/>
      <c r="V80" s="230"/>
      <c r="W80" s="230"/>
      <c r="X80" s="230"/>
      <c r="Y80" s="230"/>
      <c r="Z80" s="230"/>
      <c r="BL80" t="s">
        <v>451</v>
      </c>
      <c r="BM80" s="222">
        <f ca="1">IFERROR(($BU$10*BQ$10+$BU$12*BQ$12+$BU$13*BQ$13+$BU$14*BQ$14+$BU$16*BQ$16+$BU$17*BQ$17+$BU$18*BQ$18+$BU$35*BQ$35)/(BM$50-BQ$15),"")</f>
        <v>12.674588716130303</v>
      </c>
      <c r="BN80" s="222" t="str">
        <f ca="1">IFERROR(($BU$10*BR$10+$BU$12*BR$12+$BU$13*BR$13+$BU$14*BR$14+$BU$16*BR$16+$BU$17*BR$17+$BU$18*BR$18+$BU$35*BR$35)/(BN$50-BR$15),"")</f>
        <v/>
      </c>
      <c r="BO80" s="222" t="str">
        <f>IFERROR(($BU$10*BS$10+$BU$12*BS$12+$BU$13*BS$13+$BU$14*BS$14+$BU$16*BS$16+$BU$17*BS$17+$BU$18*BS$18+$BU$35*BS$35)/(BO$50-BS$15),"")</f>
        <v/>
      </c>
    </row>
    <row r="81" spans="1:67" ht="15.75" x14ac:dyDescent="0.25">
      <c r="A81" s="153">
        <v>2315</v>
      </c>
      <c r="B81" s="271">
        <v>1.5658488612836436</v>
      </c>
      <c r="C81" s="161">
        <v>945.54014488094526</v>
      </c>
      <c r="D81" s="271">
        <v>0.64751306477757964</v>
      </c>
      <c r="E81" s="271">
        <v>0.84613349514360081</v>
      </c>
      <c r="F81" s="218">
        <v>6.8947329255285902E-3</v>
      </c>
      <c r="G81" s="271">
        <v>0.75331635255909446</v>
      </c>
      <c r="H81" s="271">
        <v>0.30664200599854946</v>
      </c>
      <c r="I81" s="218">
        <v>1.8361356602007144E-2</v>
      </c>
      <c r="J81" s="272">
        <v>3.0666310937737977</v>
      </c>
      <c r="K81" s="273">
        <v>145.03825032835977</v>
      </c>
      <c r="L81" s="230"/>
      <c r="M81" s="18">
        <f t="shared" si="19"/>
        <v>15</v>
      </c>
      <c r="N81" s="274"/>
      <c r="P81" s="275"/>
      <c r="Q81" s="275"/>
      <c r="R81" s="279" t="s">
        <v>40</v>
      </c>
      <c r="S81" s="280"/>
      <c r="T81" s="281"/>
      <c r="U81" s="281"/>
      <c r="V81" s="281"/>
      <c r="W81" s="281"/>
      <c r="X81" s="281"/>
      <c r="Y81" s="281"/>
      <c r="Z81" s="281"/>
      <c r="AA81" s="281"/>
      <c r="AB81" s="282"/>
      <c r="BL81" t="s">
        <v>452</v>
      </c>
      <c r="BM81" s="222">
        <f ca="1">IFERROR(($BU$19*BQ$19+$BU$20*BQ$20+$BU$23*BQ$23+$BU$24*BQ$24+$BU$36*BQ$36)/(BM$51-BQ$22),"")</f>
        <v>12.580736576891665</v>
      </c>
      <c r="BN81" s="222" t="str">
        <f ca="1">IFERROR(($BU$19*BR$19+$BU$20*BR$20+$BU$23*BR$23+$BU$24*BR$24+$BU$36*BR$36)/(BN$51-BR$22),"")</f>
        <v/>
      </c>
      <c r="BO81" s="222" t="str">
        <f>IFERROR(($BU$19*BS$19+$BU$20*BS$20+$BU$23*BS$23+$BU$24*BS$24+$BU$36*BS$36)/(BO$51-BS$22),"")</f>
        <v/>
      </c>
    </row>
    <row r="82" spans="1:67" ht="15.75" x14ac:dyDescent="0.25">
      <c r="A82" s="153">
        <v>1515</v>
      </c>
      <c r="B82" s="271">
        <v>1.4257091097308485</v>
      </c>
      <c r="C82" s="161">
        <v>658.92824484644007</v>
      </c>
      <c r="D82" s="271">
        <v>0.67913910184904813</v>
      </c>
      <c r="E82" s="271">
        <v>0.8720509165040059</v>
      </c>
      <c r="F82" s="218">
        <v>1.0856966864245851E-2</v>
      </c>
      <c r="G82" s="271">
        <v>0.72898054925001832</v>
      </c>
      <c r="H82" s="271">
        <v>0.39524586906675813</v>
      </c>
      <c r="I82" s="218">
        <v>1.5713974477730378E-2</v>
      </c>
      <c r="J82" s="272">
        <v>4.3431782519307678</v>
      </c>
      <c r="K82" s="273">
        <v>92.106756196631551</v>
      </c>
      <c r="L82" s="230"/>
      <c r="M82" s="18">
        <f t="shared" si="19"/>
        <v>15</v>
      </c>
      <c r="N82" s="274"/>
      <c r="P82" s="275"/>
      <c r="Q82" s="275"/>
      <c r="R82" s="283"/>
      <c r="S82" s="284"/>
      <c r="T82" s="284"/>
      <c r="U82" s="284"/>
      <c r="V82" s="284"/>
      <c r="W82" s="284"/>
      <c r="X82" s="285"/>
      <c r="Y82" s="286"/>
      <c r="Z82" s="286"/>
      <c r="AA82" s="286"/>
      <c r="AB82" s="286"/>
      <c r="BL82" t="s">
        <v>453</v>
      </c>
      <c r="BM82" s="222">
        <f ca="1">IFERROR((($BU$10*BQ$10+$BU$12*BQ$12+$BU$13*BQ$13+$BU$14*BQ$14+$BU$16*BQ$16+$BU$17*BQ$17+$BU$18*BQ$18+$BU$35*BQ$35)+($BU$19*BQ$19+$BU$20*BQ$20+$BU$23*BQ$23+$BU$24*BQ$24+$BU$36*BQ$36))/(BM$50-BQ$15+BM$51-BQ$22),"")</f>
        <v>12.622734051749008</v>
      </c>
      <c r="BN82" s="222" t="str">
        <f ca="1">IFERROR((($BU$10*BR$10+$BU$12*BR$12+$BU$13*BR$13+$BU$14*BR$14+$BU$16*BR$16+$BU$17*BR$17+$BU$18*BR$18+$BU$35*BR$35)+($BU$19*BR$19+$BU$20*BR$20+$BU$23*BR$23+$BU$24*BR$24+$BU$36*BR$36))/(BN$50-BR$15+BN$51-BR$22),"")</f>
        <v/>
      </c>
      <c r="BO82" s="222" t="str">
        <f>IFERROR((($BU$10*BS$10+$BU$12*BS$12+$BU$13*BS$13+$BU$14*BS$14+$BU$16*BS$16+$BU$17*BS$17+$BU$18*BS$18+$BU$35*BS$35)+($BU$19*BS$19+$BU$20*BS$20+$BU$23*BS$23+$BU$24*BS$24+$BU$36*BS$36))/(BO$50-BS$15+BO$51-BS$22),"")</f>
        <v/>
      </c>
    </row>
    <row r="83" spans="1:67" ht="15.75" x14ac:dyDescent="0.25">
      <c r="A83" s="153">
        <v>715</v>
      </c>
      <c r="B83" s="271">
        <v>1.2913923395445133</v>
      </c>
      <c r="C83" s="161">
        <v>391.71329422445348</v>
      </c>
      <c r="D83" s="271">
        <v>0.71512346574588626</v>
      </c>
      <c r="E83" s="271">
        <v>0.9192349368578141</v>
      </c>
      <c r="F83" s="218">
        <v>2.4259191522309501E-2</v>
      </c>
      <c r="G83" s="271">
        <v>0.76612036668761441</v>
      </c>
      <c r="H83" s="271">
        <v>0.52647903322793543</v>
      </c>
      <c r="I83" s="218">
        <v>1.3873659425880201E-2</v>
      </c>
      <c r="J83" s="272">
        <v>8.9648575426079482</v>
      </c>
      <c r="K83" s="273">
        <v>41.221489144861614</v>
      </c>
      <c r="L83" s="230"/>
      <c r="M83" s="18">
        <f t="shared" si="19"/>
        <v>15</v>
      </c>
      <c r="N83" s="274"/>
      <c r="P83" s="275"/>
      <c r="Q83" s="275"/>
      <c r="R83" s="287"/>
      <c r="S83" s="288"/>
      <c r="T83" s="288"/>
      <c r="U83" s="288"/>
      <c r="V83" s="288"/>
      <c r="W83" s="288"/>
      <c r="X83" s="289"/>
      <c r="Y83" s="289"/>
      <c r="Z83" s="289"/>
      <c r="AA83" s="289"/>
      <c r="AB83" s="289"/>
      <c r="BL83" t="s">
        <v>454</v>
      </c>
      <c r="BM83" s="222">
        <f ca="1">IFERROR(($BU$21*BQ$21+$BU$26*BQ$26+$BU$27*BQ$27+$BU$28*BQ$28+$BU$37*BQ$37+$BU$41*BQ$41)/(BM$52-BQ$25),"")</f>
        <v>12.604099611261832</v>
      </c>
      <c r="BN83" s="222" t="str">
        <f ca="1">IFERROR(($BU$21*BR$21+$BU$26*BR$26+$BU$27*BR$27+$BU$28*BR$28+$BU$37*BR$37+$BU$41*BR$41)/(BN$52-BR$25),"")</f>
        <v/>
      </c>
      <c r="BO83" s="222" t="str">
        <f>IFERROR(($BU$21*BS$21+$BU$26*BS$26+$BU$27*BS$27+$BU$28*BS$28+$BU$37*BS$37+$BU$41*BS$41)/(BO$52-BS$25),"")</f>
        <v/>
      </c>
    </row>
    <row r="84" spans="1:67" ht="15.75" x14ac:dyDescent="0.25">
      <c r="A84" s="153">
        <v>15</v>
      </c>
      <c r="B84" s="271">
        <v>1.0617753623188415</v>
      </c>
      <c r="C84" s="161">
        <v>0</v>
      </c>
      <c r="D84" s="271">
        <v>0.75445001729643135</v>
      </c>
      <c r="E84" s="271">
        <v>0.99409607607656203</v>
      </c>
      <c r="F84" s="218">
        <v>1.2615733281955852</v>
      </c>
      <c r="G84" s="271">
        <v>1.4170256326601824</v>
      </c>
      <c r="H84" s="271">
        <v>0.90401000500417006</v>
      </c>
      <c r="I84" s="218">
        <v>1.0607839371727958E-2</v>
      </c>
      <c r="J84" s="272">
        <v>488.12851893398619</v>
      </c>
      <c r="K84" s="273">
        <v>0.79266101910246411</v>
      </c>
      <c r="L84" s="230"/>
      <c r="M84" s="18">
        <f t="shared" si="19"/>
        <v>15</v>
      </c>
      <c r="N84" s="274"/>
      <c r="P84" s="275"/>
      <c r="Q84" s="275"/>
      <c r="R84" s="290"/>
      <c r="S84" s="291"/>
      <c r="T84" s="292"/>
      <c r="U84" s="293"/>
      <c r="V84" s="292"/>
      <c r="W84" s="292"/>
      <c r="X84" s="292"/>
      <c r="Y84" s="292"/>
      <c r="Z84" s="292"/>
      <c r="AA84" s="292"/>
      <c r="AB84" s="292"/>
      <c r="BL84" t="s">
        <v>455</v>
      </c>
      <c r="BM84" s="222">
        <f ca="1">IFERROR((($BU$10*BQ$10+$BU$12*BQ$12+$BU$13*BQ$13+$BU$14*BQ$14+$BU$16*BQ$16+$BU$17*BQ$17+$BU$18*BQ$18+$BU$35*BQ$35)+($BU$19*BQ$19+$BU$20*BQ$20+$BU$23*BQ$23+$BU$24*BQ$24+$BU$36*BQ$36)+($BU$21*BQ$21+$BU$26*BQ$26+$BU$27*BQ$27+$BU$28*BQ$28+$BU$37*BQ$37+$BU$41*BQ$41))/(BM$50-BQ$15+BM$51-BQ$22+BM$52-BQ$25),"")</f>
        <v>12.615574422929328</v>
      </c>
      <c r="BN84" s="222" t="str">
        <f ca="1">IFERROR((($BU$10*BR$10+$BU$12*BR$12+$BU$13*BR$13+$BU$14*BR$14+$BU$16*BR$16+$BU$17*BR$17+$BU$18*BR$18+$BU$35*BR$35)+($BU$19*BR$19+$BU$20*BR$20+$BU$23*BR$23+$BU$24*BR$24+$BU$36*BR$36)+($BU$21*BR$21+$BU$26*BR$26+$BU$27*BR$27+$BU$28*BR$28+$BU$37*BR$37+$BU$41*BR$41))/(BN$50-BR$15+BN$51-BR$22+BN$52-BR$25),"")</f>
        <v/>
      </c>
      <c r="BO84" s="222" t="str">
        <f>IFERROR((($BU$10*BS$10+$BU$12*BS$12+$BU$13*BS$13+$BU$14*BS$14+$BU$16*BS$16+$BU$17*BS$17+$BU$18*BS$18+$BU$35*BS$35)+($BU$19*BS$19+$BU$20*BS$20+$BU$23*BS$23+$BU$24*BS$24+$BU$36*BS$36)+($BU$21*BS$21+$BU$26*BS$26+$BU$27*BS$27+$BU$28*BS$28+$BU$37*BS$37+$BU$41*BS$41))/(BO$50-BS$15+BO$51-BS$22+BO$52-BS$25),"")</f>
        <v/>
      </c>
    </row>
    <row r="85" spans="1:67" ht="15.75" x14ac:dyDescent="0.25">
      <c r="A85" s="153"/>
      <c r="B85" s="271"/>
      <c r="C85" s="161"/>
      <c r="D85" s="271"/>
      <c r="E85" s="271"/>
      <c r="F85" s="218"/>
      <c r="G85" s="271"/>
      <c r="H85" s="271"/>
      <c r="I85" s="218"/>
      <c r="J85" s="272"/>
      <c r="K85" s="273"/>
      <c r="L85" s="230"/>
      <c r="M85" s="18">
        <f t="shared" si="19"/>
        <v>15</v>
      </c>
      <c r="N85" s="274"/>
      <c r="P85" s="213"/>
      <c r="Q85" s="213"/>
      <c r="R85" s="294" t="s">
        <v>29</v>
      </c>
      <c r="S85" s="295"/>
      <c r="T85" s="295"/>
      <c r="U85" s="295"/>
      <c r="V85" s="295"/>
      <c r="W85" s="295"/>
      <c r="X85" s="295"/>
      <c r="Y85" s="295"/>
      <c r="Z85" s="295"/>
      <c r="AA85" s="295"/>
      <c r="AB85" s="295"/>
      <c r="BL85" t="s">
        <v>456</v>
      </c>
      <c r="BM85" s="296">
        <f ca="1">IFERROR(BQ$15/BM$50*100,"")</f>
        <v>0</v>
      </c>
      <c r="BN85" s="296" t="str">
        <f ca="1">IFERROR(BR$15/BN$50*100,"")</f>
        <v/>
      </c>
      <c r="BO85" s="296" t="str">
        <f>IFERROR(BS$15/BO$50*100,"")</f>
        <v/>
      </c>
    </row>
    <row r="86" spans="1:67" ht="15.75" x14ac:dyDescent="0.25">
      <c r="A86" s="153"/>
      <c r="B86" s="271"/>
      <c r="C86" s="161"/>
      <c r="D86" s="271"/>
      <c r="E86" s="271"/>
      <c r="F86" s="218"/>
      <c r="G86" s="271"/>
      <c r="H86" s="271"/>
      <c r="I86" s="218"/>
      <c r="J86" s="272"/>
      <c r="K86" s="273"/>
      <c r="L86" s="208"/>
      <c r="M86" s="18">
        <f t="shared" si="19"/>
        <v>15</v>
      </c>
      <c r="N86" s="274"/>
      <c r="P86" s="208"/>
      <c r="Q86" s="208"/>
      <c r="R86" s="294" t="s">
        <v>19</v>
      </c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BL86" t="s">
        <v>457</v>
      </c>
      <c r="BM86" s="296">
        <f ca="1">IFERROR(BQ$22/BM$51*100,"")</f>
        <v>0</v>
      </c>
      <c r="BN86" s="296" t="str">
        <f ca="1">IFERROR(BR$22/BN$51*100,"")</f>
        <v/>
      </c>
      <c r="BO86" s="296" t="str">
        <f>IFERROR(BS$22/BO$51*100,"")</f>
        <v/>
      </c>
    </row>
    <row r="87" spans="1:67" ht="15.75" x14ac:dyDescent="0.25">
      <c r="A87" s="153"/>
      <c r="B87" s="271"/>
      <c r="C87" s="161"/>
      <c r="D87" s="271"/>
      <c r="E87" s="271"/>
      <c r="F87" s="218"/>
      <c r="G87" s="271"/>
      <c r="H87" s="271"/>
      <c r="I87" s="218"/>
      <c r="J87" s="272"/>
      <c r="K87" s="273"/>
      <c r="L87" s="208"/>
      <c r="M87" s="18">
        <f t="shared" si="19"/>
        <v>15</v>
      </c>
      <c r="N87" s="139"/>
      <c r="P87" s="208"/>
      <c r="Q87" s="208"/>
      <c r="R87" s="294" t="s">
        <v>14</v>
      </c>
      <c r="S87" s="295"/>
      <c r="T87" s="295"/>
      <c r="U87" s="295"/>
      <c r="V87" s="295"/>
      <c r="W87" s="295"/>
      <c r="X87" s="295"/>
      <c r="Y87" s="295"/>
      <c r="Z87" s="295"/>
      <c r="AA87" s="295"/>
      <c r="AB87" s="295"/>
      <c r="BL87" t="s">
        <v>458</v>
      </c>
      <c r="BM87" s="296">
        <f ca="1">IFERROR(BQ$25/BM$52*100,"")</f>
        <v>0</v>
      </c>
      <c r="BN87" s="296" t="str">
        <f ca="1">IFERROR(BR$25/BN$52*100,"")</f>
        <v/>
      </c>
      <c r="BO87" s="296" t="str">
        <f>IFERROR(BS$25/BO$52*100,"")</f>
        <v/>
      </c>
    </row>
    <row r="88" spans="1:67" ht="15.75" x14ac:dyDescent="0.25">
      <c r="A88" s="153"/>
      <c r="B88" s="271"/>
      <c r="C88" s="161"/>
      <c r="D88" s="271"/>
      <c r="E88" s="271"/>
      <c r="F88" s="218"/>
      <c r="G88" s="271"/>
      <c r="H88" s="271"/>
      <c r="I88" s="218"/>
      <c r="J88" s="272"/>
      <c r="K88" s="273"/>
      <c r="L88" s="208"/>
      <c r="M88" s="18">
        <f t="shared" si="19"/>
        <v>15</v>
      </c>
      <c r="N88" s="139"/>
      <c r="P88" s="208"/>
      <c r="Q88" s="208"/>
      <c r="R88" s="294" t="s">
        <v>36</v>
      </c>
      <c r="S88" s="295"/>
      <c r="T88" s="295"/>
      <c r="U88" s="295"/>
      <c r="V88" s="295"/>
      <c r="W88" s="295"/>
      <c r="X88" s="295"/>
      <c r="Y88" s="295"/>
      <c r="Z88" s="295"/>
      <c r="AA88" s="295"/>
      <c r="AB88" s="295"/>
    </row>
    <row r="89" spans="1:67" ht="15.75" x14ac:dyDescent="0.25">
      <c r="A89" s="153"/>
      <c r="B89" s="271"/>
      <c r="C89" s="161"/>
      <c r="D89" s="271"/>
      <c r="E89" s="271"/>
      <c r="F89" s="218"/>
      <c r="G89" s="271"/>
      <c r="H89" s="271"/>
      <c r="I89" s="218"/>
      <c r="J89" s="272"/>
      <c r="K89" s="273"/>
      <c r="L89" s="208"/>
      <c r="M89" s="18">
        <f t="shared" si="19"/>
        <v>15</v>
      </c>
      <c r="N89" s="139"/>
      <c r="P89" s="208"/>
      <c r="Q89" s="208"/>
      <c r="R89" s="294" t="s">
        <v>49</v>
      </c>
      <c r="S89" s="295"/>
      <c r="T89" s="295"/>
      <c r="U89" s="295"/>
      <c r="V89" s="295"/>
      <c r="W89" s="295"/>
      <c r="X89" s="295"/>
      <c r="Y89" s="295"/>
      <c r="Z89" s="295"/>
      <c r="AA89" s="295"/>
      <c r="AB89" s="295"/>
    </row>
    <row r="90" spans="1:67" ht="15.75" x14ac:dyDescent="0.25">
      <c r="A90" s="153"/>
      <c r="B90" s="271"/>
      <c r="C90" s="161"/>
      <c r="D90" s="271"/>
      <c r="E90" s="271"/>
      <c r="F90" s="218"/>
      <c r="G90" s="271"/>
      <c r="H90" s="271"/>
      <c r="I90" s="218"/>
      <c r="J90" s="272"/>
      <c r="K90" s="273"/>
      <c r="L90" s="208"/>
      <c r="M90" s="18">
        <f t="shared" si="19"/>
        <v>15</v>
      </c>
      <c r="N90" s="139"/>
      <c r="P90" s="208"/>
      <c r="Q90" s="208"/>
      <c r="R90" s="294" t="s">
        <v>70</v>
      </c>
      <c r="S90" s="295"/>
      <c r="T90" s="295"/>
      <c r="U90" s="295"/>
      <c r="V90" s="295"/>
      <c r="W90" s="295"/>
      <c r="X90" s="295"/>
      <c r="Y90" s="295"/>
      <c r="Z90" s="295"/>
      <c r="AA90" s="295"/>
      <c r="AB90" s="295"/>
    </row>
    <row r="91" spans="1:67" x14ac:dyDescent="0.25">
      <c r="A91" s="153"/>
      <c r="B91" s="271"/>
      <c r="C91" s="161"/>
      <c r="D91" s="271"/>
      <c r="E91" s="271"/>
      <c r="F91" s="218"/>
      <c r="G91" s="271"/>
      <c r="H91" s="271"/>
      <c r="I91" s="218"/>
      <c r="J91" s="272"/>
      <c r="K91" s="273"/>
      <c r="L91" s="297"/>
      <c r="M91" s="18">
        <f t="shared" si="19"/>
        <v>15</v>
      </c>
      <c r="N91" s="298"/>
      <c r="P91" s="297"/>
      <c r="Q91" s="297"/>
      <c r="R91" s="294" t="s">
        <v>94</v>
      </c>
      <c r="S91" s="295"/>
      <c r="T91" s="295"/>
      <c r="U91" s="295"/>
      <c r="V91" s="295"/>
      <c r="W91" s="295"/>
      <c r="X91" s="295"/>
      <c r="Y91" s="295"/>
      <c r="Z91" s="295"/>
      <c r="AA91" s="295"/>
      <c r="AB91" s="295"/>
    </row>
    <row r="92" spans="1:67" x14ac:dyDescent="0.25">
      <c r="A92" s="153"/>
      <c r="B92" s="271"/>
      <c r="C92" s="161"/>
      <c r="D92" s="271"/>
      <c r="E92" s="271"/>
      <c r="F92" s="218"/>
      <c r="G92" s="271"/>
      <c r="H92" s="271"/>
      <c r="I92" s="218"/>
      <c r="J92" s="272"/>
      <c r="K92" s="273"/>
      <c r="M92" s="18">
        <f t="shared" si="19"/>
        <v>15</v>
      </c>
      <c r="N92" s="17"/>
      <c r="R92" s="294" t="s">
        <v>102</v>
      </c>
      <c r="S92" s="295"/>
      <c r="T92" s="295"/>
      <c r="U92" s="295"/>
      <c r="V92" s="295"/>
      <c r="W92" s="295"/>
      <c r="X92" s="295"/>
      <c r="Y92" s="295"/>
      <c r="Z92" s="295"/>
      <c r="AA92" s="295"/>
      <c r="AB92" s="295"/>
    </row>
    <row r="93" spans="1:67" x14ac:dyDescent="0.25">
      <c r="A93" s="153"/>
      <c r="B93" s="271"/>
      <c r="C93" s="161"/>
      <c r="D93" s="271"/>
      <c r="E93" s="271"/>
      <c r="F93" s="218"/>
      <c r="G93" s="271"/>
      <c r="H93" s="271"/>
      <c r="I93" s="218"/>
      <c r="J93" s="272"/>
      <c r="K93" s="273"/>
      <c r="M93" s="18">
        <f t="shared" si="19"/>
        <v>15</v>
      </c>
      <c r="N93" s="17"/>
      <c r="R93" s="294" t="s">
        <v>110</v>
      </c>
      <c r="S93" s="295"/>
      <c r="T93" s="295"/>
      <c r="U93" s="295"/>
      <c r="V93" s="295"/>
      <c r="W93" s="295"/>
      <c r="X93" s="295"/>
      <c r="Y93" s="295"/>
      <c r="Z93" s="295"/>
      <c r="AA93" s="295"/>
      <c r="AB93" s="295"/>
    </row>
    <row r="94" spans="1:67" x14ac:dyDescent="0.25">
      <c r="A94" s="153"/>
      <c r="B94" s="271"/>
      <c r="C94" s="161"/>
      <c r="D94" s="271"/>
      <c r="E94" s="271"/>
      <c r="F94" s="218"/>
      <c r="G94" s="271"/>
      <c r="H94" s="271"/>
      <c r="I94" s="218"/>
      <c r="J94" s="272"/>
      <c r="K94" s="273"/>
      <c r="R94" s="294" t="s">
        <v>118</v>
      </c>
      <c r="S94" s="295"/>
      <c r="T94" s="295"/>
      <c r="U94" s="295"/>
      <c r="V94" s="295"/>
      <c r="W94" s="295"/>
      <c r="X94" s="295"/>
      <c r="Y94" s="295"/>
      <c r="Z94" s="295"/>
      <c r="AA94" s="295"/>
      <c r="AB94" s="295"/>
    </row>
    <row r="95" spans="1:67" x14ac:dyDescent="0.25">
      <c r="A95" s="153"/>
      <c r="B95" s="271"/>
      <c r="C95" s="161"/>
      <c r="D95" s="271"/>
      <c r="E95" s="271"/>
      <c r="F95" s="218"/>
      <c r="G95" s="271"/>
      <c r="H95" s="271"/>
      <c r="I95" s="218"/>
      <c r="J95" s="272"/>
      <c r="K95" s="273"/>
      <c r="R95" s="294" t="s">
        <v>126</v>
      </c>
      <c r="S95" s="295"/>
      <c r="T95" s="295"/>
      <c r="U95" s="295"/>
      <c r="V95" s="295"/>
      <c r="W95" s="295"/>
      <c r="X95" s="295"/>
      <c r="Y95" s="295"/>
      <c r="Z95" s="295"/>
      <c r="AA95" s="295"/>
      <c r="AB95" s="295"/>
    </row>
    <row r="96" spans="1:67" x14ac:dyDescent="0.25">
      <c r="A96" s="153"/>
      <c r="B96" s="271"/>
      <c r="C96" s="161"/>
      <c r="D96" s="271"/>
      <c r="E96" s="271"/>
      <c r="F96" s="218"/>
      <c r="G96" s="271"/>
      <c r="H96" s="271"/>
      <c r="I96" s="218"/>
      <c r="J96" s="272"/>
      <c r="K96" s="273"/>
      <c r="R96" s="294" t="s">
        <v>135</v>
      </c>
      <c r="S96" s="295"/>
      <c r="T96" s="295"/>
      <c r="U96" s="295"/>
      <c r="V96" s="295"/>
      <c r="W96" s="295"/>
      <c r="X96" s="295"/>
      <c r="Y96" s="295"/>
      <c r="Z96" s="295"/>
      <c r="AA96" s="295"/>
      <c r="AB96" s="295"/>
    </row>
    <row r="97" spans="1:28" x14ac:dyDescent="0.25">
      <c r="A97" s="153"/>
      <c r="B97" s="271"/>
      <c r="C97" s="161"/>
      <c r="D97" s="271"/>
      <c r="E97" s="271"/>
      <c r="F97" s="218"/>
      <c r="G97" s="271"/>
      <c r="H97" s="271"/>
      <c r="I97" s="218"/>
      <c r="J97" s="272"/>
      <c r="K97" s="273"/>
      <c r="L97" s="299"/>
      <c r="M97" s="299"/>
      <c r="N97" s="299"/>
      <c r="P97" s="300"/>
      <c r="Q97" s="299"/>
      <c r="R97" s="294" t="s">
        <v>141</v>
      </c>
      <c r="S97" s="295"/>
      <c r="T97" s="295"/>
      <c r="U97" s="295"/>
      <c r="V97" s="295"/>
      <c r="W97" s="295"/>
      <c r="X97" s="295"/>
      <c r="Y97" s="295"/>
      <c r="Z97" s="295"/>
      <c r="AA97" s="295"/>
      <c r="AB97" s="295"/>
    </row>
    <row r="98" spans="1:28" x14ac:dyDescent="0.25">
      <c r="A98" s="153"/>
      <c r="B98" s="271"/>
      <c r="C98" s="161"/>
      <c r="D98" s="271"/>
      <c r="E98" s="271"/>
      <c r="F98" s="218"/>
      <c r="G98" s="271"/>
      <c r="H98" s="271"/>
      <c r="I98" s="218"/>
      <c r="J98" s="272"/>
      <c r="K98" s="273"/>
      <c r="L98" s="300"/>
      <c r="M98" s="300"/>
      <c r="N98" s="299"/>
      <c r="P98" s="300"/>
      <c r="Q98" s="299"/>
      <c r="R98" s="294" t="s">
        <v>148</v>
      </c>
      <c r="S98" s="295"/>
      <c r="T98" s="295"/>
      <c r="U98" s="295"/>
      <c r="V98" s="295"/>
      <c r="W98" s="295"/>
      <c r="X98" s="295"/>
      <c r="Y98" s="295"/>
      <c r="Z98" s="295"/>
      <c r="AA98" s="295"/>
      <c r="AB98" s="295"/>
    </row>
    <row r="99" spans="1:28" x14ac:dyDescent="0.25">
      <c r="A99" s="153"/>
      <c r="B99" s="271"/>
      <c r="C99" s="161"/>
      <c r="D99" s="271"/>
      <c r="E99" s="271"/>
      <c r="F99" s="218"/>
      <c r="G99" s="271"/>
      <c r="H99" s="271"/>
      <c r="I99" s="218"/>
      <c r="J99" s="272"/>
      <c r="K99" s="273"/>
      <c r="L99" s="299"/>
      <c r="M99" s="299"/>
      <c r="N99" s="299"/>
      <c r="P99" s="300"/>
      <c r="Q99" s="299"/>
      <c r="R99" s="294" t="s">
        <v>160</v>
      </c>
      <c r="S99" s="295"/>
      <c r="T99" s="295"/>
      <c r="U99" s="295"/>
      <c r="V99" s="295"/>
      <c r="W99" s="295"/>
      <c r="X99" s="295"/>
      <c r="Y99" s="295"/>
      <c r="Z99" s="295"/>
      <c r="AA99" s="295"/>
      <c r="AB99" s="295"/>
    </row>
    <row r="100" spans="1:28" x14ac:dyDescent="0.25">
      <c r="A100" s="153"/>
      <c r="B100" s="271"/>
      <c r="C100" s="161"/>
      <c r="D100" s="271"/>
      <c r="E100" s="271"/>
      <c r="F100" s="218"/>
      <c r="G100" s="271"/>
      <c r="H100" s="271"/>
      <c r="I100" s="218"/>
      <c r="J100" s="272"/>
      <c r="K100" s="273"/>
      <c r="R100" s="294" t="s">
        <v>459</v>
      </c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</row>
    <row r="101" spans="1:28" x14ac:dyDescent="0.25">
      <c r="A101" t="s">
        <v>460</v>
      </c>
      <c r="L101" s="301"/>
      <c r="M101" s="301"/>
      <c r="N101" s="301"/>
      <c r="P101" s="302"/>
      <c r="Q101" s="301"/>
      <c r="R101" s="294" t="s">
        <v>461</v>
      </c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</row>
    <row r="102" spans="1:28" x14ac:dyDescent="0.25">
      <c r="L102" s="301"/>
      <c r="M102" s="301"/>
      <c r="N102" s="301"/>
      <c r="P102" s="302"/>
      <c r="Q102" s="301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x14ac:dyDescent="0.25">
      <c r="L103" s="301"/>
      <c r="M103" s="301"/>
      <c r="N103" s="301"/>
      <c r="P103" s="302"/>
      <c r="Q103" s="301"/>
    </row>
    <row r="104" spans="1:28" x14ac:dyDescent="0.25">
      <c r="A104" s="303">
        <v>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v>7</v>
      </c>
      <c r="L104" s="301"/>
      <c r="M104" s="301"/>
      <c r="N104" s="301"/>
      <c r="P104" s="302"/>
      <c r="Q104" s="301"/>
    </row>
    <row r="105" spans="1:28" x14ac:dyDescent="0.25">
      <c r="A105" s="304" t="s">
        <v>462</v>
      </c>
      <c r="B105" s="304"/>
      <c r="C105" s="304"/>
      <c r="D105" s="304"/>
      <c r="E105" s="304"/>
      <c r="F105" s="304"/>
      <c r="G105" s="304"/>
      <c r="H105" s="57"/>
      <c r="I105" s="57"/>
      <c r="L105" s="305"/>
      <c r="M105" s="305"/>
      <c r="N105" s="305"/>
      <c r="P105" s="302"/>
      <c r="Q105" s="305"/>
      <c r="R105" s="305"/>
      <c r="S105" s="306"/>
    </row>
    <row r="106" spans="1:28" x14ac:dyDescent="0.25">
      <c r="A106" s="307" t="s">
        <v>297</v>
      </c>
      <c r="B106" s="307" t="s">
        <v>463</v>
      </c>
      <c r="C106" s="307" t="s">
        <v>464</v>
      </c>
      <c r="D106" s="307" t="s">
        <v>434</v>
      </c>
      <c r="E106" s="307" t="s">
        <v>465</v>
      </c>
      <c r="F106" s="307" t="s">
        <v>341</v>
      </c>
      <c r="G106" s="307" t="s">
        <v>437</v>
      </c>
      <c r="H106" s="308"/>
      <c r="I106" s="308"/>
      <c r="L106" s="301"/>
      <c r="M106" s="301"/>
      <c r="N106" s="301"/>
      <c r="P106" s="302"/>
      <c r="Q106" s="301"/>
      <c r="R106" s="301"/>
      <c r="S106" s="309"/>
    </row>
    <row r="107" spans="1:28" x14ac:dyDescent="0.25">
      <c r="A107" s="62"/>
      <c r="B107" s="62"/>
      <c r="C107" s="62"/>
      <c r="D107" s="62"/>
      <c r="E107" s="62"/>
      <c r="F107" s="179"/>
      <c r="G107" s="179"/>
      <c r="H107" s="308"/>
      <c r="I107" s="308"/>
      <c r="L107" s="301"/>
      <c r="M107" s="301"/>
      <c r="N107" s="301"/>
      <c r="P107" s="302"/>
      <c r="Q107" s="301"/>
      <c r="R107" s="301"/>
      <c r="S107" s="309"/>
    </row>
    <row r="108" spans="1:28" x14ac:dyDescent="0.25">
      <c r="A108" s="62"/>
      <c r="B108" s="62"/>
      <c r="C108" s="62"/>
      <c r="D108" s="62"/>
      <c r="E108" s="62"/>
      <c r="F108" s="179"/>
      <c r="G108" s="179"/>
      <c r="H108" s="308"/>
      <c r="I108" s="308"/>
      <c r="L108" s="305"/>
      <c r="M108" s="305"/>
      <c r="N108" s="305"/>
      <c r="P108" s="302"/>
      <c r="Q108" s="305"/>
      <c r="R108" s="305"/>
      <c r="S108" s="306"/>
    </row>
    <row r="109" spans="1:28" x14ac:dyDescent="0.25">
      <c r="A109" s="62"/>
      <c r="B109" s="62"/>
      <c r="C109" s="62"/>
      <c r="D109" s="62"/>
      <c r="E109" s="62"/>
      <c r="F109" s="310"/>
      <c r="G109" s="310"/>
      <c r="H109" s="311"/>
      <c r="I109" s="312"/>
      <c r="L109" s="301"/>
      <c r="M109" s="301"/>
      <c r="N109" s="301"/>
      <c r="P109" s="302"/>
      <c r="Q109" s="301"/>
      <c r="R109" s="301"/>
      <c r="S109" s="313"/>
    </row>
    <row r="110" spans="1:28" x14ac:dyDescent="0.25">
      <c r="A110" s="53"/>
      <c r="B110" s="53"/>
      <c r="C110" s="314"/>
      <c r="D110" s="314"/>
      <c r="E110" s="314"/>
      <c r="F110" s="310"/>
      <c r="G110" s="310"/>
      <c r="H110" s="311"/>
      <c r="I110" s="312"/>
      <c r="L110" s="301"/>
      <c r="M110" s="301"/>
      <c r="N110" s="301"/>
      <c r="P110" s="302"/>
      <c r="Q110" s="301"/>
      <c r="R110" s="301"/>
      <c r="S110" s="313"/>
    </row>
    <row r="111" spans="1:28" x14ac:dyDescent="0.25">
      <c r="A111" s="53"/>
      <c r="B111" s="53"/>
      <c r="C111" s="314"/>
      <c r="D111" s="314"/>
      <c r="E111" s="314"/>
      <c r="F111" s="310"/>
      <c r="G111" s="310"/>
      <c r="H111" s="311"/>
      <c r="I111" s="312"/>
      <c r="L111" s="301"/>
      <c r="M111" s="301"/>
      <c r="N111" s="301"/>
      <c r="P111" s="302"/>
      <c r="Q111" s="301"/>
    </row>
    <row r="112" spans="1:28" x14ac:dyDescent="0.25">
      <c r="A112" s="53"/>
      <c r="B112" s="53"/>
      <c r="C112" s="314"/>
      <c r="D112" s="314"/>
      <c r="E112" s="314"/>
      <c r="F112" s="310"/>
      <c r="G112" s="310"/>
      <c r="H112" s="311"/>
      <c r="I112" s="312"/>
      <c r="L112" s="301"/>
      <c r="M112" s="301"/>
      <c r="N112" s="301"/>
      <c r="P112" s="301"/>
      <c r="Q112" s="301"/>
      <c r="R112" s="315" t="s">
        <v>466</v>
      </c>
      <c r="S112" s="316">
        <f>SUM(S84:S107)</f>
        <v>0</v>
      </c>
      <c r="T112" s="316">
        <f t="shared" ref="T112:AB112" si="21">SUM(T84:T107)</f>
        <v>0</v>
      </c>
      <c r="U112" s="316">
        <f t="shared" si="21"/>
        <v>0</v>
      </c>
      <c r="V112" s="316">
        <f t="shared" si="21"/>
        <v>0</v>
      </c>
      <c r="W112" s="316">
        <f t="shared" si="21"/>
        <v>0</v>
      </c>
      <c r="X112" s="316">
        <f t="shared" si="21"/>
        <v>0</v>
      </c>
      <c r="Y112" s="316">
        <f t="shared" si="21"/>
        <v>0</v>
      </c>
      <c r="Z112" s="316">
        <f t="shared" si="21"/>
        <v>0</v>
      </c>
      <c r="AA112" s="316">
        <f t="shared" si="21"/>
        <v>0</v>
      </c>
      <c r="AB112" s="316">
        <f t="shared" si="21"/>
        <v>0</v>
      </c>
    </row>
    <row r="113" spans="1:29" x14ac:dyDescent="0.25">
      <c r="A113" s="53"/>
      <c r="B113" s="53"/>
      <c r="C113" s="314"/>
      <c r="D113" s="314"/>
      <c r="E113" s="314"/>
      <c r="F113" s="310"/>
      <c r="G113" s="310"/>
      <c r="H113" s="311"/>
      <c r="I113" s="312"/>
      <c r="L113" s="301"/>
      <c r="M113" s="301"/>
      <c r="N113" s="301"/>
      <c r="P113" s="301"/>
      <c r="Q113" s="301"/>
      <c r="R113" s="317" t="s">
        <v>467</v>
      </c>
      <c r="S113" s="318"/>
      <c r="T113" s="318"/>
      <c r="U113" s="319"/>
      <c r="V113" s="320"/>
      <c r="W113" s="320"/>
      <c r="X113" s="321"/>
      <c r="Y113" s="319"/>
      <c r="Z113" s="319"/>
      <c r="AA113" s="319"/>
      <c r="AB113" s="322"/>
    </row>
    <row r="114" spans="1:29" x14ac:dyDescent="0.25">
      <c r="A114" s="53"/>
      <c r="B114" s="53"/>
      <c r="C114" s="314"/>
      <c r="D114" s="314"/>
      <c r="E114" s="314"/>
      <c r="F114" s="310"/>
      <c r="G114" s="310"/>
      <c r="H114" s="311"/>
      <c r="I114" s="312"/>
      <c r="L114" s="301"/>
      <c r="M114" s="301"/>
      <c r="N114" s="301"/>
      <c r="P114" s="301"/>
      <c r="Q114" s="301"/>
      <c r="R114" s="323" t="s">
        <v>468</v>
      </c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</row>
    <row r="115" spans="1:29" x14ac:dyDescent="0.25">
      <c r="A115" s="53"/>
      <c r="B115" s="53"/>
      <c r="C115" s="314"/>
      <c r="D115" s="314"/>
      <c r="E115" s="314"/>
      <c r="F115" s="310"/>
      <c r="G115" s="310"/>
      <c r="H115" s="325"/>
      <c r="I115" s="325"/>
      <c r="L115" s="302"/>
      <c r="M115" s="302"/>
      <c r="N115" s="302"/>
      <c r="P115" s="302"/>
      <c r="Q115" s="302"/>
      <c r="R115" s="326" t="s">
        <v>469</v>
      </c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</row>
    <row r="116" spans="1:29" x14ac:dyDescent="0.25">
      <c r="A116" s="53"/>
      <c r="B116" s="53"/>
      <c r="C116" s="314"/>
      <c r="D116" s="314"/>
      <c r="E116" s="314"/>
      <c r="F116" s="310"/>
      <c r="G116" s="310"/>
      <c r="H116" s="311"/>
      <c r="I116" s="63" t="s">
        <v>470</v>
      </c>
      <c r="J116" s="63"/>
      <c r="K116" s="63" t="s">
        <v>471</v>
      </c>
      <c r="L116" s="63"/>
      <c r="M116" s="302"/>
      <c r="N116" s="302"/>
      <c r="P116" s="302"/>
      <c r="Q116" s="302"/>
      <c r="R116" s="317" t="s">
        <v>472</v>
      </c>
      <c r="S116" s="328"/>
      <c r="T116" s="328"/>
      <c r="U116" s="329"/>
      <c r="V116" s="330"/>
      <c r="W116" s="330"/>
      <c r="X116" s="331"/>
      <c r="Y116" s="330"/>
      <c r="Z116" s="330"/>
      <c r="AA116" s="330"/>
      <c r="AB116" s="331"/>
    </row>
    <row r="117" spans="1:29" x14ac:dyDescent="0.25">
      <c r="A117" s="53"/>
      <c r="B117" s="53"/>
      <c r="C117" s="314"/>
      <c r="D117" s="172"/>
      <c r="E117" s="172"/>
      <c r="F117" s="332"/>
      <c r="G117" s="332"/>
      <c r="H117" s="333"/>
      <c r="I117" s="19" t="s">
        <v>473</v>
      </c>
      <c r="J117" s="68" t="s">
        <v>474</v>
      </c>
      <c r="K117" s="19" t="s">
        <v>475</v>
      </c>
      <c r="L117" s="68" t="s">
        <v>354</v>
      </c>
      <c r="M117" s="302"/>
      <c r="N117" s="302"/>
      <c r="P117" s="302"/>
      <c r="Q117" s="302"/>
      <c r="R117" s="323" t="s">
        <v>468</v>
      </c>
      <c r="S117" s="324"/>
      <c r="T117" s="324"/>
      <c r="U117" s="324"/>
      <c r="V117" s="324"/>
      <c r="W117" s="324"/>
      <c r="X117" s="324"/>
      <c r="Y117" s="324"/>
      <c r="Z117" s="324"/>
      <c r="AA117" s="324"/>
      <c r="AB117" s="324"/>
    </row>
    <row r="118" spans="1:29" x14ac:dyDescent="0.25">
      <c r="A118" s="53"/>
      <c r="B118" s="53"/>
      <c r="C118" s="314"/>
      <c r="D118" s="172"/>
      <c r="E118" s="172"/>
      <c r="F118" s="332"/>
      <c r="G118" s="332"/>
      <c r="H118" s="311"/>
      <c r="I118" s="334">
        <f>J118/10^6</f>
        <v>0</v>
      </c>
      <c r="J118" s="335"/>
      <c r="K118" s="334">
        <f t="shared" ref="K118:K142" si="22">L118*62.4</f>
        <v>37.47688189842308</v>
      </c>
      <c r="L118" s="335">
        <v>0.60059105606447249</v>
      </c>
      <c r="M118" s="302"/>
      <c r="N118" s="302"/>
      <c r="P118" s="302"/>
      <c r="Q118" s="302"/>
      <c r="R118" s="336" t="s">
        <v>476</v>
      </c>
      <c r="S118" s="327"/>
      <c r="T118" s="327"/>
      <c r="U118" s="327"/>
      <c r="V118" s="327"/>
      <c r="W118" s="327"/>
      <c r="X118" s="327"/>
      <c r="Y118" s="327"/>
      <c r="Z118" s="327"/>
      <c r="AA118" s="327"/>
      <c r="AB118" s="327"/>
    </row>
    <row r="119" spans="1:29" x14ac:dyDescent="0.25">
      <c r="A119" s="53"/>
      <c r="B119" s="53"/>
      <c r="C119" s="314"/>
      <c r="D119" s="172"/>
      <c r="E119" s="172"/>
      <c r="F119" s="332"/>
      <c r="G119" s="332"/>
      <c r="H119" s="311"/>
      <c r="I119" s="334">
        <f t="shared" ref="I119:I142" si="23">J119/10^6</f>
        <v>0</v>
      </c>
      <c r="J119" s="335"/>
      <c r="K119" s="334">
        <f t="shared" si="22"/>
        <v>37.213769116869926</v>
      </c>
      <c r="L119" s="335">
        <v>0.59637450507804368</v>
      </c>
      <c r="M119" s="302"/>
      <c r="N119" s="302"/>
      <c r="P119" s="302"/>
      <c r="Q119" s="302"/>
      <c r="R119" s="302"/>
      <c r="S119" s="302"/>
    </row>
    <row r="120" spans="1:29" x14ac:dyDescent="0.25">
      <c r="A120" s="53"/>
      <c r="B120" s="53"/>
      <c r="C120" s="314"/>
      <c r="D120" s="172"/>
      <c r="E120" s="172"/>
      <c r="F120" s="332"/>
      <c r="G120" s="332"/>
      <c r="H120" s="311"/>
      <c r="I120" s="334">
        <f t="shared" si="23"/>
        <v>0</v>
      </c>
      <c r="J120" s="335"/>
      <c r="K120" s="334">
        <f t="shared" si="22"/>
        <v>36.820716374666553</v>
      </c>
      <c r="L120" s="335">
        <v>0.59007558292734863</v>
      </c>
      <c r="M120" s="302"/>
      <c r="N120" s="302"/>
      <c r="P120" s="302"/>
      <c r="Q120" s="302"/>
      <c r="R120" s="302"/>
      <c r="S120" s="302"/>
    </row>
    <row r="121" spans="1:29" x14ac:dyDescent="0.25">
      <c r="A121" s="53"/>
      <c r="B121" s="53"/>
      <c r="C121" s="314"/>
      <c r="D121" s="172"/>
      <c r="E121" s="172"/>
      <c r="F121" s="332"/>
      <c r="G121" s="332"/>
      <c r="H121" s="311"/>
      <c r="I121" s="334">
        <f t="shared" si="23"/>
        <v>0</v>
      </c>
      <c r="J121" s="335"/>
      <c r="K121" s="334">
        <f t="shared" si="22"/>
        <v>36.325065150547381</v>
      </c>
      <c r="L121" s="335">
        <v>0.58213245433569527</v>
      </c>
      <c r="M121" s="302"/>
      <c r="N121" s="302"/>
      <c r="P121" s="302"/>
      <c r="Q121" s="302"/>
      <c r="R121" s="302"/>
      <c r="S121" s="302"/>
    </row>
    <row r="122" spans="1:29" x14ac:dyDescent="0.25">
      <c r="A122" s="53"/>
      <c r="B122" s="53"/>
      <c r="C122" s="314"/>
      <c r="D122" s="172"/>
      <c r="E122" s="172"/>
      <c r="F122" s="332"/>
      <c r="G122" s="332"/>
      <c r="H122" s="311"/>
      <c r="I122" s="334">
        <f t="shared" si="23"/>
        <v>0</v>
      </c>
      <c r="J122" s="335"/>
      <c r="K122" s="334">
        <f t="shared" si="22"/>
        <v>35.972451957054204</v>
      </c>
      <c r="L122" s="335">
        <v>0.57648160187586872</v>
      </c>
      <c r="M122" s="302"/>
      <c r="N122" s="302"/>
      <c r="P122" s="302"/>
      <c r="Q122" s="302"/>
      <c r="R122" s="302"/>
      <c r="S122" s="302"/>
    </row>
    <row r="123" spans="1:29" x14ac:dyDescent="0.25">
      <c r="A123" s="53"/>
      <c r="B123" s="53"/>
      <c r="C123" s="314"/>
      <c r="D123" s="172"/>
      <c r="E123" s="172"/>
      <c r="F123" s="332"/>
      <c r="G123" s="332"/>
      <c r="H123" s="311"/>
      <c r="I123" s="334">
        <f t="shared" si="23"/>
        <v>0</v>
      </c>
      <c r="J123" s="335"/>
      <c r="K123" s="334">
        <f t="shared" si="22"/>
        <v>35.586813591736934</v>
      </c>
      <c r="L123" s="335">
        <v>0.57030149986757905</v>
      </c>
      <c r="M123" s="302"/>
      <c r="N123" s="302"/>
      <c r="P123" s="302"/>
      <c r="Q123" s="302"/>
      <c r="R123" s="302"/>
      <c r="S123" s="302"/>
    </row>
    <row r="124" spans="1:29" x14ac:dyDescent="0.25">
      <c r="A124" s="53"/>
      <c r="B124" s="53"/>
      <c r="C124" s="314"/>
      <c r="D124" s="172"/>
      <c r="E124" s="172"/>
      <c r="F124" s="332"/>
      <c r="G124" s="332"/>
      <c r="H124" s="311"/>
      <c r="I124" s="334">
        <f t="shared" si="23"/>
        <v>0</v>
      </c>
      <c r="J124" s="335"/>
      <c r="K124" s="334">
        <f t="shared" si="22"/>
        <v>35.163889698319437</v>
      </c>
      <c r="L124" s="335">
        <v>0.5635238733705038</v>
      </c>
      <c r="M124" s="302"/>
      <c r="N124" s="302"/>
      <c r="P124" s="302"/>
      <c r="Q124" s="302"/>
      <c r="R124" s="302"/>
      <c r="S124" s="302"/>
    </row>
    <row r="125" spans="1:29" x14ac:dyDescent="0.25">
      <c r="A125" s="53"/>
      <c r="B125" s="53"/>
      <c r="C125" s="314"/>
      <c r="D125" s="172"/>
      <c r="E125" s="172"/>
      <c r="F125" s="332"/>
      <c r="G125" s="332"/>
      <c r="H125" s="311"/>
      <c r="I125" s="334">
        <f t="shared" si="23"/>
        <v>0</v>
      </c>
      <c r="J125" s="335"/>
      <c r="K125" s="334">
        <f t="shared" si="22"/>
        <v>34.431046636339921</v>
      </c>
      <c r="L125" s="335">
        <v>0.55177959353108852</v>
      </c>
      <c r="M125" s="302"/>
      <c r="N125" s="302"/>
      <c r="P125" s="302"/>
      <c r="Q125" s="302"/>
      <c r="R125" s="302"/>
      <c r="S125" s="302"/>
    </row>
    <row r="126" spans="1:29" x14ac:dyDescent="0.25">
      <c r="A126" s="53"/>
      <c r="B126" s="53"/>
      <c r="C126" s="314"/>
      <c r="D126" s="172"/>
      <c r="E126" s="172"/>
      <c r="F126" s="332"/>
      <c r="G126" s="332"/>
      <c r="H126" s="311"/>
      <c r="I126" s="334">
        <f t="shared" si="23"/>
        <v>0</v>
      </c>
      <c r="J126" s="335"/>
      <c r="K126" s="334">
        <f t="shared" si="22"/>
        <v>0</v>
      </c>
      <c r="L126" s="335"/>
      <c r="M126" s="302"/>
      <c r="N126" s="302"/>
      <c r="P126" s="302"/>
      <c r="Q126" s="302"/>
      <c r="R126" s="302"/>
      <c r="S126" s="302"/>
    </row>
    <row r="127" spans="1:29" x14ac:dyDescent="0.25">
      <c r="A127" s="53"/>
      <c r="B127" s="53"/>
      <c r="C127" s="314"/>
      <c r="D127" s="172"/>
      <c r="E127" s="172"/>
      <c r="F127" s="332"/>
      <c r="G127" s="332"/>
      <c r="H127" s="311"/>
      <c r="I127" s="334">
        <f t="shared" si="23"/>
        <v>0</v>
      </c>
      <c r="J127" s="335"/>
      <c r="K127" s="334">
        <f t="shared" si="22"/>
        <v>0</v>
      </c>
      <c r="L127" s="335"/>
      <c r="M127" s="302"/>
      <c r="N127" s="302"/>
      <c r="P127" s="302"/>
      <c r="Q127" s="302"/>
      <c r="R127" s="302"/>
      <c r="S127" s="302"/>
      <c r="AC127" s="17"/>
    </row>
    <row r="128" spans="1:29" x14ac:dyDescent="0.25">
      <c r="A128" s="53"/>
      <c r="B128" s="53"/>
      <c r="C128" s="314"/>
      <c r="D128" s="314"/>
      <c r="E128" s="314"/>
      <c r="F128" s="310"/>
      <c r="G128" s="310"/>
      <c r="H128" s="312"/>
      <c r="I128" s="334">
        <f t="shared" si="23"/>
        <v>0</v>
      </c>
      <c r="J128" s="19"/>
      <c r="K128" s="334">
        <f t="shared" si="22"/>
        <v>0</v>
      </c>
      <c r="L128" s="19"/>
      <c r="AC128" s="17"/>
    </row>
    <row r="129" spans="1:30" x14ac:dyDescent="0.25">
      <c r="A129" s="53"/>
      <c r="B129" s="53"/>
      <c r="C129" s="53"/>
      <c r="D129" s="53"/>
      <c r="E129" s="53"/>
      <c r="F129" s="310"/>
      <c r="G129" s="310"/>
      <c r="H129" s="311"/>
      <c r="I129" s="334">
        <f t="shared" si="23"/>
        <v>0</v>
      </c>
      <c r="J129" s="19"/>
      <c r="K129" s="334">
        <f t="shared" si="22"/>
        <v>0</v>
      </c>
      <c r="L129" s="19"/>
      <c r="AC129" s="17"/>
    </row>
    <row r="130" spans="1:30" x14ac:dyDescent="0.25">
      <c r="A130" s="62"/>
      <c r="B130" s="62"/>
      <c r="C130" s="62"/>
      <c r="D130" s="62"/>
      <c r="E130" s="62"/>
      <c r="F130" s="179"/>
      <c r="G130" s="179"/>
      <c r="H130" s="253"/>
      <c r="I130" s="334">
        <f t="shared" si="23"/>
        <v>0</v>
      </c>
      <c r="J130" s="19"/>
      <c r="K130" s="334">
        <f t="shared" si="22"/>
        <v>0</v>
      </c>
      <c r="L130" s="19"/>
      <c r="AC130" s="17"/>
    </row>
    <row r="131" spans="1:30" x14ac:dyDescent="0.25">
      <c r="A131" s="62"/>
      <c r="B131" s="62"/>
      <c r="C131" s="62"/>
      <c r="D131" s="62"/>
      <c r="E131" s="62"/>
      <c r="F131" s="179"/>
      <c r="G131" s="179"/>
      <c r="H131" s="253"/>
      <c r="I131" s="334">
        <f t="shared" si="23"/>
        <v>0</v>
      </c>
      <c r="J131" s="19"/>
      <c r="K131" s="334">
        <f t="shared" si="22"/>
        <v>0</v>
      </c>
      <c r="L131" s="19"/>
      <c r="P131" s="337" t="s">
        <v>477</v>
      </c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38"/>
      <c r="AB131" s="338"/>
      <c r="AC131" s="17"/>
      <c r="AD131" s="17"/>
    </row>
    <row r="132" spans="1:30" x14ac:dyDescent="0.25">
      <c r="A132" s="62"/>
      <c r="B132" s="62"/>
      <c r="C132" s="62"/>
      <c r="D132" s="62"/>
      <c r="E132" s="62"/>
      <c r="F132" s="179"/>
      <c r="G132" s="179"/>
      <c r="H132" s="253"/>
      <c r="I132" s="334">
        <f t="shared" si="23"/>
        <v>0</v>
      </c>
      <c r="J132" s="19"/>
      <c r="K132" s="334">
        <f t="shared" si="22"/>
        <v>0</v>
      </c>
      <c r="L132" s="19"/>
      <c r="P132" s="338">
        <v>1</v>
      </c>
      <c r="Q132" s="338">
        <v>2</v>
      </c>
      <c r="R132" s="338">
        <v>3</v>
      </c>
      <c r="S132" s="338">
        <v>4</v>
      </c>
      <c r="T132" s="338">
        <v>5</v>
      </c>
      <c r="U132" s="338">
        <v>6</v>
      </c>
      <c r="V132" s="338">
        <v>7</v>
      </c>
      <c r="W132" s="338">
        <v>8</v>
      </c>
      <c r="X132" s="338">
        <v>9</v>
      </c>
      <c r="Y132" s="338">
        <v>10</v>
      </c>
      <c r="Z132" s="338">
        <v>11</v>
      </c>
      <c r="AA132" s="338">
        <v>12</v>
      </c>
      <c r="AB132" s="338"/>
      <c r="AC132" s="17"/>
      <c r="AD132" s="17"/>
    </row>
    <row r="133" spans="1:30" ht="15" customHeight="1" x14ac:dyDescent="0.25">
      <c r="A133" s="62"/>
      <c r="B133" s="62"/>
      <c r="C133" s="62"/>
      <c r="D133" s="62"/>
      <c r="E133" s="62"/>
      <c r="F133" s="179"/>
      <c r="G133" s="179"/>
      <c r="H133" s="253"/>
      <c r="I133" s="334">
        <f t="shared" si="23"/>
        <v>0</v>
      </c>
      <c r="J133" s="19"/>
      <c r="K133" s="334">
        <f t="shared" si="22"/>
        <v>0</v>
      </c>
      <c r="L133" s="19"/>
      <c r="N133" t="s">
        <v>478</v>
      </c>
      <c r="P133" s="339" t="s">
        <v>2</v>
      </c>
      <c r="Q133" s="339" t="s">
        <v>3</v>
      </c>
      <c r="R133" s="339" t="s">
        <v>479</v>
      </c>
      <c r="S133" s="339" t="s">
        <v>480</v>
      </c>
      <c r="T133" s="339" t="s">
        <v>481</v>
      </c>
      <c r="U133" s="339" t="s">
        <v>482</v>
      </c>
      <c r="V133" s="339" t="s">
        <v>483</v>
      </c>
      <c r="W133" s="339" t="s">
        <v>484</v>
      </c>
      <c r="X133" s="339" t="s">
        <v>485</v>
      </c>
      <c r="Y133" s="339" t="s">
        <v>486</v>
      </c>
      <c r="Z133" s="339" t="s">
        <v>487</v>
      </c>
      <c r="AA133" s="339" t="s">
        <v>488</v>
      </c>
      <c r="AB133" s="338"/>
      <c r="AC133" s="17"/>
      <c r="AD133" s="17"/>
    </row>
    <row r="134" spans="1:30" x14ac:dyDescent="0.25">
      <c r="A134" s="62"/>
      <c r="B134" s="62"/>
      <c r="C134" s="62"/>
      <c r="D134" s="62"/>
      <c r="E134" s="62"/>
      <c r="F134" s="179"/>
      <c r="G134" s="179"/>
      <c r="H134" s="253"/>
      <c r="I134" s="334">
        <f t="shared" si="23"/>
        <v>0</v>
      </c>
      <c r="J134" s="19"/>
      <c r="K134" s="334">
        <f t="shared" si="22"/>
        <v>0</v>
      </c>
      <c r="L134" s="19"/>
      <c r="N134" s="340">
        <f>COUNTA(R134:AD134)</f>
        <v>0</v>
      </c>
      <c r="P134" s="339" t="s">
        <v>55</v>
      </c>
      <c r="Q134" s="341" t="s">
        <v>56</v>
      </c>
      <c r="R134" s="342"/>
      <c r="S134" s="342"/>
      <c r="T134" s="342"/>
      <c r="U134" s="342"/>
      <c r="V134" s="342"/>
      <c r="W134" s="342"/>
      <c r="X134" s="342"/>
      <c r="Y134" s="342"/>
      <c r="Z134" s="342"/>
      <c r="AA134" s="343"/>
      <c r="AB134" s="338"/>
      <c r="AC134" s="17"/>
      <c r="AD134" s="17"/>
    </row>
    <row r="135" spans="1:30" x14ac:dyDescent="0.25">
      <c r="A135" s="62"/>
      <c r="B135" s="62"/>
      <c r="C135" s="62"/>
      <c r="D135" s="62"/>
      <c r="E135" s="62"/>
      <c r="F135" s="179"/>
      <c r="G135" s="179"/>
      <c r="H135" s="253"/>
      <c r="I135" s="334">
        <f t="shared" si="23"/>
        <v>0</v>
      </c>
      <c r="J135" s="19"/>
      <c r="K135" s="334">
        <f t="shared" si="22"/>
        <v>0</v>
      </c>
      <c r="L135" s="19"/>
      <c r="N135" s="344" t="s">
        <v>489</v>
      </c>
      <c r="P135" s="345" t="s">
        <v>28</v>
      </c>
      <c r="Q135" s="345" t="s">
        <v>490</v>
      </c>
      <c r="R135" s="346"/>
      <c r="S135" s="346"/>
      <c r="T135" s="346"/>
      <c r="U135" s="346"/>
      <c r="V135" s="346"/>
      <c r="W135" s="346"/>
      <c r="X135" s="346"/>
      <c r="Y135" s="346"/>
      <c r="Z135" s="346"/>
      <c r="AA135" s="343"/>
      <c r="AB135" s="338"/>
      <c r="AC135" s="17"/>
      <c r="AD135" s="17"/>
    </row>
    <row r="136" spans="1:30" x14ac:dyDescent="0.25">
      <c r="A136" s="62"/>
      <c r="B136" s="62"/>
      <c r="C136" s="62"/>
      <c r="D136" s="62"/>
      <c r="E136" s="62"/>
      <c r="F136" s="179"/>
      <c r="G136" s="179"/>
      <c r="H136" s="253"/>
      <c r="I136" s="334">
        <f t="shared" si="23"/>
        <v>0</v>
      </c>
      <c r="J136" s="19"/>
      <c r="K136" s="334">
        <f t="shared" si="22"/>
        <v>0</v>
      </c>
      <c r="L136" s="19"/>
      <c r="N136" s="344">
        <v>12</v>
      </c>
      <c r="P136" s="345" t="s">
        <v>18</v>
      </c>
      <c r="Q136" s="345" t="s">
        <v>491</v>
      </c>
      <c r="R136" s="341"/>
      <c r="S136" s="345"/>
      <c r="T136" s="345"/>
      <c r="U136" s="345"/>
      <c r="V136" s="345"/>
      <c r="W136" s="345"/>
      <c r="X136" s="345"/>
      <c r="Y136" s="345"/>
      <c r="Z136" s="345"/>
      <c r="AA136" s="345"/>
      <c r="AB136" s="338"/>
      <c r="AC136" s="17"/>
      <c r="AD136" s="17"/>
    </row>
    <row r="137" spans="1:30" x14ac:dyDescent="0.25">
      <c r="A137" s="62"/>
      <c r="B137" s="62"/>
      <c r="C137" s="62"/>
      <c r="D137" s="62"/>
      <c r="E137" s="62"/>
      <c r="F137" s="179"/>
      <c r="G137" s="179"/>
      <c r="H137" s="253"/>
      <c r="I137" s="334">
        <f t="shared" si="23"/>
        <v>0</v>
      </c>
      <c r="J137" s="19"/>
      <c r="K137" s="334">
        <f t="shared" si="22"/>
        <v>0</v>
      </c>
      <c r="L137" s="19"/>
      <c r="N137" s="344"/>
      <c r="P137" s="345" t="s">
        <v>13</v>
      </c>
      <c r="Q137" s="345" t="s">
        <v>492</v>
      </c>
      <c r="R137" s="347"/>
      <c r="S137" s="347"/>
      <c r="T137" s="347"/>
      <c r="U137" s="347"/>
      <c r="V137" s="347"/>
      <c r="W137" s="347"/>
      <c r="X137" s="347"/>
      <c r="Y137" s="347"/>
      <c r="Z137" s="347"/>
      <c r="AA137" s="347"/>
      <c r="AB137" s="338"/>
      <c r="AC137" s="17"/>
      <c r="AD137" s="17"/>
    </row>
    <row r="138" spans="1:30" x14ac:dyDescent="0.25">
      <c r="A138" s="62"/>
      <c r="B138" s="62"/>
      <c r="C138" s="62"/>
      <c r="D138" s="62"/>
      <c r="E138" s="62"/>
      <c r="F138" s="179"/>
      <c r="G138" s="179"/>
      <c r="H138" s="253"/>
      <c r="I138" s="334">
        <f t="shared" si="23"/>
        <v>0</v>
      </c>
      <c r="J138" s="19"/>
      <c r="K138" s="334">
        <f t="shared" si="22"/>
        <v>0</v>
      </c>
      <c r="L138" s="19"/>
      <c r="N138" s="344"/>
      <c r="P138" s="345" t="s">
        <v>35</v>
      </c>
      <c r="Q138" s="345" t="s">
        <v>493</v>
      </c>
      <c r="R138" s="347"/>
      <c r="S138" s="347"/>
      <c r="T138" s="347"/>
      <c r="U138" s="347"/>
      <c r="V138" s="347"/>
      <c r="W138" s="347"/>
      <c r="X138" s="347"/>
      <c r="Y138" s="347"/>
      <c r="Z138" s="347"/>
      <c r="AA138" s="347"/>
      <c r="AB138" s="338"/>
      <c r="AC138" s="17"/>
      <c r="AD138" s="17"/>
    </row>
    <row r="139" spans="1:30" x14ac:dyDescent="0.25">
      <c r="A139" s="62"/>
      <c r="B139" s="62"/>
      <c r="C139" s="62"/>
      <c r="D139" s="62"/>
      <c r="E139" s="62"/>
      <c r="F139" s="179"/>
      <c r="G139" s="179"/>
      <c r="H139" s="253"/>
      <c r="I139" s="334">
        <f t="shared" si="23"/>
        <v>0</v>
      </c>
      <c r="J139" s="19"/>
      <c r="K139" s="334">
        <f t="shared" si="22"/>
        <v>0</v>
      </c>
      <c r="L139" s="19"/>
      <c r="N139" s="344"/>
      <c r="P139" s="345" t="s">
        <v>48</v>
      </c>
      <c r="Q139" s="345" t="s">
        <v>494</v>
      </c>
      <c r="R139" s="347"/>
      <c r="S139" s="347"/>
      <c r="T139" s="347"/>
      <c r="U139" s="347"/>
      <c r="V139" s="347"/>
      <c r="W139" s="347"/>
      <c r="X139" s="347"/>
      <c r="Y139" s="347"/>
      <c r="Z139" s="347"/>
      <c r="AA139" s="347"/>
      <c r="AB139" s="338"/>
      <c r="AC139" s="17"/>
      <c r="AD139" s="17"/>
    </row>
    <row r="140" spans="1:30" x14ac:dyDescent="0.25">
      <c r="A140" s="62"/>
      <c r="B140" s="62"/>
      <c r="C140" s="62"/>
      <c r="D140" s="62"/>
      <c r="E140" s="62"/>
      <c r="F140" s="179"/>
      <c r="G140" s="179"/>
      <c r="H140" s="253"/>
      <c r="I140" s="334">
        <f t="shared" si="23"/>
        <v>0</v>
      </c>
      <c r="J140" s="19"/>
      <c r="K140" s="334">
        <f t="shared" si="22"/>
        <v>0</v>
      </c>
      <c r="L140" s="19"/>
      <c r="N140" s="344"/>
      <c r="P140" s="345" t="s">
        <v>69</v>
      </c>
      <c r="Q140" s="345" t="s">
        <v>495</v>
      </c>
      <c r="R140" s="347"/>
      <c r="S140" s="347"/>
      <c r="T140" s="347"/>
      <c r="U140" s="347"/>
      <c r="V140" s="347"/>
      <c r="W140" s="347"/>
      <c r="X140" s="347"/>
      <c r="Y140" s="347"/>
      <c r="Z140" s="347"/>
      <c r="AA140" s="347"/>
      <c r="AB140" s="338"/>
      <c r="AC140" s="17"/>
      <c r="AD140" s="17"/>
    </row>
    <row r="141" spans="1:30" x14ac:dyDescent="0.25">
      <c r="A141" s="62"/>
      <c r="B141" s="62"/>
      <c r="C141" s="62"/>
      <c r="D141" s="62"/>
      <c r="E141" s="62"/>
      <c r="F141" s="179"/>
      <c r="G141" s="179"/>
      <c r="H141" s="253"/>
      <c r="I141" s="334">
        <f t="shared" si="23"/>
        <v>0</v>
      </c>
      <c r="J141" s="19"/>
      <c r="K141" s="334">
        <f t="shared" si="22"/>
        <v>0</v>
      </c>
      <c r="L141" s="19"/>
      <c r="N141" s="344"/>
      <c r="P141" s="345" t="s">
        <v>93</v>
      </c>
      <c r="Q141" s="345" t="s">
        <v>496</v>
      </c>
      <c r="R141" s="347"/>
      <c r="S141" s="347"/>
      <c r="T141" s="347"/>
      <c r="U141" s="347"/>
      <c r="V141" s="347"/>
      <c r="W141" s="347"/>
      <c r="X141" s="347"/>
      <c r="Y141" s="347"/>
      <c r="Z141" s="347"/>
      <c r="AA141" s="347"/>
      <c r="AB141" s="338"/>
      <c r="AC141" s="17"/>
      <c r="AD141" s="17"/>
    </row>
    <row r="142" spans="1:30" x14ac:dyDescent="0.25">
      <c r="A142" s="62"/>
      <c r="B142" s="62"/>
      <c r="C142" s="62"/>
      <c r="D142" s="62"/>
      <c r="E142" s="62"/>
      <c r="F142" s="179"/>
      <c r="G142" s="179"/>
      <c r="H142" s="253"/>
      <c r="I142" s="334">
        <f t="shared" si="23"/>
        <v>0</v>
      </c>
      <c r="J142" s="19"/>
      <c r="K142" s="334">
        <f t="shared" si="22"/>
        <v>0</v>
      </c>
      <c r="L142" s="19"/>
      <c r="N142" s="344"/>
      <c r="P142" s="345" t="s">
        <v>101</v>
      </c>
      <c r="Q142" s="345" t="s">
        <v>497</v>
      </c>
      <c r="R142" s="347"/>
      <c r="S142" s="347"/>
      <c r="T142" s="347"/>
      <c r="U142" s="347"/>
      <c r="V142" s="347"/>
      <c r="W142" s="347"/>
      <c r="X142" s="347"/>
      <c r="Y142" s="347"/>
      <c r="Z142" s="347"/>
      <c r="AA142" s="347"/>
      <c r="AB142" s="338"/>
      <c r="AC142" s="17"/>
      <c r="AD142" s="17"/>
    </row>
    <row r="143" spans="1:30" x14ac:dyDescent="0.25">
      <c r="A143" t="s">
        <v>498</v>
      </c>
      <c r="B143" s="253"/>
      <c r="N143" s="344"/>
      <c r="P143" s="345" t="s">
        <v>109</v>
      </c>
      <c r="Q143" s="345" t="s">
        <v>499</v>
      </c>
      <c r="R143" s="347"/>
      <c r="S143" s="347"/>
      <c r="T143" s="347"/>
      <c r="U143" s="347"/>
      <c r="V143" s="347"/>
      <c r="W143" s="347"/>
      <c r="X143" s="347"/>
      <c r="Y143" s="347"/>
      <c r="Z143" s="347"/>
      <c r="AA143" s="347"/>
      <c r="AB143" s="338"/>
      <c r="AC143" s="17"/>
      <c r="AD143" s="17"/>
    </row>
    <row r="144" spans="1:30" x14ac:dyDescent="0.25">
      <c r="N144" s="348"/>
      <c r="P144" s="345" t="s">
        <v>117</v>
      </c>
      <c r="Q144" s="345" t="s">
        <v>500</v>
      </c>
      <c r="R144" s="347"/>
      <c r="S144" s="347"/>
      <c r="T144" s="347"/>
      <c r="U144" s="347"/>
      <c r="V144" s="347"/>
      <c r="W144" s="347"/>
      <c r="X144" s="347"/>
      <c r="Y144" s="347"/>
      <c r="Z144" s="347"/>
      <c r="AA144" s="347"/>
      <c r="AB144" s="338"/>
      <c r="AC144" s="17"/>
      <c r="AD144" s="17"/>
    </row>
    <row r="145" spans="1:30" x14ac:dyDescent="0.25">
      <c r="P145" s="345" t="s">
        <v>125</v>
      </c>
      <c r="Q145" s="345" t="s">
        <v>501</v>
      </c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38"/>
      <c r="AC145" s="17"/>
      <c r="AD145" s="17"/>
    </row>
    <row r="146" spans="1:30" x14ac:dyDescent="0.25">
      <c r="P146" s="349" t="s">
        <v>502</v>
      </c>
      <c r="Q146" s="349" t="s">
        <v>503</v>
      </c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38"/>
      <c r="AC146" s="17"/>
      <c r="AD146" s="17"/>
    </row>
    <row r="147" spans="1:30" x14ac:dyDescent="0.25">
      <c r="A147" s="350" t="s">
        <v>504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2"/>
      <c r="P147" s="28"/>
      <c r="Q147" s="349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38"/>
      <c r="AC147" s="17"/>
      <c r="AD147" s="17"/>
    </row>
    <row r="148" spans="1:30" ht="15.75" thickBot="1" x14ac:dyDescent="0.3">
      <c r="A148" s="353" t="s">
        <v>297</v>
      </c>
      <c r="B148" s="354" t="s">
        <v>505</v>
      </c>
      <c r="C148" s="353" t="s">
        <v>506</v>
      </c>
      <c r="D148" s="354" t="s">
        <v>436</v>
      </c>
      <c r="E148" s="355" t="s">
        <v>437</v>
      </c>
      <c r="F148" s="355" t="s">
        <v>434</v>
      </c>
      <c r="G148" s="355" t="s">
        <v>507</v>
      </c>
      <c r="H148" s="355" t="s">
        <v>508</v>
      </c>
      <c r="I148" s="355" t="s">
        <v>509</v>
      </c>
      <c r="J148" s="355" t="s">
        <v>510</v>
      </c>
      <c r="K148" s="355" t="s">
        <v>511</v>
      </c>
      <c r="P148" s="345"/>
      <c r="Q148" s="345"/>
      <c r="R148" s="347"/>
      <c r="S148" s="347"/>
      <c r="T148" s="347"/>
      <c r="U148" s="347"/>
      <c r="V148" s="347"/>
      <c r="W148" s="347"/>
      <c r="X148" s="347"/>
      <c r="Y148" s="347"/>
      <c r="Z148" s="347"/>
      <c r="AA148" s="347"/>
      <c r="AB148" s="338"/>
      <c r="AC148" s="17"/>
      <c r="AD148" s="17"/>
    </row>
    <row r="149" spans="1:30" ht="15.75" thickTop="1" x14ac:dyDescent="0.25">
      <c r="A149" s="356">
        <v>8515</v>
      </c>
      <c r="B149" s="357">
        <v>0.91872762332953539</v>
      </c>
      <c r="C149" s="358"/>
      <c r="D149" s="358"/>
      <c r="E149" s="358"/>
      <c r="F149" s="358"/>
      <c r="G149" s="358"/>
      <c r="H149" s="358"/>
      <c r="I149" s="358">
        <v>37.47688189842308</v>
      </c>
      <c r="J149" s="358"/>
      <c r="K149" s="359"/>
      <c r="P149" s="345"/>
      <c r="Q149" s="345"/>
      <c r="R149" s="345"/>
      <c r="S149" s="347"/>
      <c r="T149" s="347"/>
      <c r="U149" s="347"/>
      <c r="V149" s="347"/>
      <c r="W149" s="347"/>
      <c r="X149" s="347"/>
      <c r="Y149" s="347"/>
      <c r="Z149" s="347"/>
      <c r="AA149" s="347"/>
      <c r="AB149" s="338"/>
      <c r="AC149" s="17"/>
      <c r="AD149" s="17"/>
    </row>
    <row r="150" spans="1:30" x14ac:dyDescent="0.25">
      <c r="A150" s="53">
        <v>8015</v>
      </c>
      <c r="B150" s="360">
        <v>0.92522330990470603</v>
      </c>
      <c r="C150" s="53"/>
      <c r="D150" s="53"/>
      <c r="E150" s="360"/>
      <c r="F150" s="360"/>
      <c r="G150" s="360"/>
      <c r="H150" s="360"/>
      <c r="I150" s="361">
        <v>37.213769116869926</v>
      </c>
      <c r="J150" s="62"/>
      <c r="K150" s="179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  <c r="AA150" s="338"/>
      <c r="AB150" s="338"/>
      <c r="AC150" s="17"/>
      <c r="AD150" s="17"/>
    </row>
    <row r="151" spans="1:30" x14ac:dyDescent="0.25">
      <c r="A151" s="362">
        <v>7315</v>
      </c>
      <c r="B151" s="360">
        <v>0.9350998575364281</v>
      </c>
      <c r="C151" s="314"/>
      <c r="D151" s="314"/>
      <c r="E151" s="360"/>
      <c r="F151" s="360"/>
      <c r="G151" s="360"/>
      <c r="H151" s="360"/>
      <c r="I151" s="360">
        <v>36.820716374666553</v>
      </c>
      <c r="J151" s="62"/>
      <c r="K151" s="179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  <c r="AA151" s="338"/>
      <c r="AB151" s="338"/>
      <c r="AC151" s="17"/>
      <c r="AD151" s="17"/>
    </row>
    <row r="152" spans="1:30" x14ac:dyDescent="0.25">
      <c r="A152" s="362">
        <v>6515</v>
      </c>
      <c r="B152" s="360">
        <v>0.94785918466056984</v>
      </c>
      <c r="C152" s="314"/>
      <c r="D152" s="314"/>
      <c r="E152" s="360"/>
      <c r="F152" s="360"/>
      <c r="G152" s="360"/>
      <c r="H152" s="360"/>
      <c r="I152" s="360">
        <v>36.325065150547381</v>
      </c>
      <c r="J152" s="62"/>
      <c r="K152" s="179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38"/>
      <c r="AB152" s="338"/>
      <c r="AC152" s="17"/>
      <c r="AD152" s="17"/>
    </row>
    <row r="153" spans="1:30" x14ac:dyDescent="0.25">
      <c r="A153" s="362">
        <v>6015</v>
      </c>
      <c r="B153" s="360">
        <v>0.95715039601541485</v>
      </c>
      <c r="C153" s="314"/>
      <c r="D153" s="314"/>
      <c r="E153" s="360"/>
      <c r="F153" s="360"/>
      <c r="G153" s="360"/>
      <c r="H153" s="360"/>
      <c r="I153" s="360">
        <v>35.972451957054204</v>
      </c>
      <c r="J153" s="62"/>
      <c r="K153" s="179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38"/>
      <c r="AB153" s="338"/>
      <c r="AC153" s="17"/>
      <c r="AD153" s="17"/>
    </row>
    <row r="154" spans="1:30" x14ac:dyDescent="0.25">
      <c r="A154" s="362">
        <v>5515</v>
      </c>
      <c r="B154" s="360">
        <v>0.9675226063042246</v>
      </c>
      <c r="C154" s="314"/>
      <c r="D154" s="314"/>
      <c r="E154" s="360"/>
      <c r="F154" s="360"/>
      <c r="G154" s="360"/>
      <c r="H154" s="360"/>
      <c r="I154" s="360">
        <v>35.586813591736934</v>
      </c>
      <c r="J154" s="62"/>
      <c r="K154" s="179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38"/>
      <c r="AB154" s="338"/>
      <c r="AC154" s="17"/>
      <c r="AD154" s="17"/>
    </row>
    <row r="155" spans="1:30" x14ac:dyDescent="0.25">
      <c r="A155" s="362">
        <v>5015</v>
      </c>
      <c r="B155" s="360">
        <v>0.97915921508494164</v>
      </c>
      <c r="C155" s="314"/>
      <c r="D155" s="314"/>
      <c r="E155" s="360"/>
      <c r="F155" s="360"/>
      <c r="G155" s="360"/>
      <c r="H155" s="360"/>
      <c r="I155" s="360">
        <v>35.163889698319437</v>
      </c>
      <c r="J155" s="62"/>
      <c r="K155" s="179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  <c r="AA155" s="338"/>
      <c r="AB155" s="338"/>
      <c r="AC155" s="17"/>
      <c r="AD155" s="17"/>
    </row>
    <row r="156" spans="1:30" x14ac:dyDescent="0.25">
      <c r="A156" s="362">
        <v>4238.6549999999997</v>
      </c>
      <c r="B156" s="360">
        <v>1</v>
      </c>
      <c r="C156" s="314"/>
      <c r="D156" s="314"/>
      <c r="E156" s="360"/>
      <c r="F156" s="360"/>
      <c r="G156" s="360"/>
      <c r="H156" s="314"/>
      <c r="I156" s="360">
        <v>34.431046636339921</v>
      </c>
      <c r="J156" s="62"/>
      <c r="K156" s="179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  <c r="AA156" s="338"/>
      <c r="AB156" s="338"/>
      <c r="AC156" s="17"/>
      <c r="AD156" s="17"/>
    </row>
    <row r="157" spans="1:30" x14ac:dyDescent="0.25">
      <c r="A157" s="362">
        <v>3990.6549999999997</v>
      </c>
      <c r="B157" s="360">
        <v>1.0206645304142503</v>
      </c>
      <c r="C157" s="314"/>
      <c r="D157" s="314"/>
      <c r="E157" s="360"/>
      <c r="F157" s="360"/>
      <c r="G157" s="360"/>
      <c r="H157" s="360"/>
      <c r="I157" s="360"/>
      <c r="J157" s="62"/>
      <c r="K157" s="179">
        <v>3.0073360219961547</v>
      </c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38"/>
      <c r="AB157" s="338"/>
      <c r="AC157" s="17"/>
      <c r="AD157" s="17"/>
    </row>
    <row r="158" spans="1:30" x14ac:dyDescent="0.25">
      <c r="A158" s="362">
        <v>3742.6549999999997</v>
      </c>
      <c r="B158" s="360">
        <v>1.0457923730990999</v>
      </c>
      <c r="C158" s="314"/>
      <c r="D158" s="314"/>
      <c r="E158" s="360"/>
      <c r="F158" s="360"/>
      <c r="G158" s="360"/>
      <c r="H158" s="314"/>
      <c r="I158" s="360"/>
      <c r="J158" s="62"/>
      <c r="K158" s="179">
        <v>2.8940679949333474</v>
      </c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38"/>
      <c r="AB158" s="338"/>
      <c r="AC158" s="17"/>
      <c r="AD158" s="17"/>
    </row>
    <row r="159" spans="1:30" x14ac:dyDescent="0.25">
      <c r="A159" s="362">
        <v>3494.6549999999997</v>
      </c>
      <c r="B159" s="360">
        <v>1.0765594629171356</v>
      </c>
      <c r="C159" s="314"/>
      <c r="D159" s="314"/>
      <c r="E159" s="360"/>
      <c r="F159" s="363"/>
      <c r="G159" s="360"/>
      <c r="H159" s="314"/>
      <c r="I159" s="361"/>
      <c r="J159" s="62"/>
      <c r="K159" s="179">
        <v>2.7807999678705402</v>
      </c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  <c r="AA159" s="338"/>
      <c r="AB159" s="338"/>
      <c r="AC159" s="17"/>
      <c r="AD159" s="17"/>
    </row>
    <row r="160" spans="1:30" x14ac:dyDescent="0.25">
      <c r="A160" s="362">
        <v>3246.6549999999997</v>
      </c>
      <c r="B160" s="360">
        <v>1.1145423007405932</v>
      </c>
      <c r="C160" s="314"/>
      <c r="D160" s="314"/>
      <c r="E160" s="360"/>
      <c r="F160" s="363"/>
      <c r="G160" s="360"/>
      <c r="H160" s="314"/>
      <c r="I160" s="361"/>
      <c r="J160" s="62"/>
      <c r="K160" s="179">
        <v>2.6675319408077334</v>
      </c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338"/>
      <c r="AB160" s="338"/>
      <c r="AC160" s="17"/>
      <c r="AD160" s="17"/>
    </row>
    <row r="161" spans="1:30" x14ac:dyDescent="0.25">
      <c r="A161" s="362">
        <v>2998.6549999999997</v>
      </c>
      <c r="B161" s="360">
        <v>1.1618935010347378</v>
      </c>
      <c r="C161" s="314"/>
      <c r="D161" s="314"/>
      <c r="E161" s="360"/>
      <c r="F161" s="363"/>
      <c r="G161" s="360"/>
      <c r="H161" s="314"/>
      <c r="I161" s="361"/>
      <c r="J161" s="62"/>
      <c r="K161" s="179">
        <v>2.5542639137449257</v>
      </c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  <c r="AA161" s="338"/>
      <c r="AB161" s="338"/>
      <c r="AC161" s="17"/>
      <c r="AD161" s="17"/>
    </row>
    <row r="162" spans="1:30" x14ac:dyDescent="0.25">
      <c r="A162" s="362">
        <v>2750.6549999999997</v>
      </c>
      <c r="B162" s="360">
        <v>1.2216153106668133</v>
      </c>
      <c r="C162" s="314"/>
      <c r="D162" s="314"/>
      <c r="E162" s="360"/>
      <c r="F162" s="363"/>
      <c r="G162" s="360"/>
      <c r="H162" s="314"/>
      <c r="I162" s="361"/>
      <c r="J162" s="62"/>
      <c r="K162" s="179">
        <v>2.4409958866821189</v>
      </c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338"/>
      <c r="AB162" s="338"/>
      <c r="AC162" s="17"/>
      <c r="AD162" s="17"/>
    </row>
    <row r="163" spans="1:30" x14ac:dyDescent="0.25">
      <c r="A163" s="362">
        <v>2502.6549999999997</v>
      </c>
      <c r="B163" s="360">
        <v>1.2980001836028503</v>
      </c>
      <c r="C163" s="314"/>
      <c r="D163" s="314"/>
      <c r="E163" s="360"/>
      <c r="F163" s="363"/>
      <c r="G163" s="360"/>
      <c r="H163" s="314"/>
      <c r="I163" s="361"/>
      <c r="J163" s="62"/>
      <c r="K163" s="179">
        <v>2.3277278596193112</v>
      </c>
      <c r="P163" s="338"/>
      <c r="Q163" s="338"/>
      <c r="R163" s="338"/>
      <c r="S163" s="338"/>
      <c r="T163" s="338"/>
      <c r="U163" s="338"/>
      <c r="V163" s="338"/>
      <c r="W163" s="338"/>
      <c r="X163" s="338"/>
      <c r="Y163" s="338"/>
      <c r="Z163" s="338"/>
      <c r="AA163" s="338"/>
      <c r="AB163" s="338"/>
      <c r="AC163" s="17"/>
      <c r="AD163" s="17"/>
    </row>
    <row r="164" spans="1:30" x14ac:dyDescent="0.25">
      <c r="A164" s="362">
        <v>2254.6549999999997</v>
      </c>
      <c r="B164" s="360">
        <v>1.3973687989621681</v>
      </c>
      <c r="C164" s="314"/>
      <c r="D164" s="314"/>
      <c r="E164" s="360"/>
      <c r="F164" s="363"/>
      <c r="G164" s="360"/>
      <c r="H164" s="314"/>
      <c r="I164" s="361"/>
      <c r="J164" s="62"/>
      <c r="K164" s="179">
        <v>2.2144598325565044</v>
      </c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  <c r="AA164" s="338"/>
      <c r="AB164" s="338"/>
      <c r="AC164" s="17"/>
      <c r="AD164" s="17"/>
    </row>
    <row r="165" spans="1:30" x14ac:dyDescent="0.25">
      <c r="A165" s="362">
        <v>2006.6549999999997</v>
      </c>
      <c r="B165" s="360">
        <v>1.5293656784447045</v>
      </c>
      <c r="C165" s="314"/>
      <c r="D165" s="314"/>
      <c r="E165" s="360"/>
      <c r="F165" s="363"/>
      <c r="G165" s="360"/>
      <c r="H165" s="314"/>
      <c r="I165" s="361"/>
      <c r="J165" s="62"/>
      <c r="K165" s="179">
        <v>2.1011918054936971</v>
      </c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38"/>
      <c r="AB165" s="338"/>
      <c r="AC165" s="17"/>
      <c r="AD165" s="17"/>
    </row>
    <row r="166" spans="1:30" x14ac:dyDescent="0.25">
      <c r="A166" s="362">
        <v>1758.6549999999997</v>
      </c>
      <c r="B166" s="360">
        <v>1.7093675228495044</v>
      </c>
      <c r="C166" s="314"/>
      <c r="D166" s="314"/>
      <c r="E166" s="360"/>
      <c r="F166" s="363"/>
      <c r="G166" s="360"/>
      <c r="H166" s="314"/>
      <c r="I166" s="361"/>
      <c r="J166" s="62"/>
      <c r="K166" s="179">
        <v>1.9879237784308899</v>
      </c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38"/>
      <c r="AB166" s="338"/>
      <c r="AC166" s="17"/>
      <c r="AD166" s="17"/>
    </row>
    <row r="167" spans="1:30" x14ac:dyDescent="0.25">
      <c r="A167" s="362">
        <v>1510.6549999999997</v>
      </c>
      <c r="B167" s="360">
        <v>1.9632910936545114</v>
      </c>
      <c r="C167" s="314"/>
      <c r="D167" s="314"/>
      <c r="E167" s="360"/>
      <c r="F167" s="363"/>
      <c r="G167" s="360"/>
      <c r="H167" s="314"/>
      <c r="I167" s="361"/>
      <c r="J167" s="62"/>
      <c r="K167" s="179">
        <v>1.8746557513680826</v>
      </c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38"/>
      <c r="AB167" s="338"/>
      <c r="AC167" s="17"/>
      <c r="AD167" s="17"/>
    </row>
    <row r="168" spans="1:30" x14ac:dyDescent="0.25">
      <c r="A168" s="362">
        <v>1329.6549999999997</v>
      </c>
      <c r="B168" s="360">
        <v>2.2208704037582367</v>
      </c>
      <c r="C168" s="314"/>
      <c r="D168" s="314"/>
      <c r="E168" s="360"/>
      <c r="F168" s="363"/>
      <c r="G168" s="360"/>
      <c r="H168" s="314"/>
      <c r="I168" s="361"/>
      <c r="J168" s="62"/>
      <c r="K168" s="179">
        <v>1.7919883606488565</v>
      </c>
      <c r="P168" s="338"/>
      <c r="Q168" s="338"/>
      <c r="R168" s="338"/>
      <c r="S168" s="338"/>
      <c r="T168" s="338"/>
      <c r="U168" s="338"/>
      <c r="V168" s="338"/>
      <c r="W168" s="338"/>
      <c r="X168" s="338"/>
      <c r="Y168" s="338"/>
      <c r="Z168" s="338"/>
      <c r="AA168" s="338"/>
      <c r="AB168" s="338"/>
      <c r="AC168" s="17"/>
      <c r="AD168" s="17"/>
    </row>
    <row r="169" spans="1:30" x14ac:dyDescent="0.25">
      <c r="A169" s="53">
        <v>1081.6549999999997</v>
      </c>
      <c r="B169" s="360">
        <v>2.7386312000424611</v>
      </c>
      <c r="C169" s="314"/>
      <c r="D169" s="314"/>
      <c r="E169" s="360"/>
      <c r="F169" s="363"/>
      <c r="G169" s="360"/>
      <c r="H169" s="314"/>
      <c r="I169" s="361"/>
      <c r="J169" s="62"/>
      <c r="K169" s="179">
        <v>1.6787203335860492</v>
      </c>
      <c r="P169" s="338"/>
      <c r="Q169" s="338"/>
      <c r="R169" s="338"/>
      <c r="S169" s="338"/>
      <c r="T169" s="338"/>
      <c r="U169" s="338"/>
      <c r="V169" s="338"/>
      <c r="W169" s="338"/>
      <c r="X169" s="338"/>
      <c r="Y169" s="338"/>
      <c r="Z169" s="338"/>
      <c r="AA169" s="338"/>
      <c r="AB169" s="338"/>
      <c r="AC169" s="17"/>
      <c r="AD169" s="17"/>
    </row>
    <row r="170" spans="1:30" x14ac:dyDescent="0.25">
      <c r="A170" s="53">
        <v>833.65499999999975</v>
      </c>
      <c r="B170" s="360">
        <v>3.6091011495801908</v>
      </c>
      <c r="C170" s="314"/>
      <c r="D170" s="314"/>
      <c r="E170" s="360"/>
      <c r="F170" s="363"/>
      <c r="G170" s="360"/>
      <c r="H170" s="314"/>
      <c r="I170" s="361"/>
      <c r="J170" s="62"/>
      <c r="K170" s="179">
        <v>1.565452306523242</v>
      </c>
      <c r="P170" s="338"/>
      <c r="Q170" s="338"/>
      <c r="R170" s="338"/>
      <c r="S170" s="338"/>
      <c r="T170" s="338"/>
      <c r="U170" s="338"/>
      <c r="V170" s="338"/>
      <c r="W170" s="338"/>
      <c r="X170" s="338"/>
      <c r="Y170" s="338"/>
      <c r="Z170" s="338"/>
      <c r="AA170" s="338"/>
      <c r="AB170" s="338"/>
      <c r="AC170" s="17"/>
      <c r="AD170" s="17"/>
    </row>
    <row r="171" spans="1:30" x14ac:dyDescent="0.25">
      <c r="A171" s="53">
        <v>585.65499999999975</v>
      </c>
      <c r="B171" s="360">
        <v>5.2952266521791822</v>
      </c>
      <c r="C171" s="314"/>
      <c r="D171" s="314"/>
      <c r="E171" s="360"/>
      <c r="F171" s="363"/>
      <c r="G171" s="360"/>
      <c r="H171" s="314"/>
      <c r="I171" s="361"/>
      <c r="J171" s="62"/>
      <c r="K171" s="179">
        <v>1.4521842794604347</v>
      </c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38"/>
      <c r="AB171" s="338"/>
      <c r="AC171" s="17"/>
      <c r="AD171" s="17"/>
    </row>
    <row r="172" spans="1:30" x14ac:dyDescent="0.25">
      <c r="A172" s="53"/>
      <c r="B172" s="360"/>
      <c r="C172" s="314"/>
      <c r="D172" s="314"/>
      <c r="E172" s="360"/>
      <c r="F172" s="363"/>
      <c r="G172" s="360"/>
      <c r="H172" s="314"/>
      <c r="I172" s="361"/>
      <c r="J172" s="62"/>
      <c r="K172" s="179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38"/>
      <c r="AB172" s="338"/>
      <c r="AC172" s="17"/>
      <c r="AD172" s="17"/>
    </row>
    <row r="173" spans="1:30" x14ac:dyDescent="0.25">
      <c r="A173" s="53"/>
      <c r="B173" s="360"/>
      <c r="C173" s="314"/>
      <c r="D173" s="314"/>
      <c r="E173" s="360"/>
      <c r="F173" s="363"/>
      <c r="G173" s="360"/>
      <c r="H173" s="314"/>
      <c r="I173" s="361"/>
      <c r="J173" s="62"/>
      <c r="K173" s="179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  <c r="AA173" s="338"/>
      <c r="AB173" s="338"/>
      <c r="AC173" s="17"/>
      <c r="AD173" s="17"/>
    </row>
    <row r="174" spans="1:30" x14ac:dyDescent="0.25">
      <c r="A174" s="53"/>
      <c r="B174" s="360"/>
      <c r="C174" s="314"/>
      <c r="D174" s="314"/>
      <c r="E174" s="360"/>
      <c r="F174" s="363"/>
      <c r="G174" s="360"/>
      <c r="H174" s="314"/>
      <c r="I174" s="361"/>
      <c r="J174" s="62"/>
      <c r="K174" s="179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  <c r="AA174" s="338"/>
      <c r="AB174" s="338"/>
      <c r="AC174" s="17"/>
      <c r="AD174" s="17"/>
    </row>
    <row r="175" spans="1:30" x14ac:dyDescent="0.25">
      <c r="A175" s="53"/>
      <c r="B175" s="360"/>
      <c r="C175" s="314"/>
      <c r="D175" s="314"/>
      <c r="E175" s="360"/>
      <c r="F175" s="363"/>
      <c r="G175" s="360"/>
      <c r="H175" s="314"/>
      <c r="I175" s="361"/>
      <c r="J175" s="62"/>
      <c r="K175" s="179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  <c r="AA175" s="338"/>
      <c r="AB175" s="338"/>
      <c r="AC175" s="17"/>
      <c r="AD175" s="17"/>
    </row>
    <row r="176" spans="1:30" x14ac:dyDescent="0.25">
      <c r="A176" s="53"/>
      <c r="B176" s="360"/>
      <c r="C176" s="314"/>
      <c r="D176" s="314"/>
      <c r="E176" s="360"/>
      <c r="F176" s="363"/>
      <c r="G176" s="360"/>
      <c r="H176" s="314"/>
      <c r="I176" s="361"/>
      <c r="J176" s="62"/>
      <c r="K176" s="179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  <c r="AA176" s="338"/>
      <c r="AB176" s="338"/>
      <c r="AC176" s="17"/>
      <c r="AD176" s="17"/>
    </row>
    <row r="177" spans="1:30" x14ac:dyDescent="0.25">
      <c r="A177" s="53"/>
      <c r="B177" s="360"/>
      <c r="C177" s="314"/>
      <c r="D177" s="314"/>
      <c r="E177" s="360"/>
      <c r="F177" s="363"/>
      <c r="G177" s="360"/>
      <c r="H177" s="314"/>
      <c r="I177" s="361"/>
      <c r="J177" s="62"/>
      <c r="K177" s="179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  <c r="AA177" s="338"/>
      <c r="AB177" s="338"/>
      <c r="AC177" s="17"/>
      <c r="AD177" s="17"/>
    </row>
    <row r="178" spans="1:30" x14ac:dyDescent="0.25">
      <c r="A178" s="53"/>
      <c r="B178" s="360"/>
      <c r="C178" s="314"/>
      <c r="D178" s="314"/>
      <c r="E178" s="360"/>
      <c r="F178" s="363"/>
      <c r="G178" s="360"/>
      <c r="H178" s="314"/>
      <c r="I178" s="361"/>
      <c r="J178" s="62"/>
      <c r="K178" s="179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38"/>
      <c r="AB178" s="338"/>
      <c r="AC178" s="17"/>
      <c r="AD178" s="17"/>
    </row>
    <row r="179" spans="1:30" x14ac:dyDescent="0.25">
      <c r="A179" s="53"/>
      <c r="B179" s="360"/>
      <c r="C179" s="314"/>
      <c r="D179" s="314"/>
      <c r="E179" s="360"/>
      <c r="F179" s="363"/>
      <c r="G179" s="360"/>
      <c r="H179" s="314"/>
      <c r="I179" s="361"/>
      <c r="J179" s="62"/>
      <c r="K179" s="179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338"/>
      <c r="AB179" s="338"/>
      <c r="AC179" s="17"/>
      <c r="AD179" s="17"/>
    </row>
    <row r="180" spans="1:30" x14ac:dyDescent="0.25">
      <c r="A180" s="53"/>
      <c r="B180" s="360"/>
      <c r="C180" s="314"/>
      <c r="D180" s="314"/>
      <c r="E180" s="360"/>
      <c r="F180" s="363"/>
      <c r="G180" s="360"/>
      <c r="H180" s="314"/>
      <c r="I180" s="361"/>
      <c r="J180" s="62"/>
      <c r="K180" s="179"/>
      <c r="P180" s="347" t="s">
        <v>466</v>
      </c>
      <c r="Q180" s="345"/>
      <c r="R180" s="364">
        <f>SUM(R135:R147)</f>
        <v>0</v>
      </c>
      <c r="S180" s="364">
        <f t="shared" ref="S180:AA180" si="24">SUM(S135:S147)</f>
        <v>0</v>
      </c>
      <c r="T180" s="364">
        <f t="shared" si="24"/>
        <v>0</v>
      </c>
      <c r="U180" s="364">
        <f t="shared" si="24"/>
        <v>0</v>
      </c>
      <c r="V180" s="364">
        <f t="shared" si="24"/>
        <v>0</v>
      </c>
      <c r="W180" s="364">
        <f t="shared" si="24"/>
        <v>0</v>
      </c>
      <c r="X180" s="364">
        <f t="shared" si="24"/>
        <v>0</v>
      </c>
      <c r="Y180" s="364">
        <f t="shared" si="24"/>
        <v>0</v>
      </c>
      <c r="Z180" s="364">
        <f t="shared" si="24"/>
        <v>0</v>
      </c>
      <c r="AA180" s="364">
        <f t="shared" si="24"/>
        <v>0</v>
      </c>
      <c r="AB180" s="338"/>
      <c r="AC180" s="17"/>
      <c r="AD180" s="17"/>
    </row>
    <row r="181" spans="1:30" x14ac:dyDescent="0.25">
      <c r="A181" s="53"/>
      <c r="B181" s="360"/>
      <c r="C181" s="314"/>
      <c r="D181" s="314"/>
      <c r="E181" s="360"/>
      <c r="F181" s="363"/>
      <c r="G181" s="360"/>
      <c r="H181" s="314"/>
      <c r="I181" s="361"/>
      <c r="J181" s="62"/>
      <c r="K181" s="179"/>
      <c r="P181" s="28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341"/>
      <c r="AB181" s="338"/>
      <c r="AC181" s="17"/>
      <c r="AD181" s="17"/>
    </row>
    <row r="182" spans="1:30" x14ac:dyDescent="0.25">
      <c r="A182" s="53"/>
      <c r="B182" s="360"/>
      <c r="C182" s="314"/>
      <c r="D182" s="314"/>
      <c r="E182" s="360"/>
      <c r="F182" s="363"/>
      <c r="G182" s="360"/>
      <c r="H182" s="314"/>
      <c r="I182" s="361"/>
      <c r="J182" s="62"/>
      <c r="K182" s="179"/>
      <c r="M182" s="365" t="s">
        <v>512</v>
      </c>
      <c r="N182" s="365"/>
      <c r="O182" s="366"/>
      <c r="P182" s="367" t="s">
        <v>513</v>
      </c>
      <c r="Q182" s="345"/>
      <c r="R182" s="368"/>
      <c r="S182" s="368"/>
      <c r="T182" s="368"/>
      <c r="U182" s="368"/>
      <c r="V182" s="368"/>
      <c r="W182" s="368"/>
      <c r="X182" s="368"/>
      <c r="Y182" s="368"/>
      <c r="Z182" s="368"/>
      <c r="AA182" s="368"/>
      <c r="AB182" s="338"/>
      <c r="AC182" s="17"/>
      <c r="AD182" s="17"/>
    </row>
    <row r="183" spans="1:30" x14ac:dyDescent="0.25">
      <c r="A183" s="53"/>
      <c r="B183" s="360"/>
      <c r="C183" s="314"/>
      <c r="D183" s="314"/>
      <c r="E183" s="360"/>
      <c r="F183" s="363"/>
      <c r="G183" s="360"/>
      <c r="H183" s="314"/>
      <c r="I183" s="361"/>
      <c r="J183" s="62"/>
      <c r="K183" s="179"/>
      <c r="M183" s="365"/>
      <c r="N183" s="365"/>
      <c r="O183" s="366"/>
      <c r="P183" s="369" t="s">
        <v>514</v>
      </c>
      <c r="Q183" s="345"/>
      <c r="R183" s="347"/>
      <c r="S183" s="347"/>
      <c r="T183" s="347"/>
      <c r="U183" s="347"/>
      <c r="V183" s="347"/>
      <c r="W183" s="347"/>
      <c r="X183" s="347"/>
      <c r="Y183" s="347"/>
      <c r="Z183" s="347"/>
      <c r="AA183" s="347"/>
      <c r="AB183" s="338"/>
      <c r="AC183" s="17"/>
      <c r="AD183" s="17"/>
    </row>
    <row r="184" spans="1:30" x14ac:dyDescent="0.25">
      <c r="A184" s="53"/>
      <c r="B184" s="360"/>
      <c r="C184" s="314"/>
      <c r="D184" s="314"/>
      <c r="E184" s="360"/>
      <c r="F184" s="363"/>
      <c r="G184" s="360"/>
      <c r="H184" s="314"/>
      <c r="I184" s="361"/>
      <c r="J184" s="62"/>
      <c r="K184" s="179"/>
      <c r="M184" s="370" t="s">
        <v>515</v>
      </c>
      <c r="N184" s="371"/>
      <c r="O184" s="372"/>
      <c r="P184" s="367" t="s">
        <v>516</v>
      </c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41"/>
      <c r="AB184" s="338"/>
      <c r="AD184" s="17"/>
    </row>
    <row r="185" spans="1:30" x14ac:dyDescent="0.25">
      <c r="A185" s="53"/>
      <c r="B185" s="360"/>
      <c r="C185" s="314"/>
      <c r="D185" s="314"/>
      <c r="E185" s="360"/>
      <c r="F185" s="363"/>
      <c r="G185" s="360"/>
      <c r="H185" s="314"/>
      <c r="I185" s="361"/>
      <c r="J185" s="62"/>
      <c r="K185" s="179"/>
      <c r="M185" s="371"/>
      <c r="N185" s="371"/>
      <c r="O185" s="372"/>
      <c r="P185" s="367" t="s">
        <v>517</v>
      </c>
      <c r="Q185" s="347"/>
      <c r="R185" s="368"/>
      <c r="S185" s="368"/>
      <c r="T185" s="368"/>
      <c r="U185" s="368"/>
      <c r="V185" s="368"/>
      <c r="W185" s="368"/>
      <c r="X185" s="368"/>
      <c r="Y185" s="368"/>
      <c r="Z185" s="368"/>
      <c r="AA185" s="368"/>
      <c r="AB185" s="338"/>
      <c r="AD185" s="17"/>
    </row>
    <row r="186" spans="1:30" x14ac:dyDescent="0.25">
      <c r="A186" s="53"/>
      <c r="B186" s="360"/>
      <c r="C186" s="314"/>
      <c r="D186" s="314"/>
      <c r="E186" s="360"/>
      <c r="F186" s="363"/>
      <c r="G186" s="360"/>
      <c r="H186" s="314"/>
      <c r="I186" s="361"/>
      <c r="J186" s="62"/>
      <c r="K186" s="179"/>
      <c r="M186" s="371"/>
      <c r="N186" s="371"/>
      <c r="O186" s="372"/>
      <c r="P186" s="369" t="s">
        <v>518</v>
      </c>
      <c r="Q186" s="345"/>
      <c r="R186" s="347"/>
      <c r="S186" s="347"/>
      <c r="T186" s="347"/>
      <c r="U186" s="347"/>
      <c r="V186" s="347"/>
      <c r="W186" s="347"/>
      <c r="X186" s="347"/>
      <c r="Y186" s="347"/>
      <c r="Z186" s="347"/>
      <c r="AA186" s="347"/>
      <c r="AB186" s="338"/>
      <c r="AD186" s="17"/>
    </row>
    <row r="187" spans="1:30" x14ac:dyDescent="0.25">
      <c r="A187" s="53"/>
      <c r="B187" s="360"/>
      <c r="C187" s="314"/>
      <c r="D187" s="314"/>
      <c r="E187" s="360"/>
      <c r="F187" s="363"/>
      <c r="G187" s="360"/>
      <c r="H187" s="314"/>
      <c r="I187" s="361"/>
      <c r="J187" s="62"/>
      <c r="K187" s="179"/>
      <c r="P187" s="28"/>
      <c r="Q187" s="373"/>
      <c r="R187" s="347"/>
      <c r="S187" s="347"/>
      <c r="T187" s="347"/>
      <c r="U187" s="347"/>
      <c r="V187" s="347"/>
      <c r="W187" s="347"/>
      <c r="X187" s="347"/>
      <c r="Y187" s="347"/>
      <c r="Z187" s="347"/>
      <c r="AA187" s="347"/>
      <c r="AB187" s="338"/>
      <c r="AD187" s="17"/>
    </row>
    <row r="188" spans="1:30" x14ac:dyDescent="0.25">
      <c r="A188" s="53"/>
      <c r="B188" s="360"/>
      <c r="C188" s="314"/>
      <c r="D188" s="314"/>
      <c r="E188" s="360"/>
      <c r="F188" s="363"/>
      <c r="G188" s="360"/>
      <c r="H188" s="314"/>
      <c r="I188" s="361"/>
      <c r="J188" s="62"/>
      <c r="K188" s="179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374"/>
    </row>
    <row r="189" spans="1:30" x14ac:dyDescent="0.25">
      <c r="A189" s="53"/>
      <c r="B189" s="360"/>
      <c r="C189" s="53"/>
      <c r="D189" s="53"/>
      <c r="E189" s="360"/>
      <c r="F189" s="360"/>
      <c r="G189" s="360"/>
      <c r="H189" s="360"/>
      <c r="I189" s="361"/>
      <c r="J189" s="62"/>
      <c r="K189" s="179"/>
      <c r="P189" s="375"/>
      <c r="Q189" s="376"/>
      <c r="R189" s="377"/>
      <c r="S189" s="377"/>
      <c r="T189" s="377"/>
      <c r="U189" s="377"/>
      <c r="V189" s="377"/>
      <c r="W189" s="377"/>
      <c r="X189" s="377"/>
      <c r="Y189" s="377"/>
      <c r="Z189" s="377"/>
      <c r="AA189" s="378"/>
    </row>
    <row r="190" spans="1:30" x14ac:dyDescent="0.25">
      <c r="A190" s="303" t="s">
        <v>519</v>
      </c>
      <c r="I190" s="190"/>
      <c r="J190" s="190"/>
      <c r="P190" s="375"/>
      <c r="Q190" s="376"/>
      <c r="R190" s="377"/>
      <c r="S190" s="377"/>
      <c r="T190" s="377"/>
      <c r="U190" s="377"/>
      <c r="V190" s="377"/>
      <c r="W190" s="377"/>
      <c r="X190" s="377"/>
      <c r="Y190" s="377"/>
      <c r="Z190" s="377"/>
      <c r="AA190" s="378"/>
    </row>
    <row r="191" spans="1:30" x14ac:dyDescent="0.25">
      <c r="A191" s="303"/>
      <c r="I191" s="190"/>
      <c r="J191" s="190"/>
      <c r="P191" s="379"/>
      <c r="Q191" s="380"/>
      <c r="R191" s="377"/>
      <c r="S191" s="377"/>
      <c r="T191" s="377"/>
      <c r="U191" s="377"/>
      <c r="V191" s="377"/>
      <c r="W191" s="377"/>
      <c r="X191" s="377"/>
      <c r="Y191" s="377"/>
      <c r="Z191" s="377"/>
      <c r="AA191" s="376"/>
    </row>
    <row r="192" spans="1:30" x14ac:dyDescent="0.25">
      <c r="A192" s="381" t="s">
        <v>520</v>
      </c>
      <c r="B192" s="382"/>
      <c r="C192" s="383"/>
      <c r="D192" s="382"/>
      <c r="E192" s="383"/>
      <c r="F192" s="383"/>
      <c r="G192" s="383"/>
      <c r="H192" s="383"/>
      <c r="I192" s="384"/>
      <c r="J192" s="190"/>
    </row>
    <row r="193" spans="1:11" x14ac:dyDescent="0.25">
      <c r="A193" s="381" t="s">
        <v>521</v>
      </c>
      <c r="B193" s="382"/>
      <c r="C193" s="383"/>
      <c r="D193" s="382"/>
      <c r="E193" s="383"/>
      <c r="F193" s="383"/>
      <c r="G193" s="383"/>
      <c r="H193" s="383"/>
      <c r="I193" s="384"/>
      <c r="J193" s="190"/>
    </row>
    <row r="194" spans="1:11" x14ac:dyDescent="0.25">
      <c r="A194" s="381" t="s">
        <v>522</v>
      </c>
      <c r="B194" s="382"/>
      <c r="C194" s="383"/>
      <c r="D194" s="382"/>
      <c r="E194" s="383"/>
      <c r="F194" s="383"/>
      <c r="G194" s="383"/>
      <c r="H194" s="383"/>
      <c r="I194" s="384"/>
      <c r="J194" s="190"/>
    </row>
    <row r="195" spans="1:11" x14ac:dyDescent="0.25">
      <c r="A195" s="381"/>
      <c r="B195" s="382"/>
      <c r="C195" s="383"/>
      <c r="D195" s="382"/>
      <c r="E195" s="383"/>
      <c r="F195" s="383"/>
      <c r="G195" s="383"/>
      <c r="H195" s="383"/>
      <c r="I195" s="384"/>
      <c r="J195" s="190"/>
    </row>
    <row r="196" spans="1:11" x14ac:dyDescent="0.25">
      <c r="A196" s="385" t="s">
        <v>523</v>
      </c>
      <c r="B196" s="386"/>
      <c r="C196" s="387"/>
      <c r="D196" s="386"/>
      <c r="E196" s="387"/>
      <c r="F196" s="387"/>
      <c r="G196" s="387"/>
      <c r="H196" s="387"/>
      <c r="I196" s="388"/>
      <c r="J196" s="211"/>
    </row>
    <row r="200" spans="1:11" x14ac:dyDescent="0.25">
      <c r="A200">
        <v>1</v>
      </c>
      <c r="B200">
        <v>2</v>
      </c>
      <c r="C200">
        <v>3</v>
      </c>
      <c r="D200">
        <v>4</v>
      </c>
      <c r="E200">
        <v>5</v>
      </c>
      <c r="F200">
        <v>6</v>
      </c>
      <c r="G200">
        <v>7</v>
      </c>
      <c r="H200">
        <v>8</v>
      </c>
      <c r="I200">
        <v>9</v>
      </c>
      <c r="J200">
        <v>10</v>
      </c>
      <c r="K200">
        <v>11</v>
      </c>
    </row>
    <row r="201" spans="1:11" x14ac:dyDescent="0.25">
      <c r="A201" s="265" t="s">
        <v>524</v>
      </c>
      <c r="B201" s="89"/>
      <c r="C201" s="89"/>
      <c r="D201" s="89"/>
      <c r="E201" s="89"/>
      <c r="F201" s="89"/>
      <c r="G201" s="89"/>
      <c r="H201" s="89"/>
      <c r="I201" s="89"/>
      <c r="J201" s="89"/>
      <c r="K201" s="89"/>
    </row>
    <row r="202" spans="1:11" x14ac:dyDescent="0.25">
      <c r="A202" s="268" t="s">
        <v>431</v>
      </c>
      <c r="B202" s="269" t="s">
        <v>310</v>
      </c>
      <c r="C202" s="269" t="s">
        <v>432</v>
      </c>
      <c r="D202" s="269" t="s">
        <v>433</v>
      </c>
      <c r="E202" s="268" t="s">
        <v>434</v>
      </c>
      <c r="F202" s="268" t="s">
        <v>335</v>
      </c>
      <c r="G202" s="268" t="s">
        <v>435</v>
      </c>
      <c r="H202" s="268" t="s">
        <v>436</v>
      </c>
      <c r="I202" s="268" t="s">
        <v>437</v>
      </c>
      <c r="J202" s="268" t="s">
        <v>438</v>
      </c>
      <c r="K202" s="268" t="s">
        <v>348</v>
      </c>
    </row>
    <row r="203" spans="1:11" x14ac:dyDescent="0.25">
      <c r="A203" s="69"/>
      <c r="B203" s="389"/>
      <c r="C203" s="271"/>
      <c r="D203" s="218"/>
      <c r="E203" s="69"/>
      <c r="F203" s="69"/>
      <c r="G203" s="69"/>
      <c r="H203" s="218"/>
      <c r="I203" s="218"/>
      <c r="J203" s="273"/>
      <c r="K203" s="390"/>
    </row>
    <row r="204" spans="1:11" x14ac:dyDescent="0.25">
      <c r="A204" s="69"/>
      <c r="B204" s="389"/>
      <c r="C204" s="271"/>
      <c r="D204" s="218"/>
      <c r="E204" s="69"/>
      <c r="F204" s="69"/>
      <c r="G204" s="69"/>
      <c r="H204" s="218"/>
      <c r="I204" s="218"/>
      <c r="J204" s="273"/>
      <c r="K204" s="390"/>
    </row>
    <row r="205" spans="1:11" x14ac:dyDescent="0.25">
      <c r="A205" s="69"/>
      <c r="B205" s="389"/>
      <c r="C205" s="271"/>
      <c r="D205" s="218"/>
      <c r="E205" s="69"/>
      <c r="F205" s="218"/>
      <c r="G205" s="218"/>
      <c r="H205" s="218"/>
      <c r="I205" s="218"/>
      <c r="J205" s="272"/>
      <c r="K205" s="272"/>
    </row>
    <row r="206" spans="1:11" x14ac:dyDescent="0.25">
      <c r="A206" s="153"/>
      <c r="B206" s="389"/>
      <c r="C206" s="271"/>
      <c r="D206" s="218"/>
      <c r="E206" s="218"/>
      <c r="F206" s="218"/>
      <c r="G206" s="218"/>
      <c r="H206" s="218"/>
      <c r="I206" s="218"/>
      <c r="J206" s="272"/>
      <c r="K206" s="272"/>
    </row>
    <row r="207" spans="1:11" x14ac:dyDescent="0.25">
      <c r="A207" s="153"/>
      <c r="B207" s="389"/>
      <c r="C207" s="271"/>
      <c r="D207" s="218"/>
      <c r="E207" s="218"/>
      <c r="F207" s="218"/>
      <c r="G207" s="218"/>
      <c r="H207" s="218"/>
      <c r="I207" s="218"/>
      <c r="J207" s="272"/>
      <c r="K207" s="272"/>
    </row>
    <row r="208" spans="1:11" x14ac:dyDescent="0.25">
      <c r="A208" s="153"/>
      <c r="B208" s="389"/>
      <c r="C208" s="271"/>
      <c r="D208" s="218"/>
      <c r="E208" s="218"/>
      <c r="F208" s="218"/>
      <c r="G208" s="218"/>
      <c r="H208" s="218"/>
      <c r="I208" s="218"/>
      <c r="J208" s="272"/>
      <c r="K208" s="272"/>
    </row>
    <row r="209" spans="1:11" x14ac:dyDescent="0.25">
      <c r="A209" s="153"/>
      <c r="B209" s="389"/>
      <c r="C209" s="271"/>
      <c r="D209" s="218"/>
      <c r="E209" s="218"/>
      <c r="F209" s="218"/>
      <c r="G209" s="218"/>
      <c r="H209" s="218"/>
      <c r="I209" s="218"/>
      <c r="J209" s="272"/>
      <c r="K209" s="272"/>
    </row>
    <row r="210" spans="1:11" x14ac:dyDescent="0.25">
      <c r="A210" s="153"/>
      <c r="B210" s="389"/>
      <c r="C210" s="271"/>
      <c r="D210" s="218"/>
      <c r="E210" s="218"/>
      <c r="F210" s="218"/>
      <c r="G210" s="218"/>
      <c r="H210" s="218"/>
      <c r="I210" s="218"/>
      <c r="J210" s="272"/>
      <c r="K210" s="272"/>
    </row>
    <row r="211" spans="1:11" x14ac:dyDescent="0.25">
      <c r="A211" s="153"/>
      <c r="B211" s="389"/>
      <c r="C211" s="271"/>
      <c r="D211" s="218"/>
      <c r="E211" s="218"/>
      <c r="F211" s="218"/>
      <c r="G211" s="218"/>
      <c r="H211" s="218"/>
      <c r="I211" s="218"/>
      <c r="J211" s="272"/>
      <c r="K211" s="272"/>
    </row>
    <row r="212" spans="1:11" x14ac:dyDescent="0.25">
      <c r="A212" s="153"/>
      <c r="B212" s="389"/>
      <c r="C212" s="271"/>
      <c r="D212" s="218"/>
      <c r="E212" s="218"/>
      <c r="F212" s="218"/>
      <c r="G212" s="218"/>
      <c r="H212" s="218"/>
      <c r="I212" s="218"/>
      <c r="J212" s="272"/>
      <c r="K212" s="272"/>
    </row>
    <row r="213" spans="1:11" x14ac:dyDescent="0.25">
      <c r="A213" s="153"/>
      <c r="B213" s="389"/>
      <c r="C213" s="271"/>
      <c r="D213" s="218"/>
      <c r="E213" s="218"/>
      <c r="F213" s="218"/>
      <c r="G213" s="218"/>
      <c r="H213" s="218"/>
      <c r="I213" s="218"/>
      <c r="J213" s="272"/>
      <c r="K213" s="272"/>
    </row>
    <row r="214" spans="1:11" x14ac:dyDescent="0.25">
      <c r="A214" s="153"/>
      <c r="B214" s="389"/>
      <c r="C214" s="271"/>
      <c r="D214" s="218"/>
      <c r="E214" s="218"/>
      <c r="F214" s="218"/>
      <c r="G214" s="218"/>
      <c r="H214" s="218"/>
      <c r="I214" s="218"/>
      <c r="J214" s="272"/>
      <c r="K214" s="272"/>
    </row>
    <row r="215" spans="1:11" x14ac:dyDescent="0.25">
      <c r="A215" s="153"/>
      <c r="B215" s="389"/>
      <c r="C215" s="271"/>
      <c r="D215" s="218"/>
      <c r="E215" s="218"/>
      <c r="F215" s="218"/>
      <c r="G215" s="218"/>
      <c r="H215" s="218"/>
      <c r="I215" s="218"/>
      <c r="J215" s="272"/>
      <c r="K215" s="272"/>
    </row>
    <row r="216" spans="1:11" x14ac:dyDescent="0.25">
      <c r="A216" s="153"/>
      <c r="B216" s="389"/>
      <c r="C216" s="271"/>
      <c r="D216" s="218"/>
      <c r="E216" s="218"/>
      <c r="F216" s="218"/>
      <c r="G216" s="218"/>
      <c r="H216" s="218"/>
      <c r="I216" s="218"/>
      <c r="J216" s="272"/>
      <c r="K216" s="272"/>
    </row>
    <row r="217" spans="1:11" x14ac:dyDescent="0.25">
      <c r="A217" s="153"/>
      <c r="B217" s="389"/>
      <c r="C217" s="223"/>
      <c r="D217" s="218"/>
      <c r="E217" s="218"/>
      <c r="F217" s="218"/>
      <c r="G217" s="218"/>
      <c r="H217" s="218"/>
      <c r="I217" s="218"/>
      <c r="J217" s="272"/>
      <c r="K217" s="272"/>
    </row>
    <row r="218" spans="1:11" x14ac:dyDescent="0.25">
      <c r="A218" s="153"/>
      <c r="B218" s="389"/>
      <c r="C218" s="223"/>
      <c r="D218" s="218"/>
      <c r="E218" s="218"/>
      <c r="F218" s="218"/>
      <c r="G218" s="218"/>
      <c r="H218" s="218"/>
      <c r="I218" s="218"/>
      <c r="J218" s="272"/>
      <c r="K218" s="272"/>
    </row>
    <row r="219" spans="1:11" x14ac:dyDescent="0.25">
      <c r="A219" s="153"/>
      <c r="B219" s="389"/>
      <c r="C219" s="223"/>
      <c r="D219" s="218"/>
      <c r="E219" s="218"/>
      <c r="F219" s="218"/>
      <c r="G219" s="218"/>
      <c r="H219" s="218"/>
      <c r="I219" s="218"/>
      <c r="J219" s="272"/>
      <c r="K219" s="272"/>
    </row>
    <row r="220" spans="1:11" x14ac:dyDescent="0.25">
      <c r="A220" s="153"/>
      <c r="B220" s="389"/>
      <c r="C220" s="69"/>
      <c r="D220" s="218"/>
      <c r="E220" s="69"/>
      <c r="F220" s="69"/>
      <c r="G220" s="69"/>
      <c r="H220" s="218"/>
      <c r="I220" s="218"/>
      <c r="J220" s="390"/>
      <c r="K220" s="390"/>
    </row>
    <row r="221" spans="1:11" x14ac:dyDescent="0.25">
      <c r="A221" s="153"/>
      <c r="B221" s="389"/>
      <c r="C221" s="69"/>
      <c r="D221" s="69"/>
      <c r="E221" s="69"/>
      <c r="F221" s="69"/>
      <c r="G221" s="69"/>
      <c r="H221" s="218"/>
      <c r="I221" s="69"/>
      <c r="J221" s="390"/>
      <c r="K221" s="390"/>
    </row>
    <row r="222" spans="1:11" x14ac:dyDescent="0.25">
      <c r="A222" s="153"/>
      <c r="B222" s="69"/>
      <c r="C222" s="69"/>
      <c r="D222" s="69"/>
      <c r="E222" s="69"/>
      <c r="F222" s="69"/>
      <c r="G222" s="69"/>
      <c r="H222" s="218"/>
      <c r="I222" s="69"/>
      <c r="J222" s="390"/>
      <c r="K222" s="390"/>
    </row>
    <row r="223" spans="1:11" x14ac:dyDescent="0.25">
      <c r="A223" s="153"/>
      <c r="B223" s="69"/>
      <c r="C223" s="69"/>
      <c r="D223" s="69"/>
      <c r="E223" s="69"/>
      <c r="F223" s="69"/>
      <c r="G223" s="69"/>
      <c r="H223" s="218"/>
      <c r="I223" s="69"/>
      <c r="J223" s="390"/>
      <c r="K223" s="390"/>
    </row>
    <row r="224" spans="1:11" x14ac:dyDescent="0.25">
      <c r="A224" s="153"/>
      <c r="B224" s="69"/>
      <c r="C224" s="69"/>
      <c r="D224" s="69"/>
      <c r="E224" s="69"/>
      <c r="F224" s="69"/>
      <c r="G224" s="69"/>
      <c r="H224" s="218"/>
      <c r="I224" s="69"/>
      <c r="J224" s="390"/>
      <c r="K224" s="390"/>
    </row>
    <row r="225" spans="1:11" x14ac:dyDescent="0.25">
      <c r="A225" s="153"/>
      <c r="B225" s="69"/>
      <c r="C225" s="69"/>
      <c r="D225" s="69"/>
      <c r="E225" s="69"/>
      <c r="F225" s="69"/>
      <c r="G225" s="69"/>
      <c r="H225" s="69"/>
      <c r="I225" s="69"/>
      <c r="J225" s="390"/>
      <c r="K225" s="390"/>
    </row>
    <row r="226" spans="1:11" x14ac:dyDescent="0.25">
      <c r="A226" s="153"/>
      <c r="B226" s="69"/>
      <c r="C226" s="69"/>
      <c r="D226" s="69"/>
      <c r="E226" s="69"/>
      <c r="F226" s="69"/>
      <c r="G226" s="69"/>
      <c r="H226" s="69"/>
      <c r="I226" s="69"/>
      <c r="J226" s="390"/>
      <c r="K226" s="390"/>
    </row>
    <row r="227" spans="1:11" x14ac:dyDescent="0.25">
      <c r="A227" s="153"/>
      <c r="B227" s="69"/>
      <c r="C227" s="69"/>
      <c r="D227" s="69"/>
      <c r="E227" s="69"/>
      <c r="F227" s="69"/>
      <c r="G227" s="69"/>
      <c r="H227" s="69"/>
      <c r="I227" s="69"/>
      <c r="J227" s="390"/>
      <c r="K227" s="390"/>
    </row>
    <row r="228" spans="1:11" x14ac:dyDescent="0.25">
      <c r="A228" s="153"/>
      <c r="B228" s="69"/>
      <c r="C228" s="69"/>
      <c r="D228" s="69"/>
      <c r="E228" s="69"/>
      <c r="F228" s="69"/>
      <c r="G228" s="69"/>
      <c r="H228" s="69"/>
      <c r="I228" s="69"/>
      <c r="J228" s="390"/>
      <c r="K228" s="390"/>
    </row>
    <row r="229" spans="1:11" x14ac:dyDescent="0.25">
      <c r="A229" s="153"/>
      <c r="B229" s="69"/>
      <c r="C229" s="69"/>
      <c r="D229" s="69"/>
      <c r="E229" s="69"/>
      <c r="F229" s="69"/>
      <c r="G229" s="69"/>
      <c r="H229" s="69"/>
      <c r="I229" s="69"/>
      <c r="J229" s="390"/>
      <c r="K229" s="390"/>
    </row>
    <row r="230" spans="1:11" x14ac:dyDescent="0.25">
      <c r="A230" s="153"/>
      <c r="B230" s="69"/>
      <c r="C230" s="69"/>
      <c r="D230" s="69"/>
      <c r="E230" s="69"/>
      <c r="F230" s="69"/>
      <c r="G230" s="69"/>
      <c r="H230" s="69"/>
      <c r="I230" s="69"/>
      <c r="J230" s="390"/>
      <c r="K230" s="390"/>
    </row>
    <row r="231" spans="1:11" x14ac:dyDescent="0.25">
      <c r="A231" s="153"/>
      <c r="B231" s="69"/>
      <c r="C231" s="69"/>
      <c r="D231" s="69"/>
      <c r="E231" s="69"/>
      <c r="F231" s="69"/>
      <c r="G231" s="69"/>
      <c r="H231" s="69"/>
      <c r="I231" s="69"/>
      <c r="J231" s="390"/>
      <c r="K231" s="390"/>
    </row>
    <row r="232" spans="1:11" x14ac:dyDescent="0.25">
      <c r="A232" s="153"/>
      <c r="B232" s="69"/>
      <c r="C232" s="69"/>
      <c r="D232" s="69"/>
      <c r="E232" s="69"/>
      <c r="F232" s="69"/>
      <c r="G232" s="69"/>
      <c r="H232" s="69"/>
      <c r="I232" s="69"/>
      <c r="J232" s="390"/>
      <c r="K232" s="390"/>
    </row>
    <row r="236" spans="1:11" ht="15.75" thickBot="1" x14ac:dyDescent="0.3"/>
    <row r="237" spans="1:11" ht="15.75" thickBot="1" x14ac:dyDescent="0.3">
      <c r="A237" s="391" t="s">
        <v>525</v>
      </c>
    </row>
    <row r="238" spans="1:11" x14ac:dyDescent="0.25">
      <c r="A238" s="391" t="s">
        <v>526</v>
      </c>
      <c r="B238" s="392"/>
      <c r="C238" s="393" t="s">
        <v>527</v>
      </c>
      <c r="D238" s="392"/>
      <c r="E238" s="392"/>
      <c r="F238" s="392"/>
      <c r="G238" s="392"/>
      <c r="H238" s="392"/>
      <c r="I238" s="392"/>
    </row>
    <row r="239" spans="1:11" x14ac:dyDescent="0.25">
      <c r="A239" s="394" t="s">
        <v>528</v>
      </c>
      <c r="B239" s="395"/>
      <c r="C239" s="396"/>
      <c r="D239" s="396"/>
      <c r="E239" s="396"/>
      <c r="F239" s="396"/>
      <c r="G239" s="396"/>
      <c r="H239" s="397"/>
      <c r="I239" s="398"/>
    </row>
    <row r="240" spans="1:11" ht="15.75" thickBot="1" x14ac:dyDescent="0.3">
      <c r="A240" s="399" t="s">
        <v>529</v>
      </c>
      <c r="B240" s="400"/>
      <c r="C240" s="401" t="s">
        <v>530</v>
      </c>
      <c r="D240" s="401" t="s">
        <v>530</v>
      </c>
      <c r="E240" s="401" t="s">
        <v>530</v>
      </c>
      <c r="F240" s="401" t="s">
        <v>530</v>
      </c>
      <c r="G240" s="401" t="s">
        <v>530</v>
      </c>
      <c r="H240" s="401" t="s">
        <v>530</v>
      </c>
      <c r="I240" s="402" t="s">
        <v>530</v>
      </c>
    </row>
    <row r="241" spans="1:9" x14ac:dyDescent="0.25">
      <c r="A241" s="403" t="s">
        <v>531</v>
      </c>
      <c r="B241" s="404"/>
      <c r="C241" s="405"/>
      <c r="D241" s="405"/>
      <c r="E241" s="405"/>
      <c r="F241" s="405"/>
      <c r="G241" s="405"/>
      <c r="H241" s="405"/>
      <c r="I241" s="405"/>
    </row>
    <row r="242" spans="1:9" x14ac:dyDescent="0.25">
      <c r="A242" s="406" t="s">
        <v>28</v>
      </c>
      <c r="B242" s="407"/>
      <c r="C242" s="405"/>
      <c r="D242" s="405"/>
      <c r="E242" s="405"/>
      <c r="F242" s="405"/>
      <c r="G242" s="405"/>
      <c r="H242" s="405"/>
      <c r="I242" s="405"/>
    </row>
    <row r="243" spans="1:9" x14ac:dyDescent="0.25">
      <c r="A243" s="406" t="s">
        <v>18</v>
      </c>
      <c r="B243" s="407"/>
      <c r="C243" s="405"/>
      <c r="D243" s="405"/>
      <c r="E243" s="405"/>
      <c r="F243" s="405"/>
      <c r="G243" s="405"/>
      <c r="H243" s="405"/>
      <c r="I243" s="405"/>
    </row>
    <row r="244" spans="1:9" x14ac:dyDescent="0.25">
      <c r="A244" s="406" t="s">
        <v>35</v>
      </c>
      <c r="B244" s="407"/>
      <c r="C244" s="405"/>
      <c r="D244" s="405"/>
      <c r="E244" s="405"/>
      <c r="F244" s="405"/>
      <c r="G244" s="405"/>
      <c r="H244" s="405"/>
      <c r="I244" s="405"/>
    </row>
    <row r="245" spans="1:9" x14ac:dyDescent="0.25">
      <c r="A245" s="406" t="s">
        <v>48</v>
      </c>
      <c r="B245" s="407"/>
      <c r="C245" s="405"/>
      <c r="D245" s="405"/>
      <c r="E245" s="405"/>
      <c r="F245" s="405"/>
      <c r="G245" s="405"/>
      <c r="H245" s="405"/>
      <c r="I245" s="405"/>
    </row>
    <row r="246" spans="1:9" x14ac:dyDescent="0.25">
      <c r="A246" s="406" t="s">
        <v>69</v>
      </c>
      <c r="B246" s="407"/>
      <c r="C246" s="405"/>
      <c r="D246" s="405"/>
      <c r="E246" s="405"/>
      <c r="F246" s="405"/>
      <c r="G246" s="405"/>
      <c r="H246" s="405"/>
      <c r="I246" s="405"/>
    </row>
    <row r="247" spans="1:9" x14ac:dyDescent="0.25">
      <c r="A247" s="406" t="s">
        <v>532</v>
      </c>
      <c r="B247" s="407"/>
      <c r="C247" s="405"/>
      <c r="D247" s="405"/>
      <c r="E247" s="405"/>
      <c r="F247" s="405"/>
      <c r="G247" s="405"/>
      <c r="H247" s="405"/>
      <c r="I247" s="405"/>
    </row>
    <row r="248" spans="1:9" x14ac:dyDescent="0.25">
      <c r="A248" s="406" t="s">
        <v>533</v>
      </c>
      <c r="B248" s="407"/>
      <c r="C248" s="405"/>
      <c r="D248" s="405"/>
      <c r="E248" s="405"/>
      <c r="F248" s="405"/>
      <c r="G248" s="405"/>
      <c r="H248" s="405"/>
      <c r="I248" s="405"/>
    </row>
    <row r="249" spans="1:9" x14ac:dyDescent="0.25">
      <c r="A249" s="406" t="s">
        <v>534</v>
      </c>
      <c r="B249" s="407"/>
      <c r="C249" s="405"/>
      <c r="D249" s="405"/>
      <c r="E249" s="405"/>
      <c r="F249" s="405"/>
      <c r="G249" s="405"/>
      <c r="H249" s="405"/>
      <c r="I249" s="405"/>
    </row>
    <row r="250" spans="1:9" x14ac:dyDescent="0.25">
      <c r="A250" s="406" t="s">
        <v>535</v>
      </c>
      <c r="B250" s="407"/>
      <c r="C250" s="405"/>
      <c r="D250" s="405"/>
      <c r="E250" s="405"/>
      <c r="F250" s="405"/>
      <c r="G250" s="405"/>
      <c r="H250" s="405"/>
      <c r="I250" s="405"/>
    </row>
    <row r="251" spans="1:9" x14ac:dyDescent="0.25">
      <c r="A251" s="406" t="s">
        <v>125</v>
      </c>
      <c r="B251" s="407"/>
      <c r="C251" s="405"/>
      <c r="D251" s="405"/>
      <c r="E251" s="405"/>
      <c r="F251" s="405"/>
      <c r="G251" s="405"/>
      <c r="H251" s="405"/>
      <c r="I251" s="405"/>
    </row>
    <row r="252" spans="1:9" ht="15.75" thickBot="1" x14ac:dyDescent="0.3">
      <c r="A252" s="408" t="s">
        <v>502</v>
      </c>
      <c r="B252" s="409"/>
      <c r="C252" s="410"/>
      <c r="D252" s="410"/>
      <c r="E252" s="410"/>
      <c r="F252" s="410"/>
      <c r="G252" s="410"/>
      <c r="H252" s="410"/>
      <c r="I252" s="410"/>
    </row>
    <row r="253" spans="1:9" ht="15.75" thickBot="1" x14ac:dyDescent="0.3">
      <c r="A253" s="408"/>
      <c r="B253" s="411"/>
      <c r="C253" s="410"/>
      <c r="D253" s="410"/>
      <c r="E253" s="410"/>
      <c r="F253" s="410"/>
      <c r="G253" s="410"/>
      <c r="H253" s="410"/>
      <c r="I253" s="410"/>
    </row>
    <row r="257" spans="1:9" ht="15.75" thickBot="1" x14ac:dyDescent="0.3"/>
    <row r="258" spans="1:9" x14ac:dyDescent="0.25">
      <c r="A258" s="391" t="s">
        <v>525</v>
      </c>
    </row>
    <row r="259" spans="1:9" ht="16.5" thickBot="1" x14ac:dyDescent="0.3">
      <c r="A259" s="412"/>
      <c r="B259" s="413"/>
      <c r="C259" s="414" t="s">
        <v>536</v>
      </c>
      <c r="D259" s="415"/>
      <c r="E259" s="415"/>
      <c r="F259" s="415"/>
      <c r="G259" s="416"/>
      <c r="H259" s="413"/>
      <c r="I259" s="417"/>
    </row>
    <row r="260" spans="1:9" ht="15.75" thickBot="1" x14ac:dyDescent="0.3">
      <c r="A260" s="418" t="s">
        <v>537</v>
      </c>
      <c r="B260" s="419"/>
      <c r="C260" s="410"/>
      <c r="D260" s="410"/>
      <c r="E260" s="410"/>
      <c r="F260" s="410"/>
      <c r="G260" s="410"/>
      <c r="H260" s="410"/>
      <c r="I260" s="410"/>
    </row>
    <row r="261" spans="1:9" ht="15.75" thickBot="1" x14ac:dyDescent="0.3">
      <c r="A261" s="418" t="s">
        <v>87</v>
      </c>
      <c r="B261" s="419"/>
      <c r="C261" s="410"/>
      <c r="D261" s="410"/>
      <c r="E261" s="410"/>
      <c r="F261" s="410"/>
      <c r="G261" s="410"/>
      <c r="H261" s="410"/>
      <c r="I261" s="420"/>
    </row>
    <row r="262" spans="1:9" ht="15.75" thickBot="1" x14ac:dyDescent="0.3">
      <c r="A262" s="421"/>
      <c r="B262" s="421"/>
      <c r="C262" s="421"/>
      <c r="D262" s="421"/>
      <c r="E262" s="421"/>
      <c r="F262" s="421"/>
      <c r="G262" s="421"/>
      <c r="H262" s="421"/>
      <c r="I262" s="421"/>
    </row>
    <row r="263" spans="1:9" ht="15.75" thickBot="1" x14ac:dyDescent="0.3">
      <c r="A263" s="421"/>
      <c r="B263" s="421"/>
      <c r="C263" s="421"/>
      <c r="D263" s="421"/>
      <c r="E263" s="421"/>
      <c r="F263" s="421"/>
      <c r="G263" s="421"/>
      <c r="H263" s="421"/>
      <c r="I263" s="421"/>
    </row>
    <row r="264" spans="1:9" ht="15.75" thickBot="1" x14ac:dyDescent="0.3">
      <c r="A264" s="421"/>
      <c r="B264" s="421"/>
      <c r="C264" s="421"/>
      <c r="D264" s="421"/>
      <c r="E264" s="421"/>
      <c r="F264" s="421"/>
      <c r="G264" s="421"/>
      <c r="H264" s="421"/>
      <c r="I264" s="421"/>
    </row>
    <row r="265" spans="1:9" ht="15.75" thickBot="1" x14ac:dyDescent="0.3">
      <c r="A265" s="422"/>
      <c r="B265" s="423"/>
      <c r="C265" s="424" t="s">
        <v>538</v>
      </c>
      <c r="D265" s="425"/>
      <c r="E265" s="425"/>
      <c r="F265" s="425"/>
      <c r="G265" s="426"/>
      <c r="H265" s="423"/>
      <c r="I265" s="427"/>
    </row>
    <row r="266" spans="1:9" ht="15.75" thickBot="1" x14ac:dyDescent="0.3">
      <c r="A266" s="418" t="s">
        <v>539</v>
      </c>
      <c r="B266" s="419"/>
      <c r="C266" s="410"/>
      <c r="D266" s="410"/>
      <c r="E266" s="410"/>
      <c r="F266" s="410"/>
      <c r="G266" s="410"/>
      <c r="H266" s="410"/>
      <c r="I266" s="410"/>
    </row>
    <row r="267" spans="1:9" ht="15.75" thickBot="1" x14ac:dyDescent="0.3">
      <c r="A267" s="428" t="s">
        <v>540</v>
      </c>
      <c r="B267" s="429"/>
      <c r="C267" s="410"/>
      <c r="D267" s="410"/>
      <c r="E267" s="410"/>
      <c r="F267" s="410"/>
      <c r="G267" s="410"/>
      <c r="H267" s="410"/>
      <c r="I267" s="410"/>
    </row>
    <row r="268" spans="1:9" ht="15.75" thickBot="1" x14ac:dyDescent="0.3">
      <c r="A268" s="430"/>
      <c r="B268" s="421"/>
      <c r="C268" s="421"/>
      <c r="D268" s="421"/>
      <c r="E268" s="421"/>
      <c r="F268" s="421"/>
      <c r="G268" s="421"/>
      <c r="H268" s="421"/>
      <c r="I268" s="421"/>
    </row>
    <row r="269" spans="1:9" ht="15.75" thickBot="1" x14ac:dyDescent="0.3">
      <c r="A269" s="430"/>
      <c r="B269" s="421"/>
      <c r="C269" s="421"/>
      <c r="D269" s="421"/>
      <c r="E269" s="421"/>
      <c r="F269" s="421"/>
      <c r="G269" s="421"/>
      <c r="H269" s="421"/>
      <c r="I269" s="421"/>
    </row>
    <row r="270" spans="1:9" ht="15.75" thickBot="1" x14ac:dyDescent="0.3">
      <c r="A270" s="430"/>
      <c r="B270" s="421"/>
      <c r="C270" s="421"/>
      <c r="D270" s="421"/>
      <c r="E270" s="421"/>
      <c r="F270" s="421"/>
      <c r="G270" s="421"/>
      <c r="H270" s="421"/>
      <c r="I270" s="421"/>
    </row>
    <row r="271" spans="1:9" ht="15.75" thickBot="1" x14ac:dyDescent="0.3">
      <c r="A271" s="422"/>
      <c r="B271" s="423"/>
      <c r="C271" s="423"/>
      <c r="D271" s="424" t="s">
        <v>541</v>
      </c>
      <c r="E271" s="425"/>
      <c r="F271" s="426"/>
      <c r="G271" s="423"/>
      <c r="H271" s="423"/>
      <c r="I271" s="427"/>
    </row>
    <row r="272" spans="1:9" ht="15.75" thickBot="1" x14ac:dyDescent="0.3">
      <c r="A272" s="418" t="s">
        <v>542</v>
      </c>
      <c r="B272" s="419"/>
      <c r="C272" s="410"/>
      <c r="D272" s="410"/>
      <c r="E272" s="410"/>
      <c r="F272" s="410"/>
      <c r="G272" s="410"/>
      <c r="H272" s="431"/>
      <c r="I272" s="420"/>
    </row>
    <row r="273" spans="1:9" ht="15.75" thickBot="1" x14ac:dyDescent="0.3">
      <c r="A273" s="418" t="s">
        <v>543</v>
      </c>
      <c r="B273" s="419"/>
      <c r="C273" s="410"/>
      <c r="D273" s="410"/>
      <c r="E273" s="410"/>
      <c r="F273" s="410"/>
      <c r="G273" s="410"/>
      <c r="H273" s="431"/>
      <c r="I273" s="420"/>
    </row>
    <row r="274" spans="1:9" ht="15.75" thickBot="1" x14ac:dyDescent="0.3">
      <c r="A274" s="421"/>
      <c r="B274" s="421"/>
      <c r="C274" s="421"/>
      <c r="D274" s="421"/>
      <c r="E274" s="421"/>
      <c r="F274" s="421"/>
      <c r="G274" s="421"/>
      <c r="H274" s="421"/>
      <c r="I274" s="421"/>
    </row>
    <row r="275" spans="1:9" ht="15.75" thickBot="1" x14ac:dyDescent="0.3">
      <c r="A275" s="421"/>
      <c r="B275" s="421"/>
      <c r="C275" s="421"/>
      <c r="D275" s="421"/>
      <c r="E275" s="421"/>
      <c r="F275" s="421"/>
      <c r="G275" s="421"/>
      <c r="H275" s="421"/>
      <c r="I275" s="421"/>
    </row>
    <row r="276" spans="1:9" ht="15.75" thickBot="1" x14ac:dyDescent="0.3">
      <c r="A276" s="421"/>
      <c r="B276" s="421"/>
      <c r="C276" s="421"/>
      <c r="D276" s="421"/>
      <c r="E276" s="421"/>
      <c r="F276" s="421"/>
      <c r="G276" s="421"/>
      <c r="H276" s="421"/>
      <c r="I276" s="421"/>
    </row>
    <row r="277" spans="1:9" ht="15.75" thickBot="1" x14ac:dyDescent="0.3">
      <c r="A277" s="422"/>
      <c r="B277" s="423"/>
      <c r="C277" s="424" t="s">
        <v>544</v>
      </c>
      <c r="D277" s="425"/>
      <c r="E277" s="425"/>
      <c r="F277" s="425"/>
      <c r="G277" s="426"/>
      <c r="H277" s="423"/>
      <c r="I277" s="427"/>
    </row>
    <row r="278" spans="1:9" ht="15.75" thickBot="1" x14ac:dyDescent="0.3">
      <c r="A278" s="418" t="s">
        <v>545</v>
      </c>
      <c r="B278" s="419"/>
      <c r="C278" s="410"/>
      <c r="D278" s="410"/>
      <c r="E278" s="410"/>
      <c r="F278" s="410"/>
      <c r="G278" s="410"/>
      <c r="H278" s="410"/>
      <c r="I278" s="410"/>
    </row>
    <row r="279" spans="1:9" ht="15.75" thickBot="1" x14ac:dyDescent="0.3">
      <c r="A279" s="421"/>
      <c r="B279" s="421"/>
      <c r="C279" s="421"/>
      <c r="D279" s="421"/>
      <c r="E279" s="421"/>
      <c r="F279" s="421"/>
      <c r="G279" s="421"/>
      <c r="H279" s="421"/>
      <c r="I279" s="421"/>
    </row>
    <row r="280" spans="1:9" ht="15.75" thickBot="1" x14ac:dyDescent="0.3">
      <c r="A280" s="421"/>
      <c r="B280" s="421"/>
      <c r="C280" s="421"/>
      <c r="D280" s="421"/>
      <c r="E280" s="421"/>
      <c r="F280" s="421"/>
      <c r="G280" s="421"/>
      <c r="H280" s="421"/>
      <c r="I280" s="421"/>
    </row>
    <row r="281" spans="1:9" ht="15.75" thickBot="1" x14ac:dyDescent="0.3">
      <c r="A281" s="421"/>
      <c r="B281" s="421"/>
      <c r="C281" s="421"/>
      <c r="D281" s="421"/>
      <c r="E281" s="421"/>
      <c r="F281" s="421"/>
      <c r="G281" s="421"/>
      <c r="H281" s="421"/>
      <c r="I281" s="421"/>
    </row>
    <row r="282" spans="1:9" ht="15.75" thickBot="1" x14ac:dyDescent="0.3">
      <c r="A282" s="422"/>
      <c r="B282" s="423"/>
      <c r="C282" s="424" t="s">
        <v>546</v>
      </c>
      <c r="D282" s="425"/>
      <c r="E282" s="425"/>
      <c r="F282" s="425"/>
      <c r="G282" s="426"/>
      <c r="H282" s="423"/>
      <c r="I282" s="427"/>
    </row>
    <row r="283" spans="1:9" ht="20.25" thickBot="1" x14ac:dyDescent="0.3">
      <c r="A283" s="432" t="s">
        <v>547</v>
      </c>
      <c r="B283" s="433" t="s">
        <v>548</v>
      </c>
      <c r="C283" s="410"/>
      <c r="D283" s="410"/>
      <c r="E283" s="410"/>
      <c r="F283" s="410"/>
      <c r="G283" s="410"/>
      <c r="H283" s="410"/>
      <c r="I283" s="410"/>
    </row>
    <row r="284" spans="1:9" ht="20.25" thickBot="1" x14ac:dyDescent="0.3">
      <c r="A284" s="432" t="s">
        <v>549</v>
      </c>
      <c r="B284" s="433" t="s">
        <v>550</v>
      </c>
      <c r="C284" s="410"/>
      <c r="D284" s="410"/>
      <c r="E284" s="410"/>
      <c r="F284" s="410"/>
      <c r="G284" s="410"/>
      <c r="H284" s="410"/>
      <c r="I284" s="410"/>
    </row>
    <row r="285" spans="1:9" ht="15.75" thickBot="1" x14ac:dyDescent="0.3">
      <c r="A285" s="418" t="s">
        <v>551</v>
      </c>
      <c r="B285" s="419"/>
      <c r="C285" s="410"/>
      <c r="D285" s="410"/>
      <c r="E285" s="410"/>
      <c r="F285" s="410"/>
      <c r="G285" s="410"/>
      <c r="H285" s="410"/>
      <c r="I285" s="410"/>
    </row>
    <row r="289" spans="1:10" ht="15.75" thickBot="1" x14ac:dyDescent="0.3"/>
    <row r="290" spans="1:10" ht="15.75" thickBot="1" x14ac:dyDescent="0.3">
      <c r="A290" s="434" t="s">
        <v>552</v>
      </c>
      <c r="B290" s="435"/>
      <c r="C290" s="436"/>
      <c r="D290" s="437"/>
      <c r="E290" s="438" t="s">
        <v>553</v>
      </c>
      <c r="F290" s="438"/>
      <c r="G290" s="438"/>
      <c r="H290" s="438"/>
      <c r="I290" s="436"/>
      <c r="J290" s="439"/>
    </row>
    <row r="291" spans="1:10" x14ac:dyDescent="0.25">
      <c r="A291" s="440" t="s">
        <v>554</v>
      </c>
      <c r="B291" s="441" t="s">
        <v>555</v>
      </c>
      <c r="C291" s="441" t="s">
        <v>527</v>
      </c>
      <c r="D291" s="442"/>
      <c r="E291" s="443"/>
      <c r="F291" s="443"/>
      <c r="G291" s="443"/>
      <c r="H291" s="442"/>
      <c r="I291" s="443"/>
      <c r="J291" s="443"/>
    </row>
    <row r="292" spans="1:10" ht="15.75" thickBot="1" x14ac:dyDescent="0.3">
      <c r="A292" s="444" t="s">
        <v>556</v>
      </c>
      <c r="B292" s="445" t="s">
        <v>557</v>
      </c>
      <c r="C292" s="445"/>
      <c r="D292" s="446"/>
      <c r="E292" s="427"/>
      <c r="F292" s="447"/>
      <c r="G292" s="447"/>
      <c r="H292" s="448"/>
      <c r="I292" s="449"/>
      <c r="J292" s="445"/>
    </row>
    <row r="293" spans="1:10" ht="16.5" thickBot="1" x14ac:dyDescent="0.3">
      <c r="A293" s="450" t="s">
        <v>558</v>
      </c>
      <c r="B293" s="451"/>
      <c r="C293" s="451"/>
      <c r="D293" s="452"/>
      <c r="E293" s="453"/>
      <c r="F293" s="451"/>
      <c r="G293" s="451"/>
      <c r="H293" s="454"/>
      <c r="I293" s="451"/>
      <c r="J293" s="451"/>
    </row>
    <row r="294" spans="1:10" ht="15.75" x14ac:dyDescent="0.25">
      <c r="A294" s="455" t="s">
        <v>559</v>
      </c>
      <c r="B294" s="456"/>
      <c r="C294" s="456"/>
      <c r="D294" s="457"/>
      <c r="E294" s="456"/>
      <c r="F294" s="456"/>
      <c r="G294" s="456"/>
      <c r="H294" s="457"/>
      <c r="I294" s="456"/>
      <c r="J294" s="456"/>
    </row>
    <row r="295" spans="1:10" x14ac:dyDescent="0.25">
      <c r="A295" s="458" t="s">
        <v>560</v>
      </c>
      <c r="B295" s="459"/>
      <c r="C295" s="459"/>
      <c r="D295" s="460"/>
      <c r="E295" s="461"/>
      <c r="F295" s="459"/>
      <c r="G295" s="459"/>
      <c r="H295" s="462"/>
      <c r="I295" s="459"/>
      <c r="J295" s="459"/>
    </row>
    <row r="296" spans="1:10" x14ac:dyDescent="0.25">
      <c r="A296" s="458" t="s">
        <v>561</v>
      </c>
      <c r="B296" s="459"/>
      <c r="C296" s="459"/>
      <c r="D296" s="460"/>
      <c r="E296" s="461"/>
      <c r="F296" s="459"/>
      <c r="G296" s="459"/>
      <c r="H296" s="462"/>
      <c r="I296" s="459"/>
      <c r="J296" s="459"/>
    </row>
    <row r="297" spans="1:10" x14ac:dyDescent="0.25">
      <c r="A297" s="458" t="s">
        <v>562</v>
      </c>
      <c r="B297" s="459"/>
      <c r="C297" s="459"/>
      <c r="D297" s="460"/>
      <c r="E297" s="461"/>
      <c r="F297" s="459"/>
      <c r="G297" s="459"/>
      <c r="H297" s="462"/>
      <c r="I297" s="459"/>
      <c r="J297" s="459"/>
    </row>
    <row r="298" spans="1:10" x14ac:dyDescent="0.25">
      <c r="A298" s="458" t="s">
        <v>563</v>
      </c>
      <c r="B298" s="459"/>
      <c r="C298" s="459"/>
      <c r="D298" s="460"/>
      <c r="E298" s="461"/>
      <c r="F298" s="459"/>
      <c r="G298" s="459"/>
      <c r="H298" s="462"/>
      <c r="I298" s="459"/>
      <c r="J298" s="459"/>
    </row>
    <row r="299" spans="1:10" x14ac:dyDescent="0.25">
      <c r="A299" s="458" t="s">
        <v>564</v>
      </c>
      <c r="B299" s="459"/>
      <c r="C299" s="459"/>
      <c r="D299" s="460"/>
      <c r="E299" s="461"/>
      <c r="F299" s="459"/>
      <c r="G299" s="459"/>
      <c r="H299" s="462"/>
      <c r="I299" s="459"/>
      <c r="J299" s="459"/>
    </row>
    <row r="300" spans="1:10" x14ac:dyDescent="0.25">
      <c r="A300" s="458" t="s">
        <v>565</v>
      </c>
      <c r="B300" s="459"/>
      <c r="C300" s="459"/>
      <c r="D300" s="460"/>
      <c r="E300" s="461"/>
      <c r="F300" s="463"/>
      <c r="G300" s="463"/>
      <c r="H300" s="462"/>
      <c r="I300" s="464"/>
      <c r="J300" s="459"/>
    </row>
    <row r="301" spans="1:10" ht="15.75" thickBot="1" x14ac:dyDescent="0.3">
      <c r="A301" s="465" t="s">
        <v>566</v>
      </c>
      <c r="B301" s="451"/>
      <c r="C301" s="451"/>
      <c r="D301" s="452"/>
      <c r="E301" s="411"/>
      <c r="F301" s="466"/>
      <c r="G301" s="466"/>
      <c r="H301" s="421"/>
      <c r="I301" s="467"/>
      <c r="J301" s="451"/>
    </row>
    <row r="302" spans="1:10" ht="15.75" x14ac:dyDescent="0.25">
      <c r="A302" s="455" t="s">
        <v>567</v>
      </c>
      <c r="B302" s="456"/>
      <c r="C302" s="456"/>
      <c r="D302" s="457"/>
      <c r="E302" s="456"/>
      <c r="F302" s="456"/>
      <c r="G302" s="456"/>
      <c r="H302" s="457"/>
      <c r="I302" s="456"/>
      <c r="J302" s="456"/>
    </row>
    <row r="303" spans="1:10" x14ac:dyDescent="0.25">
      <c r="A303" s="455" t="s">
        <v>568</v>
      </c>
      <c r="B303" s="468"/>
      <c r="C303" s="468"/>
      <c r="D303" s="469"/>
      <c r="E303" s="468"/>
      <c r="F303" s="468"/>
      <c r="G303" s="468"/>
      <c r="H303" s="469"/>
      <c r="I303" s="468"/>
      <c r="J303" s="468"/>
    </row>
    <row r="304" spans="1:10" x14ac:dyDescent="0.25">
      <c r="A304" s="458" t="s">
        <v>569</v>
      </c>
      <c r="B304" s="459"/>
      <c r="C304" s="459"/>
      <c r="D304" s="460"/>
      <c r="E304" s="470"/>
      <c r="F304" s="459"/>
      <c r="G304" s="459"/>
      <c r="H304" s="471"/>
      <c r="I304" s="459"/>
      <c r="J304" s="459"/>
    </row>
    <row r="305" spans="1:10" x14ac:dyDescent="0.25">
      <c r="A305" s="458" t="s">
        <v>570</v>
      </c>
      <c r="B305" s="459"/>
      <c r="C305" s="459"/>
      <c r="D305" s="460"/>
      <c r="E305" s="461"/>
      <c r="F305" s="459"/>
      <c r="G305" s="459"/>
      <c r="H305" s="462"/>
      <c r="I305" s="459"/>
      <c r="J305" s="459"/>
    </row>
    <row r="306" spans="1:10" x14ac:dyDescent="0.25">
      <c r="A306" s="458" t="s">
        <v>571</v>
      </c>
      <c r="B306" s="459"/>
      <c r="C306" s="459"/>
      <c r="D306" s="460"/>
      <c r="E306" s="461"/>
      <c r="F306" s="459"/>
      <c r="G306" s="459"/>
      <c r="H306" s="462"/>
      <c r="I306" s="459"/>
      <c r="J306" s="459"/>
    </row>
    <row r="307" spans="1:10" x14ac:dyDescent="0.25">
      <c r="A307" s="458" t="s">
        <v>572</v>
      </c>
      <c r="B307" s="459"/>
      <c r="C307" s="459"/>
      <c r="D307" s="460"/>
      <c r="E307" s="461"/>
      <c r="F307" s="459"/>
      <c r="G307" s="459"/>
      <c r="H307" s="462"/>
      <c r="I307" s="459"/>
      <c r="J307" s="459"/>
    </row>
    <row r="308" spans="1:10" ht="15.75" thickBot="1" x14ac:dyDescent="0.3">
      <c r="A308" s="465" t="s">
        <v>573</v>
      </c>
      <c r="B308" s="451"/>
      <c r="C308" s="451"/>
      <c r="D308" s="452"/>
      <c r="E308" s="411"/>
      <c r="F308" s="451"/>
      <c r="G308" s="451"/>
      <c r="H308" s="421"/>
      <c r="I308" s="451"/>
      <c r="J308" s="451"/>
    </row>
    <row r="313" spans="1:10" ht="15.75" thickBot="1" x14ac:dyDescent="0.3"/>
    <row r="314" spans="1:10" ht="15.75" x14ac:dyDescent="0.25">
      <c r="A314" s="472"/>
      <c r="B314" s="473" t="s">
        <v>574</v>
      </c>
      <c r="C314" s="474"/>
      <c r="D314" s="475"/>
    </row>
    <row r="315" spans="1:10" ht="16.5" thickBot="1" x14ac:dyDescent="0.3">
      <c r="A315" s="476" t="s">
        <v>575</v>
      </c>
      <c r="B315" s="477"/>
      <c r="C315" s="478" t="s">
        <v>576</v>
      </c>
      <c r="D315" s="479"/>
    </row>
    <row r="316" spans="1:10" ht="16.5" thickBot="1" x14ac:dyDescent="0.3">
      <c r="A316" s="480" t="s">
        <v>577</v>
      </c>
      <c r="B316" s="481">
        <v>-1</v>
      </c>
      <c r="C316" s="417"/>
      <c r="D316" s="482">
        <v>-2</v>
      </c>
    </row>
    <row r="317" spans="1:10" ht="15.75" x14ac:dyDescent="0.25">
      <c r="A317" s="483"/>
      <c r="B317" s="484"/>
      <c r="C317" s="456"/>
      <c r="D317" s="485"/>
    </row>
    <row r="318" spans="1:10" ht="15.75" x14ac:dyDescent="0.25">
      <c r="A318" s="483"/>
      <c r="B318" s="484"/>
      <c r="C318" s="456"/>
      <c r="D318" s="485"/>
    </row>
    <row r="319" spans="1:10" ht="15.75" x14ac:dyDescent="0.25">
      <c r="A319" s="483"/>
      <c r="B319" s="484"/>
      <c r="C319" s="456"/>
      <c r="D319" s="485"/>
    </row>
    <row r="320" spans="1:10" ht="15.75" x14ac:dyDescent="0.25">
      <c r="A320" s="483"/>
      <c r="B320" s="484"/>
      <c r="C320" s="456"/>
      <c r="D320" s="485"/>
    </row>
    <row r="321" spans="1:4" ht="15.75" x14ac:dyDescent="0.25">
      <c r="A321" s="483"/>
      <c r="B321" s="484"/>
      <c r="C321" s="456"/>
      <c r="D321" s="485"/>
    </row>
    <row r="322" spans="1:4" ht="15.75" x14ac:dyDescent="0.25">
      <c r="A322" s="483"/>
      <c r="B322" s="484"/>
      <c r="C322" s="456"/>
      <c r="D322" s="485"/>
    </row>
    <row r="323" spans="1:4" ht="16.5" thickBot="1" x14ac:dyDescent="0.3">
      <c r="A323" s="486"/>
      <c r="B323" s="487"/>
      <c r="C323" s="453"/>
      <c r="D323" s="488"/>
    </row>
    <row r="350" spans="1:4" x14ac:dyDescent="0.25">
      <c r="A350" s="265" t="s">
        <v>524</v>
      </c>
      <c r="B350" s="89" t="s">
        <v>578</v>
      </c>
      <c r="C350" s="89" t="s">
        <v>578</v>
      </c>
      <c r="D350" s="89" t="s">
        <v>579</v>
      </c>
    </row>
    <row r="351" spans="1:4" x14ac:dyDescent="0.25">
      <c r="A351" s="268" t="s">
        <v>431</v>
      </c>
      <c r="B351" s="269" t="s">
        <v>310</v>
      </c>
      <c r="C351" s="269" t="s">
        <v>432</v>
      </c>
      <c r="D351" s="269"/>
    </row>
    <row r="352" spans="1:4" x14ac:dyDescent="0.25">
      <c r="A352" s="69">
        <v>8515</v>
      </c>
      <c r="B352" s="389">
        <v>1.825787405842785</v>
      </c>
      <c r="C352" s="271">
        <v>1790</v>
      </c>
      <c r="D352" t="s">
        <v>580</v>
      </c>
    </row>
    <row r="353" spans="1:3" x14ac:dyDescent="0.25">
      <c r="A353" s="69">
        <v>8015</v>
      </c>
      <c r="B353" s="389">
        <v>1.838696283773622</v>
      </c>
      <c r="C353" s="271">
        <v>1790</v>
      </c>
    </row>
    <row r="354" spans="1:3" x14ac:dyDescent="0.25">
      <c r="A354" s="69">
        <v>7315</v>
      </c>
      <c r="B354" s="389">
        <v>1.8583239468821433</v>
      </c>
      <c r="C354" s="271">
        <v>1790</v>
      </c>
    </row>
    <row r="355" spans="1:3" x14ac:dyDescent="0.25">
      <c r="A355" s="153">
        <v>6515</v>
      </c>
      <c r="B355" s="389">
        <v>1.8836805576759501</v>
      </c>
      <c r="C355" s="271">
        <v>1790</v>
      </c>
    </row>
    <row r="356" spans="1:3" x14ac:dyDescent="0.25">
      <c r="A356" s="153">
        <v>6015</v>
      </c>
      <c r="B356" s="389">
        <v>1.9021449820014338</v>
      </c>
      <c r="C356" s="271">
        <v>1790</v>
      </c>
    </row>
    <row r="357" spans="1:3" x14ac:dyDescent="0.25">
      <c r="A357" s="153">
        <v>5515</v>
      </c>
      <c r="B357" s="389">
        <v>1.9227576755083853</v>
      </c>
      <c r="C357" s="271">
        <v>1790</v>
      </c>
    </row>
    <row r="358" spans="1:3" x14ac:dyDescent="0.25">
      <c r="A358" s="153">
        <v>5015</v>
      </c>
      <c r="B358" s="389">
        <v>1.9458831081383043</v>
      </c>
      <c r="C358" s="271">
        <v>1790</v>
      </c>
    </row>
    <row r="359" spans="1:3" x14ac:dyDescent="0.25">
      <c r="A359" s="153">
        <v>4238.6549999999997</v>
      </c>
      <c r="B359" s="389">
        <v>1.9873000000000001</v>
      </c>
      <c r="C359" s="271">
        <v>1790</v>
      </c>
    </row>
    <row r="360" spans="1:3" x14ac:dyDescent="0.25">
      <c r="A360" s="153">
        <v>3915</v>
      </c>
      <c r="B360" s="389">
        <v>1.8231127166615833</v>
      </c>
      <c r="C360" s="271">
        <v>1514.2877639403912</v>
      </c>
    </row>
    <row r="361" spans="1:3" x14ac:dyDescent="0.25">
      <c r="A361" s="153">
        <v>3115</v>
      </c>
      <c r="B361" s="389">
        <v>1.6039518400456774</v>
      </c>
      <c r="C361" s="271">
        <v>1078.952584788002</v>
      </c>
    </row>
    <row r="362" spans="1:3" x14ac:dyDescent="0.25">
      <c r="A362" s="153">
        <v>2315</v>
      </c>
      <c r="B362" s="389">
        <v>1.4613526400684087</v>
      </c>
      <c r="C362" s="271">
        <v>780.79990249205696</v>
      </c>
    </row>
    <row r="363" spans="1:3" x14ac:dyDescent="0.25">
      <c r="A363" s="153">
        <v>1515</v>
      </c>
      <c r="B363" s="389">
        <v>1.3502643552350166</v>
      </c>
      <c r="C363" s="271">
        <v>544.12402488753469</v>
      </c>
    </row>
    <row r="364" spans="1:3" x14ac:dyDescent="0.25">
      <c r="A364" s="153">
        <v>715</v>
      </c>
      <c r="B364" s="389">
        <v>1.2437919271121531</v>
      </c>
      <c r="C364" s="271">
        <v>323.46559116620665</v>
      </c>
    </row>
    <row r="365" spans="1:3" x14ac:dyDescent="0.25">
      <c r="A365" s="153">
        <v>15</v>
      </c>
      <c r="B365" s="389">
        <v>1.0617753623188415</v>
      </c>
      <c r="C365" s="271">
        <v>0</v>
      </c>
    </row>
    <row r="366" spans="1:3" x14ac:dyDescent="0.25">
      <c r="A366" s="153"/>
      <c r="B366" s="389"/>
      <c r="C366" s="223"/>
    </row>
    <row r="367" spans="1:3" x14ac:dyDescent="0.25">
      <c r="A367" s="153"/>
      <c r="B367" s="389"/>
      <c r="C367" s="223"/>
    </row>
    <row r="368" spans="1:3" x14ac:dyDescent="0.25">
      <c r="A368" s="153"/>
      <c r="B368" s="389"/>
      <c r="C368" s="223"/>
    </row>
    <row r="369" spans="1:3" x14ac:dyDescent="0.25">
      <c r="A369" s="153"/>
      <c r="B369" s="389"/>
      <c r="C369" s="69"/>
    </row>
    <row r="370" spans="1:3" x14ac:dyDescent="0.25">
      <c r="A370" s="153"/>
      <c r="B370" s="389"/>
      <c r="C370" s="69"/>
    </row>
    <row r="371" spans="1:3" x14ac:dyDescent="0.25">
      <c r="A371" s="153"/>
      <c r="B371" s="69"/>
      <c r="C371" s="69"/>
    </row>
    <row r="372" spans="1:3" x14ac:dyDescent="0.25">
      <c r="A372" s="153"/>
      <c r="B372" s="69"/>
      <c r="C372" s="69"/>
    </row>
    <row r="373" spans="1:3" x14ac:dyDescent="0.25">
      <c r="A373" s="153"/>
      <c r="B373" s="69"/>
      <c r="C373" s="69"/>
    </row>
    <row r="374" spans="1:3" x14ac:dyDescent="0.25">
      <c r="A374" s="153"/>
      <c r="B374" s="69"/>
      <c r="C374" s="69"/>
    </row>
    <row r="375" spans="1:3" x14ac:dyDescent="0.25">
      <c r="A375" s="153"/>
      <c r="B375" s="69"/>
      <c r="C375" s="69"/>
    </row>
    <row r="376" spans="1:3" x14ac:dyDescent="0.25">
      <c r="A376" s="153"/>
      <c r="B376" s="69"/>
      <c r="C376" s="69"/>
    </row>
    <row r="377" spans="1:3" x14ac:dyDescent="0.25">
      <c r="A377" s="153"/>
      <c r="B377" s="69"/>
      <c r="C377" s="69"/>
    </row>
    <row r="378" spans="1:3" x14ac:dyDescent="0.25">
      <c r="A378" s="153"/>
      <c r="B378" s="69"/>
      <c r="C378" s="69"/>
    </row>
    <row r="379" spans="1:3" x14ac:dyDescent="0.25">
      <c r="A379" s="153"/>
      <c r="B379" s="69"/>
      <c r="C379" s="69"/>
    </row>
    <row r="380" spans="1:3" x14ac:dyDescent="0.25">
      <c r="A380" s="153"/>
      <c r="B380" s="69"/>
      <c r="C380" s="69"/>
    </row>
    <row r="381" spans="1:3" x14ac:dyDescent="0.25">
      <c r="A381" s="153"/>
      <c r="B381" s="69"/>
      <c r="C381" s="69"/>
    </row>
  </sheetData>
  <mergeCells count="47">
    <mergeCell ref="A278:B278"/>
    <mergeCell ref="C282:G282"/>
    <mergeCell ref="A285:B285"/>
    <mergeCell ref="E290:H290"/>
    <mergeCell ref="B314:D314"/>
    <mergeCell ref="C315:D315"/>
    <mergeCell ref="A266:B266"/>
    <mergeCell ref="A267:B267"/>
    <mergeCell ref="D271:F271"/>
    <mergeCell ref="A272:B272"/>
    <mergeCell ref="A273:B273"/>
    <mergeCell ref="C277:G277"/>
    <mergeCell ref="M182:O183"/>
    <mergeCell ref="M184:O186"/>
    <mergeCell ref="C259:G259"/>
    <mergeCell ref="A260:B260"/>
    <mergeCell ref="A261:B261"/>
    <mergeCell ref="C265:G265"/>
    <mergeCell ref="R63:R65"/>
    <mergeCell ref="R66:R68"/>
    <mergeCell ref="M67:N67"/>
    <mergeCell ref="R81:R83"/>
    <mergeCell ref="S81:AB81"/>
    <mergeCell ref="I116:J116"/>
    <mergeCell ref="K116:L116"/>
    <mergeCell ref="R42:R43"/>
    <mergeCell ref="R44:R46"/>
    <mergeCell ref="A46:A56"/>
    <mergeCell ref="R47:R49"/>
    <mergeCell ref="R50:R52"/>
    <mergeCell ref="G51:J51"/>
    <mergeCell ref="R53:R55"/>
    <mergeCell ref="R56:R58"/>
    <mergeCell ref="A57:A62"/>
    <mergeCell ref="R60:R62"/>
    <mergeCell ref="E14:E19"/>
    <mergeCell ref="F14:F16"/>
    <mergeCell ref="F17:F19"/>
    <mergeCell ref="F20:F22"/>
    <mergeCell ref="H35:L35"/>
    <mergeCell ref="E41:F41"/>
    <mergeCell ref="M6:N6"/>
    <mergeCell ref="K7:L8"/>
    <mergeCell ref="BE7:BF7"/>
    <mergeCell ref="G8:H8"/>
    <mergeCell ref="AK8:AL8"/>
    <mergeCell ref="M10:N10"/>
  </mergeCells>
  <conditionalFormatting sqref="BQ46:BS46">
    <cfRule type="cellIs" dxfId="1" priority="1" operator="notEqual">
      <formula>0</formula>
    </cfRule>
  </conditionalFormatting>
  <dataValidations count="2">
    <dataValidation type="textLength" operator="equal" allowBlank="1" showInputMessage="1" showErrorMessage="1" sqref="T3:X38 B5:B8 M8 BQ9:BU40 N12 H20:H26 B28:B32 H34 O18:O34 I37:I38 T40:X40 BQ41:BS41 Y42:Y43 E42:F45 BQ44:BS46 T45:X45 AU9:AV62 T48:X48 T51:X51 C47:C54 E47:E54 T54:X54 S56:S58 T59 BZ9:CA60 C61:C62 T61:X61 T64:X64 G53:G65 I53:I65 BE9:BE66 AK10:AK67 T67:X67 BM48:BO73 AW74:BC74 BM77:BO87 M69:M93 S112:AB112 N134 I118:I142 K118:K142 R180:AA180" xr:uid="{EDA85D02-5629-446B-8801-46F3D806EBFD}">
      <formula1>0</formula1>
    </dataValidation>
    <dataValidation allowBlank="1" showInputMessage="1" showErrorMessage="1" promptTitle="Special Test" prompt="Type Name of Tests or &quot;No&quot;" sqref="B33" xr:uid="{AFEBB293-B85E-4F47-B2C2-D23DAECB3A98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1">
                <anchor moveWithCells="1" sizeWithCells="1">
                  <from>
                    <xdr:col>6</xdr:col>
                    <xdr:colOff>847725</xdr:colOff>
                    <xdr:row>1</xdr:row>
                    <xdr:rowOff>47625</xdr:rowOff>
                  </from>
                  <to>
                    <xdr:col>6</xdr:col>
                    <xdr:colOff>1914525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JOHN 1H-5X</vt:lpstr>
      <vt:lpstr>Hoile 1H-25X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Razzaghi, Samaneh</dc:creator>
  <cp:lastModifiedBy>Razzaghi, Samaneh</cp:lastModifiedBy>
  <dcterms:created xsi:type="dcterms:W3CDTF">2020-07-21T16:19:31Z</dcterms:created>
  <dcterms:modified xsi:type="dcterms:W3CDTF">2020-07-21T16:20:14Z</dcterms:modified>
</cp:coreProperties>
</file>