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20" windowHeight="8580"/>
  </bookViews>
  <sheets>
    <sheet name="Inicial" sheetId="2" r:id="rId1"/>
    <sheet name="Principal" sheetId="1" r:id="rId2"/>
    <sheet name="Graficos" sheetId="3" r:id="rId3"/>
  </sheets>
  <calcPr calcId="125725"/>
</workbook>
</file>

<file path=xl/calcChain.xml><?xml version="1.0" encoding="utf-8"?>
<calcChain xmlns="http://schemas.openxmlformats.org/spreadsheetml/2006/main">
  <c r="B12" i="1"/>
  <c r="P38"/>
  <c r="P37"/>
  <c r="P36"/>
  <c r="O39"/>
  <c r="N39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8"/>
  <c r="B8"/>
  <c r="K10"/>
  <c r="K11"/>
  <c r="K12"/>
  <c r="K9"/>
  <c r="F33"/>
  <c r="L8" l="1"/>
  <c r="L9" s="1"/>
  <c r="L10" s="1"/>
  <c r="L11" s="1"/>
  <c r="L12" s="1"/>
  <c r="F36"/>
  <c r="B38"/>
  <c r="B36"/>
  <c r="B37"/>
  <c r="F21"/>
  <c r="F22"/>
  <c r="F23"/>
  <c r="F24"/>
  <c r="F25"/>
  <c r="F26"/>
  <c r="F27"/>
  <c r="F28"/>
  <c r="F29"/>
  <c r="F30"/>
  <c r="F31"/>
  <c r="F32"/>
  <c r="F34"/>
  <c r="F35"/>
  <c r="F37"/>
  <c r="F38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D39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1"/>
  <c r="B10"/>
  <c r="B9"/>
  <c r="B18" i="3" l="1"/>
  <c r="E37" i="1"/>
  <c r="E38"/>
  <c r="E36"/>
  <c r="E10"/>
  <c r="F10" s="1"/>
  <c r="E12"/>
  <c r="F12" s="1"/>
  <c r="E14"/>
  <c r="F14" s="1"/>
  <c r="E16"/>
  <c r="F16" s="1"/>
  <c r="E18"/>
  <c r="F18" s="1"/>
  <c r="E20"/>
  <c r="F20" s="1"/>
  <c r="E22"/>
  <c r="E24"/>
  <c r="E26"/>
  <c r="E28"/>
  <c r="E30"/>
  <c r="E32"/>
  <c r="E34"/>
  <c r="E9"/>
  <c r="F9" s="1"/>
  <c r="E11"/>
  <c r="F11" s="1"/>
  <c r="E13"/>
  <c r="E15"/>
  <c r="F15" s="1"/>
  <c r="E17"/>
  <c r="F17" s="1"/>
  <c r="E19"/>
  <c r="F19" s="1"/>
  <c r="E21"/>
  <c r="E23"/>
  <c r="E25"/>
  <c r="E27"/>
  <c r="E29"/>
  <c r="E31"/>
  <c r="E33"/>
  <c r="E35"/>
  <c r="E8"/>
  <c r="F8" s="1"/>
  <c r="L13" l="1"/>
  <c r="L14" s="1"/>
  <c r="F13"/>
  <c r="I8"/>
  <c r="I9" s="1"/>
  <c r="I10" s="1"/>
  <c r="I11" s="1"/>
  <c r="I12" s="1"/>
  <c r="I13" s="1"/>
  <c r="I14" s="1"/>
  <c r="I15" s="1"/>
  <c r="I16" s="1"/>
  <c r="I17" s="1"/>
  <c r="I18" s="1"/>
  <c r="E39"/>
  <c r="K25" s="1"/>
  <c r="K16"/>
  <c r="K33"/>
  <c r="K21"/>
  <c r="K17"/>
  <c r="K34"/>
  <c r="K26"/>
  <c r="K18"/>
  <c r="K14"/>
  <c r="K35"/>
  <c r="K27"/>
  <c r="K19"/>
  <c r="L15"/>
  <c r="K23" l="1"/>
  <c r="K31"/>
  <c r="K22"/>
  <c r="K30"/>
  <c r="K24"/>
  <c r="B19" i="3"/>
  <c r="K29" i="1"/>
  <c r="K38"/>
  <c r="K36"/>
  <c r="K37"/>
  <c r="K32"/>
  <c r="K15"/>
  <c r="K13"/>
  <c r="K20"/>
  <c r="K28"/>
  <c r="L16"/>
  <c r="I19"/>
  <c r="L17" l="1"/>
  <c r="I20"/>
  <c r="L18" l="1"/>
  <c r="I21"/>
  <c r="L19" l="1"/>
  <c r="I22"/>
  <c r="L20" l="1"/>
  <c r="I23"/>
  <c r="L21" l="1"/>
  <c r="I24"/>
  <c r="L22" l="1"/>
  <c r="I25"/>
  <c r="L23" l="1"/>
  <c r="I26"/>
  <c r="L24" l="1"/>
  <c r="I27"/>
  <c r="L25" l="1"/>
  <c r="I28"/>
  <c r="L26" l="1"/>
  <c r="I29"/>
  <c r="L27" l="1"/>
  <c r="I30"/>
  <c r="L28" l="1"/>
  <c r="I31"/>
  <c r="L29" l="1"/>
  <c r="I32"/>
  <c r="L30" l="1"/>
  <c r="I33"/>
  <c r="L31" l="1"/>
  <c r="I34"/>
  <c r="L32" l="1"/>
  <c r="I35"/>
  <c r="I36" s="1"/>
  <c r="I37" s="1"/>
  <c r="I38" s="1"/>
  <c r="L33" l="1"/>
  <c r="L34" l="1"/>
  <c r="L35" l="1"/>
  <c r="L36" s="1"/>
  <c r="L37" s="1"/>
  <c r="L38" s="1"/>
  <c r="B20" i="3" s="1"/>
</calcChain>
</file>

<file path=xl/sharedStrings.xml><?xml version="1.0" encoding="utf-8"?>
<sst xmlns="http://schemas.openxmlformats.org/spreadsheetml/2006/main" count="38" uniqueCount="33">
  <si>
    <t>Data</t>
  </si>
  <si>
    <t>Venda</t>
  </si>
  <si>
    <t>ACOMPANHAMENTO DIÁRIO DE VENDAS</t>
  </si>
  <si>
    <t>Projetado</t>
  </si>
  <si>
    <t>Total</t>
  </si>
  <si>
    <t>Acumulado</t>
  </si>
  <si>
    <t>Planejamento Futuro</t>
  </si>
  <si>
    <t>Diferença</t>
  </si>
  <si>
    <t>Mês / Ano</t>
  </si>
  <si>
    <t>Tendência</t>
  </si>
  <si>
    <t>Vendedor</t>
  </si>
  <si>
    <t>João da Silva</t>
  </si>
  <si>
    <t>Real</t>
  </si>
  <si>
    <t>Projetada</t>
  </si>
  <si>
    <t>Meta Mensal</t>
  </si>
  <si>
    <t>Venda Real</t>
  </si>
  <si>
    <t>Venda Projetada</t>
  </si>
  <si>
    <t>Clientes Abordados</t>
  </si>
  <si>
    <t>Taxa de Conversão</t>
  </si>
  <si>
    <t>Vendas Fechadas</t>
  </si>
  <si>
    <t>Abaixo segue uma explicação sobre o funcionamento da planilha de propescção e como nossa planilha pode ajudar o seu negócio.</t>
  </si>
  <si>
    <r>
      <t>Qualquer dúvida entre em contato pelo e-mail:</t>
    </r>
    <r>
      <rPr>
        <b/>
        <sz val="11"/>
        <color indexed="8"/>
        <rFont val="Calibri"/>
        <family val="2"/>
      </rPr>
      <t xml:space="preserve">  </t>
    </r>
    <r>
      <rPr>
        <b/>
        <sz val="12"/>
        <color indexed="8"/>
        <rFont val="Calibri"/>
        <family val="2"/>
      </rPr>
      <t>contato@netplanilhas.com.br</t>
    </r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</si>
  <si>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</si>
  <si>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</si>
  <si>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</si>
  <si>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</si>
  <si>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</si>
  <si>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Você tem que lançar as vendas reais do dia a dia. A venda projetada e a diferença são calculadas automaticamente.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</si>
  <si>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</si>
  <si>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</si>
  <si>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</si>
  <si>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</si>
  <si>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Seja bem vindo a Planilha de Acompanhamento de Vendas da Net Planilhas.</t>
  </si>
</sst>
</file>

<file path=xl/styles.xml><?xml version="1.0" encoding="utf-8"?>
<styleSheet xmlns="http://schemas.openxmlformats.org/spreadsheetml/2006/main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\ \-\ [$-416]ddd"/>
    <numFmt numFmtId="165" formatCode="mmmm/yy"/>
    <numFmt numFmtId="166" formatCode="#,##0.00_ ;[Red]\-#,##0.00\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NumberFormat="1"/>
    <xf numFmtId="0" fontId="3" fillId="3" borderId="4" xfId="0" applyFont="1" applyFill="1" applyBorder="1"/>
    <xf numFmtId="2" fontId="2" fillId="3" borderId="1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6" fillId="3" borderId="5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2" fontId="0" fillId="0" borderId="0" xfId="0" applyNumberFormat="1"/>
    <xf numFmtId="2" fontId="0" fillId="4" borderId="10" xfId="1" applyNumberFormat="1" applyFont="1" applyFill="1" applyBorder="1"/>
    <xf numFmtId="0" fontId="0" fillId="0" borderId="40" xfId="0" applyFill="1" applyBorder="1"/>
    <xf numFmtId="0" fontId="0" fillId="0" borderId="25" xfId="0" applyFill="1" applyBorder="1"/>
    <xf numFmtId="0" fontId="0" fillId="0" borderId="27" xfId="0" applyFill="1" applyBorder="1"/>
    <xf numFmtId="164" fontId="0" fillId="0" borderId="31" xfId="0" applyNumberFormat="1" applyBorder="1" applyAlignment="1">
      <alignment horizontal="left"/>
    </xf>
    <xf numFmtId="0" fontId="0" fillId="0" borderId="43" xfId="0" applyBorder="1"/>
    <xf numFmtId="0" fontId="0" fillId="0" borderId="40" xfId="0" applyNumberFormat="1" applyBorder="1"/>
    <xf numFmtId="0" fontId="0" fillId="0" borderId="42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left"/>
    </xf>
    <xf numFmtId="4" fontId="0" fillId="0" borderId="16" xfId="1" applyNumberFormat="1" applyFont="1" applyBorder="1" applyProtection="1">
      <protection locked="0"/>
    </xf>
    <xf numFmtId="4" fontId="0" fillId="0" borderId="18" xfId="1" applyNumberFormat="1" applyFont="1" applyBorder="1" applyProtection="1">
      <protection locked="0"/>
    </xf>
    <xf numFmtId="164" fontId="0" fillId="2" borderId="22" xfId="0" applyNumberFormat="1" applyFill="1" applyBorder="1" applyAlignment="1" applyProtection="1">
      <alignment horizontal="left"/>
      <protection hidden="1"/>
    </xf>
    <xf numFmtId="0" fontId="0" fillId="0" borderId="1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53" xfId="0" applyBorder="1" applyProtection="1">
      <protection locked="0"/>
    </xf>
    <xf numFmtId="164" fontId="0" fillId="2" borderId="7" xfId="0" applyNumberFormat="1" applyFill="1" applyBorder="1" applyAlignment="1" applyProtection="1">
      <alignment horizontal="left"/>
      <protection hidden="1"/>
    </xf>
    <xf numFmtId="4" fontId="0" fillId="0" borderId="1" xfId="1" applyNumberFormat="1" applyFont="1" applyBorder="1" applyProtection="1">
      <protection hidden="1"/>
    </xf>
    <xf numFmtId="4" fontId="9" fillId="5" borderId="8" xfId="1" applyNumberFormat="1" applyFont="1" applyFill="1" applyBorder="1" applyProtection="1">
      <protection hidden="1"/>
    </xf>
    <xf numFmtId="4" fontId="9" fillId="5" borderId="9" xfId="1" applyNumberFormat="1" applyFont="1" applyFill="1" applyBorder="1" applyProtection="1">
      <protection hidden="1"/>
    </xf>
    <xf numFmtId="43" fontId="0" fillId="0" borderId="16" xfId="0" applyNumberFormat="1" applyBorder="1" applyProtection="1">
      <protection hidden="1"/>
    </xf>
    <xf numFmtId="43" fontId="0" fillId="0" borderId="17" xfId="0" applyNumberFormat="1" applyBorder="1" applyProtection="1">
      <protection hidden="1"/>
    </xf>
    <xf numFmtId="43" fontId="0" fillId="0" borderId="18" xfId="0" applyNumberFormat="1" applyBorder="1" applyProtection="1">
      <protection hidden="1"/>
    </xf>
    <xf numFmtId="43" fontId="0" fillId="0" borderId="19" xfId="0" applyNumberFormat="1" applyBorder="1" applyProtection="1">
      <protection hidden="1"/>
    </xf>
    <xf numFmtId="4" fontId="0" fillId="0" borderId="16" xfId="0" applyNumberFormat="1" applyBorder="1" applyProtection="1">
      <protection hidden="1"/>
    </xf>
    <xf numFmtId="4" fontId="0" fillId="0" borderId="17" xfId="0" applyNumberFormat="1" applyBorder="1" applyProtection="1">
      <protection hidden="1"/>
    </xf>
    <xf numFmtId="4" fontId="0" fillId="0" borderId="18" xfId="0" applyNumberFormat="1" applyBorder="1" applyProtection="1">
      <protection hidden="1"/>
    </xf>
    <xf numFmtId="4" fontId="0" fillId="0" borderId="19" xfId="0" applyNumberFormat="1" applyBorder="1" applyProtection="1">
      <protection hidden="1"/>
    </xf>
    <xf numFmtId="10" fontId="0" fillId="0" borderId="17" xfId="0" applyNumberFormat="1" applyBorder="1" applyProtection="1">
      <protection hidden="1"/>
    </xf>
    <xf numFmtId="0" fontId="9" fillId="5" borderId="8" xfId="0" applyFont="1" applyFill="1" applyBorder="1" applyProtection="1">
      <protection hidden="1"/>
    </xf>
    <xf numFmtId="0" fontId="9" fillId="5" borderId="10" xfId="0" applyFont="1" applyFill="1" applyBorder="1" applyProtection="1">
      <protection hidden="1"/>
    </xf>
    <xf numFmtId="166" fontId="0" fillId="0" borderId="17" xfId="1" applyNumberFormat="1" applyFont="1" applyBorder="1" applyProtection="1">
      <protection hidden="1"/>
    </xf>
    <xf numFmtId="166" fontId="0" fillId="0" borderId="19" xfId="1" applyNumberFormat="1" applyFont="1" applyBorder="1" applyProtection="1">
      <protection hidden="1"/>
    </xf>
    <xf numFmtId="0" fontId="0" fillId="0" borderId="54" xfId="0" applyBorder="1" applyAlignment="1" applyProtection="1">
      <alignment wrapText="1"/>
      <protection hidden="1"/>
    </xf>
    <xf numFmtId="0" fontId="0" fillId="0" borderId="55" xfId="0" applyBorder="1" applyAlignment="1" applyProtection="1">
      <alignment wrapText="1"/>
      <protection hidden="1"/>
    </xf>
    <xf numFmtId="0" fontId="0" fillId="0" borderId="56" xfId="0" quotePrefix="1" applyBorder="1" applyAlignment="1" applyProtection="1">
      <alignment horizontal="left" wrapText="1"/>
      <protection hidden="1"/>
    </xf>
    <xf numFmtId="0" fontId="10" fillId="0" borderId="57" xfId="0" quotePrefix="1" applyFont="1" applyBorder="1" applyAlignment="1" applyProtection="1">
      <alignment horizontal="left" wrapText="1"/>
      <protection hidden="1"/>
    </xf>
    <xf numFmtId="0" fontId="0" fillId="0" borderId="58" xfId="0" applyBorder="1" applyAlignment="1" applyProtection="1">
      <alignment horizontal="right" wrapText="1"/>
      <protection hidden="1"/>
    </xf>
    <xf numFmtId="0" fontId="0" fillId="0" borderId="40" xfId="0" applyBorder="1" applyAlignment="1" applyProtection="1">
      <alignment wrapText="1"/>
      <protection hidden="1"/>
    </xf>
    <xf numFmtId="0" fontId="13" fillId="0" borderId="40" xfId="0" quotePrefix="1" applyFont="1" applyBorder="1" applyAlignment="1" applyProtection="1">
      <alignment horizontal="left" wrapText="1"/>
      <protection hidden="1"/>
    </xf>
    <xf numFmtId="0" fontId="0" fillId="0" borderId="40" xfId="0" applyBorder="1" applyAlignment="1">
      <alignment wrapText="1"/>
    </xf>
    <xf numFmtId="0" fontId="9" fillId="0" borderId="40" xfId="0" applyFont="1" applyBorder="1"/>
    <xf numFmtId="0" fontId="8" fillId="0" borderId="40" xfId="0" applyFont="1" applyBorder="1"/>
    <xf numFmtId="165" fontId="7" fillId="4" borderId="32" xfId="0" applyNumberFormat="1" applyFont="1" applyFill="1" applyBorder="1" applyAlignment="1" applyProtection="1">
      <alignment horizontal="center" vertical="center"/>
      <protection locked="0"/>
    </xf>
    <xf numFmtId="165" fontId="7" fillId="4" borderId="12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5" fillId="3" borderId="11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center" vertical="center" wrapText="1"/>
    </xf>
    <xf numFmtId="43" fontId="8" fillId="0" borderId="23" xfId="1" applyNumberFormat="1" applyFont="1" applyBorder="1" applyAlignment="1" applyProtection="1">
      <alignment horizontal="center"/>
      <protection locked="0"/>
    </xf>
    <xf numFmtId="43" fontId="8" fillId="0" borderId="12" xfId="1" applyNumberFormat="1" applyFont="1" applyBorder="1" applyAlignment="1" applyProtection="1">
      <alignment horizontal="center"/>
      <protection locked="0"/>
    </xf>
    <xf numFmtId="0" fontId="5" fillId="3" borderId="1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33CC"/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500" b="0"/>
            </a:pPr>
            <a:r>
              <a:rPr lang="pt-BR" sz="1500" b="0"/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</c:title>
    <c:plotArea>
      <c:layout>
        <c:manualLayout>
          <c:layoutTarget val="inner"/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ser>
          <c:idx val="0"/>
          <c:order val="0"/>
          <c:tx>
            <c:strRef>
              <c:f>Principal!$D$7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Principal!$D$8:$D$38</c:f>
              <c:numCache>
                <c:formatCode>#,##0.00</c:formatCode>
                <c:ptCount val="31"/>
                <c:pt idx="0">
                  <c:v>90</c:v>
                </c:pt>
                <c:pt idx="1">
                  <c:v>50</c:v>
                </c:pt>
                <c:pt idx="2">
                  <c:v>120</c:v>
                </c:pt>
                <c:pt idx="3">
                  <c:v>90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120</c:v>
                </c:pt>
                <c:pt idx="8">
                  <c:v>90</c:v>
                </c:pt>
                <c:pt idx="9">
                  <c:v>67</c:v>
                </c:pt>
                <c:pt idx="10">
                  <c:v>64.52</c:v>
                </c:pt>
                <c:pt idx="11">
                  <c:v>80</c:v>
                </c:pt>
                <c:pt idx="12">
                  <c:v>70</c:v>
                </c:pt>
              </c:numCache>
            </c:numRef>
          </c:val>
        </c:ser>
        <c:ser>
          <c:idx val="1"/>
          <c:order val="1"/>
          <c:tx>
            <c:strRef>
              <c:f>Principal!$E$7</c:f>
              <c:strCache>
                <c:ptCount val="1"/>
                <c:pt idx="0">
                  <c:v>Projetada</c:v>
                </c:pt>
              </c:strCache>
            </c:strRef>
          </c:tx>
          <c:val>
            <c:numRef>
              <c:f>Principal!$E$8:$E$38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</c:ser>
        <c:ser>
          <c:idx val="2"/>
          <c:order val="2"/>
          <c:tx>
            <c:strRef>
              <c:f>Principal!$B$6</c:f>
              <c:strCache>
                <c:ptCount val="1"/>
                <c:pt idx="0">
                  <c:v>Data</c:v>
                </c:pt>
              </c:strCache>
            </c:strRef>
          </c:tx>
          <c:val>
            <c:numRef>
              <c:f>Principal!$B$7</c:f>
              <c:numCache>
                <c:formatCode>General</c:formatCode>
                <c:ptCount val="1"/>
              </c:numCache>
            </c:numRef>
          </c:val>
        </c:ser>
        <c:marker val="1"/>
        <c:axId val="57726848"/>
        <c:axId val="57728384"/>
      </c:lineChart>
      <c:catAx>
        <c:axId val="57726848"/>
        <c:scaling>
          <c:orientation val="minMax"/>
        </c:scaling>
        <c:axPos val="b"/>
        <c:majorTickMark val="none"/>
        <c:tickLblPos val="nextTo"/>
        <c:crossAx val="57728384"/>
        <c:crosses val="autoZero"/>
        <c:auto val="1"/>
        <c:lblAlgn val="ctr"/>
        <c:lblOffset val="100"/>
      </c:catAx>
      <c:valAx>
        <c:axId val="5772838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57726848"/>
        <c:crosses val="autoZero"/>
        <c:crossBetween val="between"/>
      </c:valAx>
    </c:plotArea>
    <c:legend>
      <c:legendPos val="r"/>
      <c:legendEntry>
        <c:idx val="2"/>
        <c:delete val="1"/>
      </c:legendEntry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500" b="0"/>
            </a:pPr>
            <a:r>
              <a:rPr lang="pt-BR" sz="1500" b="0"/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</c:title>
    <c:plotArea>
      <c:layout>
        <c:manualLayout>
          <c:layoutTarget val="inner"/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ser>
          <c:idx val="0"/>
          <c:order val="0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1021.52</c:v>
                </c:pt>
                <c:pt idx="1">
                  <c:v>1999.9999999999998</c:v>
                </c:pt>
                <c:pt idx="2">
                  <c:v>2182.8103225806449</c:v>
                </c:pt>
              </c:numCache>
            </c:numRef>
          </c:val>
        </c:ser>
        <c:axId val="57843712"/>
        <c:axId val="57845248"/>
      </c:barChart>
      <c:catAx>
        <c:axId val="57843712"/>
        <c:scaling>
          <c:orientation val="minMax"/>
        </c:scaling>
        <c:axPos val="b"/>
        <c:majorTickMark val="none"/>
        <c:tickLblPos val="nextTo"/>
        <c:crossAx val="57845248"/>
        <c:crosses val="autoZero"/>
        <c:auto val="1"/>
        <c:lblAlgn val="ctr"/>
        <c:lblOffset val="100"/>
      </c:catAx>
      <c:valAx>
        <c:axId val="578452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784371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10</xdr:row>
      <xdr:rowOff>9527</xdr:rowOff>
    </xdr:from>
    <xdr:to>
      <xdr:col>1</xdr:col>
      <xdr:colOff>6381750</xdr:colOff>
      <xdr:row>26</xdr:row>
      <xdr:rowOff>70145</xdr:rowOff>
    </xdr:to>
    <xdr:pic>
      <xdr:nvPicPr>
        <xdr:cNvPr id="3" name="Picture 2" descr="img1_grande_model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6325" y="2333627"/>
          <a:ext cx="5534025" cy="3108618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30</xdr:row>
      <xdr:rowOff>73667</xdr:rowOff>
    </xdr:from>
    <xdr:to>
      <xdr:col>1</xdr:col>
      <xdr:colOff>6400801</xdr:colOff>
      <xdr:row>32</xdr:row>
      <xdr:rowOff>154848</xdr:rowOff>
    </xdr:to>
    <xdr:pic>
      <xdr:nvPicPr>
        <xdr:cNvPr id="4" name="Picture 3" descr="img1_top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6207767"/>
          <a:ext cx="5553076" cy="462181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36</xdr:row>
      <xdr:rowOff>161924</xdr:rowOff>
    </xdr:from>
    <xdr:to>
      <xdr:col>1</xdr:col>
      <xdr:colOff>3135938</xdr:colOff>
      <xdr:row>45</xdr:row>
      <xdr:rowOff>95249</xdr:rowOff>
    </xdr:to>
    <xdr:pic>
      <xdr:nvPicPr>
        <xdr:cNvPr id="5" name="Picture 4" descr="img2_venda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76325" y="7458074"/>
          <a:ext cx="2288213" cy="164782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819149</xdr:colOff>
      <xdr:row>49</xdr:row>
      <xdr:rowOff>123824</xdr:rowOff>
    </xdr:from>
    <xdr:to>
      <xdr:col>1</xdr:col>
      <xdr:colOff>2429462</xdr:colOff>
      <xdr:row>58</xdr:row>
      <xdr:rowOff>142875</xdr:rowOff>
    </xdr:to>
    <xdr:pic>
      <xdr:nvPicPr>
        <xdr:cNvPr id="6" name="Picture 5" descr="img3_acumulado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7749" y="9905999"/>
          <a:ext cx="1610313" cy="1733551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62</xdr:row>
      <xdr:rowOff>152400</xdr:rowOff>
    </xdr:from>
    <xdr:to>
      <xdr:col>1</xdr:col>
      <xdr:colOff>2419350</xdr:colOff>
      <xdr:row>72</xdr:row>
      <xdr:rowOff>21334</xdr:rowOff>
    </xdr:to>
    <xdr:pic>
      <xdr:nvPicPr>
        <xdr:cNvPr id="7" name="Picture 6" descr="img4_planejamento_tendencia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00125" y="12601575"/>
          <a:ext cx="1647825" cy="1773934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76</xdr:row>
      <xdr:rowOff>0</xdr:rowOff>
    </xdr:from>
    <xdr:to>
      <xdr:col>1</xdr:col>
      <xdr:colOff>3105476</xdr:colOff>
      <xdr:row>86</xdr:row>
      <xdr:rowOff>105056</xdr:rowOff>
    </xdr:to>
    <xdr:pic>
      <xdr:nvPicPr>
        <xdr:cNvPr id="8" name="Picture 7" descr="img5_convers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0125" y="15497175"/>
          <a:ext cx="2333951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28573</xdr:rowOff>
    </xdr:from>
    <xdr:to>
      <xdr:col>15</xdr:col>
      <xdr:colOff>600075</xdr:colOff>
      <xdr:row>13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14</xdr:row>
      <xdr:rowOff>47625</xdr:rowOff>
    </xdr:from>
    <xdr:to>
      <xdr:col>6</xdr:col>
      <xdr:colOff>1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4"/>
  <sheetViews>
    <sheetView tabSelected="1" workbookViewId="0"/>
  </sheetViews>
  <sheetFormatPr defaultColWidth="0" defaultRowHeight="15"/>
  <cols>
    <col min="1" max="1" width="3.42578125" customWidth="1"/>
    <col min="2" max="2" width="125" customWidth="1"/>
    <col min="3" max="3" width="4.28515625" customWidth="1"/>
    <col min="4" max="16384" width="9.140625" hidden="1"/>
  </cols>
  <sheetData>
    <row r="1" spans="1:3">
      <c r="A1" s="7"/>
      <c r="B1" s="67"/>
      <c r="C1" s="7"/>
    </row>
    <row r="2" spans="1:3">
      <c r="A2" s="9"/>
      <c r="B2" s="68" t="s">
        <v>32</v>
      </c>
      <c r="C2" s="9"/>
    </row>
    <row r="3" spans="1:3">
      <c r="A3" s="9"/>
      <c r="B3" s="69" t="s">
        <v>20</v>
      </c>
      <c r="C3" s="9"/>
    </row>
    <row r="4" spans="1:3" ht="15.75">
      <c r="A4" s="9"/>
      <c r="B4" s="70" t="s">
        <v>21</v>
      </c>
      <c r="C4" s="9"/>
    </row>
    <row r="5" spans="1:3">
      <c r="A5" s="9"/>
      <c r="B5" s="71" t="s">
        <v>22</v>
      </c>
      <c r="C5" s="9"/>
    </row>
    <row r="6" spans="1:3">
      <c r="A6" s="22"/>
      <c r="B6" s="72"/>
      <c r="C6" s="22"/>
    </row>
    <row r="7" spans="1:3" ht="17.25">
      <c r="A7" s="22"/>
      <c r="B7" s="73" t="s">
        <v>23</v>
      </c>
      <c r="C7" s="22"/>
    </row>
    <row r="8" spans="1:3">
      <c r="A8" s="22"/>
      <c r="B8" s="22"/>
      <c r="C8" s="22"/>
    </row>
    <row r="9" spans="1:3" ht="45">
      <c r="A9" s="22"/>
      <c r="B9" s="74" t="s">
        <v>24</v>
      </c>
      <c r="C9" s="22"/>
    </row>
    <row r="10" spans="1:3">
      <c r="A10" s="22"/>
      <c r="B10" s="22"/>
      <c r="C10" s="22"/>
    </row>
    <row r="11" spans="1:3">
      <c r="A11" s="22"/>
      <c r="B11" s="75"/>
      <c r="C11" s="22"/>
    </row>
    <row r="12" spans="1:3">
      <c r="A12" s="22"/>
      <c r="B12" s="22"/>
      <c r="C12" s="22"/>
    </row>
    <row r="13" spans="1:3">
      <c r="A13" s="22"/>
      <c r="B13" s="22"/>
      <c r="C13" s="22"/>
    </row>
    <row r="14" spans="1:3">
      <c r="A14" s="22"/>
      <c r="B14" s="22"/>
      <c r="C14" s="22"/>
    </row>
    <row r="15" spans="1:3">
      <c r="A15" s="22"/>
      <c r="B15" s="22"/>
      <c r="C15" s="22"/>
    </row>
    <row r="16" spans="1:3">
      <c r="A16" s="22"/>
      <c r="B16" s="22"/>
      <c r="C16" s="22"/>
    </row>
    <row r="17" spans="1:3">
      <c r="A17" s="22"/>
      <c r="B17" s="22"/>
      <c r="C17" s="22"/>
    </row>
    <row r="18" spans="1:3">
      <c r="A18" s="22"/>
      <c r="B18" s="22"/>
      <c r="C18" s="22"/>
    </row>
    <row r="19" spans="1:3">
      <c r="A19" s="22"/>
      <c r="B19" s="22"/>
      <c r="C19" s="22"/>
    </row>
    <row r="20" spans="1:3">
      <c r="A20" s="22"/>
      <c r="B20" s="22"/>
      <c r="C20" s="22"/>
    </row>
    <row r="21" spans="1:3">
      <c r="A21" s="22"/>
      <c r="B21" s="22"/>
      <c r="C21" s="22"/>
    </row>
    <row r="22" spans="1:3">
      <c r="A22" s="22"/>
      <c r="B22" s="22"/>
      <c r="C22" s="22"/>
    </row>
    <row r="23" spans="1:3">
      <c r="A23" s="22"/>
      <c r="B23" s="22"/>
      <c r="C23" s="22"/>
    </row>
    <row r="24" spans="1:3">
      <c r="A24" s="22"/>
      <c r="B24" s="22"/>
      <c r="C24" s="22"/>
    </row>
    <row r="25" spans="1:3">
      <c r="A25" s="22"/>
      <c r="B25" s="22"/>
      <c r="C25" s="22"/>
    </row>
    <row r="26" spans="1:3">
      <c r="A26" s="22"/>
      <c r="B26" s="22"/>
      <c r="C26" s="22"/>
    </row>
    <row r="27" spans="1:3">
      <c r="A27" s="22"/>
      <c r="B27" s="22"/>
      <c r="C27" s="22"/>
    </row>
    <row r="28" spans="1:3" ht="15.75">
      <c r="A28" s="22"/>
      <c r="B28" s="76" t="s">
        <v>25</v>
      </c>
      <c r="C28" s="22"/>
    </row>
    <row r="29" spans="1:3">
      <c r="A29" s="22"/>
      <c r="B29" s="22" t="s">
        <v>26</v>
      </c>
      <c r="C29" s="22"/>
    </row>
    <row r="30" spans="1:3">
      <c r="A30" s="22"/>
      <c r="B30" s="22"/>
      <c r="C30" s="22"/>
    </row>
    <row r="31" spans="1:3">
      <c r="A31" s="22"/>
      <c r="B31" s="22"/>
      <c r="C31" s="22"/>
    </row>
    <row r="32" spans="1:3">
      <c r="A32" s="22"/>
      <c r="B32" s="22"/>
      <c r="C32" s="22"/>
    </row>
    <row r="33" spans="1:3">
      <c r="A33" s="22"/>
      <c r="B33" s="22"/>
      <c r="C33" s="22"/>
    </row>
    <row r="34" spans="1:3">
      <c r="A34" s="22"/>
      <c r="B34" s="22"/>
      <c r="C34" s="22"/>
    </row>
    <row r="35" spans="1:3" ht="15.75">
      <c r="A35" s="22"/>
      <c r="B35" s="76" t="s">
        <v>1</v>
      </c>
      <c r="C35" s="22"/>
    </row>
    <row r="36" spans="1:3">
      <c r="A36" s="22"/>
      <c r="B36" s="22" t="s">
        <v>27</v>
      </c>
      <c r="C36" s="22"/>
    </row>
    <row r="37" spans="1:3">
      <c r="A37" s="22"/>
      <c r="B37" s="22"/>
      <c r="C37" s="22"/>
    </row>
    <row r="38" spans="1:3">
      <c r="A38" s="22"/>
      <c r="B38" s="22"/>
      <c r="C38" s="22"/>
    </row>
    <row r="39" spans="1:3">
      <c r="A39" s="22"/>
      <c r="B39" s="22"/>
      <c r="C39" s="22"/>
    </row>
    <row r="40" spans="1:3">
      <c r="A40" s="22"/>
      <c r="B40" s="22"/>
      <c r="C40" s="22"/>
    </row>
    <row r="41" spans="1:3">
      <c r="A41" s="22"/>
      <c r="B41" s="22"/>
      <c r="C41" s="22"/>
    </row>
    <row r="42" spans="1:3">
      <c r="A42" s="22"/>
      <c r="B42" s="22"/>
      <c r="C42" s="22"/>
    </row>
    <row r="43" spans="1:3">
      <c r="A43" s="22"/>
      <c r="B43" s="22"/>
      <c r="C43" s="22"/>
    </row>
    <row r="44" spans="1:3">
      <c r="A44" s="22"/>
      <c r="B44" s="22"/>
      <c r="C44" s="22"/>
    </row>
    <row r="45" spans="1:3">
      <c r="A45" s="22"/>
      <c r="B45" s="22"/>
      <c r="C45" s="22"/>
    </row>
    <row r="46" spans="1:3">
      <c r="A46" s="22"/>
      <c r="B46" s="22"/>
      <c r="C46" s="22"/>
    </row>
    <row r="47" spans="1:3">
      <c r="A47" s="22"/>
      <c r="B47" s="22"/>
      <c r="C47" s="22"/>
    </row>
    <row r="48" spans="1:3" ht="15.75">
      <c r="A48" s="22"/>
      <c r="B48" s="76" t="s">
        <v>5</v>
      </c>
      <c r="C48" s="22"/>
    </row>
    <row r="49" spans="1:3" ht="30">
      <c r="A49" s="22"/>
      <c r="B49" s="74" t="s">
        <v>28</v>
      </c>
      <c r="C49" s="22"/>
    </row>
    <row r="50" spans="1:3">
      <c r="A50" s="22"/>
      <c r="B50" s="22"/>
      <c r="C50" s="22"/>
    </row>
    <row r="51" spans="1:3">
      <c r="A51" s="22"/>
      <c r="B51" s="22"/>
      <c r="C51" s="22"/>
    </row>
    <row r="52" spans="1:3">
      <c r="A52" s="22"/>
      <c r="B52" s="22"/>
      <c r="C52" s="22"/>
    </row>
    <row r="53" spans="1:3">
      <c r="A53" s="22"/>
      <c r="B53" s="22"/>
      <c r="C53" s="22"/>
    </row>
    <row r="54" spans="1:3">
      <c r="A54" s="22"/>
      <c r="B54" s="22"/>
      <c r="C54" s="22"/>
    </row>
    <row r="55" spans="1:3">
      <c r="A55" s="22"/>
      <c r="B55" s="22"/>
      <c r="C55" s="22"/>
    </row>
    <row r="56" spans="1:3">
      <c r="A56" s="22"/>
      <c r="B56" s="22"/>
      <c r="C56" s="22"/>
    </row>
    <row r="57" spans="1:3">
      <c r="A57" s="22"/>
      <c r="B57" s="22"/>
      <c r="C57" s="22"/>
    </row>
    <row r="58" spans="1:3">
      <c r="A58" s="22"/>
      <c r="B58" s="22"/>
      <c r="C58" s="22"/>
    </row>
    <row r="59" spans="1:3">
      <c r="A59" s="22"/>
      <c r="B59" s="22"/>
      <c r="C59" s="22"/>
    </row>
    <row r="60" spans="1:3">
      <c r="A60" s="22"/>
      <c r="B60" s="22"/>
      <c r="C60" s="22"/>
    </row>
    <row r="61" spans="1:3" ht="15.75">
      <c r="A61" s="22"/>
      <c r="B61" s="76" t="s">
        <v>29</v>
      </c>
      <c r="C61" s="22"/>
    </row>
    <row r="62" spans="1:3" ht="45">
      <c r="A62" s="22"/>
      <c r="B62" s="74" t="s">
        <v>30</v>
      </c>
      <c r="C62" s="22"/>
    </row>
    <row r="63" spans="1:3">
      <c r="A63" s="22"/>
      <c r="B63" s="22"/>
      <c r="C63" s="22"/>
    </row>
    <row r="64" spans="1:3">
      <c r="A64" s="22"/>
      <c r="B64" s="22"/>
      <c r="C64" s="22"/>
    </row>
    <row r="65" spans="1:3">
      <c r="A65" s="22"/>
      <c r="B65" s="22"/>
      <c r="C65" s="22"/>
    </row>
    <row r="66" spans="1:3">
      <c r="A66" s="22"/>
      <c r="B66" s="22"/>
      <c r="C66" s="22"/>
    </row>
    <row r="67" spans="1:3">
      <c r="A67" s="22"/>
      <c r="B67" s="22"/>
      <c r="C67" s="22"/>
    </row>
    <row r="68" spans="1:3">
      <c r="A68" s="22"/>
      <c r="B68" s="22"/>
      <c r="C68" s="22"/>
    </row>
    <row r="69" spans="1:3">
      <c r="A69" s="22"/>
      <c r="B69" s="22"/>
      <c r="C69" s="22"/>
    </row>
    <row r="70" spans="1:3">
      <c r="A70" s="22"/>
      <c r="B70" s="22"/>
      <c r="C70" s="22"/>
    </row>
    <row r="71" spans="1:3">
      <c r="A71" s="22"/>
      <c r="B71" s="22"/>
      <c r="C71" s="22"/>
    </row>
    <row r="72" spans="1:3">
      <c r="A72" s="22"/>
      <c r="B72" s="22"/>
      <c r="C72" s="22"/>
    </row>
    <row r="73" spans="1:3">
      <c r="A73" s="22"/>
      <c r="B73" s="22"/>
      <c r="C73" s="22"/>
    </row>
    <row r="74" spans="1:3" ht="15.75">
      <c r="A74" s="22"/>
      <c r="B74" s="76" t="s">
        <v>18</v>
      </c>
      <c r="C74" s="22"/>
    </row>
    <row r="75" spans="1:3" ht="60">
      <c r="A75" s="22"/>
      <c r="B75" s="74" t="s">
        <v>31</v>
      </c>
      <c r="C75" s="22"/>
    </row>
    <row r="76" spans="1:3">
      <c r="A76" s="22"/>
      <c r="B76" s="22"/>
      <c r="C76" s="22"/>
    </row>
    <row r="77" spans="1:3">
      <c r="A77" s="22"/>
      <c r="B77" s="22"/>
      <c r="C77" s="22"/>
    </row>
    <row r="78" spans="1:3">
      <c r="A78" s="22"/>
      <c r="B78" s="22"/>
      <c r="C78" s="22"/>
    </row>
    <row r="79" spans="1:3">
      <c r="A79" s="22"/>
      <c r="B79" s="22"/>
      <c r="C79" s="22"/>
    </row>
    <row r="80" spans="1:3">
      <c r="A80" s="22"/>
      <c r="B80" s="22"/>
      <c r="C80" s="22"/>
    </row>
    <row r="81" spans="1:3">
      <c r="A81" s="22"/>
      <c r="B81" s="22"/>
      <c r="C81" s="22"/>
    </row>
    <row r="82" spans="1:3">
      <c r="A82" s="22"/>
      <c r="B82" s="22"/>
      <c r="C82" s="22"/>
    </row>
    <row r="83" spans="1:3">
      <c r="A83" s="22"/>
      <c r="B83" s="22"/>
      <c r="C83" s="22"/>
    </row>
    <row r="84" spans="1:3">
      <c r="A84" s="22"/>
      <c r="B84" s="22"/>
      <c r="C84" s="22"/>
    </row>
    <row r="85" spans="1:3">
      <c r="A85" s="22"/>
      <c r="B85" s="22"/>
      <c r="C85" s="22"/>
    </row>
    <row r="86" spans="1:3">
      <c r="A86" s="22"/>
      <c r="B86" s="22"/>
      <c r="C86" s="22"/>
    </row>
    <row r="87" spans="1:3">
      <c r="A87" s="22"/>
      <c r="B87" s="22"/>
      <c r="C87" s="22"/>
    </row>
    <row r="88" spans="1:3">
      <c r="A88" s="22"/>
      <c r="B88" s="22"/>
      <c r="C88" s="22"/>
    </row>
    <row r="89" spans="1:3">
      <c r="A89" s="22"/>
      <c r="B89" s="22"/>
      <c r="C89" s="22"/>
    </row>
    <row r="90" spans="1:3">
      <c r="A90" s="22"/>
      <c r="B90" s="22"/>
      <c r="C90" s="22"/>
    </row>
    <row r="91" spans="1:3">
      <c r="A91" s="22"/>
      <c r="B91" s="22"/>
      <c r="C91" s="22"/>
    </row>
    <row r="92" spans="1:3">
      <c r="A92" s="22"/>
      <c r="B92" s="22"/>
      <c r="C92" s="22"/>
    </row>
    <row r="93" spans="1:3">
      <c r="A93" s="22"/>
      <c r="B93" s="22"/>
      <c r="C93" s="22"/>
    </row>
    <row r="94" spans="1:3">
      <c r="A94" s="22"/>
      <c r="B94" s="22"/>
      <c r="C94" s="22"/>
    </row>
    <row r="95" spans="1:3">
      <c r="A95" s="22"/>
      <c r="B95" s="22"/>
      <c r="C95" s="22"/>
    </row>
    <row r="96" spans="1:3">
      <c r="A96" s="22"/>
      <c r="B96" s="22"/>
      <c r="C96" s="22"/>
    </row>
    <row r="97" spans="1:3">
      <c r="A97" s="22"/>
      <c r="B97" s="22"/>
      <c r="C97" s="22"/>
    </row>
    <row r="98" spans="1:3">
      <c r="A98" s="22"/>
      <c r="B98" s="22"/>
      <c r="C98" s="22"/>
    </row>
    <row r="99" spans="1:3">
      <c r="A99" s="22"/>
      <c r="B99" s="22"/>
      <c r="C99" s="22"/>
    </row>
    <row r="100" spans="1:3">
      <c r="A100" s="22"/>
      <c r="B100" s="22"/>
      <c r="C100" s="22"/>
    </row>
    <row r="101" spans="1:3">
      <c r="A101" s="22"/>
      <c r="B101" s="22"/>
      <c r="C101" s="22"/>
    </row>
    <row r="102" spans="1:3">
      <c r="A102" s="22"/>
      <c r="B102" s="22"/>
      <c r="C102" s="22"/>
    </row>
    <row r="103" spans="1:3">
      <c r="A103" s="22"/>
      <c r="B103" s="22"/>
      <c r="C103" s="22"/>
    </row>
    <row r="104" spans="1:3">
      <c r="A104" s="22"/>
      <c r="B104" s="22"/>
      <c r="C104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4"/>
  <sheetViews>
    <sheetView workbookViewId="0">
      <selection activeCell="N5" sqref="N5"/>
    </sheetView>
  </sheetViews>
  <sheetFormatPr defaultRowHeight="15"/>
  <cols>
    <col min="1" max="1" width="0.85546875" customWidth="1"/>
    <col min="2" max="2" width="8.5703125" bestFit="1" customWidth="1"/>
    <col min="3" max="3" width="2.28515625" customWidth="1"/>
    <col min="4" max="6" width="13.85546875" customWidth="1"/>
    <col min="7" max="7" width="2.28515625" customWidth="1"/>
    <col min="8" max="9" width="13.85546875" customWidth="1"/>
    <col min="10" max="10" width="2.28515625" customWidth="1"/>
    <col min="11" max="12" width="13.85546875" customWidth="1"/>
    <col min="13" max="13" width="2.28515625" customWidth="1"/>
    <col min="14" max="16" width="11.5703125" customWidth="1"/>
  </cols>
  <sheetData>
    <row r="1" spans="1:20" ht="1.5" customHeight="1" thickBot="1"/>
    <row r="2" spans="1:20" ht="24" customHeight="1" thickBot="1">
      <c r="A2" s="7"/>
      <c r="B2" s="79" t="s">
        <v>2</v>
      </c>
      <c r="C2" s="80"/>
      <c r="D2" s="80"/>
      <c r="E2" s="80"/>
      <c r="F2" s="80"/>
      <c r="G2" s="80"/>
      <c r="H2" s="80"/>
      <c r="I2" s="80"/>
      <c r="J2" s="2"/>
      <c r="K2" s="14" t="s">
        <v>8</v>
      </c>
      <c r="L2" s="77">
        <v>40909</v>
      </c>
      <c r="M2" s="78"/>
      <c r="N2" s="21"/>
      <c r="O2" s="13"/>
      <c r="P2" s="22"/>
      <c r="Q2" s="22"/>
      <c r="R2" s="22"/>
      <c r="S2" s="27"/>
      <c r="T2" s="28"/>
    </row>
    <row r="3" spans="1:20" ht="6.75" customHeight="1" thickBot="1">
      <c r="A3" s="8"/>
      <c r="B3" s="6"/>
      <c r="C3" s="6"/>
      <c r="D3" s="6"/>
      <c r="E3" s="6"/>
      <c r="F3" s="6"/>
      <c r="G3" s="15"/>
      <c r="H3" s="16"/>
      <c r="I3" s="6"/>
      <c r="J3" s="6"/>
      <c r="K3" s="6"/>
      <c r="L3" s="6"/>
      <c r="M3" s="6"/>
      <c r="N3" s="22"/>
      <c r="O3" s="22"/>
      <c r="P3" s="22"/>
      <c r="Q3" s="22"/>
      <c r="R3" s="22"/>
      <c r="S3" s="27"/>
      <c r="T3" s="29"/>
    </row>
    <row r="4" spans="1:20" ht="18" customHeight="1" thickBot="1">
      <c r="A4" s="9"/>
      <c r="B4" s="83" t="s">
        <v>10</v>
      </c>
      <c r="C4" s="84"/>
      <c r="D4" s="81" t="s">
        <v>11</v>
      </c>
      <c r="E4" s="81"/>
      <c r="F4" s="82"/>
      <c r="G4" s="17"/>
      <c r="H4" s="18"/>
      <c r="I4" s="104" t="s">
        <v>14</v>
      </c>
      <c r="J4" s="105"/>
      <c r="K4" s="105"/>
      <c r="L4" s="102">
        <v>2000</v>
      </c>
      <c r="M4" s="103"/>
      <c r="N4" s="8"/>
      <c r="O4" s="22"/>
      <c r="P4" s="22"/>
      <c r="Q4" s="22"/>
      <c r="R4" s="22"/>
      <c r="S4" s="27"/>
      <c r="T4" s="29"/>
    </row>
    <row r="5" spans="1:20" ht="15.75" thickBot="1">
      <c r="A5" s="8"/>
      <c r="B5" s="6"/>
      <c r="C5" s="11"/>
      <c r="D5" s="6"/>
      <c r="E5" s="6"/>
      <c r="F5" s="6"/>
      <c r="G5" s="19"/>
      <c r="H5" s="20"/>
      <c r="I5" s="6"/>
      <c r="J5" s="13"/>
      <c r="K5" s="6"/>
      <c r="L5" s="6"/>
      <c r="M5" s="11"/>
      <c r="N5" s="24"/>
      <c r="O5" s="24"/>
      <c r="P5" s="6"/>
      <c r="Q5" s="23"/>
      <c r="R5" s="22"/>
      <c r="S5" s="22"/>
      <c r="T5" s="9"/>
    </row>
    <row r="6" spans="1:20" ht="15.75" customHeight="1" thickBot="1">
      <c r="A6" s="9"/>
      <c r="B6" s="87" t="s">
        <v>0</v>
      </c>
      <c r="C6" s="12"/>
      <c r="D6" s="91" t="s">
        <v>1</v>
      </c>
      <c r="E6" s="92"/>
      <c r="F6" s="93"/>
      <c r="G6" s="9"/>
      <c r="H6" s="85" t="s">
        <v>5</v>
      </c>
      <c r="I6" s="86"/>
      <c r="J6" s="9"/>
      <c r="K6" s="89" t="s">
        <v>6</v>
      </c>
      <c r="L6" s="94" t="s">
        <v>9</v>
      </c>
      <c r="M6" s="12"/>
      <c r="N6" s="96" t="s">
        <v>17</v>
      </c>
      <c r="O6" s="98" t="s">
        <v>19</v>
      </c>
      <c r="P6" s="100" t="s">
        <v>18</v>
      </c>
      <c r="Q6" s="9"/>
      <c r="R6" s="22"/>
      <c r="S6" s="22"/>
      <c r="T6" s="9"/>
    </row>
    <row r="7" spans="1:20" ht="15.75" thickBot="1">
      <c r="A7" s="9"/>
      <c r="B7" s="88"/>
      <c r="C7" s="12"/>
      <c r="D7" s="4" t="s">
        <v>12</v>
      </c>
      <c r="E7" s="3" t="s">
        <v>13</v>
      </c>
      <c r="F7" s="5" t="s">
        <v>7</v>
      </c>
      <c r="G7" s="9"/>
      <c r="H7" s="40" t="s">
        <v>12</v>
      </c>
      <c r="I7" s="41" t="s">
        <v>3</v>
      </c>
      <c r="J7" s="9"/>
      <c r="K7" s="90"/>
      <c r="L7" s="95"/>
      <c r="M7" s="12"/>
      <c r="N7" s="97"/>
      <c r="O7" s="99"/>
      <c r="P7" s="101"/>
      <c r="Q7" s="9"/>
      <c r="R7" s="22"/>
      <c r="S7" s="22"/>
      <c r="T7" s="9"/>
    </row>
    <row r="8" spans="1:20" ht="15.75" thickBot="1">
      <c r="A8" s="9"/>
      <c r="B8" s="45">
        <f>L2</f>
        <v>40909</v>
      </c>
      <c r="C8" s="12"/>
      <c r="D8" s="43">
        <v>90</v>
      </c>
      <c r="E8" s="51">
        <f>L$4/(COUNT(B$8:B$38))</f>
        <v>64.516129032258064</v>
      </c>
      <c r="F8" s="65">
        <f>IF(D8,D8-E8,"")</f>
        <v>25.483870967741936</v>
      </c>
      <c r="G8" s="9"/>
      <c r="H8" s="54">
        <f>D8</f>
        <v>90</v>
      </c>
      <c r="I8" s="55">
        <f>E8</f>
        <v>64.516129032258064</v>
      </c>
      <c r="J8" s="9"/>
      <c r="K8" s="58"/>
      <c r="L8" s="59">
        <f>D8</f>
        <v>90</v>
      </c>
      <c r="M8" s="12"/>
      <c r="N8" s="46">
        <v>10</v>
      </c>
      <c r="O8" s="47">
        <v>2</v>
      </c>
      <c r="P8" s="62">
        <f>(O8/N8)</f>
        <v>0.2</v>
      </c>
      <c r="Q8" s="9"/>
      <c r="R8" s="22"/>
      <c r="S8" s="22"/>
      <c r="T8" s="9"/>
    </row>
    <row r="9" spans="1:20" ht="15.75" thickBot="1">
      <c r="A9" s="9"/>
      <c r="B9" s="45">
        <f>L2+1</f>
        <v>40910</v>
      </c>
      <c r="C9" s="12"/>
      <c r="D9" s="43">
        <v>50</v>
      </c>
      <c r="E9" s="51">
        <f t="shared" ref="E9:E35" si="0">L$4/(COUNT(B$8:B$38))</f>
        <v>64.516129032258064</v>
      </c>
      <c r="F9" s="65">
        <f t="shared" ref="F9:F38" si="1">IF(D9,D9-E9,"")</f>
        <v>-14.516129032258064</v>
      </c>
      <c r="G9" s="9"/>
      <c r="H9" s="54">
        <f t="shared" ref="H9:I11" si="2">D9+H8</f>
        <v>140</v>
      </c>
      <c r="I9" s="55">
        <f t="shared" si="2"/>
        <v>129.03225806451613</v>
      </c>
      <c r="J9" s="9"/>
      <c r="K9" s="58" t="str">
        <f>IF(D9="",($E$39-H9)/(COUNT($B$8:$B$38)-COUNT($D$8:$D$38)),"")</f>
        <v/>
      </c>
      <c r="L9" s="59">
        <f>IF(D9="",L8+E9,L8+D9)</f>
        <v>140</v>
      </c>
      <c r="M9" s="12"/>
      <c r="N9" s="46">
        <v>3</v>
      </c>
      <c r="O9" s="47">
        <v>2</v>
      </c>
      <c r="P9" s="62">
        <f t="shared" ref="P9:P35" si="3">(O9/N9)</f>
        <v>0.66666666666666663</v>
      </c>
      <c r="Q9" s="9"/>
      <c r="R9" s="22"/>
      <c r="S9" s="22"/>
      <c r="T9" s="9"/>
    </row>
    <row r="10" spans="1:20" ht="15.75" thickBot="1">
      <c r="A10" s="9"/>
      <c r="B10" s="45">
        <f>L2+2</f>
        <v>40911</v>
      </c>
      <c r="C10" s="12"/>
      <c r="D10" s="43">
        <v>120</v>
      </c>
      <c r="E10" s="51">
        <f t="shared" si="0"/>
        <v>64.516129032258064</v>
      </c>
      <c r="F10" s="65">
        <f t="shared" si="1"/>
        <v>55.483870967741936</v>
      </c>
      <c r="G10" s="9"/>
      <c r="H10" s="54">
        <f t="shared" si="2"/>
        <v>260</v>
      </c>
      <c r="I10" s="55">
        <f t="shared" si="2"/>
        <v>193.54838709677421</v>
      </c>
      <c r="J10" s="9"/>
      <c r="K10" s="58" t="str">
        <f t="shared" ref="K10:K35" si="4">IF(D10="",($E$39-H10)/(COUNT($B$8:$B$38)-COUNT($D$8:$D$38)),"")</f>
        <v/>
      </c>
      <c r="L10" s="59">
        <f t="shared" ref="L10:L35" si="5">IF(D10="",L9+E10,L9+D10)</f>
        <v>260</v>
      </c>
      <c r="M10" s="12"/>
      <c r="N10" s="46">
        <v>20</v>
      </c>
      <c r="O10" s="47">
        <v>20</v>
      </c>
      <c r="P10" s="62">
        <f t="shared" si="3"/>
        <v>1</v>
      </c>
      <c r="Q10" s="9"/>
      <c r="R10" s="22"/>
      <c r="S10" s="22"/>
      <c r="T10" s="9"/>
    </row>
    <row r="11" spans="1:20" ht="15.75" thickBot="1">
      <c r="A11" s="9"/>
      <c r="B11" s="45">
        <f>L2+3</f>
        <v>40912</v>
      </c>
      <c r="C11" s="12"/>
      <c r="D11" s="43">
        <v>90</v>
      </c>
      <c r="E11" s="51">
        <f t="shared" si="0"/>
        <v>64.516129032258064</v>
      </c>
      <c r="F11" s="65">
        <f t="shared" si="1"/>
        <v>25.483870967741936</v>
      </c>
      <c r="G11" s="9"/>
      <c r="H11" s="54">
        <f t="shared" si="2"/>
        <v>350</v>
      </c>
      <c r="I11" s="55">
        <f t="shared" si="2"/>
        <v>258.06451612903226</v>
      </c>
      <c r="J11" s="9"/>
      <c r="K11" s="58" t="str">
        <f t="shared" si="4"/>
        <v/>
      </c>
      <c r="L11" s="59">
        <f t="shared" si="5"/>
        <v>350</v>
      </c>
      <c r="M11" s="12"/>
      <c r="N11" s="46">
        <v>5</v>
      </c>
      <c r="O11" s="47">
        <v>3</v>
      </c>
      <c r="P11" s="62">
        <f t="shared" si="3"/>
        <v>0.6</v>
      </c>
      <c r="Q11" s="9"/>
      <c r="R11" s="22"/>
      <c r="S11" s="22"/>
      <c r="T11" s="9"/>
    </row>
    <row r="12" spans="1:20" ht="15.75" thickBot="1">
      <c r="A12" s="9"/>
      <c r="B12" s="45">
        <f>L2+4</f>
        <v>40913</v>
      </c>
      <c r="C12" s="12"/>
      <c r="D12" s="43">
        <v>50</v>
      </c>
      <c r="E12" s="51">
        <f t="shared" si="0"/>
        <v>64.516129032258064</v>
      </c>
      <c r="F12" s="65">
        <f>IF(D12,D12-E12,"")</f>
        <v>-14.516129032258064</v>
      </c>
      <c r="G12" s="9"/>
      <c r="H12" s="54">
        <f t="shared" ref="H12:H35" si="6">D12+H11</f>
        <v>400</v>
      </c>
      <c r="I12" s="55">
        <f>E12+I11</f>
        <v>322.58064516129031</v>
      </c>
      <c r="J12" s="9"/>
      <c r="K12" s="58" t="str">
        <f t="shared" si="4"/>
        <v/>
      </c>
      <c r="L12" s="59">
        <f>IF(D12="",L11+E12,L11+D12)</f>
        <v>400</v>
      </c>
      <c r="M12" s="12"/>
      <c r="N12" s="46">
        <v>6</v>
      </c>
      <c r="O12" s="47">
        <v>3</v>
      </c>
      <c r="P12" s="62">
        <f t="shared" si="3"/>
        <v>0.5</v>
      </c>
      <c r="Q12" s="9"/>
      <c r="R12" s="22"/>
      <c r="S12" s="22"/>
      <c r="T12" s="9"/>
    </row>
    <row r="13" spans="1:20" ht="15.75" thickBot="1">
      <c r="A13" s="9"/>
      <c r="B13" s="45">
        <f>L2+5</f>
        <v>40914</v>
      </c>
      <c r="C13" s="12"/>
      <c r="D13" s="43">
        <v>70</v>
      </c>
      <c r="E13" s="51">
        <f t="shared" si="0"/>
        <v>64.516129032258064</v>
      </c>
      <c r="F13" s="65">
        <f t="shared" si="1"/>
        <v>5.4838709677419359</v>
      </c>
      <c r="G13" s="9"/>
      <c r="H13" s="54">
        <f t="shared" si="6"/>
        <v>470</v>
      </c>
      <c r="I13" s="55">
        <f t="shared" ref="I13:I35" si="7">E13+I12</f>
        <v>387.09677419354836</v>
      </c>
      <c r="J13" s="9"/>
      <c r="K13" s="58" t="str">
        <f t="shared" si="4"/>
        <v/>
      </c>
      <c r="L13" s="59">
        <f t="shared" si="5"/>
        <v>470</v>
      </c>
      <c r="M13" s="12"/>
      <c r="N13" s="46">
        <v>7</v>
      </c>
      <c r="O13" s="47">
        <v>4</v>
      </c>
      <c r="P13" s="62">
        <f t="shared" si="3"/>
        <v>0.5714285714285714</v>
      </c>
      <c r="Q13" s="9"/>
      <c r="R13" s="22"/>
      <c r="S13" s="22"/>
      <c r="T13" s="9"/>
    </row>
    <row r="14" spans="1:20" ht="15.75" thickBot="1">
      <c r="A14" s="9"/>
      <c r="B14" s="45">
        <f>L2+6</f>
        <v>40915</v>
      </c>
      <c r="C14" s="12"/>
      <c r="D14" s="43">
        <v>60</v>
      </c>
      <c r="E14" s="51">
        <f t="shared" si="0"/>
        <v>64.516129032258064</v>
      </c>
      <c r="F14" s="65">
        <f t="shared" si="1"/>
        <v>-4.5161290322580641</v>
      </c>
      <c r="G14" s="9"/>
      <c r="H14" s="54">
        <f t="shared" si="6"/>
        <v>530</v>
      </c>
      <c r="I14" s="55">
        <f t="shared" si="7"/>
        <v>451.61290322580641</v>
      </c>
      <c r="J14" s="9"/>
      <c r="K14" s="58" t="str">
        <f t="shared" si="4"/>
        <v/>
      </c>
      <c r="L14" s="59">
        <f t="shared" si="5"/>
        <v>530</v>
      </c>
      <c r="M14" s="12"/>
      <c r="N14" s="46">
        <v>9</v>
      </c>
      <c r="O14" s="47">
        <v>7</v>
      </c>
      <c r="P14" s="62">
        <f t="shared" si="3"/>
        <v>0.77777777777777779</v>
      </c>
      <c r="Q14" s="9"/>
      <c r="R14" s="22"/>
      <c r="S14" s="22"/>
      <c r="T14" s="9"/>
    </row>
    <row r="15" spans="1:20" ht="15.75" thickBot="1">
      <c r="A15" s="9"/>
      <c r="B15" s="45">
        <f>L2+7</f>
        <v>40916</v>
      </c>
      <c r="C15" s="12"/>
      <c r="D15" s="43">
        <v>120</v>
      </c>
      <c r="E15" s="51">
        <f t="shared" si="0"/>
        <v>64.516129032258064</v>
      </c>
      <c r="F15" s="65">
        <f t="shared" si="1"/>
        <v>55.483870967741936</v>
      </c>
      <c r="G15" s="9"/>
      <c r="H15" s="54">
        <f t="shared" si="6"/>
        <v>650</v>
      </c>
      <c r="I15" s="55">
        <f t="shared" si="7"/>
        <v>516.12903225806451</v>
      </c>
      <c r="J15" s="9"/>
      <c r="K15" s="58" t="str">
        <f t="shared" si="4"/>
        <v/>
      </c>
      <c r="L15" s="59">
        <f t="shared" si="5"/>
        <v>650</v>
      </c>
      <c r="M15" s="12"/>
      <c r="N15" s="46">
        <v>7</v>
      </c>
      <c r="O15" s="47">
        <v>5</v>
      </c>
      <c r="P15" s="62">
        <f t="shared" si="3"/>
        <v>0.7142857142857143</v>
      </c>
      <c r="Q15" s="9"/>
      <c r="R15" s="22"/>
      <c r="S15" s="22"/>
      <c r="T15" s="9"/>
    </row>
    <row r="16" spans="1:20" ht="15.75" thickBot="1">
      <c r="A16" s="9"/>
      <c r="B16" s="45">
        <f>L2+8</f>
        <v>40917</v>
      </c>
      <c r="C16" s="12"/>
      <c r="D16" s="43">
        <v>90</v>
      </c>
      <c r="E16" s="51">
        <f t="shared" si="0"/>
        <v>64.516129032258064</v>
      </c>
      <c r="F16" s="65">
        <f t="shared" si="1"/>
        <v>25.483870967741936</v>
      </c>
      <c r="G16" s="9"/>
      <c r="H16" s="54">
        <f t="shared" si="6"/>
        <v>740</v>
      </c>
      <c r="I16" s="55">
        <f t="shared" si="7"/>
        <v>580.64516129032256</v>
      </c>
      <c r="J16" s="9"/>
      <c r="K16" s="58" t="str">
        <f t="shared" si="4"/>
        <v/>
      </c>
      <c r="L16" s="59">
        <f t="shared" si="5"/>
        <v>740</v>
      </c>
      <c r="M16" s="12"/>
      <c r="N16" s="46">
        <v>5</v>
      </c>
      <c r="O16" s="47">
        <v>2</v>
      </c>
      <c r="P16" s="62">
        <f t="shared" si="3"/>
        <v>0.4</v>
      </c>
      <c r="Q16" s="9"/>
      <c r="R16" s="22"/>
      <c r="S16" s="22"/>
      <c r="T16" s="9"/>
    </row>
    <row r="17" spans="1:20" ht="15.75" thickBot="1">
      <c r="A17" s="9"/>
      <c r="B17" s="45">
        <f>L2+9</f>
        <v>40918</v>
      </c>
      <c r="C17" s="12"/>
      <c r="D17" s="43">
        <v>67</v>
      </c>
      <c r="E17" s="51">
        <f t="shared" si="0"/>
        <v>64.516129032258064</v>
      </c>
      <c r="F17" s="65">
        <f t="shared" si="1"/>
        <v>2.4838709677419359</v>
      </c>
      <c r="G17" s="9"/>
      <c r="H17" s="54">
        <f t="shared" si="6"/>
        <v>807</v>
      </c>
      <c r="I17" s="55">
        <f t="shared" si="7"/>
        <v>645.16129032258061</v>
      </c>
      <c r="J17" s="9"/>
      <c r="K17" s="58" t="str">
        <f t="shared" si="4"/>
        <v/>
      </c>
      <c r="L17" s="59">
        <f t="shared" si="5"/>
        <v>807</v>
      </c>
      <c r="M17" s="12"/>
      <c r="N17" s="46">
        <v>3</v>
      </c>
      <c r="O17" s="47">
        <v>1</v>
      </c>
      <c r="P17" s="62">
        <f t="shared" si="3"/>
        <v>0.33333333333333331</v>
      </c>
      <c r="Q17" s="9"/>
      <c r="R17" s="22"/>
      <c r="S17" s="22"/>
      <c r="T17" s="9"/>
    </row>
    <row r="18" spans="1:20" ht="15.75" thickBot="1">
      <c r="A18" s="9"/>
      <c r="B18" s="45">
        <f>L2+10</f>
        <v>40919</v>
      </c>
      <c r="C18" s="12"/>
      <c r="D18" s="43">
        <v>64.52</v>
      </c>
      <c r="E18" s="51">
        <f t="shared" si="0"/>
        <v>64.516129032258064</v>
      </c>
      <c r="F18" s="65">
        <f t="shared" si="1"/>
        <v>3.8709677419319632E-3</v>
      </c>
      <c r="G18" s="9"/>
      <c r="H18" s="54">
        <f t="shared" si="6"/>
        <v>871.52</v>
      </c>
      <c r="I18" s="55">
        <f t="shared" si="7"/>
        <v>709.67741935483866</v>
      </c>
      <c r="J18" s="9"/>
      <c r="K18" s="58" t="str">
        <f t="shared" si="4"/>
        <v/>
      </c>
      <c r="L18" s="59">
        <f t="shared" si="5"/>
        <v>871.52</v>
      </c>
      <c r="M18" s="12"/>
      <c r="N18" s="46">
        <v>13</v>
      </c>
      <c r="O18" s="47">
        <v>2</v>
      </c>
      <c r="P18" s="62">
        <f t="shared" si="3"/>
        <v>0.15384615384615385</v>
      </c>
      <c r="Q18" s="9"/>
      <c r="R18" s="22"/>
      <c r="S18" s="22"/>
      <c r="T18" s="9"/>
    </row>
    <row r="19" spans="1:20" ht="15.75" thickBot="1">
      <c r="A19" s="9"/>
      <c r="B19" s="45">
        <f>L2+11</f>
        <v>40920</v>
      </c>
      <c r="C19" s="12"/>
      <c r="D19" s="43">
        <v>80</v>
      </c>
      <c r="E19" s="51">
        <f t="shared" si="0"/>
        <v>64.516129032258064</v>
      </c>
      <c r="F19" s="65">
        <f t="shared" si="1"/>
        <v>15.483870967741936</v>
      </c>
      <c r="G19" s="9"/>
      <c r="H19" s="54">
        <f t="shared" si="6"/>
        <v>951.52</v>
      </c>
      <c r="I19" s="55">
        <f t="shared" si="7"/>
        <v>774.19354838709671</v>
      </c>
      <c r="J19" s="9"/>
      <c r="K19" s="58" t="str">
        <f t="shared" si="4"/>
        <v/>
      </c>
      <c r="L19" s="59">
        <f t="shared" si="5"/>
        <v>951.52</v>
      </c>
      <c r="M19" s="12"/>
      <c r="N19" s="46">
        <v>25</v>
      </c>
      <c r="O19" s="47">
        <v>14</v>
      </c>
      <c r="P19" s="62">
        <f t="shared" si="3"/>
        <v>0.56000000000000005</v>
      </c>
      <c r="Q19" s="9"/>
      <c r="R19" s="22"/>
      <c r="S19" s="22"/>
      <c r="T19" s="9"/>
    </row>
    <row r="20" spans="1:20" ht="15.75" thickBot="1">
      <c r="A20" s="9"/>
      <c r="B20" s="45">
        <f>L2+12</f>
        <v>40921</v>
      </c>
      <c r="C20" s="12"/>
      <c r="D20" s="43">
        <v>70</v>
      </c>
      <c r="E20" s="51">
        <f t="shared" si="0"/>
        <v>64.516129032258064</v>
      </c>
      <c r="F20" s="65">
        <f t="shared" si="1"/>
        <v>5.4838709677419359</v>
      </c>
      <c r="G20" s="9"/>
      <c r="H20" s="54">
        <f t="shared" si="6"/>
        <v>1021.52</v>
      </c>
      <c r="I20" s="55">
        <f t="shared" si="7"/>
        <v>838.70967741935476</v>
      </c>
      <c r="J20" s="9"/>
      <c r="K20" s="58" t="str">
        <f t="shared" si="4"/>
        <v/>
      </c>
      <c r="L20" s="59">
        <f t="shared" si="5"/>
        <v>1021.52</v>
      </c>
      <c r="M20" s="12"/>
      <c r="N20" s="46">
        <v>8</v>
      </c>
      <c r="O20" s="47">
        <v>5</v>
      </c>
      <c r="P20" s="62">
        <f t="shared" si="3"/>
        <v>0.625</v>
      </c>
      <c r="Q20" s="9"/>
      <c r="R20" s="22"/>
      <c r="S20" s="22"/>
      <c r="T20" s="9"/>
    </row>
    <row r="21" spans="1:20" ht="15.75" thickBot="1">
      <c r="A21" s="9"/>
      <c r="B21" s="45">
        <f>L2+13</f>
        <v>40922</v>
      </c>
      <c r="C21" s="12"/>
      <c r="D21" s="43"/>
      <c r="E21" s="51">
        <f t="shared" si="0"/>
        <v>64.516129032258064</v>
      </c>
      <c r="F21" s="65" t="str">
        <f t="shared" si="1"/>
        <v/>
      </c>
      <c r="G21" s="9"/>
      <c r="H21" s="54">
        <f t="shared" si="6"/>
        <v>1021.52</v>
      </c>
      <c r="I21" s="55">
        <f t="shared" si="7"/>
        <v>903.22580645161281</v>
      </c>
      <c r="J21" s="9"/>
      <c r="K21" s="58">
        <f t="shared" si="4"/>
        <v>54.359999999999985</v>
      </c>
      <c r="L21" s="59">
        <f t="shared" si="5"/>
        <v>1086.036129032258</v>
      </c>
      <c r="M21" s="12"/>
      <c r="N21" s="46">
        <v>6</v>
      </c>
      <c r="O21" s="47">
        <v>3</v>
      </c>
      <c r="P21" s="62">
        <f t="shared" si="3"/>
        <v>0.5</v>
      </c>
      <c r="Q21" s="9"/>
      <c r="R21" s="22"/>
      <c r="S21" s="22"/>
      <c r="T21" s="9"/>
    </row>
    <row r="22" spans="1:20" ht="15.75" thickBot="1">
      <c r="A22" s="9"/>
      <c r="B22" s="45">
        <f>L2+14</f>
        <v>40923</v>
      </c>
      <c r="C22" s="12"/>
      <c r="D22" s="43"/>
      <c r="E22" s="51">
        <f t="shared" si="0"/>
        <v>64.516129032258064</v>
      </c>
      <c r="F22" s="65" t="str">
        <f t="shared" si="1"/>
        <v/>
      </c>
      <c r="G22" s="9"/>
      <c r="H22" s="54">
        <f t="shared" si="6"/>
        <v>1021.52</v>
      </c>
      <c r="I22" s="55">
        <f t="shared" si="7"/>
        <v>967.74193548387086</v>
      </c>
      <c r="J22" s="9"/>
      <c r="K22" s="58">
        <f t="shared" si="4"/>
        <v>54.359999999999985</v>
      </c>
      <c r="L22" s="59">
        <f t="shared" si="5"/>
        <v>1150.5522580645161</v>
      </c>
      <c r="M22" s="12"/>
      <c r="N22" s="46">
        <v>4</v>
      </c>
      <c r="O22" s="47">
        <v>3</v>
      </c>
      <c r="P22" s="62">
        <f t="shared" si="3"/>
        <v>0.75</v>
      </c>
      <c r="Q22" s="9"/>
      <c r="R22" s="22"/>
      <c r="S22" s="22"/>
      <c r="T22" s="9"/>
    </row>
    <row r="23" spans="1:20" ht="15.75" thickBot="1">
      <c r="A23" s="9"/>
      <c r="B23" s="45">
        <f>L2+15</f>
        <v>40924</v>
      </c>
      <c r="C23" s="12"/>
      <c r="D23" s="43"/>
      <c r="E23" s="51">
        <f t="shared" si="0"/>
        <v>64.516129032258064</v>
      </c>
      <c r="F23" s="65" t="str">
        <f t="shared" si="1"/>
        <v/>
      </c>
      <c r="G23" s="9"/>
      <c r="H23" s="54">
        <f t="shared" si="6"/>
        <v>1021.52</v>
      </c>
      <c r="I23" s="55">
        <f t="shared" si="7"/>
        <v>1032.258064516129</v>
      </c>
      <c r="J23" s="9"/>
      <c r="K23" s="58">
        <f t="shared" si="4"/>
        <v>54.359999999999985</v>
      </c>
      <c r="L23" s="59">
        <f t="shared" si="5"/>
        <v>1215.0683870967741</v>
      </c>
      <c r="M23" s="12"/>
      <c r="N23" s="46">
        <v>3</v>
      </c>
      <c r="O23" s="47">
        <v>2</v>
      </c>
      <c r="P23" s="62">
        <f t="shared" si="3"/>
        <v>0.66666666666666663</v>
      </c>
      <c r="Q23" s="9"/>
      <c r="R23" s="22"/>
      <c r="S23" s="22"/>
      <c r="T23" s="9"/>
    </row>
    <row r="24" spans="1:20" ht="15.75" thickBot="1">
      <c r="A24" s="9"/>
      <c r="B24" s="45">
        <f>L2+16</f>
        <v>40925</v>
      </c>
      <c r="C24" s="12"/>
      <c r="D24" s="43"/>
      <c r="E24" s="51">
        <f t="shared" si="0"/>
        <v>64.516129032258064</v>
      </c>
      <c r="F24" s="65" t="str">
        <f t="shared" si="1"/>
        <v/>
      </c>
      <c r="G24" s="9"/>
      <c r="H24" s="54">
        <f t="shared" si="6"/>
        <v>1021.52</v>
      </c>
      <c r="I24" s="55">
        <f t="shared" si="7"/>
        <v>1096.7741935483871</v>
      </c>
      <c r="J24" s="9"/>
      <c r="K24" s="58">
        <f t="shared" si="4"/>
        <v>54.359999999999985</v>
      </c>
      <c r="L24" s="59">
        <f t="shared" si="5"/>
        <v>1279.5845161290322</v>
      </c>
      <c r="M24" s="12"/>
      <c r="N24" s="46">
        <v>7</v>
      </c>
      <c r="O24" s="47">
        <v>3</v>
      </c>
      <c r="P24" s="62">
        <f t="shared" si="3"/>
        <v>0.42857142857142855</v>
      </c>
      <c r="Q24" s="9"/>
      <c r="R24" s="22"/>
      <c r="S24" s="22"/>
      <c r="T24" s="9"/>
    </row>
    <row r="25" spans="1:20" ht="15.75" thickBot="1">
      <c r="A25" s="9"/>
      <c r="B25" s="45">
        <f>L2+17</f>
        <v>40926</v>
      </c>
      <c r="C25" s="12"/>
      <c r="D25" s="43"/>
      <c r="E25" s="51">
        <f t="shared" si="0"/>
        <v>64.516129032258064</v>
      </c>
      <c r="F25" s="65" t="str">
        <f t="shared" si="1"/>
        <v/>
      </c>
      <c r="G25" s="9"/>
      <c r="H25" s="54">
        <f t="shared" si="6"/>
        <v>1021.52</v>
      </c>
      <c r="I25" s="55">
        <f t="shared" si="7"/>
        <v>1161.2903225806451</v>
      </c>
      <c r="J25" s="9"/>
      <c r="K25" s="58">
        <f t="shared" si="4"/>
        <v>54.359999999999985</v>
      </c>
      <c r="L25" s="59">
        <f t="shared" si="5"/>
        <v>1344.1006451612902</v>
      </c>
      <c r="M25" s="12"/>
      <c r="N25" s="46">
        <v>8</v>
      </c>
      <c r="O25" s="47">
        <v>5</v>
      </c>
      <c r="P25" s="62">
        <f t="shared" si="3"/>
        <v>0.625</v>
      </c>
      <c r="Q25" s="9"/>
      <c r="R25" s="22"/>
      <c r="S25" s="22"/>
      <c r="T25" s="9"/>
    </row>
    <row r="26" spans="1:20" ht="15.75" thickBot="1">
      <c r="A26" s="9"/>
      <c r="B26" s="45">
        <f>L2+18</f>
        <v>40927</v>
      </c>
      <c r="C26" s="12"/>
      <c r="D26" s="43"/>
      <c r="E26" s="51">
        <f t="shared" si="0"/>
        <v>64.516129032258064</v>
      </c>
      <c r="F26" s="65" t="str">
        <f t="shared" si="1"/>
        <v/>
      </c>
      <c r="G26" s="9"/>
      <c r="H26" s="54">
        <f t="shared" si="6"/>
        <v>1021.52</v>
      </c>
      <c r="I26" s="55">
        <f t="shared" si="7"/>
        <v>1225.8064516129032</v>
      </c>
      <c r="J26" s="9"/>
      <c r="K26" s="58">
        <f t="shared" si="4"/>
        <v>54.359999999999985</v>
      </c>
      <c r="L26" s="59">
        <f t="shared" si="5"/>
        <v>1408.6167741935483</v>
      </c>
      <c r="M26" s="12"/>
      <c r="N26" s="46">
        <v>9</v>
      </c>
      <c r="O26" s="47">
        <v>6</v>
      </c>
      <c r="P26" s="62">
        <f t="shared" si="3"/>
        <v>0.66666666666666663</v>
      </c>
      <c r="Q26" s="9"/>
      <c r="R26" s="22"/>
      <c r="S26" s="22"/>
      <c r="T26" s="9"/>
    </row>
    <row r="27" spans="1:20" ht="15.75" thickBot="1">
      <c r="A27" s="9"/>
      <c r="B27" s="45">
        <f>L2+19</f>
        <v>40928</v>
      </c>
      <c r="C27" s="12"/>
      <c r="D27" s="43"/>
      <c r="E27" s="51">
        <f t="shared" si="0"/>
        <v>64.516129032258064</v>
      </c>
      <c r="F27" s="65" t="str">
        <f t="shared" si="1"/>
        <v/>
      </c>
      <c r="G27" s="9"/>
      <c r="H27" s="54">
        <f t="shared" si="6"/>
        <v>1021.52</v>
      </c>
      <c r="I27" s="55">
        <f t="shared" si="7"/>
        <v>1290.3225806451612</v>
      </c>
      <c r="J27" s="9"/>
      <c r="K27" s="58">
        <f t="shared" si="4"/>
        <v>54.359999999999985</v>
      </c>
      <c r="L27" s="59">
        <f t="shared" si="5"/>
        <v>1473.1329032258063</v>
      </c>
      <c r="M27" s="12"/>
      <c r="N27" s="46">
        <v>7</v>
      </c>
      <c r="O27" s="47">
        <v>4</v>
      </c>
      <c r="P27" s="62">
        <f t="shared" si="3"/>
        <v>0.5714285714285714</v>
      </c>
      <c r="Q27" s="9"/>
      <c r="R27" s="22"/>
      <c r="S27" s="22"/>
      <c r="T27" s="9"/>
    </row>
    <row r="28" spans="1:20" ht="15.75" thickBot="1">
      <c r="A28" s="9"/>
      <c r="B28" s="45">
        <f>L2+20</f>
        <v>40929</v>
      </c>
      <c r="C28" s="12"/>
      <c r="D28" s="43"/>
      <c r="E28" s="51">
        <f t="shared" si="0"/>
        <v>64.516129032258064</v>
      </c>
      <c r="F28" s="65" t="str">
        <f t="shared" si="1"/>
        <v/>
      </c>
      <c r="G28" s="9"/>
      <c r="H28" s="54">
        <f t="shared" si="6"/>
        <v>1021.52</v>
      </c>
      <c r="I28" s="55">
        <f t="shared" si="7"/>
        <v>1354.8387096774193</v>
      </c>
      <c r="J28" s="9"/>
      <c r="K28" s="58">
        <f t="shared" si="4"/>
        <v>54.359999999999985</v>
      </c>
      <c r="L28" s="59">
        <f t="shared" si="5"/>
        <v>1537.6490322580644</v>
      </c>
      <c r="M28" s="12"/>
      <c r="N28" s="46">
        <v>6</v>
      </c>
      <c r="O28" s="47">
        <v>5</v>
      </c>
      <c r="P28" s="62">
        <f t="shared" si="3"/>
        <v>0.83333333333333337</v>
      </c>
      <c r="Q28" s="9"/>
      <c r="R28" s="22"/>
      <c r="S28" s="22"/>
      <c r="T28" s="9"/>
    </row>
    <row r="29" spans="1:20" ht="15.75" thickBot="1">
      <c r="A29" s="9"/>
      <c r="B29" s="45">
        <f>L2+21</f>
        <v>40930</v>
      </c>
      <c r="C29" s="12"/>
      <c r="D29" s="43"/>
      <c r="E29" s="51">
        <f t="shared" si="0"/>
        <v>64.516129032258064</v>
      </c>
      <c r="F29" s="65" t="str">
        <f t="shared" si="1"/>
        <v/>
      </c>
      <c r="G29" s="9"/>
      <c r="H29" s="54">
        <f t="shared" si="6"/>
        <v>1021.52</v>
      </c>
      <c r="I29" s="55">
        <f t="shared" si="7"/>
        <v>1419.3548387096773</v>
      </c>
      <c r="J29" s="9"/>
      <c r="K29" s="58">
        <f t="shared" si="4"/>
        <v>54.359999999999985</v>
      </c>
      <c r="L29" s="59">
        <f t="shared" si="5"/>
        <v>1602.1651612903224</v>
      </c>
      <c r="M29" s="12"/>
      <c r="N29" s="46">
        <v>8</v>
      </c>
      <c r="O29" s="47">
        <v>3</v>
      </c>
      <c r="P29" s="62">
        <f t="shared" si="3"/>
        <v>0.375</v>
      </c>
      <c r="Q29" s="9"/>
      <c r="R29" s="22"/>
      <c r="S29" s="22"/>
      <c r="T29" s="9"/>
    </row>
    <row r="30" spans="1:20" ht="15.75" thickBot="1">
      <c r="A30" s="9"/>
      <c r="B30" s="45">
        <f>L2+22</f>
        <v>40931</v>
      </c>
      <c r="C30" s="12"/>
      <c r="D30" s="43"/>
      <c r="E30" s="51">
        <f t="shared" si="0"/>
        <v>64.516129032258064</v>
      </c>
      <c r="F30" s="65" t="str">
        <f t="shared" si="1"/>
        <v/>
      </c>
      <c r="G30" s="9"/>
      <c r="H30" s="54">
        <f t="shared" si="6"/>
        <v>1021.52</v>
      </c>
      <c r="I30" s="55">
        <f t="shared" si="7"/>
        <v>1483.8709677419354</v>
      </c>
      <c r="J30" s="9"/>
      <c r="K30" s="58">
        <f t="shared" si="4"/>
        <v>54.359999999999985</v>
      </c>
      <c r="L30" s="59">
        <f t="shared" si="5"/>
        <v>1666.6812903225805</v>
      </c>
      <c r="M30" s="12"/>
      <c r="N30" s="46">
        <v>7</v>
      </c>
      <c r="O30" s="47">
        <v>4</v>
      </c>
      <c r="P30" s="62">
        <f t="shared" si="3"/>
        <v>0.5714285714285714</v>
      </c>
      <c r="Q30" s="9"/>
      <c r="R30" s="22"/>
      <c r="S30" s="22"/>
      <c r="T30" s="9"/>
    </row>
    <row r="31" spans="1:20" ht="15.75" thickBot="1">
      <c r="A31" s="9"/>
      <c r="B31" s="45">
        <f>L2+23</f>
        <v>40932</v>
      </c>
      <c r="C31" s="12"/>
      <c r="D31" s="43"/>
      <c r="E31" s="51">
        <f t="shared" si="0"/>
        <v>64.516129032258064</v>
      </c>
      <c r="F31" s="65" t="str">
        <f t="shared" si="1"/>
        <v/>
      </c>
      <c r="G31" s="9"/>
      <c r="H31" s="54">
        <f t="shared" si="6"/>
        <v>1021.52</v>
      </c>
      <c r="I31" s="55">
        <f t="shared" si="7"/>
        <v>1548.3870967741934</v>
      </c>
      <c r="J31" s="9"/>
      <c r="K31" s="58">
        <f t="shared" si="4"/>
        <v>54.359999999999985</v>
      </c>
      <c r="L31" s="59">
        <f t="shared" si="5"/>
        <v>1731.1974193548385</v>
      </c>
      <c r="M31" s="12"/>
      <c r="N31" s="46">
        <v>6</v>
      </c>
      <c r="O31" s="47">
        <v>3</v>
      </c>
      <c r="P31" s="62">
        <f t="shared" si="3"/>
        <v>0.5</v>
      </c>
      <c r="Q31" s="9"/>
      <c r="R31" s="22"/>
      <c r="S31" s="22"/>
      <c r="T31" s="9"/>
    </row>
    <row r="32" spans="1:20" ht="15.75" thickBot="1">
      <c r="A32" s="9"/>
      <c r="B32" s="45">
        <f>L2+24</f>
        <v>40933</v>
      </c>
      <c r="C32" s="12"/>
      <c r="D32" s="43"/>
      <c r="E32" s="51">
        <f t="shared" si="0"/>
        <v>64.516129032258064</v>
      </c>
      <c r="F32" s="65" t="str">
        <f t="shared" si="1"/>
        <v/>
      </c>
      <c r="G32" s="9"/>
      <c r="H32" s="54">
        <f t="shared" si="6"/>
        <v>1021.52</v>
      </c>
      <c r="I32" s="55">
        <f t="shared" si="7"/>
        <v>1612.9032258064515</v>
      </c>
      <c r="J32" s="9"/>
      <c r="K32" s="58">
        <f t="shared" si="4"/>
        <v>54.359999999999985</v>
      </c>
      <c r="L32" s="59">
        <f t="shared" si="5"/>
        <v>1795.7135483870966</v>
      </c>
      <c r="M32" s="12"/>
      <c r="N32" s="46">
        <v>5</v>
      </c>
      <c r="O32" s="47">
        <v>3</v>
      </c>
      <c r="P32" s="62">
        <f t="shared" si="3"/>
        <v>0.6</v>
      </c>
      <c r="Q32" s="9"/>
      <c r="R32" s="22"/>
      <c r="S32" s="22"/>
      <c r="T32" s="9"/>
    </row>
    <row r="33" spans="1:20" ht="15.75" thickBot="1">
      <c r="A33" s="9"/>
      <c r="B33" s="45">
        <f>L2+25</f>
        <v>40934</v>
      </c>
      <c r="C33" s="12"/>
      <c r="D33" s="43"/>
      <c r="E33" s="51">
        <f t="shared" si="0"/>
        <v>64.516129032258064</v>
      </c>
      <c r="F33" s="65" t="str">
        <f>IF(D33,D33-E33,"")</f>
        <v/>
      </c>
      <c r="G33" s="9"/>
      <c r="H33" s="54">
        <f t="shared" si="6"/>
        <v>1021.52</v>
      </c>
      <c r="I33" s="55">
        <f t="shared" si="7"/>
        <v>1677.4193548387095</v>
      </c>
      <c r="J33" s="9"/>
      <c r="K33" s="58">
        <f t="shared" si="4"/>
        <v>54.359999999999985</v>
      </c>
      <c r="L33" s="59">
        <f t="shared" si="5"/>
        <v>1860.2296774193546</v>
      </c>
      <c r="M33" s="12"/>
      <c r="N33" s="46">
        <v>3</v>
      </c>
      <c r="O33" s="47">
        <v>4</v>
      </c>
      <c r="P33" s="62">
        <f t="shared" si="3"/>
        <v>1.3333333333333333</v>
      </c>
      <c r="Q33" s="9"/>
      <c r="R33" s="22"/>
      <c r="S33" s="22"/>
      <c r="T33" s="9"/>
    </row>
    <row r="34" spans="1:20" ht="15.75" thickBot="1">
      <c r="A34" s="9"/>
      <c r="B34" s="45">
        <f>L2+26</f>
        <v>40935</v>
      </c>
      <c r="C34" s="12"/>
      <c r="D34" s="43"/>
      <c r="E34" s="51">
        <f t="shared" si="0"/>
        <v>64.516129032258064</v>
      </c>
      <c r="F34" s="65" t="str">
        <f t="shared" si="1"/>
        <v/>
      </c>
      <c r="G34" s="9"/>
      <c r="H34" s="54">
        <f t="shared" si="6"/>
        <v>1021.52</v>
      </c>
      <c r="I34" s="55">
        <f t="shared" si="7"/>
        <v>1741.9354838709676</v>
      </c>
      <c r="J34" s="9"/>
      <c r="K34" s="58">
        <f t="shared" si="4"/>
        <v>54.359999999999985</v>
      </c>
      <c r="L34" s="59">
        <f t="shared" si="5"/>
        <v>1924.7458064516127</v>
      </c>
      <c r="M34" s="12"/>
      <c r="N34" s="46">
        <v>4</v>
      </c>
      <c r="O34" s="47">
        <v>3</v>
      </c>
      <c r="P34" s="62">
        <f t="shared" si="3"/>
        <v>0.75</v>
      </c>
      <c r="Q34" s="9"/>
      <c r="R34" s="22"/>
      <c r="S34" s="22"/>
      <c r="T34" s="9"/>
    </row>
    <row r="35" spans="1:20" ht="15.75" thickBot="1">
      <c r="A35" s="9"/>
      <c r="B35" s="45">
        <f>L2+27</f>
        <v>40936</v>
      </c>
      <c r="C35" s="12"/>
      <c r="D35" s="43"/>
      <c r="E35" s="51">
        <f t="shared" si="0"/>
        <v>64.516129032258064</v>
      </c>
      <c r="F35" s="65" t="str">
        <f t="shared" si="1"/>
        <v/>
      </c>
      <c r="G35" s="9"/>
      <c r="H35" s="54">
        <f t="shared" si="6"/>
        <v>1021.52</v>
      </c>
      <c r="I35" s="55">
        <f t="shared" si="7"/>
        <v>1806.4516129032256</v>
      </c>
      <c r="J35" s="9"/>
      <c r="K35" s="58">
        <f t="shared" si="4"/>
        <v>54.359999999999985</v>
      </c>
      <c r="L35" s="59">
        <f t="shared" si="5"/>
        <v>1989.2619354838707</v>
      </c>
      <c r="M35" s="12"/>
      <c r="N35" s="46">
        <v>2</v>
      </c>
      <c r="O35" s="47">
        <v>1</v>
      </c>
      <c r="P35" s="62">
        <f t="shared" si="3"/>
        <v>0.5</v>
      </c>
      <c r="Q35" s="9"/>
      <c r="R35" s="22"/>
      <c r="S35" s="22"/>
      <c r="T35" s="9"/>
    </row>
    <row r="36" spans="1:20" ht="15.75" thickBot="1">
      <c r="A36" s="9"/>
      <c r="B36" s="45">
        <f>IF((DAY(L2+28) &gt; 10),L2+28,"")</f>
        <v>40937</v>
      </c>
      <c r="C36" s="12"/>
      <c r="D36" s="43"/>
      <c r="E36" s="51">
        <f>IF((DAY(L2+28) &gt; 10),L$4/(COUNT(B$8:B$38)),"")</f>
        <v>64.516129032258064</v>
      </c>
      <c r="F36" s="65" t="str">
        <f t="shared" si="1"/>
        <v/>
      </c>
      <c r="G36" s="9"/>
      <c r="H36" s="54">
        <f>IF((DAY(L2+28) &gt; 10),D36+H35,"")</f>
        <v>1021.52</v>
      </c>
      <c r="I36" s="55">
        <f>IF((DAY(L2+28) &gt; 10),E36+I35,"")</f>
        <v>1870.9677419354837</v>
      </c>
      <c r="J36" s="9"/>
      <c r="K36" s="58">
        <f>IF((DAY(L2+28) &gt; 10),IF(D36="",($E$39-H36)/(COUNT($B$8:$B$38)-COUNT($D$8:$D$38)),""),"")</f>
        <v>54.359999999999985</v>
      </c>
      <c r="L36" s="59">
        <f>IF((DAY(L2+28) &gt; 10),IF(D36="",L35+E36,L35+D36),"")</f>
        <v>2053.7780645161288</v>
      </c>
      <c r="M36" s="12"/>
      <c r="N36" s="46">
        <v>9</v>
      </c>
      <c r="O36" s="47">
        <v>4</v>
      </c>
      <c r="P36" s="62">
        <f>IF((DAY(L2+28) &gt; 10),(O36/N36),"")</f>
        <v>0.44444444444444442</v>
      </c>
      <c r="Q36" s="9"/>
      <c r="R36" s="22"/>
      <c r="S36" s="22"/>
      <c r="T36" s="9"/>
    </row>
    <row r="37" spans="1:20" ht="15.75" thickBot="1">
      <c r="A37" s="9"/>
      <c r="B37" s="45">
        <f>IF((DAY(L2+29) &gt; 10),L2+29,"")</f>
        <v>40938</v>
      </c>
      <c r="C37" s="12"/>
      <c r="D37" s="43"/>
      <c r="E37" s="51">
        <f>IF((DAY(L2+29) &gt; 10),L$4/(COUNT(B$8:B$38)),"")</f>
        <v>64.516129032258064</v>
      </c>
      <c r="F37" s="65" t="str">
        <f t="shared" si="1"/>
        <v/>
      </c>
      <c r="G37" s="9"/>
      <c r="H37" s="54">
        <f>IF((DAY(L2+29) &gt; 10),D37+H36,"")</f>
        <v>1021.52</v>
      </c>
      <c r="I37" s="55">
        <f>IF((DAY(L2+29) &gt; 10),E37+I36,"")</f>
        <v>1935.4838709677417</v>
      </c>
      <c r="J37" s="9"/>
      <c r="K37" s="58">
        <f>IF((DAY(L2+29) &gt; 10),IF(D37="",($E$39-H37)/(COUNT($B$8:$B$38)-COUNT($D$8:$D$38)),""),"")</f>
        <v>54.359999999999985</v>
      </c>
      <c r="L37" s="59">
        <f>IF((DAY(L2+29) &gt; 10),IF(D37="",L36+E37,L36+D37),"")</f>
        <v>2118.2941935483868</v>
      </c>
      <c r="M37" s="12"/>
      <c r="N37" s="46">
        <v>3</v>
      </c>
      <c r="O37" s="47">
        <v>1</v>
      </c>
      <c r="P37" s="62">
        <f>IF((DAY(L2+29) &gt; 10),(O37/N37),"")</f>
        <v>0.33333333333333331</v>
      </c>
      <c r="Q37" s="9"/>
      <c r="R37" s="22"/>
      <c r="S37" s="22"/>
      <c r="T37" s="9"/>
    </row>
    <row r="38" spans="1:20" ht="15.75" thickBot="1">
      <c r="A38" s="9"/>
      <c r="B38" s="50">
        <f>IF((DAY(L2+30) &gt; 10),L2+30,"")</f>
        <v>40939</v>
      </c>
      <c r="C38" s="12"/>
      <c r="D38" s="44"/>
      <c r="E38" s="51">
        <f>IF((DAY(L2+30) &gt; 10),L$4/(COUNT(B$8:B$38)),"")</f>
        <v>64.516129032258064</v>
      </c>
      <c r="F38" s="66" t="str">
        <f t="shared" si="1"/>
        <v/>
      </c>
      <c r="G38" s="9"/>
      <c r="H38" s="56">
        <f>IF((DAY(L2+30) &gt; 10),D38+H37,"")</f>
        <v>1021.52</v>
      </c>
      <c r="I38" s="57">
        <f>IF((DAY(L2+30) &gt; 10),E38+I37,"")</f>
        <v>1999.9999999999998</v>
      </c>
      <c r="J38" s="9"/>
      <c r="K38" s="60">
        <f>IF((DAY(L2+30) &gt; 10),IF(D38="",($E$39-H38)/(COUNT($B$8:$B$38)-COUNT($D$8:$D$38)),""),"")</f>
        <v>54.359999999999985</v>
      </c>
      <c r="L38" s="61">
        <f>IF((DAY(L2+30) &gt; 10),IF(D38="",L37+E38,L37+D38),"")</f>
        <v>2182.8103225806449</v>
      </c>
      <c r="M38" s="12"/>
      <c r="N38" s="48">
        <v>2</v>
      </c>
      <c r="O38" s="49">
        <v>1</v>
      </c>
      <c r="P38" s="62">
        <f>IF((DAY(L2+30) &gt; 10),(O38/N38),"")</f>
        <v>0.5</v>
      </c>
      <c r="Q38" s="9"/>
      <c r="R38" s="22"/>
      <c r="S38" s="22"/>
      <c r="T38" s="9"/>
    </row>
    <row r="39" spans="1:20" ht="15.75" thickBot="1">
      <c r="A39" s="9"/>
      <c r="B39" s="42" t="s">
        <v>4</v>
      </c>
      <c r="C39" s="12"/>
      <c r="D39" s="52">
        <f>SUM(D8:D38)</f>
        <v>1021.52</v>
      </c>
      <c r="E39" s="53">
        <f>SUM(E8:E38)</f>
        <v>1999.9999999999998</v>
      </c>
      <c r="F39" s="26"/>
      <c r="G39" s="34"/>
      <c r="H39" s="35"/>
      <c r="I39" s="35"/>
      <c r="J39" s="36"/>
      <c r="K39" s="35"/>
      <c r="L39" s="35"/>
      <c r="M39" s="38"/>
      <c r="N39" s="63">
        <f>SUM(N8:N38)</f>
        <v>220</v>
      </c>
      <c r="O39" s="64">
        <f>SUM(O8:O38)</f>
        <v>128</v>
      </c>
      <c r="P39" s="39"/>
      <c r="Q39" s="37"/>
      <c r="R39" s="22"/>
      <c r="S39" s="22"/>
      <c r="T39" s="9"/>
    </row>
    <row r="40" spans="1:20">
      <c r="A40" s="8"/>
      <c r="B40" s="30"/>
      <c r="C40" s="31"/>
      <c r="D40" s="13"/>
      <c r="E40" s="13"/>
      <c r="F40" s="13"/>
      <c r="G40" s="22"/>
      <c r="H40" s="13"/>
      <c r="I40" s="13"/>
      <c r="J40" s="13"/>
      <c r="K40" s="13"/>
      <c r="L40" s="13"/>
      <c r="M40" s="13"/>
      <c r="N40" s="13"/>
      <c r="O40" s="13"/>
      <c r="P40" s="13"/>
      <c r="Q40" s="22"/>
      <c r="R40" s="22"/>
      <c r="S40" s="22"/>
      <c r="T40" s="9"/>
    </row>
    <row r="41" spans="1:20">
      <c r="A41" s="8"/>
      <c r="B41" s="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9"/>
    </row>
    <row r="42" spans="1:20">
      <c r="A42" s="8"/>
      <c r="B42" s="3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9"/>
    </row>
    <row r="43" spans="1:20">
      <c r="A43" s="8"/>
      <c r="B43" s="3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10"/>
    </row>
    <row r="44" spans="1:20">
      <c r="A44" s="10"/>
      <c r="B44" s="1"/>
    </row>
  </sheetData>
  <sheetProtection sheet="1" objects="1" scenarios="1"/>
  <mergeCells count="14">
    <mergeCell ref="N6:N7"/>
    <mergeCell ref="O6:O7"/>
    <mergeCell ref="P6:P7"/>
    <mergeCell ref="L4:M4"/>
    <mergeCell ref="I4:K4"/>
    <mergeCell ref="L2:M2"/>
    <mergeCell ref="B2:I2"/>
    <mergeCell ref="D4:F4"/>
    <mergeCell ref="B4:C4"/>
    <mergeCell ref="H6:I6"/>
    <mergeCell ref="B6:B7"/>
    <mergeCell ref="K6:K7"/>
    <mergeCell ref="D6:F6"/>
    <mergeCell ref="L6:L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8:B20"/>
  <sheetViews>
    <sheetView workbookViewId="0">
      <selection activeCell="H16" sqref="H16"/>
    </sheetView>
  </sheetViews>
  <sheetFormatPr defaultRowHeight="15"/>
  <cols>
    <col min="1" max="1" width="16.85546875" customWidth="1"/>
  </cols>
  <sheetData>
    <row r="18" spans="1:2">
      <c r="A18" t="s">
        <v>15</v>
      </c>
      <c r="B18" s="25">
        <f>Principal!D39</f>
        <v>1021.52</v>
      </c>
    </row>
    <row r="19" spans="1:2">
      <c r="A19" t="s">
        <v>16</v>
      </c>
      <c r="B19" s="25">
        <f>Principal!E39</f>
        <v>1999.9999999999998</v>
      </c>
    </row>
    <row r="20" spans="1:2">
      <c r="A20" t="s">
        <v>9</v>
      </c>
      <c r="B20" s="25">
        <f>Principal!L38</f>
        <v>2182.8103225806449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Inicial</vt:lpstr>
      <vt:lpstr>Principal</vt:lpstr>
      <vt:lpstr>Graficos</vt:lpstr>
    </vt:vector>
  </TitlesOfParts>
  <Company>Sony Electronics,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Net Planilhas</cp:lastModifiedBy>
  <dcterms:created xsi:type="dcterms:W3CDTF">2012-10-08T01:54:34Z</dcterms:created>
  <dcterms:modified xsi:type="dcterms:W3CDTF">2012-10-09T19:06:05Z</dcterms:modified>
</cp:coreProperties>
</file>