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interim_calc/"/>
    </mc:Choice>
  </mc:AlternateContent>
  <xr:revisionPtr revIDLastSave="0" documentId="13_ncr:1_{44BC30E8-9384-C745-823B-3D2B8F263A7D}" xr6:coauthVersionLast="47" xr6:coauthVersionMax="47" xr10:uidLastSave="{00000000-0000-0000-0000-000000000000}"/>
  <bookViews>
    <workbookView xWindow="0" yWindow="500" windowWidth="38400" windowHeight="19900" activeTab="2" xr2:uid="{E49C977C-9B4E-8A48-BAF4-9B3D30D216BD}"/>
  </bookViews>
  <sheets>
    <sheet name="Units" sheetId="1" r:id="rId1"/>
    <sheet name="Activity" sheetId="3" r:id="rId2"/>
    <sheet name="Fuel eff." sheetId="4" r:id="rId3"/>
    <sheet name="Costs" sheetId="5" r:id="rId4"/>
    <sheet name="Sourc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4" i="4" l="1"/>
  <c r="T8" i="5"/>
  <c r="U8" i="5"/>
  <c r="V8" i="5"/>
  <c r="W8" i="5"/>
  <c r="X8" i="5"/>
  <c r="Y8" i="5"/>
  <c r="W27" i="4"/>
  <c r="W28" i="4"/>
  <c r="W29" i="4"/>
  <c r="W30" i="4"/>
  <c r="W31" i="4"/>
  <c r="W32" i="4"/>
  <c r="W24" i="4"/>
  <c r="W25" i="4"/>
  <c r="V26" i="4"/>
  <c r="W26" i="4"/>
  <c r="R34" i="4"/>
  <c r="S34" i="4"/>
  <c r="T34" i="4"/>
  <c r="U34" i="4"/>
  <c r="V34" i="4"/>
  <c r="W34" i="4"/>
  <c r="Q34" i="4"/>
  <c r="V27" i="4"/>
  <c r="V28" i="4"/>
  <c r="V29" i="4"/>
  <c r="V30" i="4"/>
  <c r="V31" i="4"/>
  <c r="V32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T28" i="4"/>
  <c r="U28" i="4"/>
  <c r="T29" i="4"/>
  <c r="U29" i="4"/>
  <c r="T30" i="4"/>
  <c r="U30" i="4"/>
  <c r="T31" i="4"/>
  <c r="U31" i="4"/>
  <c r="T32" i="4"/>
  <c r="U32" i="4"/>
  <c r="U19" i="4"/>
  <c r="T9" i="4"/>
  <c r="T10" i="4"/>
  <c r="T11" i="4"/>
  <c r="T12" i="4"/>
  <c r="T13" i="4"/>
  <c r="T14" i="4"/>
  <c r="T15" i="4"/>
  <c r="T16" i="4"/>
  <c r="T17" i="4"/>
  <c r="T18" i="4"/>
  <c r="T19" i="4"/>
  <c r="S24" i="4"/>
  <c r="S25" i="4"/>
  <c r="S26" i="4"/>
  <c r="S27" i="4"/>
  <c r="S28" i="4"/>
  <c r="S29" i="4"/>
  <c r="S30" i="4"/>
  <c r="S31" i="4"/>
  <c r="S32" i="4"/>
  <c r="S23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R18" i="4"/>
  <c r="Q10" i="4"/>
  <c r="Q11" i="4"/>
  <c r="Q12" i="4"/>
  <c r="Q13" i="4"/>
  <c r="Q14" i="4"/>
  <c r="Q15" i="4"/>
  <c r="Q16" i="4"/>
  <c r="Q17" i="4"/>
  <c r="Q18" i="4"/>
  <c r="Q9" i="4"/>
  <c r="S8" i="5"/>
  <c r="I33" i="5"/>
  <c r="I21" i="5" s="1"/>
  <c r="E33" i="5"/>
  <c r="E32" i="5" s="1"/>
  <c r="D33" i="5"/>
  <c r="F33" i="5"/>
  <c r="H33" i="5" s="1"/>
  <c r="H25" i="5" l="1"/>
  <c r="H23" i="5"/>
  <c r="H24" i="5"/>
  <c r="H31" i="5"/>
  <c r="H32" i="5"/>
  <c r="I26" i="5"/>
  <c r="I28" i="5"/>
  <c r="I27" i="5"/>
  <c r="G33" i="5"/>
  <c r="E28" i="5"/>
  <c r="H22" i="5"/>
  <c r="E27" i="5"/>
  <c r="H21" i="5"/>
  <c r="E21" i="5"/>
  <c r="I30" i="5"/>
  <c r="I22" i="5"/>
  <c r="H26" i="5"/>
  <c r="E23" i="5"/>
  <c r="E31" i="5"/>
  <c r="E25" i="5"/>
  <c r="E26" i="5"/>
  <c r="H30" i="5"/>
  <c r="I25" i="5"/>
  <c r="H29" i="5"/>
  <c r="I32" i="5"/>
  <c r="I24" i="5"/>
  <c r="H28" i="5"/>
  <c r="E29" i="5"/>
  <c r="I31" i="5"/>
  <c r="I23" i="5"/>
  <c r="H27" i="5"/>
  <c r="E22" i="5"/>
  <c r="E30" i="5"/>
  <c r="I29" i="5"/>
  <c r="E24" i="5"/>
  <c r="Q3" i="5" l="1"/>
  <c r="Q4" i="5"/>
  <c r="C4" i="5" s="1"/>
  <c r="F4" i="5" s="1"/>
  <c r="Q5" i="5"/>
  <c r="Q6" i="5"/>
  <c r="Q7" i="5"/>
  <c r="Q8" i="5"/>
  <c r="C8" i="5" s="1"/>
  <c r="F8" i="5" s="1"/>
  <c r="Q9" i="5"/>
  <c r="Q10" i="5"/>
  <c r="Q11" i="5"/>
  <c r="Q12" i="5"/>
  <c r="C12" i="5" s="1"/>
  <c r="F12" i="5" s="1"/>
  <c r="Q13" i="5"/>
  <c r="Q14" i="5"/>
  <c r="Q15" i="5"/>
  <c r="Q16" i="5"/>
  <c r="C16" i="5" s="1"/>
  <c r="F16" i="5" s="1"/>
  <c r="Q17" i="5"/>
  <c r="Q18" i="5"/>
  <c r="Q19" i="5"/>
  <c r="Q20" i="5"/>
  <c r="C20" i="5" s="1"/>
  <c r="F20" i="5" s="1"/>
  <c r="Q21" i="5"/>
  <c r="C21" i="5" s="1"/>
  <c r="Q22" i="5"/>
  <c r="Q23" i="5"/>
  <c r="Q24" i="5"/>
  <c r="C24" i="5" s="1"/>
  <c r="Q25" i="5"/>
  <c r="C25" i="5" s="1"/>
  <c r="Q26" i="5"/>
  <c r="Q27" i="5"/>
  <c r="Q28" i="5"/>
  <c r="C28" i="5" s="1"/>
  <c r="Q29" i="5"/>
  <c r="C29" i="5" s="1"/>
  <c r="Q30" i="5"/>
  <c r="Q31" i="5"/>
  <c r="Q32" i="5"/>
  <c r="C32" i="5" s="1"/>
  <c r="Q33" i="5"/>
  <c r="AI26" i="4"/>
  <c r="AI27" i="4"/>
  <c r="AJ27" i="4" s="1"/>
  <c r="AI28" i="4"/>
  <c r="AK28" i="4" s="1"/>
  <c r="AI29" i="4"/>
  <c r="AJ29" i="4" s="1"/>
  <c r="AI30" i="4"/>
  <c r="AJ30" i="4" s="1"/>
  <c r="AI25" i="4"/>
  <c r="AI34" i="4"/>
  <c r="AK30" i="4"/>
  <c r="AM34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N24" i="4"/>
  <c r="N25" i="4"/>
  <c r="N26" i="4"/>
  <c r="N27" i="4"/>
  <c r="N28" i="4"/>
  <c r="N29" i="4"/>
  <c r="N30" i="4"/>
  <c r="N31" i="4"/>
  <c r="N32" i="4"/>
  <c r="AB34" i="4"/>
  <c r="AC34" i="4"/>
  <c r="AA34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18" i="4"/>
  <c r="F29" i="5" l="1"/>
  <c r="G29" i="5" s="1"/>
  <c r="D29" i="5"/>
  <c r="F21" i="5"/>
  <c r="G21" i="5" s="1"/>
  <c r="D21" i="5"/>
  <c r="F28" i="5"/>
  <c r="G28" i="5" s="1"/>
  <c r="D28" i="5"/>
  <c r="F25" i="5"/>
  <c r="G25" i="5" s="1"/>
  <c r="D25" i="5"/>
  <c r="F32" i="5"/>
  <c r="G32" i="5" s="1"/>
  <c r="D32" i="5"/>
  <c r="F24" i="5"/>
  <c r="G24" i="5" s="1"/>
  <c r="D24" i="5"/>
  <c r="N12" i="5"/>
  <c r="N24" i="5"/>
  <c r="N29" i="5"/>
  <c r="N17" i="5"/>
  <c r="C17" i="5"/>
  <c r="F17" i="5" s="1"/>
  <c r="N18" i="5"/>
  <c r="C18" i="5"/>
  <c r="F18" i="5" s="1"/>
  <c r="N5" i="5"/>
  <c r="C5" i="5"/>
  <c r="F5" i="5" s="1"/>
  <c r="N4" i="5"/>
  <c r="N9" i="5"/>
  <c r="C9" i="5"/>
  <c r="F9" i="5" s="1"/>
  <c r="N32" i="5"/>
  <c r="N14" i="5"/>
  <c r="C14" i="5"/>
  <c r="F14" i="5" s="1"/>
  <c r="N30" i="5"/>
  <c r="C30" i="5"/>
  <c r="N7" i="5"/>
  <c r="C7" i="5"/>
  <c r="F7" i="5" s="1"/>
  <c r="N23" i="5"/>
  <c r="C23" i="5"/>
  <c r="N11" i="5"/>
  <c r="C11" i="5"/>
  <c r="F11" i="5" s="1"/>
  <c r="N28" i="5"/>
  <c r="N22" i="5"/>
  <c r="C22" i="5"/>
  <c r="N10" i="5"/>
  <c r="C10" i="5"/>
  <c r="F10" i="5" s="1"/>
  <c r="N27" i="5"/>
  <c r="C27" i="5"/>
  <c r="N16" i="5"/>
  <c r="N3" i="5"/>
  <c r="C3" i="5"/>
  <c r="F3" i="5" s="1"/>
  <c r="N26" i="5"/>
  <c r="C26" i="5"/>
  <c r="N21" i="5"/>
  <c r="N15" i="5"/>
  <c r="C15" i="5"/>
  <c r="F15" i="5" s="1"/>
  <c r="N31" i="5"/>
  <c r="C31" i="5"/>
  <c r="N8" i="5"/>
  <c r="N25" i="5"/>
  <c r="N20" i="5"/>
  <c r="N13" i="5"/>
  <c r="C13" i="5"/>
  <c r="F13" i="5" s="1"/>
  <c r="N19" i="5"/>
  <c r="C19" i="5"/>
  <c r="F19" i="5" s="1"/>
  <c r="N6" i="5"/>
  <c r="C6" i="5"/>
  <c r="F6" i="5" s="1"/>
  <c r="AK29" i="4"/>
  <c r="AK25" i="4"/>
  <c r="AJ25" i="4"/>
  <c r="AJ26" i="4"/>
  <c r="AK26" i="4"/>
  <c r="AK27" i="4"/>
  <c r="AJ28" i="4"/>
  <c r="AF34" i="4"/>
  <c r="AE34" i="4"/>
  <c r="AE35" i="4" s="1"/>
  <c r="AB35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" i="3"/>
  <c r="Y3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" i="3"/>
  <c r="BC3" i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" i="3"/>
  <c r="O3" i="3"/>
  <c r="P3" i="3"/>
  <c r="Q3" i="3"/>
  <c r="R3" i="3"/>
  <c r="S3" i="3"/>
  <c r="T3" i="3"/>
  <c r="U3" i="3"/>
  <c r="O4" i="3"/>
  <c r="P4" i="3"/>
  <c r="Q4" i="3"/>
  <c r="R4" i="3"/>
  <c r="S4" i="3"/>
  <c r="T4" i="3"/>
  <c r="U4" i="3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" i="3"/>
  <c r="E3" i="3"/>
  <c r="F3" i="3"/>
  <c r="G3" i="3"/>
  <c r="H3" i="3"/>
  <c r="I3" i="3"/>
  <c r="J3" i="3"/>
  <c r="K3" i="3"/>
  <c r="E4" i="3"/>
  <c r="F4" i="3"/>
  <c r="G4" i="3"/>
  <c r="H4" i="3"/>
  <c r="I4" i="3"/>
  <c r="J4" i="3"/>
  <c r="K4" i="3"/>
  <c r="E5" i="3"/>
  <c r="F5" i="3"/>
  <c r="G5" i="3"/>
  <c r="H5" i="3"/>
  <c r="I5" i="3"/>
  <c r="J5" i="3"/>
  <c r="K5" i="3"/>
  <c r="E6" i="3"/>
  <c r="F6" i="3"/>
  <c r="G6" i="3"/>
  <c r="H6" i="3"/>
  <c r="I6" i="3"/>
  <c r="J6" i="3"/>
  <c r="K6" i="3"/>
  <c r="E7" i="3"/>
  <c r="F7" i="3"/>
  <c r="G7" i="3"/>
  <c r="H7" i="3"/>
  <c r="I7" i="3"/>
  <c r="J7" i="3"/>
  <c r="K7" i="3"/>
  <c r="E8" i="3"/>
  <c r="F8" i="3"/>
  <c r="G8" i="3"/>
  <c r="H8" i="3"/>
  <c r="I8" i="3"/>
  <c r="J8" i="3"/>
  <c r="K8" i="3"/>
  <c r="E9" i="3"/>
  <c r="F9" i="3"/>
  <c r="G9" i="3"/>
  <c r="H9" i="3"/>
  <c r="I9" i="3"/>
  <c r="J9" i="3"/>
  <c r="K9" i="3"/>
  <c r="E10" i="3"/>
  <c r="F10" i="3"/>
  <c r="G10" i="3"/>
  <c r="H10" i="3"/>
  <c r="I10" i="3"/>
  <c r="J10" i="3"/>
  <c r="K10" i="3"/>
  <c r="E11" i="3"/>
  <c r="F11" i="3"/>
  <c r="G11" i="3"/>
  <c r="H11" i="3"/>
  <c r="I11" i="3"/>
  <c r="J11" i="3"/>
  <c r="K11" i="3"/>
  <c r="E12" i="3"/>
  <c r="F12" i="3"/>
  <c r="G12" i="3"/>
  <c r="H12" i="3"/>
  <c r="I12" i="3"/>
  <c r="J12" i="3"/>
  <c r="K12" i="3"/>
  <c r="E13" i="3"/>
  <c r="F13" i="3"/>
  <c r="G13" i="3"/>
  <c r="H13" i="3"/>
  <c r="I13" i="3"/>
  <c r="J13" i="3"/>
  <c r="K13" i="3"/>
  <c r="E14" i="3"/>
  <c r="F14" i="3"/>
  <c r="G14" i="3"/>
  <c r="H14" i="3"/>
  <c r="I14" i="3"/>
  <c r="J14" i="3"/>
  <c r="K14" i="3"/>
  <c r="E15" i="3"/>
  <c r="F15" i="3"/>
  <c r="G15" i="3"/>
  <c r="H15" i="3"/>
  <c r="I15" i="3"/>
  <c r="J15" i="3"/>
  <c r="K15" i="3"/>
  <c r="E16" i="3"/>
  <c r="F16" i="3"/>
  <c r="G16" i="3"/>
  <c r="H16" i="3"/>
  <c r="I16" i="3"/>
  <c r="J16" i="3"/>
  <c r="K16" i="3"/>
  <c r="E17" i="3"/>
  <c r="F17" i="3"/>
  <c r="G17" i="3"/>
  <c r="H17" i="3"/>
  <c r="I17" i="3"/>
  <c r="J17" i="3"/>
  <c r="K17" i="3"/>
  <c r="E18" i="3"/>
  <c r="F18" i="3"/>
  <c r="G18" i="3"/>
  <c r="H18" i="3"/>
  <c r="I18" i="3"/>
  <c r="J18" i="3"/>
  <c r="K18" i="3"/>
  <c r="E19" i="3"/>
  <c r="F19" i="3"/>
  <c r="G19" i="3"/>
  <c r="H19" i="3"/>
  <c r="I19" i="3"/>
  <c r="J19" i="3"/>
  <c r="K19" i="3"/>
  <c r="E20" i="3"/>
  <c r="F20" i="3"/>
  <c r="G20" i="3"/>
  <c r="H20" i="3"/>
  <c r="I20" i="3"/>
  <c r="J20" i="3"/>
  <c r="K20" i="3"/>
  <c r="E21" i="3"/>
  <c r="F21" i="3"/>
  <c r="G21" i="3"/>
  <c r="H21" i="3"/>
  <c r="I21" i="3"/>
  <c r="J21" i="3"/>
  <c r="K21" i="3"/>
  <c r="E22" i="3"/>
  <c r="F22" i="3"/>
  <c r="G22" i="3"/>
  <c r="H22" i="3"/>
  <c r="I22" i="3"/>
  <c r="J22" i="3"/>
  <c r="K22" i="3"/>
  <c r="E23" i="3"/>
  <c r="F23" i="3"/>
  <c r="G23" i="3"/>
  <c r="H23" i="3"/>
  <c r="I23" i="3"/>
  <c r="J23" i="3"/>
  <c r="K23" i="3"/>
  <c r="E24" i="3"/>
  <c r="F24" i="3"/>
  <c r="G24" i="3"/>
  <c r="H24" i="3"/>
  <c r="I24" i="3"/>
  <c r="J24" i="3"/>
  <c r="K24" i="3"/>
  <c r="E25" i="3"/>
  <c r="F25" i="3"/>
  <c r="G25" i="3"/>
  <c r="H25" i="3"/>
  <c r="I25" i="3"/>
  <c r="J25" i="3"/>
  <c r="K25" i="3"/>
  <c r="E26" i="3"/>
  <c r="F26" i="3"/>
  <c r="G26" i="3"/>
  <c r="H26" i="3"/>
  <c r="I26" i="3"/>
  <c r="J26" i="3"/>
  <c r="K26" i="3"/>
  <c r="E27" i="3"/>
  <c r="F27" i="3"/>
  <c r="G27" i="3"/>
  <c r="H27" i="3"/>
  <c r="I27" i="3"/>
  <c r="J27" i="3"/>
  <c r="K27" i="3"/>
  <c r="E28" i="3"/>
  <c r="F28" i="3"/>
  <c r="G28" i="3"/>
  <c r="H28" i="3"/>
  <c r="I28" i="3"/>
  <c r="J28" i="3"/>
  <c r="K28" i="3"/>
  <c r="E29" i="3"/>
  <c r="F29" i="3"/>
  <c r="G29" i="3"/>
  <c r="H29" i="3"/>
  <c r="I29" i="3"/>
  <c r="J29" i="3"/>
  <c r="K29" i="3"/>
  <c r="E30" i="3"/>
  <c r="F30" i="3"/>
  <c r="G30" i="3"/>
  <c r="H30" i="3"/>
  <c r="I30" i="3"/>
  <c r="J30" i="3"/>
  <c r="K30" i="3"/>
  <c r="E31" i="3"/>
  <c r="F31" i="3"/>
  <c r="G31" i="3"/>
  <c r="H31" i="3"/>
  <c r="I31" i="3"/>
  <c r="J31" i="3"/>
  <c r="K31" i="3"/>
  <c r="E32" i="3"/>
  <c r="F32" i="3"/>
  <c r="G32" i="3"/>
  <c r="H32" i="3"/>
  <c r="I32" i="3"/>
  <c r="J32" i="3"/>
  <c r="K32" i="3"/>
  <c r="D4" i="3"/>
  <c r="D5" i="3"/>
  <c r="D6" i="3"/>
  <c r="D7" i="3"/>
  <c r="D8" i="3"/>
  <c r="D9" i="3"/>
  <c r="L9" i="3" s="1"/>
  <c r="D10" i="3"/>
  <c r="D11" i="3"/>
  <c r="D12" i="3"/>
  <c r="D13" i="3"/>
  <c r="D14" i="3"/>
  <c r="D15" i="3"/>
  <c r="D16" i="3"/>
  <c r="D17" i="3"/>
  <c r="L17" i="3" s="1"/>
  <c r="D18" i="3"/>
  <c r="D19" i="3"/>
  <c r="D20" i="3"/>
  <c r="D21" i="3"/>
  <c r="D22" i="3"/>
  <c r="D23" i="3"/>
  <c r="D24" i="3"/>
  <c r="D25" i="3"/>
  <c r="L25" i="3" s="1"/>
  <c r="D26" i="3"/>
  <c r="D27" i="3"/>
  <c r="D28" i="3"/>
  <c r="D29" i="3"/>
  <c r="D30" i="3"/>
  <c r="D31" i="3"/>
  <c r="D32" i="3"/>
  <c r="D3" i="3"/>
  <c r="L3" i="3" s="1"/>
  <c r="AK34" i="4" l="1"/>
  <c r="AK35" i="4" s="1"/>
  <c r="F26" i="5"/>
  <c r="G26" i="5" s="1"/>
  <c r="D26" i="5"/>
  <c r="F22" i="5"/>
  <c r="G22" i="5" s="1"/>
  <c r="D22" i="5"/>
  <c r="F30" i="5"/>
  <c r="G30" i="5" s="1"/>
  <c r="D30" i="5"/>
  <c r="F31" i="5"/>
  <c r="G31" i="5" s="1"/>
  <c r="D31" i="5"/>
  <c r="F27" i="5"/>
  <c r="G27" i="5" s="1"/>
  <c r="D27" i="5"/>
  <c r="F23" i="5"/>
  <c r="G23" i="5" s="1"/>
  <c r="D23" i="5"/>
  <c r="AJ34" i="4"/>
  <c r="H30" i="4" s="1"/>
  <c r="AF35" i="4"/>
  <c r="K12" i="4"/>
  <c r="K14" i="4"/>
  <c r="K22" i="4"/>
  <c r="K15" i="4"/>
  <c r="K31" i="4"/>
  <c r="K24" i="4"/>
  <c r="K17" i="4"/>
  <c r="K27" i="4"/>
  <c r="K13" i="4"/>
  <c r="K21" i="4"/>
  <c r="K29" i="4"/>
  <c r="K30" i="4"/>
  <c r="K23" i="4"/>
  <c r="K9" i="4"/>
  <c r="K25" i="4"/>
  <c r="K10" i="4"/>
  <c r="K26" i="4"/>
  <c r="K19" i="4"/>
  <c r="L24" i="3"/>
  <c r="L32" i="3"/>
  <c r="L22" i="3"/>
  <c r="L13" i="3"/>
  <c r="L28" i="3"/>
  <c r="L20" i="3"/>
  <c r="L12" i="3"/>
  <c r="L4" i="3"/>
  <c r="L16" i="3"/>
  <c r="L23" i="3"/>
  <c r="L7" i="3"/>
  <c r="L30" i="3"/>
  <c r="L6" i="3"/>
  <c r="L21" i="3"/>
  <c r="L27" i="3"/>
  <c r="L19" i="3"/>
  <c r="L11" i="3"/>
  <c r="L8" i="3"/>
  <c r="L31" i="3"/>
  <c r="L15" i="3"/>
  <c r="L14" i="3"/>
  <c r="L29" i="3"/>
  <c r="L5" i="3"/>
  <c r="L26" i="3"/>
  <c r="L18" i="3"/>
  <c r="L10" i="3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P36" i="1"/>
  <c r="Q36" i="1"/>
  <c r="S36" i="1"/>
  <c r="N36" i="1"/>
  <c r="U24" i="1"/>
  <c r="U23" i="1"/>
  <c r="U22" i="1"/>
  <c r="U21" i="1"/>
  <c r="U17" i="1"/>
  <c r="V17" i="1" s="1"/>
  <c r="U16" i="1"/>
  <c r="V16" i="1" s="1"/>
  <c r="U14" i="1"/>
  <c r="V14" i="1" s="1"/>
  <c r="U9" i="1"/>
  <c r="U8" i="1"/>
  <c r="U7" i="1"/>
  <c r="U6" i="1"/>
  <c r="U5" i="1"/>
  <c r="AE5" i="1" s="1"/>
  <c r="T7" i="1"/>
  <c r="AD7" i="1" s="1"/>
  <c r="T6" i="1"/>
  <c r="AD6" i="1" s="1"/>
  <c r="T5" i="1"/>
  <c r="V5" i="1" s="1"/>
  <c r="T4" i="1"/>
  <c r="S29" i="1"/>
  <c r="S31" i="1"/>
  <c r="AC31" i="1" s="1"/>
  <c r="AF31" i="1" s="1"/>
  <c r="R29" i="1"/>
  <c r="AB29" i="1" s="1"/>
  <c r="R26" i="1"/>
  <c r="V26" i="1" s="1"/>
  <c r="R23" i="1"/>
  <c r="V23" i="1" s="1"/>
  <c r="R22" i="1"/>
  <c r="AB22" i="1" s="1"/>
  <c r="R19" i="1"/>
  <c r="AB19" i="1" s="1"/>
  <c r="O21" i="1"/>
  <c r="Y21" i="1" s="1"/>
  <c r="X5" i="1"/>
  <c r="Y5" i="1"/>
  <c r="Z5" i="1"/>
  <c r="AA5" i="1"/>
  <c r="AB5" i="1"/>
  <c r="AC5" i="1"/>
  <c r="AD5" i="1"/>
  <c r="X6" i="1"/>
  <c r="Y6" i="1"/>
  <c r="Z6" i="1"/>
  <c r="AA6" i="1"/>
  <c r="AB6" i="1"/>
  <c r="AC6" i="1"/>
  <c r="AE6" i="1"/>
  <c r="X7" i="1"/>
  <c r="Y7" i="1"/>
  <c r="Z7" i="1"/>
  <c r="AA7" i="1"/>
  <c r="AB7" i="1"/>
  <c r="AC7" i="1"/>
  <c r="AE7" i="1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X11" i="1"/>
  <c r="Y11" i="1"/>
  <c r="Z11" i="1"/>
  <c r="AA11" i="1"/>
  <c r="AB11" i="1"/>
  <c r="AC11" i="1"/>
  <c r="AD11" i="1"/>
  <c r="AE11" i="1"/>
  <c r="X12" i="1"/>
  <c r="Y12" i="1"/>
  <c r="Z12" i="1"/>
  <c r="AA12" i="1"/>
  <c r="AB12" i="1"/>
  <c r="AC12" i="1"/>
  <c r="AD12" i="1"/>
  <c r="AE12" i="1"/>
  <c r="X13" i="1"/>
  <c r="AF13" i="1" s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X15" i="1"/>
  <c r="Y15" i="1"/>
  <c r="Z15" i="1"/>
  <c r="AA15" i="1"/>
  <c r="AB15" i="1"/>
  <c r="AC15" i="1"/>
  <c r="AD15" i="1"/>
  <c r="AE15" i="1"/>
  <c r="X16" i="1"/>
  <c r="Y16" i="1"/>
  <c r="Z16" i="1"/>
  <c r="AA16" i="1"/>
  <c r="AB16" i="1"/>
  <c r="AC16" i="1"/>
  <c r="AD16" i="1"/>
  <c r="AE16" i="1"/>
  <c r="X17" i="1"/>
  <c r="Y17" i="1"/>
  <c r="Z17" i="1"/>
  <c r="AA17" i="1"/>
  <c r="AB17" i="1"/>
  <c r="AC17" i="1"/>
  <c r="AD17" i="1"/>
  <c r="AE17" i="1"/>
  <c r="X18" i="1"/>
  <c r="Y18" i="1"/>
  <c r="Z18" i="1"/>
  <c r="AA18" i="1"/>
  <c r="AB18" i="1"/>
  <c r="AC18" i="1"/>
  <c r="AD18" i="1"/>
  <c r="AE18" i="1"/>
  <c r="X19" i="1"/>
  <c r="Y19" i="1"/>
  <c r="Z19" i="1"/>
  <c r="AA19" i="1"/>
  <c r="AC19" i="1"/>
  <c r="AD19" i="1"/>
  <c r="AE19" i="1"/>
  <c r="X20" i="1"/>
  <c r="Y20" i="1"/>
  <c r="Z20" i="1"/>
  <c r="AA20" i="1"/>
  <c r="AB20" i="1"/>
  <c r="AC20" i="1"/>
  <c r="AD20" i="1"/>
  <c r="AE20" i="1"/>
  <c r="X21" i="1"/>
  <c r="Z21" i="1"/>
  <c r="AA21" i="1"/>
  <c r="AB21" i="1"/>
  <c r="AC21" i="1"/>
  <c r="AD21" i="1"/>
  <c r="AE21" i="1"/>
  <c r="X22" i="1"/>
  <c r="Y22" i="1"/>
  <c r="Z22" i="1"/>
  <c r="AA22" i="1"/>
  <c r="AC22" i="1"/>
  <c r="AD22" i="1"/>
  <c r="AE22" i="1"/>
  <c r="X23" i="1"/>
  <c r="Y23" i="1"/>
  <c r="Z23" i="1"/>
  <c r="AA23" i="1"/>
  <c r="AC23" i="1"/>
  <c r="AD23" i="1"/>
  <c r="AE23" i="1"/>
  <c r="X24" i="1"/>
  <c r="Y24" i="1"/>
  <c r="Z24" i="1"/>
  <c r="AA24" i="1"/>
  <c r="AB24" i="1"/>
  <c r="AC24" i="1"/>
  <c r="AD24" i="1"/>
  <c r="AE24" i="1"/>
  <c r="X25" i="1"/>
  <c r="AF25" i="1" s="1"/>
  <c r="Y25" i="1"/>
  <c r="Z25" i="1"/>
  <c r="AA25" i="1"/>
  <c r="AB25" i="1"/>
  <c r="AC25" i="1"/>
  <c r="AD25" i="1"/>
  <c r="AE25" i="1"/>
  <c r="X26" i="1"/>
  <c r="Y26" i="1"/>
  <c r="Z26" i="1"/>
  <c r="AA26" i="1"/>
  <c r="AC26" i="1"/>
  <c r="AD26" i="1"/>
  <c r="AE26" i="1"/>
  <c r="X27" i="1"/>
  <c r="AF27" i="1" s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D28" i="1"/>
  <c r="AE28" i="1"/>
  <c r="X29" i="1"/>
  <c r="Y29" i="1"/>
  <c r="Z29" i="1"/>
  <c r="AA29" i="1"/>
  <c r="AD29" i="1"/>
  <c r="AE29" i="1"/>
  <c r="X30" i="1"/>
  <c r="Y30" i="1"/>
  <c r="Z30" i="1"/>
  <c r="AA30" i="1"/>
  <c r="AB30" i="1"/>
  <c r="AC30" i="1"/>
  <c r="AD30" i="1"/>
  <c r="AE30" i="1"/>
  <c r="X31" i="1"/>
  <c r="Y31" i="1"/>
  <c r="Z31" i="1"/>
  <c r="AA31" i="1"/>
  <c r="AB31" i="1"/>
  <c r="AD31" i="1"/>
  <c r="AE31" i="1"/>
  <c r="X32" i="1"/>
  <c r="Y32" i="1"/>
  <c r="Z32" i="1"/>
  <c r="AA32" i="1"/>
  <c r="AB32" i="1"/>
  <c r="AC32" i="1"/>
  <c r="AD32" i="1"/>
  <c r="AE32" i="1"/>
  <c r="Y4" i="1"/>
  <c r="Z4" i="1"/>
  <c r="AA4" i="1"/>
  <c r="AB4" i="1"/>
  <c r="AC4" i="1"/>
  <c r="AD4" i="1"/>
  <c r="AE4" i="1"/>
  <c r="X4" i="1"/>
  <c r="V4" i="1"/>
  <c r="V8" i="1"/>
  <c r="V9" i="1"/>
  <c r="V10" i="1"/>
  <c r="V11" i="1"/>
  <c r="V12" i="1"/>
  <c r="V13" i="1"/>
  <c r="V15" i="1"/>
  <c r="V18" i="1"/>
  <c r="V20" i="1"/>
  <c r="V21" i="1"/>
  <c r="V22" i="1"/>
  <c r="V24" i="1"/>
  <c r="V25" i="1"/>
  <c r="V27" i="1"/>
  <c r="V28" i="1"/>
  <c r="V30" i="1"/>
  <c r="V31" i="1"/>
  <c r="V32" i="1"/>
  <c r="V3" i="1"/>
  <c r="L32" i="1"/>
  <c r="AJ32" i="1" s="1"/>
  <c r="L31" i="1"/>
  <c r="AL31" i="1" s="1"/>
  <c r="AV31" i="1" s="1"/>
  <c r="L30" i="1"/>
  <c r="AK30" i="1" s="1"/>
  <c r="AU30" i="1" s="1"/>
  <c r="L29" i="1"/>
  <c r="AL29" i="1" s="1"/>
  <c r="AV29" i="1" s="1"/>
  <c r="L28" i="1"/>
  <c r="AK28" i="1" s="1"/>
  <c r="L27" i="1"/>
  <c r="AM27" i="1" s="1"/>
  <c r="AW27" i="1" s="1"/>
  <c r="L26" i="1"/>
  <c r="AL26" i="1" s="1"/>
  <c r="AV26" i="1" s="1"/>
  <c r="L25" i="1"/>
  <c r="AJ25" i="1" s="1"/>
  <c r="L24" i="1"/>
  <c r="AI24" i="1" s="1"/>
  <c r="AS24" i="1" s="1"/>
  <c r="L23" i="1"/>
  <c r="AK23" i="1" s="1"/>
  <c r="AU23" i="1" s="1"/>
  <c r="L22" i="1"/>
  <c r="AH22" i="1" s="1"/>
  <c r="AR22" i="1" s="1"/>
  <c r="L21" i="1"/>
  <c r="AK21" i="1" s="1"/>
  <c r="AU21" i="1" s="1"/>
  <c r="L20" i="1"/>
  <c r="AK20" i="1" s="1"/>
  <c r="L19" i="1"/>
  <c r="AM19" i="1" s="1"/>
  <c r="AW19" i="1" s="1"/>
  <c r="L18" i="1"/>
  <c r="AJ18" i="1" s="1"/>
  <c r="L17" i="1"/>
  <c r="AK17" i="1" s="1"/>
  <c r="L16" i="1"/>
  <c r="AJ16" i="1" s="1"/>
  <c r="L15" i="1"/>
  <c r="AN15" i="1" s="1"/>
  <c r="AX15" i="1" s="1"/>
  <c r="L14" i="1"/>
  <c r="AN14" i="1" s="1"/>
  <c r="AX14" i="1" s="1"/>
  <c r="L13" i="1"/>
  <c r="AO13" i="1" s="1"/>
  <c r="AY13" i="1" s="1"/>
  <c r="L12" i="1"/>
  <c r="AM12" i="1" s="1"/>
  <c r="AW12" i="1" s="1"/>
  <c r="L11" i="1"/>
  <c r="AM11" i="1" s="1"/>
  <c r="AW11" i="1" s="1"/>
  <c r="L10" i="1"/>
  <c r="AL10" i="1" s="1"/>
  <c r="AV10" i="1" s="1"/>
  <c r="L9" i="1"/>
  <c r="AI9" i="1" s="1"/>
  <c r="AS9" i="1" s="1"/>
  <c r="L8" i="1"/>
  <c r="AM8" i="1" s="1"/>
  <c r="AW8" i="1" s="1"/>
  <c r="L7" i="1"/>
  <c r="AN7" i="1" s="1"/>
  <c r="AX7" i="1" s="1"/>
  <c r="L6" i="1"/>
  <c r="AM6" i="1" s="1"/>
  <c r="AW6" i="1" s="1"/>
  <c r="L5" i="1"/>
  <c r="AI5" i="1" s="1"/>
  <c r="AS5" i="1" s="1"/>
  <c r="L4" i="1"/>
  <c r="AI4" i="1" s="1"/>
  <c r="AS4" i="1" s="1"/>
  <c r="L3" i="1"/>
  <c r="AK3" i="1" s="1"/>
  <c r="AU3" i="1" s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" i="1"/>
  <c r="L23" i="4" l="1"/>
  <c r="L24" i="4"/>
  <c r="L22" i="4"/>
  <c r="L19" i="4"/>
  <c r="L21" i="4"/>
  <c r="H17" i="4"/>
  <c r="H16" i="4"/>
  <c r="L25" i="4"/>
  <c r="H15" i="4"/>
  <c r="H24" i="4"/>
  <c r="K32" i="4"/>
  <c r="K11" i="4"/>
  <c r="K28" i="4"/>
  <c r="H9" i="4"/>
  <c r="K16" i="4"/>
  <c r="K18" i="4"/>
  <c r="K20" i="4"/>
  <c r="H32" i="4"/>
  <c r="J32" i="4" s="1"/>
  <c r="H22" i="4"/>
  <c r="I22" i="4" s="1"/>
  <c r="H29" i="4"/>
  <c r="H13" i="4"/>
  <c r="H21" i="4"/>
  <c r="I21" i="4" s="1"/>
  <c r="H12" i="4"/>
  <c r="H27" i="4"/>
  <c r="J27" i="4" s="1"/>
  <c r="H26" i="4"/>
  <c r="I26" i="4" s="1"/>
  <c r="H19" i="4"/>
  <c r="I19" i="4" s="1"/>
  <c r="H31" i="4"/>
  <c r="I31" i="4" s="1"/>
  <c r="H25" i="4"/>
  <c r="H11" i="4"/>
  <c r="H18" i="4"/>
  <c r="I18" i="4" s="1"/>
  <c r="H28" i="4"/>
  <c r="I28" i="4" s="1"/>
  <c r="H23" i="4"/>
  <c r="I23" i="4" s="1"/>
  <c r="AJ35" i="4"/>
  <c r="H10" i="4"/>
  <c r="H20" i="4"/>
  <c r="I20" i="4" s="1"/>
  <c r="H14" i="4"/>
  <c r="M26" i="4"/>
  <c r="L26" i="4"/>
  <c r="L29" i="4"/>
  <c r="M29" i="4"/>
  <c r="L31" i="4"/>
  <c r="M31" i="4"/>
  <c r="I30" i="4"/>
  <c r="J30" i="4"/>
  <c r="M27" i="4"/>
  <c r="L27" i="4"/>
  <c r="J29" i="4"/>
  <c r="I29" i="4"/>
  <c r="L32" i="4"/>
  <c r="M32" i="4"/>
  <c r="J25" i="4"/>
  <c r="I25" i="4"/>
  <c r="I24" i="4"/>
  <c r="J24" i="4"/>
  <c r="L30" i="4"/>
  <c r="M30" i="4"/>
  <c r="I32" i="4"/>
  <c r="AF20" i="1"/>
  <c r="AF16" i="1"/>
  <c r="AF10" i="1"/>
  <c r="R36" i="1"/>
  <c r="AF18" i="1"/>
  <c r="AE14" i="1"/>
  <c r="AF14" i="1" s="1"/>
  <c r="AF8" i="1"/>
  <c r="V19" i="1"/>
  <c r="AF15" i="1"/>
  <c r="AF11" i="1"/>
  <c r="U36" i="1"/>
  <c r="AF24" i="1"/>
  <c r="T36" i="1"/>
  <c r="AF30" i="1"/>
  <c r="V29" i="1"/>
  <c r="AF17" i="1"/>
  <c r="AF12" i="1"/>
  <c r="AF9" i="1"/>
  <c r="AF4" i="1"/>
  <c r="AF28" i="1"/>
  <c r="AB23" i="1"/>
  <c r="AF23" i="1" s="1"/>
  <c r="V7" i="1"/>
  <c r="AF32" i="1"/>
  <c r="AN31" i="1"/>
  <c r="AX31" i="1" s="1"/>
  <c r="O36" i="1"/>
  <c r="AF5" i="1"/>
  <c r="AF7" i="1"/>
  <c r="V6" i="1"/>
  <c r="AF6" i="1"/>
  <c r="AC29" i="1"/>
  <c r="AF29" i="1"/>
  <c r="AB26" i="1"/>
  <c r="AF26" i="1" s="1"/>
  <c r="AF22" i="1"/>
  <c r="AF19" i="1"/>
  <c r="AF21" i="1"/>
  <c r="AN28" i="1"/>
  <c r="AX28" i="1" s="1"/>
  <c r="BB20" i="1"/>
  <c r="AI29" i="1"/>
  <c r="AS29" i="1" s="1"/>
  <c r="BB5" i="1"/>
  <c r="BB4" i="1"/>
  <c r="BB31" i="1"/>
  <c r="BB21" i="1"/>
  <c r="BB15" i="1"/>
  <c r="BB13" i="1"/>
  <c r="BB12" i="1"/>
  <c r="BB27" i="1"/>
  <c r="BB11" i="1"/>
  <c r="BB19" i="1"/>
  <c r="BB29" i="1"/>
  <c r="BB28" i="1"/>
  <c r="AO22" i="1"/>
  <c r="AY22" i="1" s="1"/>
  <c r="BB23" i="1"/>
  <c r="BB7" i="1"/>
  <c r="BB26" i="1"/>
  <c r="BB17" i="1"/>
  <c r="BB8" i="1"/>
  <c r="BB18" i="1"/>
  <c r="BB3" i="1"/>
  <c r="BB10" i="1"/>
  <c r="BB25" i="1"/>
  <c r="BB9" i="1"/>
  <c r="BB32" i="1"/>
  <c r="BB24" i="1"/>
  <c r="BB16" i="1"/>
  <c r="BB30" i="1"/>
  <c r="BB22" i="1"/>
  <c r="BB14" i="1"/>
  <c r="BB6" i="1"/>
  <c r="AH31" i="1"/>
  <c r="AR31" i="1" s="1"/>
  <c r="AH23" i="1"/>
  <c r="AR23" i="1" s="1"/>
  <c r="AO31" i="1"/>
  <c r="AY31" i="1" s="1"/>
  <c r="AL22" i="1"/>
  <c r="AV22" i="1" s="1"/>
  <c r="AM31" i="1"/>
  <c r="AW31" i="1" s="1"/>
  <c r="AH8" i="1"/>
  <c r="AK31" i="1"/>
  <c r="AK15" i="1"/>
  <c r="AI30" i="1"/>
  <c r="AJ14" i="1"/>
  <c r="AI14" i="1"/>
  <c r="AL30" i="1"/>
  <c r="AV30" i="1" s="1"/>
  <c r="AH15" i="1"/>
  <c r="AK22" i="1"/>
  <c r="AJ8" i="1"/>
  <c r="AO32" i="1"/>
  <c r="AY32" i="1" s="1"/>
  <c r="AN24" i="1"/>
  <c r="AX24" i="1" s="1"/>
  <c r="AM32" i="1"/>
  <c r="AW32" i="1" s="1"/>
  <c r="AN23" i="1"/>
  <c r="AX23" i="1" s="1"/>
  <c r="AI8" i="1"/>
  <c r="AU28" i="1"/>
  <c r="AU20" i="1"/>
  <c r="AU17" i="1"/>
  <c r="AH30" i="1"/>
  <c r="AR30" i="1" s="1"/>
  <c r="AN32" i="1"/>
  <c r="AX32" i="1" s="1"/>
  <c r="AH32" i="1"/>
  <c r="AR32" i="1" s="1"/>
  <c r="AL32" i="1"/>
  <c r="AV32" i="1" s="1"/>
  <c r="AL23" i="1"/>
  <c r="AV23" i="1" s="1"/>
  <c r="AO6" i="1"/>
  <c r="AY6" i="1" s="1"/>
  <c r="AT32" i="1"/>
  <c r="AT25" i="1"/>
  <c r="AT18" i="1"/>
  <c r="AT16" i="1"/>
  <c r="AO24" i="1"/>
  <c r="AY24" i="1" s="1"/>
  <c r="AM16" i="1"/>
  <c r="AW16" i="1" s="1"/>
  <c r="AM7" i="1"/>
  <c r="AW7" i="1" s="1"/>
  <c r="AL16" i="1"/>
  <c r="AV16" i="1" s="1"/>
  <c r="AI16" i="1"/>
  <c r="AH24" i="1"/>
  <c r="AM23" i="1"/>
  <c r="AW23" i="1" s="1"/>
  <c r="AO15" i="1"/>
  <c r="AY15" i="1" s="1"/>
  <c r="AI31" i="1"/>
  <c r="AI32" i="1"/>
  <c r="AM24" i="1"/>
  <c r="AW24" i="1" s="1"/>
  <c r="AH16" i="1"/>
  <c r="AL24" i="1"/>
  <c r="AV24" i="1" s="1"/>
  <c r="AO16" i="1"/>
  <c r="AY16" i="1" s="1"/>
  <c r="AJ24" i="1"/>
  <c r="AN16" i="1"/>
  <c r="AX16" i="1" s="1"/>
  <c r="AO8" i="1"/>
  <c r="AY8" i="1" s="1"/>
  <c r="AJ30" i="1"/>
  <c r="AH6" i="1"/>
  <c r="AR6" i="1" s="1"/>
  <c r="AH5" i="1"/>
  <c r="AR5" i="1" s="1"/>
  <c r="AN21" i="1"/>
  <c r="AX21" i="1" s="1"/>
  <c r="AL6" i="1"/>
  <c r="AV6" i="1" s="1"/>
  <c r="AI22" i="1"/>
  <c r="AM21" i="1"/>
  <c r="AW21" i="1" s="1"/>
  <c r="AK14" i="1"/>
  <c r="AN30" i="1"/>
  <c r="AX30" i="1" s="1"/>
  <c r="AJ20" i="1"/>
  <c r="AJ5" i="1"/>
  <c r="AK29" i="1"/>
  <c r="AJ29" i="1"/>
  <c r="AI6" i="1"/>
  <c r="AH7" i="1"/>
  <c r="AI7" i="1"/>
  <c r="AN8" i="1"/>
  <c r="AX8" i="1" s="1"/>
  <c r="AO7" i="1"/>
  <c r="AY7" i="1" s="1"/>
  <c r="AL11" i="1"/>
  <c r="AV11" i="1" s="1"/>
  <c r="AN5" i="1"/>
  <c r="AX5" i="1" s="1"/>
  <c r="AI23" i="1"/>
  <c r="AK5" i="1"/>
  <c r="AO23" i="1"/>
  <c r="AY23" i="1" s="1"/>
  <c r="AL15" i="1"/>
  <c r="AV15" i="1" s="1"/>
  <c r="AI15" i="1"/>
  <c r="AN12" i="1"/>
  <c r="AX12" i="1" s="1"/>
  <c r="AH4" i="1"/>
  <c r="AJ13" i="1"/>
  <c r="AI28" i="1"/>
  <c r="AL21" i="1"/>
  <c r="AV21" i="1" s="1"/>
  <c r="AN13" i="1"/>
  <c r="AX13" i="1" s="1"/>
  <c r="AO4" i="1"/>
  <c r="AY4" i="1" s="1"/>
  <c r="AI21" i="1"/>
  <c r="AJ28" i="1"/>
  <c r="AN20" i="1"/>
  <c r="AX20" i="1" s="1"/>
  <c r="AM20" i="1"/>
  <c r="AW20" i="1" s="1"/>
  <c r="AH21" i="1"/>
  <c r="AL20" i="1"/>
  <c r="AV20" i="1" s="1"/>
  <c r="AM13" i="1"/>
  <c r="AW13" i="1" s="1"/>
  <c r="AH14" i="1"/>
  <c r="AM15" i="1"/>
  <c r="AW15" i="1" s="1"/>
  <c r="AL7" i="1"/>
  <c r="AV7" i="1" s="1"/>
  <c r="AK6" i="1"/>
  <c r="AM22" i="1"/>
  <c r="AW22" i="1" s="1"/>
  <c r="AL27" i="1"/>
  <c r="AV27" i="1" s="1"/>
  <c r="AK10" i="1"/>
  <c r="AI12" i="1"/>
  <c r="AJ17" i="1"/>
  <c r="AN4" i="1"/>
  <c r="AX4" i="1" s="1"/>
  <c r="AH20" i="1"/>
  <c r="AO21" i="1"/>
  <c r="AY21" i="1" s="1"/>
  <c r="AO5" i="1"/>
  <c r="AY5" i="1" s="1"/>
  <c r="AM30" i="1"/>
  <c r="AW30" i="1" s="1"/>
  <c r="AO28" i="1"/>
  <c r="AY28" i="1" s="1"/>
  <c r="AN22" i="1"/>
  <c r="AX22" i="1" s="1"/>
  <c r="AJ21" i="1"/>
  <c r="AO14" i="1"/>
  <c r="AY14" i="1" s="1"/>
  <c r="AO12" i="1"/>
  <c r="AY12" i="1" s="1"/>
  <c r="AJ6" i="1"/>
  <c r="AJ4" i="1"/>
  <c r="AL14" i="1"/>
  <c r="AV14" i="1" s="1"/>
  <c r="AI13" i="1"/>
  <c r="AK25" i="1"/>
  <c r="AJ10" i="1"/>
  <c r="AJ9" i="1"/>
  <c r="AK26" i="1"/>
  <c r="AN29" i="1"/>
  <c r="AX29" i="1" s="1"/>
  <c r="AM28" i="1"/>
  <c r="AW28" i="1" s="1"/>
  <c r="AL19" i="1"/>
  <c r="AV19" i="1" s="1"/>
  <c r="AL13" i="1"/>
  <c r="AV13" i="1" s="1"/>
  <c r="AL4" i="1"/>
  <c r="AV4" i="1" s="1"/>
  <c r="AO29" i="1"/>
  <c r="AY29" i="1" s="1"/>
  <c r="AH29" i="1"/>
  <c r="AH13" i="1"/>
  <c r="AO30" i="1"/>
  <c r="AY30" i="1" s="1"/>
  <c r="AM29" i="1"/>
  <c r="AW29" i="1" s="1"/>
  <c r="AL28" i="1"/>
  <c r="AV28" i="1" s="1"/>
  <c r="AI25" i="1"/>
  <c r="AJ22" i="1"/>
  <c r="AO20" i="1"/>
  <c r="AY20" i="1" s="1"/>
  <c r="AK18" i="1"/>
  <c r="AM14" i="1"/>
  <c r="AW14" i="1" s="1"/>
  <c r="AK13" i="1"/>
  <c r="AJ12" i="1"/>
  <c r="AN6" i="1"/>
  <c r="AX6" i="1" s="1"/>
  <c r="AL5" i="1"/>
  <c r="AV5" i="1" s="1"/>
  <c r="AK4" i="1"/>
  <c r="AL18" i="1"/>
  <c r="AV18" i="1" s="1"/>
  <c r="AK9" i="1"/>
  <c r="AI17" i="1"/>
  <c r="AJ26" i="1"/>
  <c r="AI20" i="1"/>
  <c r="AL12" i="1"/>
  <c r="AV12" i="1" s="1"/>
  <c r="AM4" i="1"/>
  <c r="AW4" i="1" s="1"/>
  <c r="AK12" i="1"/>
  <c r="AM5" i="1"/>
  <c r="AW5" i="1" s="1"/>
  <c r="AH28" i="1"/>
  <c r="AH12" i="1"/>
  <c r="AH27" i="1"/>
  <c r="AR27" i="1" s="1"/>
  <c r="AK11" i="1"/>
  <c r="AH11" i="1"/>
  <c r="AR11" i="1" s="1"/>
  <c r="AJ11" i="1"/>
  <c r="AH26" i="1"/>
  <c r="AR26" i="1" s="1"/>
  <c r="AH18" i="1"/>
  <c r="AR18" i="1" s="1"/>
  <c r="AH10" i="1"/>
  <c r="AR10" i="1" s="1"/>
  <c r="AI27" i="1"/>
  <c r="AO25" i="1"/>
  <c r="AY25" i="1" s="1"/>
  <c r="AI19" i="1"/>
  <c r="AO17" i="1"/>
  <c r="AY17" i="1" s="1"/>
  <c r="AI11" i="1"/>
  <c r="AO9" i="1"/>
  <c r="AY9" i="1" s="1"/>
  <c r="AK27" i="1"/>
  <c r="AH19" i="1"/>
  <c r="AR19" i="1" s="1"/>
  <c r="AJ19" i="1"/>
  <c r="AI10" i="1"/>
  <c r="AH25" i="1"/>
  <c r="AR25" i="1" s="1"/>
  <c r="AH17" i="1"/>
  <c r="AR17" i="1" s="1"/>
  <c r="AH9" i="1"/>
  <c r="AR9" i="1" s="1"/>
  <c r="AO26" i="1"/>
  <c r="AY26" i="1" s="1"/>
  <c r="AN25" i="1"/>
  <c r="AX25" i="1" s="1"/>
  <c r="AO18" i="1"/>
  <c r="AY18" i="1" s="1"/>
  <c r="AN17" i="1"/>
  <c r="AX17" i="1" s="1"/>
  <c r="AO10" i="1"/>
  <c r="AY10" i="1" s="1"/>
  <c r="AN9" i="1"/>
  <c r="AX9" i="1" s="1"/>
  <c r="AK19" i="1"/>
  <c r="AI26" i="1"/>
  <c r="AI18" i="1"/>
  <c r="AO27" i="1"/>
  <c r="AY27" i="1" s="1"/>
  <c r="AN26" i="1"/>
  <c r="AX26" i="1" s="1"/>
  <c r="AM25" i="1"/>
  <c r="AW25" i="1" s="1"/>
  <c r="AO19" i="1"/>
  <c r="AY19" i="1" s="1"/>
  <c r="AN18" i="1"/>
  <c r="AX18" i="1" s="1"/>
  <c r="AM17" i="1"/>
  <c r="AW17" i="1" s="1"/>
  <c r="AO11" i="1"/>
  <c r="AY11" i="1" s="1"/>
  <c r="AN10" i="1"/>
  <c r="AX10" i="1" s="1"/>
  <c r="AM9" i="1"/>
  <c r="AW9" i="1" s="1"/>
  <c r="AL8" i="1"/>
  <c r="AV8" i="1" s="1"/>
  <c r="AK7" i="1"/>
  <c r="AJ31" i="1"/>
  <c r="AM26" i="1"/>
  <c r="AW26" i="1" s="1"/>
  <c r="AJ23" i="1"/>
  <c r="AM10" i="1"/>
  <c r="AW10" i="1" s="1"/>
  <c r="AK8" i="1"/>
  <c r="AJ7" i="1"/>
  <c r="AJ27" i="1"/>
  <c r="AK32" i="1"/>
  <c r="AN27" i="1"/>
  <c r="AX27" i="1" s="1"/>
  <c r="AL25" i="1"/>
  <c r="AV25" i="1" s="1"/>
  <c r="AK24" i="1"/>
  <c r="AN19" i="1"/>
  <c r="AX19" i="1" s="1"/>
  <c r="AM18" i="1"/>
  <c r="AW18" i="1" s="1"/>
  <c r="AL17" i="1"/>
  <c r="AV17" i="1" s="1"/>
  <c r="AK16" i="1"/>
  <c r="AJ15" i="1"/>
  <c r="AN11" i="1"/>
  <c r="AX11" i="1" s="1"/>
  <c r="AL9" i="1"/>
  <c r="AV9" i="1" s="1"/>
  <c r="AH3" i="1"/>
  <c r="AJ3" i="1"/>
  <c r="AN3" i="1"/>
  <c r="AX3" i="1" s="1"/>
  <c r="AM3" i="1"/>
  <c r="AW3" i="1" s="1"/>
  <c r="AI3" i="1"/>
  <c r="AL3" i="1"/>
  <c r="AV3" i="1" s="1"/>
  <c r="AO3" i="1"/>
  <c r="AY3" i="1" s="1"/>
  <c r="BF35" i="1"/>
  <c r="L20" i="4" l="1"/>
  <c r="J31" i="4"/>
  <c r="M28" i="4"/>
  <c r="L28" i="4"/>
  <c r="I27" i="4"/>
  <c r="J26" i="4"/>
  <c r="J23" i="4"/>
  <c r="J28" i="4"/>
  <c r="BC35" i="1"/>
  <c r="AT26" i="1"/>
  <c r="AT6" i="1"/>
  <c r="AR4" i="1"/>
  <c r="AR16" i="1"/>
  <c r="AS26" i="1"/>
  <c r="AR12" i="1"/>
  <c r="AS17" i="1"/>
  <c r="AR13" i="1"/>
  <c r="AU26" i="1"/>
  <c r="AR20" i="1"/>
  <c r="AT28" i="1"/>
  <c r="AT20" i="1"/>
  <c r="AT8" i="1"/>
  <c r="AU31" i="1"/>
  <c r="AU13" i="1"/>
  <c r="AU15" i="1"/>
  <c r="AT3" i="1"/>
  <c r="AU24" i="1"/>
  <c r="AT23" i="1"/>
  <c r="AU19" i="1"/>
  <c r="AS11" i="1"/>
  <c r="AT11" i="1"/>
  <c r="AR28" i="1"/>
  <c r="AU9" i="1"/>
  <c r="AU18" i="1"/>
  <c r="AR29" i="1"/>
  <c r="AT9" i="1"/>
  <c r="AS21" i="1"/>
  <c r="AS15" i="1"/>
  <c r="AT30" i="1"/>
  <c r="AS32" i="1"/>
  <c r="AU22" i="1"/>
  <c r="AT14" i="1"/>
  <c r="AR8" i="1"/>
  <c r="AS18" i="1"/>
  <c r="AT10" i="1"/>
  <c r="AT21" i="1"/>
  <c r="AT17" i="1"/>
  <c r="AR14" i="1"/>
  <c r="AS7" i="1"/>
  <c r="AU14" i="1"/>
  <c r="AS31" i="1"/>
  <c r="AR15" i="1"/>
  <c r="AS30" i="1"/>
  <c r="AS19" i="1"/>
  <c r="AU12" i="1"/>
  <c r="AT22" i="1"/>
  <c r="AR7" i="1"/>
  <c r="AT15" i="1"/>
  <c r="AU7" i="1"/>
  <c r="AS10" i="1"/>
  <c r="AS25" i="1"/>
  <c r="AZ25" i="1" s="1"/>
  <c r="AS13" i="1"/>
  <c r="AU10" i="1"/>
  <c r="AU5" i="1"/>
  <c r="AS6" i="1"/>
  <c r="AS22" i="1"/>
  <c r="AT24" i="1"/>
  <c r="AS14" i="1"/>
  <c r="AU8" i="1"/>
  <c r="AU27" i="1"/>
  <c r="AU6" i="1"/>
  <c r="AT31" i="1"/>
  <c r="AU4" i="1"/>
  <c r="AU25" i="1"/>
  <c r="AS8" i="1"/>
  <c r="AU32" i="1"/>
  <c r="AS3" i="1"/>
  <c r="AU16" i="1"/>
  <c r="AT27" i="1"/>
  <c r="AT19" i="1"/>
  <c r="AS27" i="1"/>
  <c r="AR21" i="1"/>
  <c r="AS28" i="1"/>
  <c r="AS23" i="1"/>
  <c r="AT29" i="1"/>
  <c r="AR24" i="1"/>
  <c r="AT5" i="1"/>
  <c r="AU11" i="1"/>
  <c r="AS12" i="1"/>
  <c r="AT7" i="1"/>
  <c r="AS20" i="1"/>
  <c r="AT12" i="1"/>
  <c r="AT4" i="1"/>
  <c r="AT13" i="1"/>
  <c r="AU29" i="1"/>
  <c r="AS16" i="1"/>
  <c r="AP30" i="1"/>
  <c r="AP22" i="1"/>
  <c r="AP29" i="1"/>
  <c r="AP5" i="1"/>
  <c r="AP21" i="1"/>
  <c r="AP4" i="1"/>
  <c r="AP14" i="1"/>
  <c r="AP12" i="1"/>
  <c r="AP6" i="1"/>
  <c r="AP28" i="1"/>
  <c r="AP20" i="1"/>
  <c r="AP13" i="1"/>
  <c r="AP8" i="1"/>
  <c r="AP19" i="1"/>
  <c r="AP10" i="1"/>
  <c r="AP9" i="1"/>
  <c r="AP18" i="1"/>
  <c r="AP16" i="1"/>
  <c r="AP17" i="1"/>
  <c r="AP26" i="1"/>
  <c r="AP24" i="1"/>
  <c r="AP25" i="1"/>
  <c r="AP15" i="1"/>
  <c r="AP32" i="1"/>
  <c r="AP11" i="1"/>
  <c r="AP31" i="1"/>
  <c r="AP7" i="1"/>
  <c r="AP27" i="1"/>
  <c r="AP23" i="1"/>
  <c r="AR3" i="1"/>
  <c r="AP3" i="1"/>
  <c r="AZ19" i="1" l="1"/>
  <c r="AZ30" i="1"/>
  <c r="AZ27" i="1"/>
  <c r="AZ21" i="1"/>
  <c r="AZ17" i="1"/>
  <c r="AZ16" i="1"/>
  <c r="AZ12" i="1"/>
  <c r="AZ10" i="1"/>
  <c r="AZ18" i="1"/>
  <c r="AZ9" i="1"/>
  <c r="AZ24" i="1"/>
  <c r="AZ20" i="1"/>
  <c r="AZ15" i="1"/>
  <c r="AZ5" i="1"/>
  <c r="AZ28" i="1"/>
  <c r="AZ26" i="1"/>
  <c r="AZ11" i="1"/>
  <c r="AZ4" i="1"/>
  <c r="AZ32" i="1"/>
  <c r="AZ6" i="1"/>
  <c r="AZ31" i="1"/>
  <c r="AZ3" i="1"/>
  <c r="AZ8" i="1"/>
  <c r="AZ29" i="1"/>
  <c r="AZ13" i="1"/>
  <c r="AZ14" i="1"/>
  <c r="AZ22" i="1"/>
  <c r="AZ23" i="1"/>
  <c r="AZ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EA628FE2-4D4A-0F4C-96BD-B4D4A5E486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Old OFS method, see sources</t>
        </r>
      </text>
    </comment>
    <comment ref="K3" authorId="0" shapeId="0" xr:uid="{6984D23A-4EA5-AD4C-AF0B-3D42CD9819F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that all "other" were natural gas vehicles since it is the oldest alternative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386FCC21-5F23-3F43-BA71-E8F134CEB89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Old OFS method, see sources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A1" authorId="0" shapeId="0" xr:uid="{D36D01BA-ADFE-0C44-B881-91BA54C280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Fuel Economy in Major Car Markets: Technology and Policy Drivers 2005-2017</t>
        </r>
      </text>
    </comment>
    <comment ref="AI1" authorId="0" shapeId="0" xr:uid="{5F781597-D5C4-A94B-BE0E-CC22BE389E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https://theicct.org/wp-content/uploads/2022/06/real-world-phev-use-jun22-1.pdf</t>
        </r>
      </text>
    </comment>
    <comment ref="AM1" authorId="0" shapeId="0" xr:uid="{692F8CFA-05A9-5646-982E-D8C13D17A8A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https://iea.blob.core.windows.net/assets/79a0ee25-9122-4048-84fe-c6b8823f77f8/GlobalFuelEconomyInitiative2021.pdf</t>
        </r>
      </text>
    </comment>
    <comment ref="AO1" authorId="0" shapeId="0" xr:uid="{B7473AEB-F400-464C-A3B0-A3C42747CC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https://iea.blob.core.windows.net/assets/e0d2081d-487d-4818-8c59-69b638969f9e/GlobalElectricVehicleOutlook2022.pdf</t>
        </r>
      </text>
    </comment>
    <comment ref="B2" authorId="0" shapeId="0" xr:uid="{9867EAC2-6D35-2F4C-A2D3-33B534D5925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https://www.bfe.admin.ch/bfe/de/home/versorgung/statistik-und-geodaten/kennzahlen-fahrzeuge.html#kw-101296</t>
        </r>
      </text>
    </comment>
    <comment ref="D2" authorId="0" shapeId="0" xr:uid="{C9A0D481-3391-2A4D-B7E4-A30DB04F27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https://www.bfe.admin.ch/bfe/de/home/versorgung/statistik-und-geodaten/kennzahlen-fahrzeuge.html#kw-101296</t>
        </r>
      </text>
    </comment>
    <comment ref="F2" authorId="0" shapeId="0" xr:uid="{924347D9-BDFD-7F4E-99C4-201BB3788F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https://www.bfe.admin.ch/bfe/de/home/versorgung/statistik-und-geodaten/kennzahlen-fahrzeuge.html#kw-101296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" authorId="0" shapeId="0" xr:uid="{249D9C9B-9F02-1840-A85D-7ABCA6DD1A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https://www.energy.gov/eere/vehicles/articles/fotw-1272-january-9-2023-electric-vehicle-battery-pack-costs-2022-are-nearly</t>
        </r>
      </text>
    </comment>
    <comment ref="P1" authorId="0" shapeId="0" xr:uid="{22FEC302-F19E-4245-9ACD-01C97A54AD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https://www.bfs.admin.ch/bfs/de/home/statistiken/preise/harmonisierte-verbraucherpreise.html</t>
        </r>
      </text>
    </comment>
    <comment ref="S1" authorId="0" shapeId="0" xr:uid="{51D76E15-7BF0-C746-B8B0-A7F5E5318D94}">
      <text>
        <r>
          <rPr>
            <b/>
            <sz val="10"/>
            <color rgb="FF000000"/>
            <rFont val="Tahoma"/>
            <family val="2"/>
          </rPr>
          <t xml:space="preserve">Microsoft Office User:
</t>
        </r>
        <r>
          <rPr>
            <sz val="10"/>
            <color rgb="FF000000"/>
            <rFont val="Tahoma"/>
            <family val="2"/>
          </rPr>
          <t xml:space="preserve">ICE cost
</t>
        </r>
        <r>
          <rPr>
            <sz val="10"/>
            <color rgb="FF000000"/>
            <rFont val="Tahoma"/>
            <family val="2"/>
          </rPr>
          <t>https://pubdb.bfe.admin.ch/fr/publication/download/6336</t>
        </r>
      </text>
    </comment>
    <comment ref="S6" authorId="0" shapeId="0" xr:uid="{8C2DEA62-A9AE-184C-A07A-0005D96414C3}">
      <text>
        <r>
          <rPr>
            <b/>
            <sz val="10"/>
            <color rgb="FF000000"/>
            <rFont val="Tahoma"/>
            <family val="2"/>
          </rPr>
          <t xml:space="preserve">Microsoft Office User:
</t>
        </r>
        <r>
          <rPr>
            <sz val="10"/>
            <color rgb="FF000000"/>
            <rFont val="Tahoma"/>
            <family val="2"/>
          </rPr>
          <t xml:space="preserve">ICE cost
</t>
        </r>
        <r>
          <rPr>
            <sz val="10"/>
            <color rgb="FF000000"/>
            <rFont val="Tahoma"/>
            <family val="2"/>
          </rPr>
          <t>https://pubdb.bfe.admin.ch/fr/publication/download/6336</t>
        </r>
      </text>
    </comment>
    <comment ref="C33" authorId="0" shapeId="0" xr:uid="{643CBBA5-AC43-804D-885D-D67C0C69392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Just grabbed the prices from. TESTING https://theicct.org/wp-content/uploads/2022/10/ev-cost-benefits-2035-oct22.pdf</t>
        </r>
      </text>
    </comment>
    <comment ref="F33" authorId="0" shapeId="0" xr:uid="{03C3366C-9761-5646-9955-4FFD761286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Assumed to be slightly more expensive than a gasoline car
</t>
        </r>
        <r>
          <rPr>
            <sz val="10"/>
            <color rgb="FF000000"/>
            <rFont val="Tahoma"/>
            <family val="2"/>
          </rPr>
          <t>https://www.carwow.co.uk/guides/choosing/petrol-diesel-878</t>
        </r>
      </text>
    </comment>
  </commentList>
</comments>
</file>

<file path=xl/sharedStrings.xml><?xml version="1.0" encoding="utf-8"?>
<sst xmlns="http://schemas.openxmlformats.org/spreadsheetml/2006/main" count="200" uniqueCount="77">
  <si>
    <t>Diesel</t>
  </si>
  <si>
    <t>Electricity</t>
  </si>
  <si>
    <t>Total</t>
  </si>
  <si>
    <t>TOTAL</t>
  </si>
  <si>
    <t>share</t>
  </si>
  <si>
    <t>total</t>
  </si>
  <si>
    <t>average pkt/vkt</t>
  </si>
  <si>
    <t>Total stock</t>
  </si>
  <si>
    <t>New stock</t>
  </si>
  <si>
    <t>1990-2004</t>
  </si>
  <si>
    <t>2005-2019</t>
  </si>
  <si>
    <t>https://www.bfs.admin.ch/bfs/fr/home/statistiques/mobilite-transports/infrastructures-transport-vehicules/vehicules/routiers-mises-circulation.assetdetail.23908008.html</t>
  </si>
  <si>
    <t>https://opendata.swiss/en/dataset/bestand-der-personenwagen-nach-technischen-merkmalen-ab-20052</t>
  </si>
  <si>
    <t>https://opendata.swiss/de/dataset/bestand-der-strassenfahrzeuge-nach-fahrzeuggruppe-und-fahrzeugart-ab-19902</t>
  </si>
  <si>
    <t>https://opendata.swiss/de/dataset/neue-inverkehrsetzungen-von-strassenfahrzeugen-nach-fahrzeuggruppe-und-fahrzeugart2</t>
  </si>
  <si>
    <t>It is assumed that hybrids were not in circulation before that year</t>
  </si>
  <si>
    <t>Gasoline</t>
  </si>
  <si>
    <t>GasoHybrid</t>
  </si>
  <si>
    <t>GasoPHybrid</t>
  </si>
  <si>
    <t>DiesHybrid</t>
  </si>
  <si>
    <t>DiesPHybrid</t>
  </si>
  <si>
    <t>Gas</t>
  </si>
  <si>
    <t>All techs</t>
  </si>
  <si>
    <t>total stock</t>
  </si>
  <si>
    <t>new stock</t>
  </si>
  <si>
    <t>retired stock</t>
  </si>
  <si>
    <t>Buildrate</t>
  </si>
  <si>
    <t>Mpkt</t>
  </si>
  <si>
    <t>Mvkt/unit</t>
  </si>
  <si>
    <t>Mvkm</t>
  </si>
  <si>
    <t>Mpkt/Mvkt</t>
  </si>
  <si>
    <t>activity (Mvkt)</t>
  </si>
  <si>
    <t>average hourly Mvkm/unit</t>
  </si>
  <si>
    <t>hourly</t>
  </si>
  <si>
    <t>Data before 2005 does not specify the type of Hybrid vehicle (only "other").</t>
  </si>
  <si>
    <t>Electric</t>
  </si>
  <si>
    <t>Fuel Economy in Major Car Markets Technology and Policy Drivers 2005-2017. https://iea.blob.core.windows.net/assets/66965fb0-87c9-4bc7-990d-a509a1646956/Fuel_Economy_in_Major_Car_Markets.pdf</t>
  </si>
  <si>
    <t>2005-2017</t>
  </si>
  <si>
    <t>PHEV EDS</t>
  </si>
  <si>
    <t>2012-2021</t>
  </si>
  <si>
    <t>https://theicct.org/wp-content/uploads/2022/06/real-world-phev-use-jun22-1.pdf</t>
  </si>
  <si>
    <t>https://www.globalfueleconomy.org/media/792005/wp22-vehicle-fuel-economy-in-major-markets.pdf</t>
  </si>
  <si>
    <t>2013-2019 (switzerland)</t>
  </si>
  <si>
    <t>https://www.bfe.admin.ch/bfe/de/home/versorgung/statistik-und-geodaten/kennzahlen-fahrzeuge.html#kw-101296</t>
  </si>
  <si>
    <t>Car efficiencies (world)</t>
  </si>
  <si>
    <t>Car efficiencies (swiss)</t>
  </si>
  <si>
    <t>1990-2021</t>
  </si>
  <si>
    <t>Energieverbrauch und Energieeffizienz der neuen Personenwagen (PW) und leichten Nutzfahrzeuge (LNF) 2021</t>
  </si>
  <si>
    <t>All</t>
  </si>
  <si>
    <t>Avg IEA lge/100 km (ADV ≥ 1 USD)</t>
  </si>
  <si>
    <t>Hybrid</t>
  </si>
  <si>
    <t>HEV improvement</t>
  </si>
  <si>
    <t>Average</t>
  </si>
  <si>
    <t>Savings</t>
  </si>
  <si>
    <t>Phybrid</t>
  </si>
  <si>
    <t>Avg IEA lge/100 km (World)</t>
  </si>
  <si>
    <t>PHEV improvement</t>
  </si>
  <si>
    <t>EDS</t>
  </si>
  <si>
    <t>Avg lge/100 km (combined subypes)</t>
  </si>
  <si>
    <t>ld to lge</t>
  </si>
  <si>
    <t>ICCT estimate</t>
  </si>
  <si>
    <t>Electric range km (world)</t>
  </si>
  <si>
    <t>Battery price (USD current/kWh)</t>
  </si>
  <si>
    <t>Motor car HICP</t>
  </si>
  <si>
    <t>Units/Activity</t>
  </si>
  <si>
    <t>Technical</t>
  </si>
  <si>
    <t>Cost</t>
  </si>
  <si>
    <t>All cars (100=2021)</t>
  </si>
  <si>
    <t>Average car price (CHF2020)</t>
  </si>
  <si>
    <t xml:space="preserve">It might be a good idea to apply the learning curves seen in </t>
  </si>
  <si>
    <t>https://www.nature.com/articles/nenergy2017110</t>
  </si>
  <si>
    <t>Inv Model estimates (CHF2020/unit)</t>
  </si>
  <si>
    <t>Var OM Model estimates (CHF2012/Mvkm)</t>
  </si>
  <si>
    <t>Avg l/100 km</t>
  </si>
  <si>
    <t>Model values (Mvkm/lge)</t>
  </si>
  <si>
    <t>Yearly efficiency (lge/100 km)</t>
  </si>
  <si>
    <t>Var OM Model estimates (EUR2010/vkm)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</si>
</sst>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#\ ###\ ##0__;\-#\ ###\ ##0__;0__;@__\ "/>
    <numFmt numFmtId="165" formatCode="0.0000"/>
  </numFmts>
  <fonts count="13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7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5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7" fillId="0" borderId="0" xfId="3"/>
    <xf numFmtId="0" fontId="4" fillId="4" borderId="1" xfId="2"/>
    <xf numFmtId="0" fontId="5" fillId="0" borderId="0" xfId="0" applyFont="1"/>
    <xf numFmtId="0" fontId="6" fillId="0" borderId="0" xfId="0" applyFont="1"/>
    <xf numFmtId="0" fontId="3" fillId="3" borderId="0" xfId="1"/>
    <xf numFmtId="0" fontId="7" fillId="0" borderId="0" xfId="3" applyAlignment="1"/>
    <xf numFmtId="0" fontId="10" fillId="0" borderId="0" xfId="0" applyFont="1"/>
    <xf numFmtId="0" fontId="0" fillId="0" borderId="0" xfId="0" applyAlignment="1">
      <alignment horizontal="center"/>
    </xf>
    <xf numFmtId="165" fontId="12" fillId="0" borderId="0" xfId="4" applyNumberFormat="1" applyFont="1" applyBorder="1" applyAlignment="1">
      <alignment horizontal="right"/>
    </xf>
    <xf numFmtId="165" fontId="12" fillId="0" borderId="0" xfId="4" applyNumberFormat="1" applyFont="1" applyFill="1" applyBorder="1" applyAlignment="1">
      <alignment horizontal="right"/>
    </xf>
  </cellXfs>
  <cellStyles count="5">
    <cellStyle name="Bad" xfId="1" builtinId="27"/>
    <cellStyle name="Calculation" xfId="2" builtinId="22"/>
    <cellStyle name="Comma" xfId="4" builtinId="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www.nature.com/articles/nenergy20171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de/dataset/bestand-der-strassenfahrzeuge-nach-fahrzeuggruppe-und-fahrzeugart-ab-19902" TargetMode="External"/><Relationship Id="rId7" Type="http://schemas.openxmlformats.org/officeDocument/2006/relationships/hyperlink" Target="https://www.bfe.admin.ch/bfe/de/home/versorgung/statistik-und-geodaten/kennzahlen-fahrzeuge.html" TargetMode="External"/><Relationship Id="rId2" Type="http://schemas.openxmlformats.org/officeDocument/2006/relationships/hyperlink" Target="https://opendata.swiss/en/dataset/bestand-der-personenwagen-nach-technischen-merkmalen-ab-20052" TargetMode="External"/><Relationship Id="rId1" Type="http://schemas.openxmlformats.org/officeDocument/2006/relationships/hyperlink" Target="https://www.bfs.admin.ch/bfs/fr/home/statistiques/mobilite-transports/infrastructures-transport-vehicules/vehicules/routiers-mises-circulation.assetdetail.23908008.html" TargetMode="External"/><Relationship Id="rId6" Type="http://schemas.openxmlformats.org/officeDocument/2006/relationships/hyperlink" Target="https://www.globalfueleconomy.org/media/792005/wp22-vehicle-fuel-economy-in-major-markets.pdf" TargetMode="External"/><Relationship Id="rId5" Type="http://schemas.openxmlformats.org/officeDocument/2006/relationships/hyperlink" Target="https://theicct.org/wp-content/uploads/2022/06/real-world-phev-use-jun22-1.pdf" TargetMode="External"/><Relationship Id="rId4" Type="http://schemas.openxmlformats.org/officeDocument/2006/relationships/hyperlink" Target="https://opendata.swiss/de/dataset/neue-inverkehrsetzungen-von-strassenfahrzeugen-nach-fahrzeuggruppe-und-fahrzeugar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2009-58C6-4A4C-A044-8EE1514AFF1E}">
  <dimension ref="A1:BF36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AB32" sqref="AB32"/>
    </sheetView>
  </sheetViews>
  <sheetFormatPr baseColWidth="10" defaultRowHeight="16" x14ac:dyDescent="0.2"/>
  <cols>
    <col min="2" max="2" width="12.1640625" bestFit="1" customWidth="1"/>
    <col min="3" max="3" width="12.1640625" customWidth="1"/>
    <col min="36" max="36" width="13" bestFit="1" customWidth="1"/>
    <col min="44" max="45" width="12.1640625" bestFit="1" customWidth="1"/>
    <col min="46" max="46" width="13" bestFit="1" customWidth="1"/>
    <col min="47" max="47" width="12.1640625" bestFit="1" customWidth="1"/>
    <col min="48" max="52" width="12.1640625" customWidth="1"/>
    <col min="54" max="54" width="12.1640625" bestFit="1" customWidth="1"/>
    <col min="55" max="55" width="12.1640625" customWidth="1"/>
    <col min="58" max="58" width="12.1640625" bestFit="1" customWidth="1"/>
  </cols>
  <sheetData>
    <row r="1" spans="1:58" x14ac:dyDescent="0.2">
      <c r="B1" t="s">
        <v>29</v>
      </c>
      <c r="D1" s="12" t="s">
        <v>23</v>
      </c>
      <c r="E1" s="12"/>
      <c r="F1" s="12"/>
      <c r="G1" s="12"/>
      <c r="H1" s="12"/>
      <c r="I1" s="12"/>
      <c r="J1" s="12"/>
      <c r="K1" s="12"/>
      <c r="L1" s="12"/>
      <c r="M1" s="4"/>
      <c r="N1" s="12" t="s">
        <v>24</v>
      </c>
      <c r="O1" s="12"/>
      <c r="P1" s="12"/>
      <c r="Q1" s="12"/>
      <c r="R1" s="12"/>
      <c r="S1" s="12"/>
      <c r="T1" s="12"/>
      <c r="U1" s="12"/>
      <c r="V1" s="12"/>
      <c r="W1" s="4"/>
      <c r="X1" s="12" t="s">
        <v>25</v>
      </c>
      <c r="Y1" s="12"/>
      <c r="Z1" s="12"/>
      <c r="AA1" s="12"/>
      <c r="AB1" s="12"/>
      <c r="AC1" s="12"/>
      <c r="AD1" s="12"/>
      <c r="AE1" s="12"/>
      <c r="AF1" s="12"/>
      <c r="AH1" s="12" t="s">
        <v>4</v>
      </c>
      <c r="AI1" s="12"/>
      <c r="AJ1" s="12"/>
      <c r="AK1" s="12"/>
      <c r="AL1" s="12"/>
      <c r="AM1" s="12"/>
      <c r="AN1" s="12"/>
      <c r="AO1" s="12"/>
      <c r="AP1" s="12"/>
      <c r="AR1" s="12" t="s">
        <v>31</v>
      </c>
      <c r="AS1" s="12"/>
      <c r="AT1" s="12"/>
      <c r="AU1" s="12"/>
      <c r="AV1" s="12"/>
      <c r="AW1" s="12"/>
      <c r="AX1" s="12"/>
      <c r="AY1" s="12"/>
      <c r="AZ1" s="12"/>
      <c r="BB1" s="4" t="s">
        <v>28</v>
      </c>
      <c r="BC1" s="4" t="s">
        <v>33</v>
      </c>
      <c r="BE1" t="s">
        <v>27</v>
      </c>
      <c r="BF1" t="s">
        <v>30</v>
      </c>
    </row>
    <row r="2" spans="1:58" x14ac:dyDescent="0.2">
      <c r="B2" t="s">
        <v>3</v>
      </c>
      <c r="D2" t="s">
        <v>16</v>
      </c>
      <c r="E2" t="s">
        <v>17</v>
      </c>
      <c r="F2" t="s">
        <v>18</v>
      </c>
      <c r="G2" t="s">
        <v>0</v>
      </c>
      <c r="H2" t="s">
        <v>19</v>
      </c>
      <c r="I2" t="s">
        <v>20</v>
      </c>
      <c r="J2" t="s">
        <v>1</v>
      </c>
      <c r="K2" t="s">
        <v>21</v>
      </c>
      <c r="L2" s="8" t="s">
        <v>2</v>
      </c>
      <c r="M2" s="8"/>
      <c r="N2" t="s">
        <v>16</v>
      </c>
      <c r="O2" t="s">
        <v>17</v>
      </c>
      <c r="P2" t="s">
        <v>18</v>
      </c>
      <c r="Q2" t="s">
        <v>0</v>
      </c>
      <c r="R2" t="s">
        <v>19</v>
      </c>
      <c r="S2" t="s">
        <v>20</v>
      </c>
      <c r="T2" t="s">
        <v>1</v>
      </c>
      <c r="U2" t="s">
        <v>21</v>
      </c>
      <c r="V2" s="8" t="s">
        <v>2</v>
      </c>
      <c r="W2" s="8"/>
      <c r="X2" t="s">
        <v>16</v>
      </c>
      <c r="Y2" t="s">
        <v>17</v>
      </c>
      <c r="Z2" t="s">
        <v>18</v>
      </c>
      <c r="AA2" t="s">
        <v>0</v>
      </c>
      <c r="AB2" t="s">
        <v>19</v>
      </c>
      <c r="AC2" t="s">
        <v>20</v>
      </c>
      <c r="AD2" t="s">
        <v>1</v>
      </c>
      <c r="AE2" t="s">
        <v>21</v>
      </c>
      <c r="AF2" s="8" t="s">
        <v>2</v>
      </c>
      <c r="AH2" t="s">
        <v>16</v>
      </c>
      <c r="AI2" t="s">
        <v>17</v>
      </c>
      <c r="AJ2" t="s">
        <v>18</v>
      </c>
      <c r="AK2" t="s">
        <v>0</v>
      </c>
      <c r="AL2" t="s">
        <v>19</v>
      </c>
      <c r="AM2" t="s">
        <v>20</v>
      </c>
      <c r="AN2" t="s">
        <v>1</v>
      </c>
      <c r="AO2" t="s">
        <v>21</v>
      </c>
      <c r="AP2" s="8" t="s">
        <v>2</v>
      </c>
      <c r="AR2" t="s">
        <v>16</v>
      </c>
      <c r="AS2" t="s">
        <v>17</v>
      </c>
      <c r="AT2" t="s">
        <v>18</v>
      </c>
      <c r="AU2" t="s">
        <v>0</v>
      </c>
      <c r="AV2" t="s">
        <v>19</v>
      </c>
      <c r="AW2" t="s">
        <v>20</v>
      </c>
      <c r="AX2" t="s">
        <v>1</v>
      </c>
      <c r="AY2" t="s">
        <v>21</v>
      </c>
      <c r="AZ2" s="8" t="s">
        <v>2</v>
      </c>
      <c r="BB2" t="s">
        <v>22</v>
      </c>
      <c r="BE2" t="s">
        <v>5</v>
      </c>
      <c r="BF2" t="s">
        <v>5</v>
      </c>
    </row>
    <row r="3" spans="1:58" x14ac:dyDescent="0.2">
      <c r="A3" s="6">
        <v>1990</v>
      </c>
      <c r="B3" s="1">
        <v>42649</v>
      </c>
      <c r="D3">
        <v>2905411</v>
      </c>
      <c r="E3">
        <v>0</v>
      </c>
      <c r="F3">
        <v>0</v>
      </c>
      <c r="G3">
        <v>79087</v>
      </c>
      <c r="H3">
        <v>0</v>
      </c>
      <c r="I3">
        <v>0</v>
      </c>
      <c r="J3">
        <v>409</v>
      </c>
      <c r="K3" s="7">
        <v>97</v>
      </c>
      <c r="L3">
        <f>SUM(D3:K3)</f>
        <v>2985004</v>
      </c>
      <c r="N3">
        <v>314281</v>
      </c>
      <c r="O3">
        <v>0</v>
      </c>
      <c r="P3">
        <v>0</v>
      </c>
      <c r="Q3">
        <v>8479</v>
      </c>
      <c r="R3">
        <v>0</v>
      </c>
      <c r="S3">
        <v>0</v>
      </c>
      <c r="T3">
        <v>0</v>
      </c>
      <c r="U3">
        <v>0</v>
      </c>
      <c r="V3">
        <f>SUM(N3:U3)</f>
        <v>322760</v>
      </c>
      <c r="AH3">
        <f t="shared" ref="AH3:AO3" si="0">D3/$L3</f>
        <v>0.97333571412299613</v>
      </c>
      <c r="AI3">
        <f t="shared" si="0"/>
        <v>0</v>
      </c>
      <c r="AJ3">
        <f t="shared" si="0"/>
        <v>0</v>
      </c>
      <c r="AK3">
        <f t="shared" si="0"/>
        <v>2.6494771866302357E-2</v>
      </c>
      <c r="AL3">
        <f t="shared" si="0"/>
        <v>0</v>
      </c>
      <c r="AM3">
        <f t="shared" si="0"/>
        <v>0</v>
      </c>
      <c r="AN3">
        <f t="shared" si="0"/>
        <v>1.370182418516022E-4</v>
      </c>
      <c r="AO3">
        <f t="shared" si="0"/>
        <v>3.2495768849890986E-5</v>
      </c>
      <c r="AP3">
        <f>SUM(AH3:AO3)</f>
        <v>1</v>
      </c>
      <c r="AR3">
        <f>$B3*AH3</f>
        <v>41511.79487163166</v>
      </c>
      <c r="AS3">
        <f t="shared" ref="AS3:AY3" si="1">$B3*AI3</f>
        <v>0</v>
      </c>
      <c r="AT3">
        <f t="shared" si="1"/>
        <v>0</v>
      </c>
      <c r="AU3">
        <f t="shared" si="1"/>
        <v>1129.9755253259293</v>
      </c>
      <c r="AV3">
        <f t="shared" si="1"/>
        <v>0</v>
      </c>
      <c r="AW3">
        <f t="shared" si="1"/>
        <v>0</v>
      </c>
      <c r="AX3">
        <f t="shared" si="1"/>
        <v>5.8436909967289825</v>
      </c>
      <c r="AY3">
        <f t="shared" si="1"/>
        <v>1.3859120456790006</v>
      </c>
      <c r="AZ3">
        <f>SUM(AR3:AY3)</f>
        <v>42648.999999999993</v>
      </c>
      <c r="BB3">
        <f>B3/L3</f>
        <v>1.4287753048237121E-2</v>
      </c>
      <c r="BC3">
        <f>BB3/(365*24)</f>
        <v>1.631022037469991E-6</v>
      </c>
      <c r="BE3">
        <v>77759</v>
      </c>
      <c r="BF3">
        <f t="shared" ref="BF3:BF32" si="2">BE3/B3</f>
        <v>1.8232314942906047</v>
      </c>
    </row>
    <row r="4" spans="1:58" x14ac:dyDescent="0.2">
      <c r="A4" s="6">
        <v>1991</v>
      </c>
      <c r="B4" s="2">
        <v>43744</v>
      </c>
      <c r="D4">
        <v>2974754</v>
      </c>
      <c r="E4">
        <v>0</v>
      </c>
      <c r="F4">
        <v>0</v>
      </c>
      <c r="G4">
        <v>81838</v>
      </c>
      <c r="H4">
        <v>0</v>
      </c>
      <c r="I4">
        <v>0</v>
      </c>
      <c r="J4">
        <v>671</v>
      </c>
      <c r="K4" s="7">
        <v>90</v>
      </c>
      <c r="L4">
        <f t="shared" ref="L4:L32" si="3">SUM(D4:K4)</f>
        <v>3057353</v>
      </c>
      <c r="N4">
        <v>302764</v>
      </c>
      <c r="O4">
        <v>0</v>
      </c>
      <c r="P4">
        <v>0</v>
      </c>
      <c r="Q4">
        <v>7170</v>
      </c>
      <c r="R4">
        <v>0</v>
      </c>
      <c r="S4">
        <v>0</v>
      </c>
      <c r="T4" s="9">
        <f>J4-J3</f>
        <v>262</v>
      </c>
      <c r="U4">
        <v>0</v>
      </c>
      <c r="V4">
        <f t="shared" ref="V4:V32" si="4">SUM(N4:U4)</f>
        <v>310196</v>
      </c>
      <c r="X4">
        <f>D3+N4-D4</f>
        <v>233421</v>
      </c>
      <c r="Y4">
        <f t="shared" ref="Y4:AE4" si="5">E3+O4-E4</f>
        <v>0</v>
      </c>
      <c r="Z4">
        <f t="shared" si="5"/>
        <v>0</v>
      </c>
      <c r="AA4">
        <f t="shared" si="5"/>
        <v>4419</v>
      </c>
      <c r="AB4">
        <f t="shared" si="5"/>
        <v>0</v>
      </c>
      <c r="AC4">
        <f t="shared" si="5"/>
        <v>0</v>
      </c>
      <c r="AD4">
        <f t="shared" si="5"/>
        <v>0</v>
      </c>
      <c r="AE4">
        <f t="shared" si="5"/>
        <v>7</v>
      </c>
      <c r="AF4">
        <f t="shared" ref="AF4:AF32" si="6">SUM(X4:AE4)</f>
        <v>237847</v>
      </c>
      <c r="AH4">
        <f t="shared" ref="AH4:AH32" si="7">D4/$L4</f>
        <v>0.9729834925832902</v>
      </c>
      <c r="AI4">
        <f t="shared" ref="AI4:AI18" si="8">E4/$L4</f>
        <v>0</v>
      </c>
      <c r="AJ4">
        <f t="shared" ref="AJ4:AJ18" si="9">F4/$L4</f>
        <v>0</v>
      </c>
      <c r="AK4">
        <f t="shared" ref="AK4:AK18" si="10">G4/$L4</f>
        <v>2.6767599292590684E-2</v>
      </c>
      <c r="AL4">
        <f t="shared" ref="AL4:AL18" si="11">H4/$L4</f>
        <v>0</v>
      </c>
      <c r="AM4">
        <f t="shared" ref="AM4:AM18" si="12">I4/$L4</f>
        <v>0</v>
      </c>
      <c r="AN4">
        <f t="shared" ref="AN4:AN18" si="13">J4/$L4</f>
        <v>2.1947089524827524E-4</v>
      </c>
      <c r="AO4">
        <f t="shared" ref="AO4:AO18" si="14">K4/$L4</f>
        <v>2.9437228870856589E-5</v>
      </c>
      <c r="AP4">
        <f t="shared" ref="AP4:AP32" si="15">SUM(AH4:AO4)</f>
        <v>1</v>
      </c>
      <c r="AR4">
        <f t="shared" ref="AR4:AR32" si="16">$B4*AH4</f>
        <v>42562.189899563447</v>
      </c>
      <c r="AS4">
        <f t="shared" ref="AS4:AS32" si="17">$B4*AI4</f>
        <v>0</v>
      </c>
      <c r="AT4">
        <f t="shared" ref="AT4:AT32" si="18">$B4*AJ4</f>
        <v>0</v>
      </c>
      <c r="AU4">
        <f t="shared" ref="AU4:AU32" si="19">$B4*AK4</f>
        <v>1170.9218634550869</v>
      </c>
      <c r="AV4">
        <f t="shared" ref="AV4:AV32" si="20">$B4*AL4</f>
        <v>0</v>
      </c>
      <c r="AW4">
        <f t="shared" ref="AW4:AW32" si="21">$B4*AM4</f>
        <v>0</v>
      </c>
      <c r="AX4">
        <f t="shared" ref="AX4:AX32" si="22">$B4*AN4</f>
        <v>9.6005348417405525</v>
      </c>
      <c r="AY4">
        <f t="shared" ref="AY4:AY32" si="23">$B4*AO4</f>
        <v>1.2877021397267507</v>
      </c>
      <c r="AZ4">
        <f t="shared" ref="AZ4:AZ32" si="24">SUM(AR4:AY4)</f>
        <v>43744</v>
      </c>
      <c r="BB4">
        <f t="shared" ref="BB4:BB32" si="25">B4/L4</f>
        <v>1.4307801552519451E-2</v>
      </c>
      <c r="BC4">
        <f t="shared" ref="BC4:BC32" si="26">BB4/(365*24)</f>
        <v>1.6333106795113527E-6</v>
      </c>
      <c r="BE4">
        <v>79147</v>
      </c>
      <c r="BF4">
        <f t="shared" si="2"/>
        <v>1.8093224213606438</v>
      </c>
    </row>
    <row r="5" spans="1:58" x14ac:dyDescent="0.2">
      <c r="A5" s="6">
        <v>1992</v>
      </c>
      <c r="B5" s="1">
        <v>43177</v>
      </c>
      <c r="D5">
        <v>3006595</v>
      </c>
      <c r="E5">
        <v>0</v>
      </c>
      <c r="F5">
        <v>0</v>
      </c>
      <c r="G5">
        <v>83638</v>
      </c>
      <c r="H5">
        <v>0</v>
      </c>
      <c r="I5">
        <v>0</v>
      </c>
      <c r="J5">
        <v>770</v>
      </c>
      <c r="K5" s="7">
        <v>150</v>
      </c>
      <c r="L5">
        <f t="shared" si="3"/>
        <v>3091153</v>
      </c>
      <c r="N5">
        <v>278165</v>
      </c>
      <c r="O5">
        <v>0</v>
      </c>
      <c r="P5">
        <v>0</v>
      </c>
      <c r="Q5">
        <v>7997</v>
      </c>
      <c r="R5">
        <v>0</v>
      </c>
      <c r="S5">
        <v>0</v>
      </c>
      <c r="T5" s="9">
        <f>J5-J4</f>
        <v>99</v>
      </c>
      <c r="U5" s="9">
        <f>K5-K4</f>
        <v>60</v>
      </c>
      <c r="V5">
        <f t="shared" si="4"/>
        <v>286321</v>
      </c>
      <c r="X5">
        <f t="shared" ref="X5:X32" si="27">D4+N5-D5</f>
        <v>246324</v>
      </c>
      <c r="Y5">
        <f t="shared" ref="Y5:Y32" si="28">E4+O5-E5</f>
        <v>0</v>
      </c>
      <c r="Z5">
        <f t="shared" ref="Z5:Z32" si="29">F4+P5-F5</f>
        <v>0</v>
      </c>
      <c r="AA5">
        <f t="shared" ref="AA5:AA32" si="30">G4+Q5-G5</f>
        <v>6197</v>
      </c>
      <c r="AB5">
        <f t="shared" ref="AB5:AB32" si="31">H4+R5-H5</f>
        <v>0</v>
      </c>
      <c r="AC5">
        <f t="shared" ref="AC5:AC32" si="32">I4+S5-I5</f>
        <v>0</v>
      </c>
      <c r="AD5">
        <f t="shared" ref="AD5:AD32" si="33">J4+T5-J5</f>
        <v>0</v>
      </c>
      <c r="AE5">
        <f t="shared" ref="AE5:AE32" si="34">K4+U5-K5</f>
        <v>0</v>
      </c>
      <c r="AF5">
        <f t="shared" si="6"/>
        <v>252521</v>
      </c>
      <c r="AH5">
        <f t="shared" si="7"/>
        <v>0.97264515861880663</v>
      </c>
      <c r="AI5">
        <f t="shared" si="8"/>
        <v>0</v>
      </c>
      <c r="AJ5">
        <f t="shared" si="9"/>
        <v>0</v>
      </c>
      <c r="AK5">
        <f t="shared" si="10"/>
        <v>2.705721780837118E-2</v>
      </c>
      <c r="AL5">
        <f t="shared" si="11"/>
        <v>0</v>
      </c>
      <c r="AM5">
        <f t="shared" si="12"/>
        <v>0</v>
      </c>
      <c r="AN5">
        <f t="shared" si="13"/>
        <v>2.4909799029682451E-4</v>
      </c>
      <c r="AO5">
        <f t="shared" si="14"/>
        <v>4.8525582525355427E-5</v>
      </c>
      <c r="AP5">
        <f t="shared" si="15"/>
        <v>1</v>
      </c>
      <c r="AR5">
        <f t="shared" si="16"/>
        <v>41995.900013684215</v>
      </c>
      <c r="AS5">
        <f t="shared" si="17"/>
        <v>0</v>
      </c>
      <c r="AT5">
        <f t="shared" si="18"/>
        <v>0</v>
      </c>
      <c r="AU5">
        <f t="shared" si="19"/>
        <v>1168.2494933120424</v>
      </c>
      <c r="AV5">
        <f t="shared" si="20"/>
        <v>0</v>
      </c>
      <c r="AW5">
        <f t="shared" si="21"/>
        <v>0</v>
      </c>
      <c r="AX5">
        <f t="shared" si="22"/>
        <v>10.755303927045992</v>
      </c>
      <c r="AY5">
        <f t="shared" si="23"/>
        <v>2.0951890766972712</v>
      </c>
      <c r="AZ5">
        <f t="shared" si="24"/>
        <v>43176.999999999993</v>
      </c>
      <c r="BB5">
        <f t="shared" si="25"/>
        <v>1.3967927177981808E-2</v>
      </c>
      <c r="BC5">
        <f t="shared" si="26"/>
        <v>1.59451223492943E-6</v>
      </c>
      <c r="BE5">
        <v>77734</v>
      </c>
      <c r="BF5">
        <f t="shared" si="2"/>
        <v>1.800356671375964</v>
      </c>
    </row>
    <row r="6" spans="1:58" x14ac:dyDescent="0.2">
      <c r="A6" s="6">
        <v>1993</v>
      </c>
      <c r="B6" s="2">
        <v>42258</v>
      </c>
      <c r="D6">
        <v>3022614</v>
      </c>
      <c r="E6">
        <v>0</v>
      </c>
      <c r="F6">
        <v>0</v>
      </c>
      <c r="G6">
        <v>85695</v>
      </c>
      <c r="H6">
        <v>0</v>
      </c>
      <c r="I6">
        <v>0</v>
      </c>
      <c r="J6">
        <v>773</v>
      </c>
      <c r="K6" s="7">
        <v>283</v>
      </c>
      <c r="L6">
        <f t="shared" si="3"/>
        <v>3109365</v>
      </c>
      <c r="N6">
        <v>248454</v>
      </c>
      <c r="O6">
        <v>0</v>
      </c>
      <c r="P6">
        <v>0</v>
      </c>
      <c r="Q6">
        <v>8375</v>
      </c>
      <c r="R6">
        <v>0</v>
      </c>
      <c r="S6">
        <v>0</v>
      </c>
      <c r="T6" s="9">
        <f>J6-J5</f>
        <v>3</v>
      </c>
      <c r="U6" s="9">
        <f>K6-K5</f>
        <v>133</v>
      </c>
      <c r="V6">
        <f t="shared" si="4"/>
        <v>256965</v>
      </c>
      <c r="X6">
        <f t="shared" si="27"/>
        <v>232435</v>
      </c>
      <c r="Y6">
        <f t="shared" si="28"/>
        <v>0</v>
      </c>
      <c r="Z6">
        <f t="shared" si="29"/>
        <v>0</v>
      </c>
      <c r="AA6">
        <f t="shared" si="30"/>
        <v>6318</v>
      </c>
      <c r="AB6">
        <f t="shared" si="31"/>
        <v>0</v>
      </c>
      <c r="AC6">
        <f t="shared" si="32"/>
        <v>0</v>
      </c>
      <c r="AD6">
        <f t="shared" si="33"/>
        <v>0</v>
      </c>
      <c r="AE6">
        <f t="shared" si="34"/>
        <v>0</v>
      </c>
      <c r="AF6">
        <f t="shared" si="6"/>
        <v>238753</v>
      </c>
      <c r="AH6">
        <f t="shared" si="7"/>
        <v>0.97210009117617258</v>
      </c>
      <c r="AI6">
        <f t="shared" si="8"/>
        <v>0</v>
      </c>
      <c r="AJ6">
        <f t="shared" si="9"/>
        <v>0</v>
      </c>
      <c r="AK6">
        <f t="shared" si="10"/>
        <v>2.7560289641132513E-2</v>
      </c>
      <c r="AL6">
        <f t="shared" si="11"/>
        <v>0</v>
      </c>
      <c r="AM6">
        <f t="shared" si="12"/>
        <v>0</v>
      </c>
      <c r="AN6">
        <f t="shared" si="13"/>
        <v>2.486038146052329E-4</v>
      </c>
      <c r="AO6">
        <f t="shared" si="14"/>
        <v>9.1015368089626022E-5</v>
      </c>
      <c r="AP6">
        <f t="shared" si="15"/>
        <v>1</v>
      </c>
      <c r="AR6">
        <f t="shared" si="16"/>
        <v>41079.0056529227</v>
      </c>
      <c r="AS6">
        <f t="shared" si="17"/>
        <v>0</v>
      </c>
      <c r="AT6">
        <f t="shared" si="18"/>
        <v>0</v>
      </c>
      <c r="AU6">
        <f t="shared" si="19"/>
        <v>1164.6427196549778</v>
      </c>
      <c r="AV6">
        <f t="shared" si="20"/>
        <v>0</v>
      </c>
      <c r="AW6">
        <f t="shared" si="21"/>
        <v>0</v>
      </c>
      <c r="AX6">
        <f t="shared" si="22"/>
        <v>10.505499997587931</v>
      </c>
      <c r="AY6">
        <f t="shared" si="23"/>
        <v>3.8461274247314163</v>
      </c>
      <c r="AZ6">
        <f t="shared" si="24"/>
        <v>42258</v>
      </c>
      <c r="BB6">
        <f t="shared" si="25"/>
        <v>1.3590556271135746E-2</v>
      </c>
      <c r="BC6">
        <f t="shared" si="26"/>
        <v>1.5514333642849025E-6</v>
      </c>
      <c r="BE6">
        <v>75703</v>
      </c>
      <c r="BF6">
        <f t="shared" si="2"/>
        <v>1.7914477732027072</v>
      </c>
    </row>
    <row r="7" spans="1:58" x14ac:dyDescent="0.2">
      <c r="A7" s="6">
        <v>1994</v>
      </c>
      <c r="B7" s="1">
        <v>40938.628679892194</v>
      </c>
      <c r="D7">
        <v>3072879</v>
      </c>
      <c r="E7">
        <v>0</v>
      </c>
      <c r="F7">
        <v>0</v>
      </c>
      <c r="G7">
        <v>90741</v>
      </c>
      <c r="H7">
        <v>0</v>
      </c>
      <c r="I7">
        <v>0</v>
      </c>
      <c r="J7">
        <v>774</v>
      </c>
      <c r="K7" s="7">
        <v>458</v>
      </c>
      <c r="L7">
        <f t="shared" si="3"/>
        <v>3164852</v>
      </c>
      <c r="N7">
        <v>254027</v>
      </c>
      <c r="O7">
        <v>0</v>
      </c>
      <c r="P7">
        <v>0</v>
      </c>
      <c r="Q7">
        <v>11786</v>
      </c>
      <c r="R7">
        <v>0</v>
      </c>
      <c r="S7">
        <v>0</v>
      </c>
      <c r="T7" s="9">
        <f>J7-J6</f>
        <v>1</v>
      </c>
      <c r="U7" s="9">
        <f>K7-K6</f>
        <v>175</v>
      </c>
      <c r="V7">
        <f t="shared" si="4"/>
        <v>265989</v>
      </c>
      <c r="X7">
        <f t="shared" si="27"/>
        <v>203762</v>
      </c>
      <c r="Y7">
        <f t="shared" si="28"/>
        <v>0</v>
      </c>
      <c r="Z7">
        <f t="shared" si="29"/>
        <v>0</v>
      </c>
      <c r="AA7">
        <f t="shared" si="30"/>
        <v>6740</v>
      </c>
      <c r="AB7">
        <f t="shared" si="31"/>
        <v>0</v>
      </c>
      <c r="AC7">
        <f t="shared" si="32"/>
        <v>0</v>
      </c>
      <c r="AD7">
        <f t="shared" si="33"/>
        <v>0</v>
      </c>
      <c r="AE7">
        <f t="shared" si="34"/>
        <v>0</v>
      </c>
      <c r="AF7">
        <f t="shared" si="6"/>
        <v>210502</v>
      </c>
      <c r="AH7">
        <f t="shared" si="7"/>
        <v>0.97093924139264653</v>
      </c>
      <c r="AI7">
        <f t="shared" si="8"/>
        <v>0</v>
      </c>
      <c r="AJ7">
        <f t="shared" si="9"/>
        <v>0</v>
      </c>
      <c r="AK7">
        <f t="shared" si="10"/>
        <v>2.8671482900306237E-2</v>
      </c>
      <c r="AL7">
        <f t="shared" si="11"/>
        <v>0</v>
      </c>
      <c r="AM7">
        <f t="shared" si="12"/>
        <v>0</v>
      </c>
      <c r="AN7">
        <f t="shared" si="13"/>
        <v>2.4456119907028827E-4</v>
      </c>
      <c r="AO7">
        <f t="shared" si="14"/>
        <v>1.4471450797699228E-4</v>
      </c>
      <c r="AP7">
        <f t="shared" si="15"/>
        <v>1</v>
      </c>
      <c r="AR7">
        <f t="shared" si="16"/>
        <v>39748.92107410977</v>
      </c>
      <c r="AS7">
        <f t="shared" si="17"/>
        <v>0</v>
      </c>
      <c r="AT7">
        <f t="shared" si="18"/>
        <v>0</v>
      </c>
      <c r="AU7">
        <f t="shared" si="19"/>
        <v>1173.7711921575155</v>
      </c>
      <c r="AV7">
        <f t="shared" si="20"/>
        <v>0</v>
      </c>
      <c r="AW7">
        <f t="shared" si="21"/>
        <v>0</v>
      </c>
      <c r="AX7">
        <f t="shared" si="22"/>
        <v>10.012000118247727</v>
      </c>
      <c r="AY7">
        <f t="shared" si="23"/>
        <v>5.9244135066633836</v>
      </c>
      <c r="AZ7">
        <f t="shared" si="24"/>
        <v>40938.628679892201</v>
      </c>
      <c r="BB7">
        <f t="shared" si="25"/>
        <v>1.2935400669570708E-2</v>
      </c>
      <c r="BC7">
        <f t="shared" si="26"/>
        <v>1.4766439120514507E-6</v>
      </c>
      <c r="BE7">
        <v>72541.899999999994</v>
      </c>
      <c r="BF7">
        <f t="shared" si="2"/>
        <v>1.7719670233026239</v>
      </c>
    </row>
    <row r="8" spans="1:58" x14ac:dyDescent="0.2">
      <c r="A8" s="6">
        <v>1995</v>
      </c>
      <c r="B8" s="1">
        <v>41323.977458258094</v>
      </c>
      <c r="D8">
        <v>3132010</v>
      </c>
      <c r="E8">
        <v>0</v>
      </c>
      <c r="F8">
        <v>0</v>
      </c>
      <c r="G8">
        <v>95578</v>
      </c>
      <c r="H8">
        <v>0</v>
      </c>
      <c r="I8">
        <v>0</v>
      </c>
      <c r="J8">
        <v>769</v>
      </c>
      <c r="K8" s="7">
        <v>582</v>
      </c>
      <c r="L8">
        <f t="shared" si="3"/>
        <v>3228939</v>
      </c>
      <c r="N8">
        <v>257210</v>
      </c>
      <c r="O8">
        <v>0</v>
      </c>
      <c r="P8">
        <v>0</v>
      </c>
      <c r="Q8">
        <v>10696</v>
      </c>
      <c r="R8">
        <v>0</v>
      </c>
      <c r="S8">
        <v>0</v>
      </c>
      <c r="T8">
        <v>0</v>
      </c>
      <c r="U8" s="9">
        <f>K8-K7</f>
        <v>124</v>
      </c>
      <c r="V8">
        <f t="shared" si="4"/>
        <v>268030</v>
      </c>
      <c r="X8">
        <f t="shared" si="27"/>
        <v>198079</v>
      </c>
      <c r="Y8">
        <f t="shared" si="28"/>
        <v>0</v>
      </c>
      <c r="Z8">
        <f t="shared" si="29"/>
        <v>0</v>
      </c>
      <c r="AA8">
        <f t="shared" si="30"/>
        <v>5859</v>
      </c>
      <c r="AB8">
        <f t="shared" si="31"/>
        <v>0</v>
      </c>
      <c r="AC8">
        <f t="shared" si="32"/>
        <v>0</v>
      </c>
      <c r="AD8">
        <f t="shared" si="33"/>
        <v>5</v>
      </c>
      <c r="AE8">
        <f t="shared" si="34"/>
        <v>0</v>
      </c>
      <c r="AF8">
        <f t="shared" si="6"/>
        <v>203943</v>
      </c>
      <c r="AH8">
        <f t="shared" si="7"/>
        <v>0.96998116099436993</v>
      </c>
      <c r="AI8">
        <f t="shared" si="8"/>
        <v>0</v>
      </c>
      <c r="AJ8">
        <f t="shared" si="9"/>
        <v>0</v>
      </c>
      <c r="AK8">
        <f t="shared" si="10"/>
        <v>2.9600435313271636E-2</v>
      </c>
      <c r="AL8">
        <f t="shared" si="11"/>
        <v>0</v>
      </c>
      <c r="AM8">
        <f t="shared" si="12"/>
        <v>0</v>
      </c>
      <c r="AN8">
        <f t="shared" si="13"/>
        <v>2.381587264423391E-4</v>
      </c>
      <c r="AO8">
        <f t="shared" si="14"/>
        <v>1.8024496591604859E-4</v>
      </c>
      <c r="AP8">
        <f t="shared" si="15"/>
        <v>1</v>
      </c>
      <c r="AR8">
        <f t="shared" si="16"/>
        <v>40083.479631866358</v>
      </c>
      <c r="AS8">
        <f t="shared" si="17"/>
        <v>0</v>
      </c>
      <c r="AT8">
        <f t="shared" si="18"/>
        <v>0</v>
      </c>
      <c r="AU8">
        <f t="shared" si="19"/>
        <v>1223.207721640264</v>
      </c>
      <c r="AV8">
        <f t="shared" si="20"/>
        <v>0</v>
      </c>
      <c r="AW8">
        <f t="shared" si="21"/>
        <v>0</v>
      </c>
      <c r="AX8">
        <f t="shared" si="22"/>
        <v>9.8416658429906771</v>
      </c>
      <c r="AY8">
        <f t="shared" si="23"/>
        <v>7.4484389084792904</v>
      </c>
      <c r="AZ8">
        <f t="shared" si="24"/>
        <v>41323.977458258094</v>
      </c>
      <c r="BB8">
        <f t="shared" si="25"/>
        <v>1.2798004997387097E-2</v>
      </c>
      <c r="BC8">
        <f t="shared" si="26"/>
        <v>1.4609594745875681E-6</v>
      </c>
      <c r="BE8">
        <v>73779.5</v>
      </c>
      <c r="BF8">
        <f t="shared" si="2"/>
        <v>1.7853920299546593</v>
      </c>
    </row>
    <row r="9" spans="1:58" x14ac:dyDescent="0.2">
      <c r="A9" s="6">
        <v>1996</v>
      </c>
      <c r="B9" s="1">
        <v>41682.9729231862</v>
      </c>
      <c r="D9">
        <v>3166032</v>
      </c>
      <c r="E9">
        <v>0</v>
      </c>
      <c r="F9">
        <v>0</v>
      </c>
      <c r="G9">
        <v>100405</v>
      </c>
      <c r="H9">
        <v>0</v>
      </c>
      <c r="I9">
        <v>0</v>
      </c>
      <c r="J9">
        <v>758</v>
      </c>
      <c r="K9" s="7">
        <v>621</v>
      </c>
      <c r="L9">
        <f t="shared" si="3"/>
        <v>3267816</v>
      </c>
      <c r="N9">
        <v>259507</v>
      </c>
      <c r="O9">
        <v>0</v>
      </c>
      <c r="P9">
        <v>0</v>
      </c>
      <c r="Q9">
        <v>12601</v>
      </c>
      <c r="R9">
        <v>0</v>
      </c>
      <c r="S9">
        <v>0</v>
      </c>
      <c r="T9">
        <v>0</v>
      </c>
      <c r="U9" s="9">
        <f>K9-K8</f>
        <v>39</v>
      </c>
      <c r="V9">
        <f t="shared" si="4"/>
        <v>272147</v>
      </c>
      <c r="X9">
        <f t="shared" si="27"/>
        <v>225485</v>
      </c>
      <c r="Y9">
        <f t="shared" si="28"/>
        <v>0</v>
      </c>
      <c r="Z9">
        <f t="shared" si="29"/>
        <v>0</v>
      </c>
      <c r="AA9">
        <f t="shared" si="30"/>
        <v>7774</v>
      </c>
      <c r="AB9">
        <f t="shared" si="31"/>
        <v>0</v>
      </c>
      <c r="AC9">
        <f t="shared" si="32"/>
        <v>0</v>
      </c>
      <c r="AD9">
        <f t="shared" si="33"/>
        <v>11</v>
      </c>
      <c r="AE9">
        <f t="shared" si="34"/>
        <v>0</v>
      </c>
      <c r="AF9">
        <f t="shared" si="6"/>
        <v>233270</v>
      </c>
      <c r="AH9">
        <f t="shared" si="7"/>
        <v>0.96885259145557767</v>
      </c>
      <c r="AI9">
        <f t="shared" si="8"/>
        <v>0</v>
      </c>
      <c r="AJ9">
        <f t="shared" si="9"/>
        <v>0</v>
      </c>
      <c r="AK9">
        <f t="shared" si="10"/>
        <v>3.0725414160405605E-2</v>
      </c>
      <c r="AL9">
        <f t="shared" si="11"/>
        <v>0</v>
      </c>
      <c r="AM9">
        <f t="shared" si="12"/>
        <v>0</v>
      </c>
      <c r="AN9">
        <f t="shared" si="13"/>
        <v>2.3195920455741694E-4</v>
      </c>
      <c r="AO9">
        <f t="shared" si="14"/>
        <v>1.900351794593086E-4</v>
      </c>
      <c r="AP9">
        <f t="shared" si="15"/>
        <v>1</v>
      </c>
      <c r="AR9">
        <f t="shared" si="16"/>
        <v>40384.656336201624</v>
      </c>
      <c r="AS9">
        <f t="shared" si="17"/>
        <v>0</v>
      </c>
      <c r="AT9">
        <f t="shared" si="18"/>
        <v>0</v>
      </c>
      <c r="AU9">
        <f t="shared" si="19"/>
        <v>1280.7266065018687</v>
      </c>
      <c r="AV9">
        <f t="shared" si="20"/>
        <v>0</v>
      </c>
      <c r="AW9">
        <f t="shared" si="21"/>
        <v>0</v>
      </c>
      <c r="AX9">
        <f t="shared" si="22"/>
        <v>9.6687492428506197</v>
      </c>
      <c r="AY9">
        <f t="shared" si="23"/>
        <v>7.9212312398551905</v>
      </c>
      <c r="AZ9">
        <f t="shared" si="24"/>
        <v>41682.9729231862</v>
      </c>
      <c r="BB9">
        <f t="shared" si="25"/>
        <v>1.27556058612805E-2</v>
      </c>
      <c r="BC9">
        <f t="shared" si="26"/>
        <v>1.4561193905571346E-6</v>
      </c>
      <c r="BE9">
        <v>74942.3</v>
      </c>
      <c r="BF9">
        <f t="shared" si="2"/>
        <v>1.7979115870191031</v>
      </c>
    </row>
    <row r="10" spans="1:58" x14ac:dyDescent="0.2">
      <c r="A10" s="6">
        <v>1997</v>
      </c>
      <c r="B10" s="1">
        <v>42447.935472184821</v>
      </c>
      <c r="D10">
        <v>3216236</v>
      </c>
      <c r="E10">
        <v>0</v>
      </c>
      <c r="F10">
        <v>0</v>
      </c>
      <c r="G10">
        <v>105709</v>
      </c>
      <c r="H10">
        <v>0</v>
      </c>
      <c r="I10">
        <v>0</v>
      </c>
      <c r="J10">
        <v>752</v>
      </c>
      <c r="K10" s="7">
        <v>498</v>
      </c>
      <c r="L10">
        <f t="shared" si="3"/>
        <v>3323195</v>
      </c>
      <c r="N10">
        <v>257127</v>
      </c>
      <c r="O10">
        <v>0</v>
      </c>
      <c r="P10">
        <v>0</v>
      </c>
      <c r="Q10">
        <v>13428</v>
      </c>
      <c r="R10">
        <v>0</v>
      </c>
      <c r="S10">
        <v>0</v>
      </c>
      <c r="T10">
        <v>61</v>
      </c>
      <c r="U10">
        <v>0</v>
      </c>
      <c r="V10">
        <f t="shared" si="4"/>
        <v>270616</v>
      </c>
      <c r="X10">
        <f t="shared" si="27"/>
        <v>206923</v>
      </c>
      <c r="Y10">
        <f t="shared" si="28"/>
        <v>0</v>
      </c>
      <c r="Z10">
        <f t="shared" si="29"/>
        <v>0</v>
      </c>
      <c r="AA10">
        <f t="shared" si="30"/>
        <v>8124</v>
      </c>
      <c r="AB10">
        <f t="shared" si="31"/>
        <v>0</v>
      </c>
      <c r="AC10">
        <f t="shared" si="32"/>
        <v>0</v>
      </c>
      <c r="AD10">
        <f t="shared" si="33"/>
        <v>67</v>
      </c>
      <c r="AE10">
        <f t="shared" si="34"/>
        <v>123</v>
      </c>
      <c r="AF10">
        <f t="shared" si="6"/>
        <v>215237</v>
      </c>
      <c r="AH10">
        <f t="shared" si="7"/>
        <v>0.96781440752047354</v>
      </c>
      <c r="AI10">
        <f t="shared" si="8"/>
        <v>0</v>
      </c>
      <c r="AJ10">
        <f t="shared" si="9"/>
        <v>0</v>
      </c>
      <c r="AK10">
        <f t="shared" si="10"/>
        <v>3.1809448437422422E-2</v>
      </c>
      <c r="AL10">
        <f t="shared" si="11"/>
        <v>0</v>
      </c>
      <c r="AM10">
        <f t="shared" si="12"/>
        <v>0</v>
      </c>
      <c r="AN10">
        <f t="shared" si="13"/>
        <v>2.2628825572980219E-4</v>
      </c>
      <c r="AO10">
        <f t="shared" si="14"/>
        <v>1.498557863742573E-4</v>
      </c>
      <c r="AP10">
        <f t="shared" si="15"/>
        <v>1</v>
      </c>
      <c r="AR10">
        <f t="shared" si="16"/>
        <v>41081.723519479849</v>
      </c>
      <c r="AS10">
        <f t="shared" si="17"/>
        <v>0</v>
      </c>
      <c r="AT10">
        <f t="shared" si="18"/>
        <v>0</v>
      </c>
      <c r="AU10">
        <f t="shared" si="19"/>
        <v>1350.2454146774974</v>
      </c>
      <c r="AV10">
        <f t="shared" si="20"/>
        <v>0</v>
      </c>
      <c r="AW10">
        <f t="shared" si="21"/>
        <v>0</v>
      </c>
      <c r="AX10">
        <f t="shared" si="22"/>
        <v>9.6054692773319008</v>
      </c>
      <c r="AY10">
        <f t="shared" si="23"/>
        <v>6.3610687501479877</v>
      </c>
      <c r="AZ10">
        <f t="shared" si="24"/>
        <v>42447.935472184829</v>
      </c>
      <c r="BB10">
        <f t="shared" si="25"/>
        <v>1.277323042198391E-2</v>
      </c>
      <c r="BC10">
        <f t="shared" si="26"/>
        <v>1.4581313267104921E-6</v>
      </c>
      <c r="BE10">
        <v>75617.5</v>
      </c>
      <c r="BF10">
        <f t="shared" si="2"/>
        <v>1.7814176156941826</v>
      </c>
    </row>
    <row r="11" spans="1:58" x14ac:dyDescent="0.2">
      <c r="A11" s="6">
        <v>1998</v>
      </c>
      <c r="B11" s="1">
        <v>43443.046896446198</v>
      </c>
      <c r="D11">
        <v>3269339</v>
      </c>
      <c r="E11">
        <v>0</v>
      </c>
      <c r="F11">
        <v>0</v>
      </c>
      <c r="G11">
        <v>112736</v>
      </c>
      <c r="H11">
        <v>0</v>
      </c>
      <c r="I11">
        <v>0</v>
      </c>
      <c r="J11">
        <v>745</v>
      </c>
      <c r="K11" s="7">
        <v>422</v>
      </c>
      <c r="L11">
        <f t="shared" si="3"/>
        <v>3383242</v>
      </c>
      <c r="N11">
        <v>278426</v>
      </c>
      <c r="O11">
        <v>0</v>
      </c>
      <c r="P11">
        <v>0</v>
      </c>
      <c r="Q11">
        <v>16632</v>
      </c>
      <c r="R11">
        <v>0</v>
      </c>
      <c r="S11">
        <v>0</v>
      </c>
      <c r="T11">
        <v>57</v>
      </c>
      <c r="U11">
        <v>0</v>
      </c>
      <c r="V11">
        <f t="shared" si="4"/>
        <v>295115</v>
      </c>
      <c r="X11">
        <f t="shared" si="27"/>
        <v>225323</v>
      </c>
      <c r="Y11">
        <f t="shared" si="28"/>
        <v>0</v>
      </c>
      <c r="Z11">
        <f t="shared" si="29"/>
        <v>0</v>
      </c>
      <c r="AA11">
        <f t="shared" si="30"/>
        <v>9605</v>
      </c>
      <c r="AB11">
        <f t="shared" si="31"/>
        <v>0</v>
      </c>
      <c r="AC11">
        <f t="shared" si="32"/>
        <v>0</v>
      </c>
      <c r="AD11">
        <f t="shared" si="33"/>
        <v>64</v>
      </c>
      <c r="AE11">
        <f t="shared" si="34"/>
        <v>76</v>
      </c>
      <c r="AF11">
        <f t="shared" si="6"/>
        <v>235068</v>
      </c>
      <c r="AH11">
        <f t="shared" si="7"/>
        <v>0.96633317983165257</v>
      </c>
      <c r="AI11">
        <f t="shared" si="8"/>
        <v>0</v>
      </c>
      <c r="AJ11">
        <f t="shared" si="9"/>
        <v>0</v>
      </c>
      <c r="AK11">
        <f t="shared" si="10"/>
        <v>3.3321884748415867E-2</v>
      </c>
      <c r="AL11">
        <f t="shared" si="11"/>
        <v>0</v>
      </c>
      <c r="AM11">
        <f t="shared" si="12"/>
        <v>0</v>
      </c>
      <c r="AN11">
        <f t="shared" si="13"/>
        <v>2.2020298873092731E-4</v>
      </c>
      <c r="AO11">
        <f t="shared" si="14"/>
        <v>1.247324312006058E-4</v>
      </c>
      <c r="AP11">
        <f t="shared" si="15"/>
        <v>1</v>
      </c>
      <c r="AR11">
        <f t="shared" si="16"/>
        <v>41980.457649018463</v>
      </c>
      <c r="AS11">
        <f t="shared" si="17"/>
        <v>0</v>
      </c>
      <c r="AT11">
        <f t="shared" si="18"/>
        <v>0</v>
      </c>
      <c r="AU11">
        <f t="shared" si="19"/>
        <v>1447.6042018034059</v>
      </c>
      <c r="AV11">
        <f t="shared" si="20"/>
        <v>0</v>
      </c>
      <c r="AW11">
        <f t="shared" si="21"/>
        <v>0</v>
      </c>
      <c r="AX11">
        <f t="shared" si="22"/>
        <v>9.5662887661752887</v>
      </c>
      <c r="AY11">
        <f t="shared" si="23"/>
        <v>5.4187568581556667</v>
      </c>
      <c r="AZ11">
        <f t="shared" si="24"/>
        <v>43443.046896446198</v>
      </c>
      <c r="BB11">
        <f t="shared" si="25"/>
        <v>1.2840656061980253E-2</v>
      </c>
      <c r="BC11">
        <f t="shared" si="26"/>
        <v>1.4658283175776544E-6</v>
      </c>
      <c r="BE11">
        <v>76638.899999999994</v>
      </c>
      <c r="BF11">
        <f t="shared" si="2"/>
        <v>1.7641235013437637</v>
      </c>
    </row>
    <row r="12" spans="1:58" x14ac:dyDescent="0.2">
      <c r="A12" s="6">
        <v>1999</v>
      </c>
      <c r="B12" s="3">
        <v>44405.582466648295</v>
      </c>
      <c r="D12">
        <v>3342201</v>
      </c>
      <c r="E12">
        <v>0</v>
      </c>
      <c r="F12">
        <v>0</v>
      </c>
      <c r="G12">
        <v>123969</v>
      </c>
      <c r="H12">
        <v>0</v>
      </c>
      <c r="I12">
        <v>0</v>
      </c>
      <c r="J12">
        <v>723</v>
      </c>
      <c r="K12" s="7">
        <v>352</v>
      </c>
      <c r="L12">
        <f t="shared" si="3"/>
        <v>3467245</v>
      </c>
      <c r="N12">
        <v>293896</v>
      </c>
      <c r="O12">
        <v>0</v>
      </c>
      <c r="P12">
        <v>0</v>
      </c>
      <c r="Q12">
        <v>20719</v>
      </c>
      <c r="R12">
        <v>0</v>
      </c>
      <c r="S12">
        <v>0</v>
      </c>
      <c r="T12">
        <v>69</v>
      </c>
      <c r="U12">
        <v>0</v>
      </c>
      <c r="V12">
        <f t="shared" si="4"/>
        <v>314684</v>
      </c>
      <c r="X12">
        <f t="shared" si="27"/>
        <v>221034</v>
      </c>
      <c r="Y12">
        <f t="shared" si="28"/>
        <v>0</v>
      </c>
      <c r="Z12">
        <f t="shared" si="29"/>
        <v>0</v>
      </c>
      <c r="AA12">
        <f t="shared" si="30"/>
        <v>9486</v>
      </c>
      <c r="AB12">
        <f t="shared" si="31"/>
        <v>0</v>
      </c>
      <c r="AC12">
        <f t="shared" si="32"/>
        <v>0</v>
      </c>
      <c r="AD12">
        <f t="shared" si="33"/>
        <v>91</v>
      </c>
      <c r="AE12">
        <f t="shared" si="34"/>
        <v>70</v>
      </c>
      <c r="AF12">
        <f t="shared" si="6"/>
        <v>230681</v>
      </c>
      <c r="AH12">
        <f t="shared" si="7"/>
        <v>0.96393563189217957</v>
      </c>
      <c r="AI12">
        <f t="shared" si="8"/>
        <v>0</v>
      </c>
      <c r="AJ12">
        <f t="shared" si="9"/>
        <v>0</v>
      </c>
      <c r="AK12">
        <f t="shared" si="10"/>
        <v>3.5754323677732611E-2</v>
      </c>
      <c r="AL12">
        <f t="shared" si="11"/>
        <v>0</v>
      </c>
      <c r="AM12">
        <f t="shared" si="12"/>
        <v>0</v>
      </c>
      <c r="AN12">
        <f t="shared" si="13"/>
        <v>2.0852290507304791E-4</v>
      </c>
      <c r="AO12">
        <f t="shared" si="14"/>
        <v>1.0152152501481724E-4</v>
      </c>
      <c r="AP12">
        <f t="shared" si="15"/>
        <v>1</v>
      </c>
      <c r="AR12">
        <f t="shared" si="16"/>
        <v>42804.123194528911</v>
      </c>
      <c r="AS12">
        <f t="shared" si="17"/>
        <v>0</v>
      </c>
      <c r="AT12">
        <f t="shared" si="18"/>
        <v>0</v>
      </c>
      <c r="AU12">
        <f t="shared" si="19"/>
        <v>1587.6915686107911</v>
      </c>
      <c r="AV12">
        <f t="shared" si="20"/>
        <v>0</v>
      </c>
      <c r="AW12">
        <f t="shared" si="21"/>
        <v>0</v>
      </c>
      <c r="AX12">
        <f t="shared" si="22"/>
        <v>9.2595810574063027</v>
      </c>
      <c r="AY12">
        <f t="shared" si="23"/>
        <v>4.5081224511853648</v>
      </c>
      <c r="AZ12">
        <f t="shared" si="24"/>
        <v>44405.582466648295</v>
      </c>
      <c r="BB12">
        <f t="shared" si="25"/>
        <v>1.2807166054503877E-2</v>
      </c>
      <c r="BC12">
        <f t="shared" si="26"/>
        <v>1.4620052573634564E-6</v>
      </c>
      <c r="BE12">
        <v>77626.600000000006</v>
      </c>
      <c r="BF12">
        <f t="shared" si="2"/>
        <v>1.7481270526808881</v>
      </c>
    </row>
    <row r="13" spans="1:58" x14ac:dyDescent="0.2">
      <c r="A13" s="6">
        <v>2000</v>
      </c>
      <c r="B13" s="3">
        <v>45612.684980865335</v>
      </c>
      <c r="D13">
        <v>3402236</v>
      </c>
      <c r="E13">
        <v>0</v>
      </c>
      <c r="F13">
        <v>0</v>
      </c>
      <c r="G13">
        <v>141862</v>
      </c>
      <c r="H13">
        <v>0</v>
      </c>
      <c r="I13">
        <v>0</v>
      </c>
      <c r="J13">
        <v>754</v>
      </c>
      <c r="K13" s="7">
        <v>319</v>
      </c>
      <c r="L13">
        <f t="shared" si="3"/>
        <v>3545171</v>
      </c>
      <c r="N13">
        <v>285407</v>
      </c>
      <c r="O13">
        <v>0</v>
      </c>
      <c r="P13">
        <v>0</v>
      </c>
      <c r="Q13">
        <v>28983</v>
      </c>
      <c r="R13">
        <v>0</v>
      </c>
      <c r="S13">
        <v>0</v>
      </c>
      <c r="T13">
        <v>64</v>
      </c>
      <c r="U13">
        <v>0</v>
      </c>
      <c r="V13">
        <f t="shared" si="4"/>
        <v>314454</v>
      </c>
      <c r="X13">
        <f t="shared" si="27"/>
        <v>225372</v>
      </c>
      <c r="Y13">
        <f t="shared" si="28"/>
        <v>0</v>
      </c>
      <c r="Z13">
        <f t="shared" si="29"/>
        <v>0</v>
      </c>
      <c r="AA13">
        <f t="shared" si="30"/>
        <v>11090</v>
      </c>
      <c r="AB13">
        <f t="shared" si="31"/>
        <v>0</v>
      </c>
      <c r="AC13">
        <f t="shared" si="32"/>
        <v>0</v>
      </c>
      <c r="AD13">
        <f t="shared" si="33"/>
        <v>33</v>
      </c>
      <c r="AE13">
        <f t="shared" si="34"/>
        <v>33</v>
      </c>
      <c r="AF13">
        <f t="shared" si="6"/>
        <v>236528</v>
      </c>
      <c r="AH13">
        <f t="shared" si="7"/>
        <v>0.95968177557584666</v>
      </c>
      <c r="AI13">
        <f t="shared" si="8"/>
        <v>0</v>
      </c>
      <c r="AJ13">
        <f t="shared" si="9"/>
        <v>0</v>
      </c>
      <c r="AK13">
        <f t="shared" si="10"/>
        <v>4.001555919305444E-2</v>
      </c>
      <c r="AL13">
        <f t="shared" si="11"/>
        <v>0</v>
      </c>
      <c r="AM13">
        <f t="shared" si="12"/>
        <v>0</v>
      </c>
      <c r="AN13">
        <f t="shared" si="13"/>
        <v>2.1268367590731167E-4</v>
      </c>
      <c r="AO13">
        <f t="shared" si="14"/>
        <v>8.9981555191554939E-5</v>
      </c>
      <c r="AP13">
        <f t="shared" si="15"/>
        <v>1</v>
      </c>
      <c r="AR13">
        <f t="shared" si="16"/>
        <v>43773.662511218601</v>
      </c>
      <c r="AS13">
        <f t="shared" si="17"/>
        <v>0</v>
      </c>
      <c r="AT13">
        <f t="shared" si="18"/>
        <v>0</v>
      </c>
      <c r="AU13">
        <f t="shared" si="19"/>
        <v>1825.2170958059621</v>
      </c>
      <c r="AV13">
        <f t="shared" si="20"/>
        <v>0</v>
      </c>
      <c r="AW13">
        <f t="shared" si="21"/>
        <v>0</v>
      </c>
      <c r="AX13">
        <f t="shared" si="22"/>
        <v>9.7010735097326659</v>
      </c>
      <c r="AY13">
        <f t="shared" si="23"/>
        <v>4.1043003310407435</v>
      </c>
      <c r="AZ13">
        <f t="shared" si="24"/>
        <v>45612.684980865342</v>
      </c>
      <c r="BB13">
        <f t="shared" si="25"/>
        <v>1.2866145238372236E-2</v>
      </c>
      <c r="BC13">
        <f t="shared" si="26"/>
        <v>1.4687380409100727E-6</v>
      </c>
      <c r="BE13">
        <v>79142.100000000006</v>
      </c>
      <c r="BF13">
        <f t="shared" si="2"/>
        <v>1.7350897022001746</v>
      </c>
    </row>
    <row r="14" spans="1:58" x14ac:dyDescent="0.2">
      <c r="A14" s="6">
        <v>2001</v>
      </c>
      <c r="B14" s="1">
        <v>46202.491211481203</v>
      </c>
      <c r="D14">
        <v>3456397</v>
      </c>
      <c r="E14">
        <v>0</v>
      </c>
      <c r="F14">
        <v>0</v>
      </c>
      <c r="G14">
        <v>172096</v>
      </c>
      <c r="H14">
        <v>0</v>
      </c>
      <c r="I14">
        <v>0</v>
      </c>
      <c r="J14">
        <v>690</v>
      </c>
      <c r="K14" s="7">
        <v>457</v>
      </c>
      <c r="L14">
        <f t="shared" si="3"/>
        <v>3629640</v>
      </c>
      <c r="N14">
        <v>272734</v>
      </c>
      <c r="O14">
        <v>0</v>
      </c>
      <c r="P14">
        <v>0</v>
      </c>
      <c r="Q14">
        <v>41716</v>
      </c>
      <c r="R14">
        <v>0</v>
      </c>
      <c r="S14">
        <v>0</v>
      </c>
      <c r="T14">
        <v>16</v>
      </c>
      <c r="U14" s="9">
        <f>K14-K13</f>
        <v>138</v>
      </c>
      <c r="V14">
        <f t="shared" si="4"/>
        <v>314604</v>
      </c>
      <c r="X14">
        <f t="shared" si="27"/>
        <v>218573</v>
      </c>
      <c r="Y14">
        <f t="shared" si="28"/>
        <v>0</v>
      </c>
      <c r="Z14">
        <f t="shared" si="29"/>
        <v>0</v>
      </c>
      <c r="AA14">
        <f t="shared" si="30"/>
        <v>11482</v>
      </c>
      <c r="AB14">
        <f t="shared" si="31"/>
        <v>0</v>
      </c>
      <c r="AC14">
        <f t="shared" si="32"/>
        <v>0</v>
      </c>
      <c r="AD14">
        <f t="shared" si="33"/>
        <v>80</v>
      </c>
      <c r="AE14">
        <f t="shared" si="34"/>
        <v>0</v>
      </c>
      <c r="AF14">
        <f t="shared" si="6"/>
        <v>230135</v>
      </c>
      <c r="AH14">
        <f t="shared" si="7"/>
        <v>0.95226992208593686</v>
      </c>
      <c r="AI14">
        <f t="shared" si="8"/>
        <v>0</v>
      </c>
      <c r="AJ14">
        <f t="shared" si="9"/>
        <v>0</v>
      </c>
      <c r="AK14">
        <f t="shared" si="10"/>
        <v>4.7414068612865186E-2</v>
      </c>
      <c r="AL14">
        <f t="shared" si="11"/>
        <v>0</v>
      </c>
      <c r="AM14">
        <f t="shared" si="12"/>
        <v>0</v>
      </c>
      <c r="AN14">
        <f t="shared" si="13"/>
        <v>1.9010149766919034E-4</v>
      </c>
      <c r="AO14">
        <f t="shared" si="14"/>
        <v>1.2590780352872462E-4</v>
      </c>
      <c r="AP14">
        <f t="shared" si="15"/>
        <v>1</v>
      </c>
      <c r="AR14">
        <f t="shared" si="16"/>
        <v>43997.242706133387</v>
      </c>
      <c r="AS14">
        <f t="shared" si="17"/>
        <v>0</v>
      </c>
      <c r="AT14">
        <f t="shared" si="18"/>
        <v>0</v>
      </c>
      <c r="AU14">
        <f t="shared" si="19"/>
        <v>2190.6480883864706</v>
      </c>
      <c r="AV14">
        <f t="shared" si="20"/>
        <v>0</v>
      </c>
      <c r="AW14">
        <f t="shared" si="21"/>
        <v>0</v>
      </c>
      <c r="AX14">
        <f t="shared" si="22"/>
        <v>8.7831627753501813</v>
      </c>
      <c r="AY14">
        <f t="shared" si="23"/>
        <v>5.8172541859928018</v>
      </c>
      <c r="AZ14">
        <f t="shared" si="24"/>
        <v>46202.491211481196</v>
      </c>
      <c r="BB14">
        <f t="shared" si="25"/>
        <v>1.2729221413550987E-2</v>
      </c>
      <c r="BC14">
        <f t="shared" si="26"/>
        <v>1.4531074673003409E-6</v>
      </c>
      <c r="BE14">
        <v>79574.100000000006</v>
      </c>
      <c r="BF14">
        <f t="shared" si="2"/>
        <v>1.7222902469862067</v>
      </c>
    </row>
    <row r="15" spans="1:58" x14ac:dyDescent="0.2">
      <c r="A15" s="6">
        <v>2002</v>
      </c>
      <c r="B15" s="1">
        <v>46837.216355955519</v>
      </c>
      <c r="D15">
        <v>3486673</v>
      </c>
      <c r="E15">
        <v>0</v>
      </c>
      <c r="F15">
        <v>0</v>
      </c>
      <c r="G15">
        <v>213184</v>
      </c>
      <c r="H15">
        <v>0</v>
      </c>
      <c r="I15">
        <v>0</v>
      </c>
      <c r="J15">
        <v>676</v>
      </c>
      <c r="K15" s="7">
        <v>332</v>
      </c>
      <c r="L15">
        <f t="shared" si="3"/>
        <v>3700865</v>
      </c>
      <c r="N15">
        <v>240771</v>
      </c>
      <c r="O15">
        <v>0</v>
      </c>
      <c r="P15">
        <v>0</v>
      </c>
      <c r="Q15">
        <v>52097</v>
      </c>
      <c r="R15">
        <v>0</v>
      </c>
      <c r="S15">
        <v>0</v>
      </c>
      <c r="T15">
        <v>75</v>
      </c>
      <c r="U15">
        <v>0</v>
      </c>
      <c r="V15">
        <f t="shared" si="4"/>
        <v>292943</v>
      </c>
      <c r="X15">
        <f t="shared" si="27"/>
        <v>210495</v>
      </c>
      <c r="Y15">
        <f t="shared" si="28"/>
        <v>0</v>
      </c>
      <c r="Z15">
        <f t="shared" si="29"/>
        <v>0</v>
      </c>
      <c r="AA15">
        <f t="shared" si="30"/>
        <v>11009</v>
      </c>
      <c r="AB15">
        <f t="shared" si="31"/>
        <v>0</v>
      </c>
      <c r="AC15">
        <f t="shared" si="32"/>
        <v>0</v>
      </c>
      <c r="AD15">
        <f t="shared" si="33"/>
        <v>89</v>
      </c>
      <c r="AE15">
        <f t="shared" si="34"/>
        <v>125</v>
      </c>
      <c r="AF15">
        <f t="shared" si="6"/>
        <v>221718</v>
      </c>
      <c r="AH15">
        <f t="shared" si="7"/>
        <v>0.94212380078711333</v>
      </c>
      <c r="AI15">
        <f t="shared" si="8"/>
        <v>0</v>
      </c>
      <c r="AJ15">
        <f t="shared" si="9"/>
        <v>0</v>
      </c>
      <c r="AK15">
        <f t="shared" si="10"/>
        <v>5.7603830455852892E-2</v>
      </c>
      <c r="AL15">
        <f t="shared" si="11"/>
        <v>0</v>
      </c>
      <c r="AM15">
        <f t="shared" si="12"/>
        <v>0</v>
      </c>
      <c r="AN15">
        <f t="shared" si="13"/>
        <v>1.826599997568136E-4</v>
      </c>
      <c r="AO15">
        <f t="shared" si="14"/>
        <v>8.9708757277014969E-5</v>
      </c>
      <c r="AP15">
        <f t="shared" si="15"/>
        <v>1.0000000000000002</v>
      </c>
      <c r="AR15">
        <f t="shared" si="16"/>
        <v>44126.45629156116</v>
      </c>
      <c r="AS15">
        <f t="shared" si="17"/>
        <v>0</v>
      </c>
      <c r="AT15">
        <f t="shared" si="18"/>
        <v>0</v>
      </c>
      <c r="AU15">
        <f t="shared" si="19"/>
        <v>2698.0030699925619</v>
      </c>
      <c r="AV15">
        <f t="shared" si="20"/>
        <v>0</v>
      </c>
      <c r="AW15">
        <f t="shared" si="21"/>
        <v>0</v>
      </c>
      <c r="AX15">
        <f t="shared" si="22"/>
        <v>8.5552859281886615</v>
      </c>
      <c r="AY15">
        <f t="shared" si="23"/>
        <v>4.2017084736074493</v>
      </c>
      <c r="AZ15">
        <f t="shared" si="24"/>
        <v>46837.216355955519</v>
      </c>
      <c r="BB15">
        <f t="shared" si="25"/>
        <v>1.2655748414480269E-2</v>
      </c>
      <c r="BC15">
        <f t="shared" si="26"/>
        <v>1.4447201386393001E-6</v>
      </c>
      <c r="BE15">
        <v>80397</v>
      </c>
      <c r="BF15">
        <f t="shared" si="2"/>
        <v>1.7165196024673066</v>
      </c>
    </row>
    <row r="16" spans="1:58" x14ac:dyDescent="0.2">
      <c r="A16" s="6">
        <v>2003</v>
      </c>
      <c r="B16" s="1">
        <v>47323.005225513603</v>
      </c>
      <c r="D16">
        <v>3490616</v>
      </c>
      <c r="E16">
        <v>0</v>
      </c>
      <c r="F16">
        <v>0</v>
      </c>
      <c r="G16">
        <v>261987</v>
      </c>
      <c r="H16">
        <v>0</v>
      </c>
      <c r="I16">
        <v>0</v>
      </c>
      <c r="J16">
        <v>651</v>
      </c>
      <c r="K16" s="7">
        <v>552</v>
      </c>
      <c r="L16">
        <f t="shared" si="3"/>
        <v>3753806</v>
      </c>
      <c r="N16">
        <v>211547</v>
      </c>
      <c r="O16">
        <v>0</v>
      </c>
      <c r="P16">
        <v>0</v>
      </c>
      <c r="Q16">
        <v>57912</v>
      </c>
      <c r="R16">
        <v>0</v>
      </c>
      <c r="S16">
        <v>0</v>
      </c>
      <c r="T16">
        <v>18</v>
      </c>
      <c r="U16" s="9">
        <f>K16-K15</f>
        <v>220</v>
      </c>
      <c r="V16">
        <f t="shared" si="4"/>
        <v>269697</v>
      </c>
      <c r="X16">
        <f t="shared" si="27"/>
        <v>207604</v>
      </c>
      <c r="Y16">
        <f t="shared" si="28"/>
        <v>0</v>
      </c>
      <c r="Z16">
        <f t="shared" si="29"/>
        <v>0</v>
      </c>
      <c r="AA16">
        <f t="shared" si="30"/>
        <v>9109</v>
      </c>
      <c r="AB16">
        <f t="shared" si="31"/>
        <v>0</v>
      </c>
      <c r="AC16">
        <f t="shared" si="32"/>
        <v>0</v>
      </c>
      <c r="AD16">
        <f t="shared" si="33"/>
        <v>43</v>
      </c>
      <c r="AE16">
        <f t="shared" si="34"/>
        <v>0</v>
      </c>
      <c r="AF16">
        <f t="shared" si="6"/>
        <v>216756</v>
      </c>
      <c r="AH16">
        <f t="shared" si="7"/>
        <v>0.92988715985855419</v>
      </c>
      <c r="AI16">
        <f t="shared" si="8"/>
        <v>0</v>
      </c>
      <c r="AJ16">
        <f t="shared" si="9"/>
        <v>0</v>
      </c>
      <c r="AK16">
        <f t="shared" si="10"/>
        <v>6.9792365401941392E-2</v>
      </c>
      <c r="AL16">
        <f t="shared" si="11"/>
        <v>0</v>
      </c>
      <c r="AM16">
        <f t="shared" si="12"/>
        <v>0</v>
      </c>
      <c r="AN16">
        <f t="shared" si="13"/>
        <v>1.7342398621559025E-4</v>
      </c>
      <c r="AO16">
        <f t="shared" si="14"/>
        <v>1.4705075328879543E-4</v>
      </c>
      <c r="AP16">
        <f t="shared" si="15"/>
        <v>0.99999999999999989</v>
      </c>
      <c r="AR16">
        <f t="shared" si="16"/>
        <v>44005.054925124365</v>
      </c>
      <c r="AS16">
        <f t="shared" si="17"/>
        <v>0</v>
      </c>
      <c r="AT16">
        <f t="shared" si="18"/>
        <v>0</v>
      </c>
      <c r="AU16">
        <f t="shared" si="19"/>
        <v>3302.7844726170274</v>
      </c>
      <c r="AV16">
        <f t="shared" si="20"/>
        <v>0</v>
      </c>
      <c r="AW16">
        <f t="shared" si="21"/>
        <v>0</v>
      </c>
      <c r="AX16">
        <f t="shared" si="22"/>
        <v>8.2069442059097764</v>
      </c>
      <c r="AY16">
        <f t="shared" si="23"/>
        <v>6.9588835663013784</v>
      </c>
      <c r="AZ16">
        <f t="shared" si="24"/>
        <v>47323.005225513603</v>
      </c>
      <c r="BB16">
        <f t="shared" si="25"/>
        <v>1.2606673127357568E-2</v>
      </c>
      <c r="BC16">
        <f t="shared" si="26"/>
        <v>1.4391179369129643E-6</v>
      </c>
      <c r="BE16">
        <v>81056.600000000006</v>
      </c>
      <c r="BF16">
        <f t="shared" si="2"/>
        <v>1.7128371204181123</v>
      </c>
    </row>
    <row r="17" spans="1:58" x14ac:dyDescent="0.2">
      <c r="A17" s="6">
        <v>2004</v>
      </c>
      <c r="B17" s="1">
        <v>47856.009129435704</v>
      </c>
      <c r="D17">
        <v>3489843</v>
      </c>
      <c r="E17">
        <v>0</v>
      </c>
      <c r="F17">
        <v>0</v>
      </c>
      <c r="G17">
        <v>319905</v>
      </c>
      <c r="H17">
        <v>0</v>
      </c>
      <c r="I17">
        <v>0</v>
      </c>
      <c r="J17">
        <v>625</v>
      </c>
      <c r="K17" s="7">
        <v>895</v>
      </c>
      <c r="L17">
        <f t="shared" si="3"/>
        <v>3811268</v>
      </c>
      <c r="N17">
        <v>197776</v>
      </c>
      <c r="O17">
        <v>0</v>
      </c>
      <c r="P17">
        <v>0</v>
      </c>
      <c r="Q17">
        <v>69280</v>
      </c>
      <c r="R17">
        <v>0</v>
      </c>
      <c r="S17">
        <v>0</v>
      </c>
      <c r="T17">
        <v>20</v>
      </c>
      <c r="U17" s="9">
        <f>K17-K16</f>
        <v>343</v>
      </c>
      <c r="V17">
        <f t="shared" si="4"/>
        <v>267419</v>
      </c>
      <c r="X17">
        <f t="shared" si="27"/>
        <v>198549</v>
      </c>
      <c r="Y17">
        <f t="shared" si="28"/>
        <v>0</v>
      </c>
      <c r="Z17">
        <f t="shared" si="29"/>
        <v>0</v>
      </c>
      <c r="AA17">
        <f t="shared" si="30"/>
        <v>11362</v>
      </c>
      <c r="AB17">
        <f t="shared" si="31"/>
        <v>0</v>
      </c>
      <c r="AC17">
        <f t="shared" si="32"/>
        <v>0</v>
      </c>
      <c r="AD17">
        <f t="shared" si="33"/>
        <v>46</v>
      </c>
      <c r="AE17">
        <f t="shared" si="34"/>
        <v>0</v>
      </c>
      <c r="AF17">
        <f t="shared" si="6"/>
        <v>209957</v>
      </c>
      <c r="AH17">
        <f t="shared" si="7"/>
        <v>0.91566455048556017</v>
      </c>
      <c r="AI17">
        <f t="shared" si="8"/>
        <v>0</v>
      </c>
      <c r="AJ17">
        <f t="shared" si="9"/>
        <v>0</v>
      </c>
      <c r="AK17">
        <f t="shared" si="10"/>
        <v>8.3936632112987075E-2</v>
      </c>
      <c r="AL17">
        <f t="shared" si="11"/>
        <v>0</v>
      </c>
      <c r="AM17">
        <f t="shared" si="12"/>
        <v>0</v>
      </c>
      <c r="AN17">
        <f t="shared" si="13"/>
        <v>1.6398741836050364E-4</v>
      </c>
      <c r="AO17">
        <f t="shared" si="14"/>
        <v>2.3482998309224122E-4</v>
      </c>
      <c r="AP17">
        <f t="shared" si="15"/>
        <v>1</v>
      </c>
      <c r="AR17">
        <f t="shared" si="16"/>
        <v>43820.051087537606</v>
      </c>
      <c r="AS17">
        <f t="shared" si="17"/>
        <v>0</v>
      </c>
      <c r="AT17">
        <f t="shared" si="18"/>
        <v>0</v>
      </c>
      <c r="AU17">
        <f t="shared" si="19"/>
        <v>4016.8722326931957</v>
      </c>
      <c r="AV17">
        <f t="shared" si="20"/>
        <v>0</v>
      </c>
      <c r="AW17">
        <f t="shared" si="21"/>
        <v>0</v>
      </c>
      <c r="AX17">
        <f t="shared" si="22"/>
        <v>7.8477833901728546</v>
      </c>
      <c r="AY17">
        <f t="shared" si="23"/>
        <v>11.238025814727528</v>
      </c>
      <c r="AZ17">
        <f t="shared" si="24"/>
        <v>47856.009129435697</v>
      </c>
      <c r="BB17">
        <f t="shared" si="25"/>
        <v>1.2556453424276567E-2</v>
      </c>
      <c r="BC17">
        <f t="shared" si="26"/>
        <v>1.4333850940954986E-6</v>
      </c>
      <c r="BE17">
        <v>81805</v>
      </c>
      <c r="BF17">
        <f t="shared" si="2"/>
        <v>1.7093987043245242</v>
      </c>
    </row>
    <row r="18" spans="1:58" x14ac:dyDescent="0.2">
      <c r="A18">
        <v>2005</v>
      </c>
      <c r="B18" s="1">
        <v>48039.968518961279</v>
      </c>
      <c r="D18">
        <v>3475004</v>
      </c>
      <c r="E18">
        <v>453</v>
      </c>
      <c r="F18">
        <v>0</v>
      </c>
      <c r="G18">
        <v>381189</v>
      </c>
      <c r="H18">
        <v>0</v>
      </c>
      <c r="I18">
        <v>0</v>
      </c>
      <c r="J18">
        <v>592</v>
      </c>
      <c r="K18">
        <v>1187</v>
      </c>
      <c r="L18">
        <f t="shared" si="3"/>
        <v>3858425</v>
      </c>
      <c r="N18">
        <v>185120</v>
      </c>
      <c r="O18">
        <v>604</v>
      </c>
      <c r="P18">
        <v>0</v>
      </c>
      <c r="Q18">
        <v>74114</v>
      </c>
      <c r="R18">
        <v>0</v>
      </c>
      <c r="S18">
        <v>0</v>
      </c>
      <c r="T18">
        <v>13</v>
      </c>
      <c r="U18">
        <v>442</v>
      </c>
      <c r="V18">
        <f t="shared" si="4"/>
        <v>260293</v>
      </c>
      <c r="X18">
        <f t="shared" si="27"/>
        <v>199959</v>
      </c>
      <c r="Y18">
        <f t="shared" si="28"/>
        <v>151</v>
      </c>
      <c r="Z18">
        <f t="shared" si="29"/>
        <v>0</v>
      </c>
      <c r="AA18">
        <f t="shared" si="30"/>
        <v>12830</v>
      </c>
      <c r="AB18">
        <f t="shared" si="31"/>
        <v>0</v>
      </c>
      <c r="AC18">
        <f t="shared" si="32"/>
        <v>0</v>
      </c>
      <c r="AD18">
        <f t="shared" si="33"/>
        <v>46</v>
      </c>
      <c r="AE18">
        <f t="shared" si="34"/>
        <v>150</v>
      </c>
      <c r="AF18">
        <f t="shared" si="6"/>
        <v>213136</v>
      </c>
      <c r="AH18">
        <f t="shared" si="7"/>
        <v>0.9006275876815022</v>
      </c>
      <c r="AI18">
        <f t="shared" si="8"/>
        <v>1.1740541801382689E-4</v>
      </c>
      <c r="AJ18">
        <f t="shared" si="9"/>
        <v>0</v>
      </c>
      <c r="AK18">
        <f t="shared" si="10"/>
        <v>9.8793937940999235E-2</v>
      </c>
      <c r="AL18">
        <f t="shared" si="11"/>
        <v>0</v>
      </c>
      <c r="AM18">
        <f t="shared" si="12"/>
        <v>0</v>
      </c>
      <c r="AN18">
        <f t="shared" si="13"/>
        <v>1.5343048005338967E-4</v>
      </c>
      <c r="AO18">
        <f t="shared" si="14"/>
        <v>3.0763847943137421E-4</v>
      </c>
      <c r="AP18">
        <f t="shared" si="15"/>
        <v>1</v>
      </c>
      <c r="AR18">
        <f t="shared" si="16"/>
        <v>43266.120959527405</v>
      </c>
      <c r="AS18">
        <f t="shared" si="17"/>
        <v>5.6401525853397327</v>
      </c>
      <c r="AT18">
        <f t="shared" si="18"/>
        <v>0</v>
      </c>
      <c r="AU18">
        <f t="shared" si="19"/>
        <v>4746.0576685498172</v>
      </c>
      <c r="AV18">
        <f t="shared" si="20"/>
        <v>0</v>
      </c>
      <c r="AW18">
        <f t="shared" si="21"/>
        <v>0</v>
      </c>
      <c r="AX18">
        <f t="shared" si="22"/>
        <v>7.3707954316139563</v>
      </c>
      <c r="AY18">
        <f t="shared" si="23"/>
        <v>14.778942867104334</v>
      </c>
      <c r="AZ18">
        <f t="shared" si="24"/>
        <v>48039.968518961272</v>
      </c>
      <c r="BB18">
        <f t="shared" si="25"/>
        <v>1.2450667958807358E-2</v>
      </c>
      <c r="BC18">
        <f t="shared" si="26"/>
        <v>1.4213091277177351E-6</v>
      </c>
      <c r="BE18">
        <v>82014.3</v>
      </c>
      <c r="BF18">
        <f t="shared" si="2"/>
        <v>1.7072096949361888</v>
      </c>
    </row>
    <row r="19" spans="1:58" x14ac:dyDescent="0.2">
      <c r="A19">
        <v>2006</v>
      </c>
      <c r="B19" s="1">
        <v>48330.898658662438</v>
      </c>
      <c r="D19">
        <v>3442302</v>
      </c>
      <c r="E19">
        <v>1899</v>
      </c>
      <c r="F19">
        <v>0</v>
      </c>
      <c r="G19">
        <v>450992</v>
      </c>
      <c r="H19">
        <v>4</v>
      </c>
      <c r="I19">
        <v>0</v>
      </c>
      <c r="J19">
        <v>562</v>
      </c>
      <c r="K19">
        <v>2009</v>
      </c>
      <c r="L19">
        <f t="shared" si="3"/>
        <v>3897768</v>
      </c>
      <c r="N19">
        <v>185807</v>
      </c>
      <c r="O19">
        <v>1569</v>
      </c>
      <c r="P19">
        <v>0</v>
      </c>
      <c r="Q19">
        <v>80857</v>
      </c>
      <c r="R19" s="9">
        <f>H19-H18</f>
        <v>4</v>
      </c>
      <c r="S19">
        <v>0</v>
      </c>
      <c r="T19">
        <v>9</v>
      </c>
      <c r="U19">
        <v>1064</v>
      </c>
      <c r="V19">
        <f t="shared" si="4"/>
        <v>269310</v>
      </c>
      <c r="X19">
        <f t="shared" si="27"/>
        <v>218509</v>
      </c>
      <c r="Y19">
        <f t="shared" si="28"/>
        <v>123</v>
      </c>
      <c r="Z19">
        <f t="shared" si="29"/>
        <v>0</v>
      </c>
      <c r="AA19">
        <f t="shared" si="30"/>
        <v>11054</v>
      </c>
      <c r="AB19">
        <f t="shared" si="31"/>
        <v>0</v>
      </c>
      <c r="AC19">
        <f t="shared" si="32"/>
        <v>0</v>
      </c>
      <c r="AD19">
        <f t="shared" si="33"/>
        <v>39</v>
      </c>
      <c r="AE19">
        <f t="shared" si="34"/>
        <v>242</v>
      </c>
      <c r="AF19">
        <f t="shared" si="6"/>
        <v>229967</v>
      </c>
      <c r="AH19">
        <f t="shared" si="7"/>
        <v>0.88314697026605993</v>
      </c>
      <c r="AI19">
        <f t="shared" ref="AI19:AI32" si="35">E19/$L19</f>
        <v>4.8720190632177185E-4</v>
      </c>
      <c r="AJ19">
        <f t="shared" ref="AJ19:AJ32" si="36">F19/$L19</f>
        <v>0</v>
      </c>
      <c r="AK19">
        <f t="shared" ref="AK19:AK32" si="37">G19/$L19</f>
        <v>0.11570519333115772</v>
      </c>
      <c r="AL19">
        <f t="shared" ref="AL19:AL32" si="38">H19/$L19</f>
        <v>1.0262283440163703E-6</v>
      </c>
      <c r="AM19">
        <f t="shared" ref="AM19:AM32" si="39">I19/$L19</f>
        <v>0</v>
      </c>
      <c r="AN19">
        <f t="shared" ref="AN19:AN32" si="40">J19/$L19</f>
        <v>1.4418508233430004E-4</v>
      </c>
      <c r="AO19">
        <f t="shared" ref="AO19:AO32" si="41">K19/$L19</f>
        <v>5.1542318578222206E-4</v>
      </c>
      <c r="AP19">
        <f t="shared" si="15"/>
        <v>0.99999999999999989</v>
      </c>
      <c r="AR19">
        <f t="shared" si="16"/>
        <v>42683.286720633711</v>
      </c>
      <c r="AS19">
        <f t="shared" si="17"/>
        <v>23.546905960744706</v>
      </c>
      <c r="AT19">
        <f t="shared" si="18"/>
        <v>0</v>
      </c>
      <c r="AU19">
        <f t="shared" si="19"/>
        <v>5592.1359731691291</v>
      </c>
      <c r="AV19">
        <f t="shared" si="20"/>
        <v>4.9598538095302167E-2</v>
      </c>
      <c r="AW19">
        <f t="shared" si="21"/>
        <v>0</v>
      </c>
      <c r="AX19">
        <f t="shared" si="22"/>
        <v>6.9685946023899552</v>
      </c>
      <c r="AY19">
        <f t="shared" si="23"/>
        <v>24.910865758365517</v>
      </c>
      <c r="AZ19">
        <f t="shared" si="24"/>
        <v>48330.898658662431</v>
      </c>
      <c r="BB19">
        <f t="shared" si="25"/>
        <v>1.2399634523825543E-2</v>
      </c>
      <c r="BC19">
        <f t="shared" si="26"/>
        <v>1.4154833931307699E-6</v>
      </c>
      <c r="BE19">
        <v>82940.7</v>
      </c>
      <c r="BF19">
        <f t="shared" si="2"/>
        <v>1.7161009271888301</v>
      </c>
    </row>
    <row r="20" spans="1:58" x14ac:dyDescent="0.2">
      <c r="A20">
        <v>2007</v>
      </c>
      <c r="B20" s="1">
        <v>48727.996091082219</v>
      </c>
      <c r="D20">
        <v>3418081</v>
      </c>
      <c r="E20">
        <v>4889</v>
      </c>
      <c r="F20">
        <v>0</v>
      </c>
      <c r="G20">
        <v>524614</v>
      </c>
      <c r="H20">
        <v>3</v>
      </c>
      <c r="I20">
        <v>0</v>
      </c>
      <c r="J20">
        <v>528</v>
      </c>
      <c r="K20">
        <v>3543</v>
      </c>
      <c r="L20">
        <f t="shared" si="3"/>
        <v>3951658</v>
      </c>
      <c r="N20">
        <v>185055</v>
      </c>
      <c r="O20">
        <v>3219</v>
      </c>
      <c r="P20">
        <v>1</v>
      </c>
      <c r="Q20">
        <v>92333</v>
      </c>
      <c r="R20">
        <v>0</v>
      </c>
      <c r="S20">
        <v>0</v>
      </c>
      <c r="T20">
        <v>19</v>
      </c>
      <c r="U20">
        <v>1653</v>
      </c>
      <c r="V20">
        <f t="shared" si="4"/>
        <v>282280</v>
      </c>
      <c r="X20">
        <f t="shared" si="27"/>
        <v>209276</v>
      </c>
      <c r="Y20">
        <f t="shared" si="28"/>
        <v>229</v>
      </c>
      <c r="Z20">
        <f t="shared" si="29"/>
        <v>1</v>
      </c>
      <c r="AA20">
        <f t="shared" si="30"/>
        <v>18711</v>
      </c>
      <c r="AB20">
        <f t="shared" si="31"/>
        <v>1</v>
      </c>
      <c r="AC20">
        <f t="shared" si="32"/>
        <v>0</v>
      </c>
      <c r="AD20">
        <f t="shared" si="33"/>
        <v>53</v>
      </c>
      <c r="AE20">
        <f t="shared" si="34"/>
        <v>119</v>
      </c>
      <c r="AF20">
        <f t="shared" si="6"/>
        <v>228390</v>
      </c>
      <c r="AH20">
        <f t="shared" si="7"/>
        <v>0.86497389197142061</v>
      </c>
      <c r="AI20">
        <f t="shared" si="35"/>
        <v>1.2372022072760344E-3</v>
      </c>
      <c r="AJ20">
        <f t="shared" si="36"/>
        <v>0</v>
      </c>
      <c r="AK20">
        <f t="shared" si="37"/>
        <v>0.13275794615829609</v>
      </c>
      <c r="AL20">
        <f t="shared" si="38"/>
        <v>7.5917500957825801E-7</v>
      </c>
      <c r="AM20">
        <f t="shared" si="39"/>
        <v>0</v>
      </c>
      <c r="AN20">
        <f t="shared" si="40"/>
        <v>1.336148016857734E-4</v>
      </c>
      <c r="AO20">
        <f t="shared" si="41"/>
        <v>8.9658568631192275E-4</v>
      </c>
      <c r="AP20">
        <f t="shared" si="15"/>
        <v>0.99999999999999989</v>
      </c>
      <c r="AR20">
        <f t="shared" si="16"/>
        <v>42148.44442687156</v>
      </c>
      <c r="AS20">
        <f t="shared" si="17"/>
        <v>60.286384320024901</v>
      </c>
      <c r="AT20">
        <f t="shared" si="18"/>
        <v>0</v>
      </c>
      <c r="AU20">
        <f t="shared" si="19"/>
        <v>6469.0286814615556</v>
      </c>
      <c r="AV20">
        <f t="shared" si="20"/>
        <v>3.6993076899176663E-2</v>
      </c>
      <c r="AW20">
        <f t="shared" si="21"/>
        <v>0</v>
      </c>
      <c r="AX20">
        <f t="shared" si="22"/>
        <v>6.5107815342550923</v>
      </c>
      <c r="AY20">
        <f t="shared" si="23"/>
        <v>43.688823817927641</v>
      </c>
      <c r="AZ20">
        <f t="shared" si="24"/>
        <v>48727.996091082226</v>
      </c>
      <c r="BB20">
        <f t="shared" si="25"/>
        <v>1.2331025633058887E-2</v>
      </c>
      <c r="BC20">
        <f t="shared" si="26"/>
        <v>1.4076513279747588E-6</v>
      </c>
      <c r="BE20">
        <v>83931.9</v>
      </c>
      <c r="BF20">
        <f t="shared" si="2"/>
        <v>1.7224574522439779</v>
      </c>
    </row>
    <row r="21" spans="1:58" x14ac:dyDescent="0.2">
      <c r="A21">
        <v>2008</v>
      </c>
      <c r="B21" s="1">
        <v>49832.943812798097</v>
      </c>
      <c r="D21">
        <v>3370326</v>
      </c>
      <c r="E21">
        <v>10097</v>
      </c>
      <c r="F21">
        <v>0</v>
      </c>
      <c r="G21">
        <v>596480</v>
      </c>
      <c r="H21">
        <v>3</v>
      </c>
      <c r="I21">
        <v>0</v>
      </c>
      <c r="J21">
        <v>517</v>
      </c>
      <c r="K21">
        <v>4839</v>
      </c>
      <c r="L21">
        <f t="shared" si="3"/>
        <v>3982262</v>
      </c>
      <c r="N21">
        <v>189151</v>
      </c>
      <c r="O21" s="9">
        <f>E21-E20</f>
        <v>5208</v>
      </c>
      <c r="P21">
        <v>28</v>
      </c>
      <c r="Q21">
        <v>93366</v>
      </c>
      <c r="R21">
        <v>0</v>
      </c>
      <c r="S21">
        <v>1</v>
      </c>
      <c r="T21">
        <v>24</v>
      </c>
      <c r="U21" s="9">
        <f>K21-K20</f>
        <v>1296</v>
      </c>
      <c r="V21">
        <f t="shared" si="4"/>
        <v>289074</v>
      </c>
      <c r="X21">
        <f t="shared" si="27"/>
        <v>236906</v>
      </c>
      <c r="Y21">
        <f t="shared" si="28"/>
        <v>0</v>
      </c>
      <c r="Z21">
        <f t="shared" si="29"/>
        <v>28</v>
      </c>
      <c r="AA21">
        <f t="shared" si="30"/>
        <v>21500</v>
      </c>
      <c r="AB21">
        <f t="shared" si="31"/>
        <v>0</v>
      </c>
      <c r="AC21">
        <f t="shared" si="32"/>
        <v>1</v>
      </c>
      <c r="AD21">
        <f t="shared" si="33"/>
        <v>35</v>
      </c>
      <c r="AE21">
        <f t="shared" si="34"/>
        <v>0</v>
      </c>
      <c r="AF21">
        <f t="shared" si="6"/>
        <v>258470</v>
      </c>
      <c r="AH21">
        <f t="shared" si="7"/>
        <v>0.84633457065356321</v>
      </c>
      <c r="AI21">
        <f t="shared" si="35"/>
        <v>2.5354936465757402E-3</v>
      </c>
      <c r="AJ21">
        <f t="shared" si="36"/>
        <v>0</v>
      </c>
      <c r="AK21">
        <f t="shared" si="37"/>
        <v>0.14978421811523199</v>
      </c>
      <c r="AL21">
        <f t="shared" si="38"/>
        <v>7.5334068928664162E-7</v>
      </c>
      <c r="AM21">
        <f t="shared" si="39"/>
        <v>0</v>
      </c>
      <c r="AN21">
        <f t="shared" si="40"/>
        <v>1.2982571212039791E-4</v>
      </c>
      <c r="AO21">
        <f t="shared" si="41"/>
        <v>1.2151385318193528E-3</v>
      </c>
      <c r="AP21">
        <f t="shared" si="15"/>
        <v>1</v>
      </c>
      <c r="AR21">
        <f t="shared" si="16"/>
        <v>42175.34310620762</v>
      </c>
      <c r="AS21">
        <f t="shared" si="17"/>
        <v>126.35111242751542</v>
      </c>
      <c r="AT21">
        <f t="shared" si="18"/>
        <v>0</v>
      </c>
      <c r="AU21">
        <f t="shared" si="19"/>
        <v>7464.1885253802502</v>
      </c>
      <c r="AV21">
        <f t="shared" si="20"/>
        <v>3.7541184241115799E-2</v>
      </c>
      <c r="AW21">
        <f t="shared" si="21"/>
        <v>0</v>
      </c>
      <c r="AX21">
        <f t="shared" si="22"/>
        <v>6.4695974175522899</v>
      </c>
      <c r="AY21">
        <f t="shared" si="23"/>
        <v>60.553930180919785</v>
      </c>
      <c r="AZ21">
        <f t="shared" si="24"/>
        <v>49832.943812798097</v>
      </c>
      <c r="BB21">
        <f t="shared" si="25"/>
        <v>1.2513728080371933E-2</v>
      </c>
      <c r="BC21">
        <f t="shared" si="26"/>
        <v>1.4285077717319558E-6</v>
      </c>
      <c r="BE21">
        <v>86063.569829469314</v>
      </c>
      <c r="BF21">
        <f t="shared" si="2"/>
        <v>1.727041656474777</v>
      </c>
    </row>
    <row r="22" spans="1:58" x14ac:dyDescent="0.2">
      <c r="A22">
        <v>2009</v>
      </c>
      <c r="B22" s="1">
        <v>51111.594637207949</v>
      </c>
      <c r="D22">
        <v>3320810</v>
      </c>
      <c r="E22">
        <v>13121</v>
      </c>
      <c r="F22">
        <v>0</v>
      </c>
      <c r="G22">
        <v>666089</v>
      </c>
      <c r="H22">
        <v>10</v>
      </c>
      <c r="I22">
        <v>0</v>
      </c>
      <c r="J22">
        <v>512</v>
      </c>
      <c r="K22">
        <v>5926</v>
      </c>
      <c r="L22">
        <f t="shared" si="3"/>
        <v>4006468</v>
      </c>
      <c r="N22">
        <v>182174</v>
      </c>
      <c r="O22">
        <v>3875</v>
      </c>
      <c r="P22">
        <v>24</v>
      </c>
      <c r="Q22">
        <v>78755</v>
      </c>
      <c r="R22" s="9">
        <f>H22-H21</f>
        <v>7</v>
      </c>
      <c r="S22">
        <v>1</v>
      </c>
      <c r="T22">
        <v>57</v>
      </c>
      <c r="U22" s="9">
        <f>K22-K21</f>
        <v>1087</v>
      </c>
      <c r="V22">
        <f t="shared" si="4"/>
        <v>265980</v>
      </c>
      <c r="X22">
        <f t="shared" si="27"/>
        <v>231690</v>
      </c>
      <c r="Y22">
        <f t="shared" si="28"/>
        <v>851</v>
      </c>
      <c r="Z22">
        <f t="shared" si="29"/>
        <v>24</v>
      </c>
      <c r="AA22">
        <f t="shared" si="30"/>
        <v>9146</v>
      </c>
      <c r="AB22">
        <f t="shared" si="31"/>
        <v>0</v>
      </c>
      <c r="AC22">
        <f t="shared" si="32"/>
        <v>1</v>
      </c>
      <c r="AD22">
        <f t="shared" si="33"/>
        <v>62</v>
      </c>
      <c r="AE22">
        <f t="shared" si="34"/>
        <v>0</v>
      </c>
      <c r="AF22">
        <f t="shared" si="6"/>
        <v>241774</v>
      </c>
      <c r="AH22">
        <f t="shared" si="7"/>
        <v>0.82886222977445467</v>
      </c>
      <c r="AI22">
        <f t="shared" si="35"/>
        <v>3.2749543987372421E-3</v>
      </c>
      <c r="AJ22">
        <f t="shared" si="36"/>
        <v>0</v>
      </c>
      <c r="AK22">
        <f t="shared" si="37"/>
        <v>0.16625341822273385</v>
      </c>
      <c r="AL22">
        <f t="shared" si="38"/>
        <v>2.4959640261696836E-6</v>
      </c>
      <c r="AM22">
        <f t="shared" si="39"/>
        <v>0</v>
      </c>
      <c r="AN22">
        <f t="shared" si="40"/>
        <v>1.277933581398878E-4</v>
      </c>
      <c r="AO22">
        <f t="shared" si="41"/>
        <v>1.4791082819081546E-3</v>
      </c>
      <c r="AP22">
        <f t="shared" si="15"/>
        <v>0.99999999999999989</v>
      </c>
      <c r="AR22">
        <f t="shared" si="16"/>
        <v>42364.470298324239</v>
      </c>
      <c r="AS22">
        <f t="shared" si="17"/>
        <v>167.388141683599</v>
      </c>
      <c r="AT22">
        <f t="shared" si="18"/>
        <v>0</v>
      </c>
      <c r="AU22">
        <f t="shared" si="19"/>
        <v>8497.4773192505727</v>
      </c>
      <c r="AV22">
        <f t="shared" si="20"/>
        <v>0.12757270153463837</v>
      </c>
      <c r="AW22">
        <f t="shared" si="21"/>
        <v>0</v>
      </c>
      <c r="AX22">
        <f t="shared" si="22"/>
        <v>6.5317223185734843</v>
      </c>
      <c r="AY22">
        <f t="shared" si="23"/>
        <v>75.599582929426703</v>
      </c>
      <c r="AZ22">
        <f t="shared" si="24"/>
        <v>51111.594637207949</v>
      </c>
      <c r="BB22">
        <f t="shared" si="25"/>
        <v>1.2757270153463836E-2</v>
      </c>
      <c r="BC22">
        <f t="shared" si="26"/>
        <v>1.4563093782492965E-6</v>
      </c>
      <c r="BE22">
        <v>88675.692143512948</v>
      </c>
      <c r="BF22">
        <f t="shared" si="2"/>
        <v>1.7349427810448177</v>
      </c>
    </row>
    <row r="23" spans="1:58" x14ac:dyDescent="0.2">
      <c r="A23">
        <v>2010</v>
      </c>
      <c r="B23" s="1">
        <v>52066.198866403785</v>
      </c>
      <c r="D23">
        <v>3308634</v>
      </c>
      <c r="E23">
        <v>17138</v>
      </c>
      <c r="F23">
        <v>1</v>
      </c>
      <c r="G23">
        <v>739112</v>
      </c>
      <c r="H23">
        <v>17</v>
      </c>
      <c r="I23">
        <v>0</v>
      </c>
      <c r="J23">
        <v>665</v>
      </c>
      <c r="K23">
        <v>6652</v>
      </c>
      <c r="L23">
        <f t="shared" si="3"/>
        <v>4072219</v>
      </c>
      <c r="N23">
        <v>200576</v>
      </c>
      <c r="O23">
        <v>4213</v>
      </c>
      <c r="P23">
        <v>33</v>
      </c>
      <c r="Q23">
        <v>90547</v>
      </c>
      <c r="R23" s="9">
        <f>H23-H22</f>
        <v>7</v>
      </c>
      <c r="S23">
        <v>0</v>
      </c>
      <c r="T23">
        <v>201</v>
      </c>
      <c r="U23" s="9">
        <f>K23-K22</f>
        <v>726</v>
      </c>
      <c r="V23">
        <f t="shared" si="4"/>
        <v>296303</v>
      </c>
      <c r="X23">
        <f t="shared" si="27"/>
        <v>212752</v>
      </c>
      <c r="Y23">
        <f t="shared" si="28"/>
        <v>196</v>
      </c>
      <c r="Z23">
        <f t="shared" si="29"/>
        <v>32</v>
      </c>
      <c r="AA23">
        <f t="shared" si="30"/>
        <v>17524</v>
      </c>
      <c r="AB23">
        <f t="shared" si="31"/>
        <v>0</v>
      </c>
      <c r="AC23">
        <f t="shared" si="32"/>
        <v>0</v>
      </c>
      <c r="AD23">
        <f t="shared" si="33"/>
        <v>48</v>
      </c>
      <c r="AE23">
        <f t="shared" si="34"/>
        <v>0</v>
      </c>
      <c r="AF23">
        <f t="shared" si="6"/>
        <v>230552</v>
      </c>
      <c r="AH23">
        <f t="shared" si="7"/>
        <v>0.81248921042802458</v>
      </c>
      <c r="AI23">
        <f t="shared" si="35"/>
        <v>4.2085162905040226E-3</v>
      </c>
      <c r="AJ23">
        <f t="shared" si="36"/>
        <v>2.4556636074828E-7</v>
      </c>
      <c r="AK23">
        <f t="shared" si="37"/>
        <v>0.18150104402538272</v>
      </c>
      <c r="AL23">
        <f t="shared" si="38"/>
        <v>4.1746281327207596E-6</v>
      </c>
      <c r="AM23">
        <f t="shared" si="39"/>
        <v>0</v>
      </c>
      <c r="AN23">
        <f t="shared" si="40"/>
        <v>1.6330162989760619E-4</v>
      </c>
      <c r="AO23">
        <f t="shared" si="41"/>
        <v>1.6335074316975585E-3</v>
      </c>
      <c r="AP23">
        <f t="shared" si="15"/>
        <v>1</v>
      </c>
      <c r="AR23">
        <f t="shared" si="16"/>
        <v>42303.224806952923</v>
      </c>
      <c r="AS23">
        <f t="shared" si="17"/>
        <v>219.1214461138824</v>
      </c>
      <c r="AT23">
        <f t="shared" si="18"/>
        <v>1.2785706973618999E-2</v>
      </c>
      <c r="AU23">
        <f t="shared" si="19"/>
        <v>9450.0694526854859</v>
      </c>
      <c r="AV23">
        <f t="shared" si="20"/>
        <v>0.21735701855152295</v>
      </c>
      <c r="AW23">
        <f t="shared" si="21"/>
        <v>0</v>
      </c>
      <c r="AX23">
        <f t="shared" si="22"/>
        <v>8.5024951374566342</v>
      </c>
      <c r="AY23">
        <f t="shared" si="23"/>
        <v>85.050522788513575</v>
      </c>
      <c r="AZ23">
        <f t="shared" si="24"/>
        <v>52066.198866403793</v>
      </c>
      <c r="BB23">
        <f t="shared" si="25"/>
        <v>1.2785706973618999E-2</v>
      </c>
      <c r="BC23">
        <f t="shared" si="26"/>
        <v>1.4595555905957761E-6</v>
      </c>
      <c r="BE23">
        <v>90860.535963866583</v>
      </c>
      <c r="BF23">
        <f t="shared" si="2"/>
        <v>1.7450963953985743</v>
      </c>
    </row>
    <row r="24" spans="1:58" x14ac:dyDescent="0.2">
      <c r="A24">
        <v>2011</v>
      </c>
      <c r="B24" s="1">
        <v>52697.326982835722</v>
      </c>
      <c r="D24">
        <v>3301501</v>
      </c>
      <c r="E24">
        <v>21998</v>
      </c>
      <c r="F24">
        <v>3</v>
      </c>
      <c r="G24">
        <v>827094</v>
      </c>
      <c r="H24">
        <v>31</v>
      </c>
      <c r="I24">
        <v>0</v>
      </c>
      <c r="J24">
        <v>1044</v>
      </c>
      <c r="K24">
        <v>7349</v>
      </c>
      <c r="L24">
        <f t="shared" si="3"/>
        <v>4159020</v>
      </c>
      <c r="N24">
        <v>211540</v>
      </c>
      <c r="O24">
        <v>5325</v>
      </c>
      <c r="P24">
        <v>119</v>
      </c>
      <c r="Q24">
        <v>109324</v>
      </c>
      <c r="R24">
        <v>17</v>
      </c>
      <c r="S24">
        <v>1</v>
      </c>
      <c r="T24">
        <v>452</v>
      </c>
      <c r="U24" s="9">
        <f>K24-K23</f>
        <v>697</v>
      </c>
      <c r="V24">
        <f t="shared" si="4"/>
        <v>327475</v>
      </c>
      <c r="X24">
        <f t="shared" si="27"/>
        <v>218673</v>
      </c>
      <c r="Y24">
        <f t="shared" si="28"/>
        <v>465</v>
      </c>
      <c r="Z24">
        <f t="shared" si="29"/>
        <v>117</v>
      </c>
      <c r="AA24">
        <f t="shared" si="30"/>
        <v>21342</v>
      </c>
      <c r="AB24">
        <f t="shared" si="31"/>
        <v>3</v>
      </c>
      <c r="AC24">
        <f t="shared" si="32"/>
        <v>1</v>
      </c>
      <c r="AD24">
        <f t="shared" si="33"/>
        <v>73</v>
      </c>
      <c r="AE24">
        <f t="shared" si="34"/>
        <v>0</v>
      </c>
      <c r="AF24">
        <f t="shared" si="6"/>
        <v>240674</v>
      </c>
      <c r="AH24">
        <f t="shared" si="7"/>
        <v>0.793817053055768</v>
      </c>
      <c r="AI24">
        <f t="shared" si="35"/>
        <v>5.2892267890031789E-3</v>
      </c>
      <c r="AJ24">
        <f t="shared" si="36"/>
        <v>7.2132377338892336E-7</v>
      </c>
      <c r="AK24">
        <f t="shared" si="37"/>
        <v>0.1988675216757794</v>
      </c>
      <c r="AL24">
        <f t="shared" si="38"/>
        <v>7.4536789916855411E-6</v>
      </c>
      <c r="AM24">
        <f t="shared" si="39"/>
        <v>0</v>
      </c>
      <c r="AN24">
        <f t="shared" si="40"/>
        <v>2.5102067313934534E-4</v>
      </c>
      <c r="AO24">
        <f t="shared" si="41"/>
        <v>1.7670028035450659E-3</v>
      </c>
      <c r="AP24">
        <f t="shared" si="15"/>
        <v>1</v>
      </c>
      <c r="AR24">
        <f t="shared" si="16"/>
        <v>41832.036809430858</v>
      </c>
      <c r="AS24">
        <f t="shared" si="17"/>
        <v>278.72811358647476</v>
      </c>
      <c r="AT24">
        <f t="shared" si="18"/>
        <v>3.8011834746768988E-2</v>
      </c>
      <c r="AU24">
        <f t="shared" si="19"/>
        <v>10479.786816014717</v>
      </c>
      <c r="AV24">
        <f t="shared" si="20"/>
        <v>0.39278895904994621</v>
      </c>
      <c r="AW24">
        <f t="shared" si="21"/>
        <v>0</v>
      </c>
      <c r="AX24">
        <f t="shared" si="22"/>
        <v>13.228118491875609</v>
      </c>
      <c r="AY24">
        <f t="shared" si="23"/>
        <v>93.116324518001775</v>
      </c>
      <c r="AZ24">
        <f t="shared" si="24"/>
        <v>52697.326982835722</v>
      </c>
      <c r="BB24">
        <f t="shared" si="25"/>
        <v>1.267061158225633E-2</v>
      </c>
      <c r="BC24">
        <f t="shared" si="26"/>
        <v>1.4464168472895354E-6</v>
      </c>
      <c r="BE24">
        <v>91673.602396412942</v>
      </c>
      <c r="BF24">
        <f t="shared" si="2"/>
        <v>1.7396252835797981</v>
      </c>
    </row>
    <row r="25" spans="1:58" x14ac:dyDescent="0.2">
      <c r="A25">
        <v>2012</v>
      </c>
      <c r="B25" s="3">
        <v>53721.485077441161</v>
      </c>
      <c r="D25">
        <v>3278675</v>
      </c>
      <c r="E25">
        <v>27290</v>
      </c>
      <c r="F25">
        <v>31</v>
      </c>
      <c r="G25">
        <v>934084</v>
      </c>
      <c r="H25">
        <v>769</v>
      </c>
      <c r="I25">
        <v>0</v>
      </c>
      <c r="J25">
        <v>1758</v>
      </c>
      <c r="K25">
        <v>7742</v>
      </c>
      <c r="L25">
        <f t="shared" si="3"/>
        <v>4250349</v>
      </c>
      <c r="N25">
        <v>200576</v>
      </c>
      <c r="O25">
        <v>5530</v>
      </c>
      <c r="P25">
        <v>191</v>
      </c>
      <c r="Q25">
        <v>124911</v>
      </c>
      <c r="R25">
        <v>956</v>
      </c>
      <c r="S25">
        <v>31</v>
      </c>
      <c r="T25">
        <v>924</v>
      </c>
      <c r="U25">
        <v>519</v>
      </c>
      <c r="V25">
        <f t="shared" si="4"/>
        <v>333638</v>
      </c>
      <c r="X25">
        <f t="shared" si="27"/>
        <v>223402</v>
      </c>
      <c r="Y25">
        <f t="shared" si="28"/>
        <v>238</v>
      </c>
      <c r="Z25">
        <f t="shared" si="29"/>
        <v>163</v>
      </c>
      <c r="AA25">
        <f t="shared" si="30"/>
        <v>17921</v>
      </c>
      <c r="AB25">
        <f t="shared" si="31"/>
        <v>218</v>
      </c>
      <c r="AC25">
        <f t="shared" si="32"/>
        <v>31</v>
      </c>
      <c r="AD25">
        <f t="shared" si="33"/>
        <v>210</v>
      </c>
      <c r="AE25">
        <f t="shared" si="34"/>
        <v>126</v>
      </c>
      <c r="AF25">
        <f t="shared" si="6"/>
        <v>242309</v>
      </c>
      <c r="AH25">
        <f t="shared" si="7"/>
        <v>0.77138959647784222</v>
      </c>
      <c r="AI25">
        <f t="shared" si="35"/>
        <v>6.4206492219815361E-3</v>
      </c>
      <c r="AJ25">
        <f t="shared" si="36"/>
        <v>7.2935187204627196E-6</v>
      </c>
      <c r="AK25">
        <f t="shared" si="37"/>
        <v>0.2197664238866032</v>
      </c>
      <c r="AL25">
        <f t="shared" si="38"/>
        <v>1.8092631922696231E-4</v>
      </c>
      <c r="AM25">
        <f t="shared" si="39"/>
        <v>0</v>
      </c>
      <c r="AN25">
        <f t="shared" si="40"/>
        <v>4.1361309388946647E-4</v>
      </c>
      <c r="AO25">
        <f t="shared" si="41"/>
        <v>1.8214974817362057E-3</v>
      </c>
      <c r="AP25">
        <f t="shared" si="15"/>
        <v>0.99999999999999989</v>
      </c>
      <c r="AR25">
        <f t="shared" si="16"/>
        <v>41440.194696077757</v>
      </c>
      <c r="AS25">
        <f t="shared" si="17"/>
        <v>344.92681136616528</v>
      </c>
      <c r="AT25">
        <f t="shared" si="18"/>
        <v>0.39181865710337571</v>
      </c>
      <c r="AU25">
        <f t="shared" si="19"/>
        <v>11806.178661346763</v>
      </c>
      <c r="AV25">
        <f t="shared" si="20"/>
        <v>9.7196305584676121</v>
      </c>
      <c r="AW25">
        <f t="shared" si="21"/>
        <v>0</v>
      </c>
      <c r="AX25">
        <f t="shared" si="22"/>
        <v>22.219909651217243</v>
      </c>
      <c r="AY25">
        <f t="shared" si="23"/>
        <v>97.853549783688223</v>
      </c>
      <c r="AZ25">
        <f t="shared" si="24"/>
        <v>53721.485077441161</v>
      </c>
      <c r="BB25">
        <f t="shared" si="25"/>
        <v>1.2639311519463734E-2</v>
      </c>
      <c r="BC25">
        <f t="shared" si="26"/>
        <v>1.4428437807607004E-6</v>
      </c>
      <c r="BE25">
        <v>93087.337309782277</v>
      </c>
      <c r="BF25">
        <f t="shared" si="2"/>
        <v>1.7327766940097438</v>
      </c>
    </row>
    <row r="26" spans="1:58" x14ac:dyDescent="0.2">
      <c r="A26">
        <v>2013</v>
      </c>
      <c r="B26" s="3">
        <v>54694.626778503109</v>
      </c>
      <c r="D26">
        <v>3234560</v>
      </c>
      <c r="E26">
        <v>33056</v>
      </c>
      <c r="F26">
        <v>104</v>
      </c>
      <c r="G26">
        <v>1035843</v>
      </c>
      <c r="H26">
        <v>1554</v>
      </c>
      <c r="I26">
        <v>120</v>
      </c>
      <c r="J26">
        <v>2683</v>
      </c>
      <c r="K26">
        <v>8457</v>
      </c>
      <c r="L26">
        <f t="shared" si="3"/>
        <v>4316377</v>
      </c>
      <c r="N26">
        <v>185070</v>
      </c>
      <c r="O26">
        <v>5966</v>
      </c>
      <c r="P26">
        <v>227</v>
      </c>
      <c r="Q26">
        <v>115656</v>
      </c>
      <c r="R26" s="9">
        <f>H26-H25</f>
        <v>785</v>
      </c>
      <c r="S26">
        <v>281</v>
      </c>
      <c r="T26">
        <v>1392</v>
      </c>
      <c r="U26">
        <v>791</v>
      </c>
      <c r="V26">
        <f t="shared" si="4"/>
        <v>310168</v>
      </c>
      <c r="X26">
        <f t="shared" si="27"/>
        <v>229185</v>
      </c>
      <c r="Y26">
        <f t="shared" si="28"/>
        <v>200</v>
      </c>
      <c r="Z26">
        <f t="shared" si="29"/>
        <v>154</v>
      </c>
      <c r="AA26">
        <f t="shared" si="30"/>
        <v>13897</v>
      </c>
      <c r="AB26">
        <f t="shared" si="31"/>
        <v>0</v>
      </c>
      <c r="AC26">
        <f t="shared" si="32"/>
        <v>161</v>
      </c>
      <c r="AD26">
        <f t="shared" si="33"/>
        <v>467</v>
      </c>
      <c r="AE26">
        <f t="shared" si="34"/>
        <v>76</v>
      </c>
      <c r="AF26">
        <f t="shared" si="6"/>
        <v>244140</v>
      </c>
      <c r="AH26">
        <f t="shared" si="7"/>
        <v>0.74936920477520852</v>
      </c>
      <c r="AI26">
        <f t="shared" si="35"/>
        <v>7.6582745205064336E-3</v>
      </c>
      <c r="AJ26">
        <f t="shared" si="36"/>
        <v>2.409428092124483E-5</v>
      </c>
      <c r="AK26">
        <f t="shared" si="37"/>
        <v>0.23997973300293279</v>
      </c>
      <c r="AL26">
        <f t="shared" si="38"/>
        <v>3.6002415915013911E-4</v>
      </c>
      <c r="AM26">
        <f t="shared" si="39"/>
        <v>2.7801093370667111E-5</v>
      </c>
      <c r="AN26">
        <f t="shared" si="40"/>
        <v>6.215861126124989E-4</v>
      </c>
      <c r="AO26">
        <f t="shared" si="41"/>
        <v>1.9592820552977648E-3</v>
      </c>
      <c r="AP26">
        <f t="shared" si="15"/>
        <v>0.99999999999999989</v>
      </c>
      <c r="AR26">
        <f t="shared" si="16"/>
        <v>40986.468974483701</v>
      </c>
      <c r="AS26">
        <f t="shared" si="17"/>
        <v>418.86646666641923</v>
      </c>
      <c r="AT26">
        <f t="shared" si="18"/>
        <v>1.317827702483894</v>
      </c>
      <c r="AU26">
        <f t="shared" si="19"/>
        <v>13125.601931000234</v>
      </c>
      <c r="AV26">
        <f t="shared" si="20"/>
        <v>19.691387015961265</v>
      </c>
      <c r="AW26">
        <f t="shared" si="21"/>
        <v>1.5205704259429547</v>
      </c>
      <c r="AX26">
        <f t="shared" si="22"/>
        <v>33.997420440041232</v>
      </c>
      <c r="AY26">
        <f t="shared" si="23"/>
        <v>107.16220076832974</v>
      </c>
      <c r="AZ26">
        <f t="shared" si="24"/>
        <v>54694.626778503116</v>
      </c>
      <c r="BB26">
        <f t="shared" si="25"/>
        <v>1.267142021619129E-2</v>
      </c>
      <c r="BC26">
        <f t="shared" si="26"/>
        <v>1.4465091570994623E-6</v>
      </c>
      <c r="BE26">
        <v>94339.250976667419</v>
      </c>
      <c r="BF26">
        <f t="shared" si="2"/>
        <v>1.7248358117281464</v>
      </c>
    </row>
    <row r="27" spans="1:58" x14ac:dyDescent="0.2">
      <c r="A27">
        <v>2014</v>
      </c>
      <c r="B27" s="1">
        <v>55640.547246595561</v>
      </c>
      <c r="D27">
        <v>3201710</v>
      </c>
      <c r="E27">
        <v>38357</v>
      </c>
      <c r="F27">
        <v>482</v>
      </c>
      <c r="G27">
        <v>1123676</v>
      </c>
      <c r="H27">
        <v>2060</v>
      </c>
      <c r="I27">
        <v>259</v>
      </c>
      <c r="J27">
        <v>4439</v>
      </c>
      <c r="K27">
        <v>9174</v>
      </c>
      <c r="L27">
        <f t="shared" si="3"/>
        <v>4380157</v>
      </c>
      <c r="N27">
        <v>180875</v>
      </c>
      <c r="O27">
        <v>5569</v>
      </c>
      <c r="P27">
        <v>596</v>
      </c>
      <c r="Q27">
        <v>113304</v>
      </c>
      <c r="R27">
        <v>516</v>
      </c>
      <c r="S27">
        <v>212</v>
      </c>
      <c r="T27">
        <v>1948</v>
      </c>
      <c r="U27">
        <v>1041</v>
      </c>
      <c r="V27">
        <f t="shared" si="4"/>
        <v>304061</v>
      </c>
      <c r="X27">
        <f t="shared" si="27"/>
        <v>213725</v>
      </c>
      <c r="Y27">
        <f t="shared" si="28"/>
        <v>268</v>
      </c>
      <c r="Z27">
        <f t="shared" si="29"/>
        <v>218</v>
      </c>
      <c r="AA27">
        <f t="shared" si="30"/>
        <v>25471</v>
      </c>
      <c r="AB27">
        <f t="shared" si="31"/>
        <v>10</v>
      </c>
      <c r="AC27">
        <f t="shared" si="32"/>
        <v>73</v>
      </c>
      <c r="AD27">
        <f t="shared" si="33"/>
        <v>192</v>
      </c>
      <c r="AE27">
        <f t="shared" si="34"/>
        <v>324</v>
      </c>
      <c r="AF27">
        <f t="shared" si="6"/>
        <v>240281</v>
      </c>
      <c r="AH27">
        <f t="shared" si="7"/>
        <v>0.73095781726545417</v>
      </c>
      <c r="AI27">
        <f t="shared" si="35"/>
        <v>8.7569920438924902E-3</v>
      </c>
      <c r="AJ27">
        <f t="shared" si="36"/>
        <v>1.1004171768272233E-4</v>
      </c>
      <c r="AK27">
        <f t="shared" si="37"/>
        <v>0.25653783642915085</v>
      </c>
      <c r="AL27">
        <f t="shared" si="38"/>
        <v>4.7030277681827385E-4</v>
      </c>
      <c r="AM27">
        <f t="shared" si="39"/>
        <v>5.9130300580549964E-5</v>
      </c>
      <c r="AN27">
        <f t="shared" si="40"/>
        <v>1.013433993347727E-3</v>
      </c>
      <c r="AO27">
        <f t="shared" si="41"/>
        <v>2.0944454730732255E-3</v>
      </c>
      <c r="AP27">
        <f t="shared" si="15"/>
        <v>1</v>
      </c>
      <c r="AR27">
        <f t="shared" si="16"/>
        <v>40670.892966826868</v>
      </c>
      <c r="AS27">
        <f t="shared" si="17"/>
        <v>487.24382955626152</v>
      </c>
      <c r="AT27">
        <f t="shared" si="18"/>
        <v>6.1227813918220422</v>
      </c>
      <c r="AU27">
        <f t="shared" si="19"/>
        <v>14273.905608375571</v>
      </c>
      <c r="AV27">
        <f t="shared" si="20"/>
        <v>26.167903873762253</v>
      </c>
      <c r="AW27">
        <f t="shared" si="21"/>
        <v>3.2900422831574874</v>
      </c>
      <c r="AX27">
        <f t="shared" si="22"/>
        <v>56.388021988170216</v>
      </c>
      <c r="AY27">
        <f t="shared" si="23"/>
        <v>116.53609229994899</v>
      </c>
      <c r="AZ27">
        <f t="shared" si="24"/>
        <v>55640.547246595561</v>
      </c>
      <c r="BB27">
        <f t="shared" si="25"/>
        <v>1.2702865958137017E-2</v>
      </c>
      <c r="BC27">
        <f t="shared" si="26"/>
        <v>1.4500988536686091E-6</v>
      </c>
      <c r="BE27">
        <v>95562.184060108528</v>
      </c>
      <c r="BF27">
        <f t="shared" si="2"/>
        <v>1.7174918074867718</v>
      </c>
    </row>
    <row r="28" spans="1:58" x14ac:dyDescent="0.2">
      <c r="A28">
        <v>2015</v>
      </c>
      <c r="B28" s="1">
        <v>56619.987486650003</v>
      </c>
      <c r="D28">
        <v>3173806</v>
      </c>
      <c r="E28">
        <v>43396</v>
      </c>
      <c r="F28">
        <v>1889</v>
      </c>
      <c r="G28">
        <v>1214075</v>
      </c>
      <c r="H28">
        <v>2824</v>
      </c>
      <c r="I28">
        <v>399</v>
      </c>
      <c r="J28">
        <v>7531</v>
      </c>
      <c r="K28">
        <v>9878</v>
      </c>
      <c r="L28">
        <f t="shared" si="3"/>
        <v>4453798</v>
      </c>
      <c r="N28">
        <v>185469</v>
      </c>
      <c r="O28">
        <v>5458</v>
      </c>
      <c r="P28">
        <v>2218</v>
      </c>
      <c r="Q28">
        <v>127899</v>
      </c>
      <c r="R28">
        <v>835</v>
      </c>
      <c r="S28">
        <v>274</v>
      </c>
      <c r="T28">
        <v>3882</v>
      </c>
      <c r="U28">
        <v>1080</v>
      </c>
      <c r="V28">
        <f t="shared" si="4"/>
        <v>327115</v>
      </c>
      <c r="X28">
        <f t="shared" si="27"/>
        <v>213373</v>
      </c>
      <c r="Y28">
        <f t="shared" si="28"/>
        <v>419</v>
      </c>
      <c r="Z28">
        <f t="shared" si="29"/>
        <v>811</v>
      </c>
      <c r="AA28">
        <f t="shared" si="30"/>
        <v>37500</v>
      </c>
      <c r="AB28">
        <f t="shared" si="31"/>
        <v>71</v>
      </c>
      <c r="AC28">
        <f t="shared" si="32"/>
        <v>134</v>
      </c>
      <c r="AD28">
        <f t="shared" si="33"/>
        <v>790</v>
      </c>
      <c r="AE28">
        <f t="shared" si="34"/>
        <v>376</v>
      </c>
      <c r="AF28">
        <f t="shared" si="6"/>
        <v>253474</v>
      </c>
      <c r="AH28">
        <f t="shared" si="7"/>
        <v>0.71260663370902766</v>
      </c>
      <c r="AI28">
        <f t="shared" si="35"/>
        <v>9.7435941189968657E-3</v>
      </c>
      <c r="AJ28">
        <f t="shared" si="36"/>
        <v>4.241323921740501E-4</v>
      </c>
      <c r="AK28">
        <f t="shared" si="37"/>
        <v>0.27259318900408147</v>
      </c>
      <c r="AL28">
        <f t="shared" si="38"/>
        <v>6.3406557728931581E-4</v>
      </c>
      <c r="AM28">
        <f t="shared" si="39"/>
        <v>8.9586460813894116E-5</v>
      </c>
      <c r="AN28">
        <f t="shared" si="40"/>
        <v>1.6909163819284125E-3</v>
      </c>
      <c r="AO28">
        <f t="shared" si="41"/>
        <v>2.217882355688336E-3</v>
      </c>
      <c r="AP28">
        <f t="shared" si="15"/>
        <v>1</v>
      </c>
      <c r="AR28">
        <f t="shared" si="16"/>
        <v>40347.778683508928</v>
      </c>
      <c r="AS28">
        <f t="shared" si="17"/>
        <v>551.68217709259909</v>
      </c>
      <c r="AT28">
        <f t="shared" si="18"/>
        <v>24.014370737577647</v>
      </c>
      <c r="AU28">
        <f t="shared" si="19"/>
        <v>15434.222950357112</v>
      </c>
      <c r="AV28">
        <f t="shared" si="20"/>
        <v>35.900785051836571</v>
      </c>
      <c r="AW28">
        <f t="shared" si="21"/>
        <v>5.0723842902559459</v>
      </c>
      <c r="AX28">
        <f t="shared" si="22"/>
        <v>95.739664385758218</v>
      </c>
      <c r="AY28">
        <f t="shared" si="23"/>
        <v>125.57647122593542</v>
      </c>
      <c r="AZ28">
        <f t="shared" si="24"/>
        <v>56619.987486650003</v>
      </c>
      <c r="BB28">
        <f t="shared" si="25"/>
        <v>1.2712742582095102E-2</v>
      </c>
      <c r="BC28">
        <f t="shared" si="26"/>
        <v>1.4512263221569751E-6</v>
      </c>
      <c r="BE28">
        <v>96846.638480630645</v>
      </c>
      <c r="BF28">
        <f t="shared" si="2"/>
        <v>1.7104673239898787</v>
      </c>
    </row>
    <row r="29" spans="1:58" x14ac:dyDescent="0.2">
      <c r="A29">
        <v>2016</v>
      </c>
      <c r="B29" s="1">
        <v>57737.1015232348</v>
      </c>
      <c r="D29">
        <v>3149902</v>
      </c>
      <c r="E29">
        <v>49307</v>
      </c>
      <c r="F29">
        <v>4138</v>
      </c>
      <c r="G29">
        <v>1291500</v>
      </c>
      <c r="H29">
        <v>3410</v>
      </c>
      <c r="I29">
        <v>584</v>
      </c>
      <c r="J29">
        <v>10724</v>
      </c>
      <c r="K29">
        <v>10331</v>
      </c>
      <c r="L29">
        <f t="shared" si="3"/>
        <v>4519896</v>
      </c>
      <c r="N29">
        <v>178666</v>
      </c>
      <c r="O29">
        <v>7150</v>
      </c>
      <c r="P29">
        <v>2799</v>
      </c>
      <c r="Q29">
        <v>125595</v>
      </c>
      <c r="R29" s="9">
        <f>H29-H28</f>
        <v>586</v>
      </c>
      <c r="S29" s="9">
        <f>I29-I28</f>
        <v>185</v>
      </c>
      <c r="T29">
        <v>3525</v>
      </c>
      <c r="U29">
        <v>944</v>
      </c>
      <c r="V29">
        <f t="shared" si="4"/>
        <v>319450</v>
      </c>
      <c r="X29">
        <f t="shared" si="27"/>
        <v>202570</v>
      </c>
      <c r="Y29">
        <f t="shared" si="28"/>
        <v>1239</v>
      </c>
      <c r="Z29">
        <f t="shared" si="29"/>
        <v>550</v>
      </c>
      <c r="AA29">
        <f t="shared" si="30"/>
        <v>48170</v>
      </c>
      <c r="AB29">
        <f t="shared" si="31"/>
        <v>0</v>
      </c>
      <c r="AC29">
        <f t="shared" si="32"/>
        <v>0</v>
      </c>
      <c r="AD29">
        <f t="shared" si="33"/>
        <v>332</v>
      </c>
      <c r="AE29">
        <f t="shared" si="34"/>
        <v>491</v>
      </c>
      <c r="AF29">
        <f t="shared" si="6"/>
        <v>253352</v>
      </c>
      <c r="AH29">
        <f t="shared" si="7"/>
        <v>0.69689700824974732</v>
      </c>
      <c r="AI29">
        <f t="shared" si="35"/>
        <v>1.090887931934717E-2</v>
      </c>
      <c r="AJ29">
        <f t="shared" si="36"/>
        <v>9.155077904447359E-4</v>
      </c>
      <c r="AK29">
        <f t="shared" si="37"/>
        <v>0.28573666296746653</v>
      </c>
      <c r="AL29">
        <f t="shared" si="38"/>
        <v>7.54442137606706E-4</v>
      </c>
      <c r="AM29">
        <f t="shared" si="39"/>
        <v>1.2920651271622178E-4</v>
      </c>
      <c r="AN29">
        <f t="shared" si="40"/>
        <v>2.3726209629602096E-3</v>
      </c>
      <c r="AO29">
        <f t="shared" si="41"/>
        <v>2.2856720597111083E-3</v>
      </c>
      <c r="AP29">
        <f t="shared" si="15"/>
        <v>0.99999999999999989</v>
      </c>
      <c r="AR29">
        <f t="shared" si="16"/>
        <v>40236.81331655426</v>
      </c>
      <c r="AS29">
        <f t="shared" si="17"/>
        <v>629.84707276586414</v>
      </c>
      <c r="AT29">
        <f t="shared" si="18"/>
        <v>52.858766242220085</v>
      </c>
      <c r="AU29">
        <f t="shared" si="19"/>
        <v>16497.606718662941</v>
      </c>
      <c r="AV29">
        <f t="shared" si="20"/>
        <v>43.559302292404666</v>
      </c>
      <c r="AW29">
        <f t="shared" si="21"/>
        <v>7.4600095421596251</v>
      </c>
      <c r="AX29">
        <f t="shared" si="22"/>
        <v>136.98825741458873</v>
      </c>
      <c r="AY29">
        <f t="shared" si="23"/>
        <v>131.96807976036146</v>
      </c>
      <c r="AZ29">
        <f t="shared" si="24"/>
        <v>57737.101523234807</v>
      </c>
      <c r="BB29">
        <f t="shared" si="25"/>
        <v>1.2773988942054153E-2</v>
      </c>
      <c r="BC29">
        <f t="shared" si="26"/>
        <v>1.4582179157596066E-6</v>
      </c>
      <c r="BE29">
        <v>98923.192021565337</v>
      </c>
      <c r="BF29">
        <f t="shared" si="2"/>
        <v>1.7133383805516504</v>
      </c>
    </row>
    <row r="30" spans="1:58" x14ac:dyDescent="0.2">
      <c r="A30">
        <v>2017</v>
      </c>
      <c r="B30" s="1">
        <v>58734.814979999996</v>
      </c>
      <c r="D30">
        <v>3127023</v>
      </c>
      <c r="E30">
        <v>56638</v>
      </c>
      <c r="F30">
        <v>6797</v>
      </c>
      <c r="G30">
        <v>1346938</v>
      </c>
      <c r="H30">
        <v>3543</v>
      </c>
      <c r="I30">
        <v>683</v>
      </c>
      <c r="J30">
        <v>14539</v>
      </c>
      <c r="K30">
        <v>10673</v>
      </c>
      <c r="L30">
        <f t="shared" si="3"/>
        <v>4566834</v>
      </c>
      <c r="N30">
        <v>183637</v>
      </c>
      <c r="O30">
        <v>8186</v>
      </c>
      <c r="P30">
        <v>3378</v>
      </c>
      <c r="Q30">
        <v>113848</v>
      </c>
      <c r="R30">
        <v>181</v>
      </c>
      <c r="S30">
        <v>101</v>
      </c>
      <c r="T30">
        <v>4929</v>
      </c>
      <c r="U30">
        <v>769</v>
      </c>
      <c r="V30">
        <f t="shared" si="4"/>
        <v>315029</v>
      </c>
      <c r="X30">
        <f t="shared" si="27"/>
        <v>206516</v>
      </c>
      <c r="Y30">
        <f t="shared" si="28"/>
        <v>855</v>
      </c>
      <c r="Z30">
        <f t="shared" si="29"/>
        <v>719</v>
      </c>
      <c r="AA30">
        <f t="shared" si="30"/>
        <v>58410</v>
      </c>
      <c r="AB30">
        <f t="shared" si="31"/>
        <v>48</v>
      </c>
      <c r="AC30">
        <f t="shared" si="32"/>
        <v>2</v>
      </c>
      <c r="AD30">
        <f t="shared" si="33"/>
        <v>1114</v>
      </c>
      <c r="AE30">
        <f t="shared" si="34"/>
        <v>427</v>
      </c>
      <c r="AF30">
        <f t="shared" si="6"/>
        <v>268091</v>
      </c>
      <c r="AH30">
        <f t="shared" si="7"/>
        <v>0.68472447213977994</v>
      </c>
      <c r="AI30">
        <f t="shared" si="35"/>
        <v>1.2402027312575845E-2</v>
      </c>
      <c r="AJ30">
        <f t="shared" si="36"/>
        <v>1.488339624343692E-3</v>
      </c>
      <c r="AK30">
        <f t="shared" si="37"/>
        <v>0.2949391197490428</v>
      </c>
      <c r="AL30">
        <f t="shared" si="38"/>
        <v>7.7581098853166108E-4</v>
      </c>
      <c r="AM30">
        <f t="shared" si="39"/>
        <v>1.4955656369379749E-4</v>
      </c>
      <c r="AN30">
        <f t="shared" si="40"/>
        <v>3.1836059729782166E-3</v>
      </c>
      <c r="AO30">
        <f t="shared" si="41"/>
        <v>2.3370676490540275E-3</v>
      </c>
      <c r="AP30">
        <f t="shared" si="15"/>
        <v>0.99999999999999989</v>
      </c>
      <c r="AR30">
        <f t="shared" si="16"/>
        <v>40217.165183408135</v>
      </c>
      <c r="AS30">
        <f t="shared" si="17"/>
        <v>728.4307795810488</v>
      </c>
      <c r="AT30">
        <f t="shared" si="18"/>
        <v>87.417352463229449</v>
      </c>
      <c r="AU30">
        <f t="shared" si="19"/>
        <v>17323.194628824091</v>
      </c>
      <c r="AV30">
        <f t="shared" si="20"/>
        <v>45.567114870858013</v>
      </c>
      <c r="AW30">
        <f t="shared" si="21"/>
        <v>8.7841770975997804</v>
      </c>
      <c r="AX30">
        <f t="shared" si="22"/>
        <v>186.98850779209843</v>
      </c>
      <c r="AY30">
        <f t="shared" si="23"/>
        <v>137.26723596293186</v>
      </c>
      <c r="AZ30">
        <f t="shared" si="24"/>
        <v>58734.814979999981</v>
      </c>
      <c r="BB30">
        <f t="shared" si="25"/>
        <v>1.2861167053586794E-2</v>
      </c>
      <c r="BC30">
        <f t="shared" si="26"/>
        <v>1.4681697549756614E-6</v>
      </c>
      <c r="BE30">
        <v>100778.23555762712</v>
      </c>
      <c r="BF30">
        <f t="shared" si="2"/>
        <v>1.7158177069587004</v>
      </c>
    </row>
    <row r="31" spans="1:58" x14ac:dyDescent="0.2">
      <c r="A31">
        <v>2018</v>
      </c>
      <c r="B31" s="1">
        <v>59344.209338046559</v>
      </c>
      <c r="D31">
        <v>3114725</v>
      </c>
      <c r="E31">
        <v>64710</v>
      </c>
      <c r="F31">
        <v>10372</v>
      </c>
      <c r="G31">
        <v>1374246</v>
      </c>
      <c r="H31">
        <v>3876</v>
      </c>
      <c r="I31">
        <v>780</v>
      </c>
      <c r="J31">
        <v>19181</v>
      </c>
      <c r="K31">
        <v>11038</v>
      </c>
      <c r="L31">
        <f t="shared" si="3"/>
        <v>4598928</v>
      </c>
      <c r="N31">
        <v>188847</v>
      </c>
      <c r="O31">
        <v>10434</v>
      </c>
      <c r="P31">
        <v>4129</v>
      </c>
      <c r="Q31">
        <v>90360</v>
      </c>
      <c r="R31">
        <v>794</v>
      </c>
      <c r="S31" s="9">
        <f>I31-I30</f>
        <v>97</v>
      </c>
      <c r="T31">
        <v>5411</v>
      </c>
      <c r="U31">
        <v>805</v>
      </c>
      <c r="V31">
        <f t="shared" si="4"/>
        <v>300877</v>
      </c>
      <c r="X31">
        <f t="shared" si="27"/>
        <v>201145</v>
      </c>
      <c r="Y31">
        <f t="shared" si="28"/>
        <v>2362</v>
      </c>
      <c r="Z31">
        <f t="shared" si="29"/>
        <v>554</v>
      </c>
      <c r="AA31">
        <f t="shared" si="30"/>
        <v>63052</v>
      </c>
      <c r="AB31">
        <f t="shared" si="31"/>
        <v>461</v>
      </c>
      <c r="AC31">
        <f t="shared" si="32"/>
        <v>0</v>
      </c>
      <c r="AD31">
        <f t="shared" si="33"/>
        <v>769</v>
      </c>
      <c r="AE31">
        <f t="shared" si="34"/>
        <v>440</v>
      </c>
      <c r="AF31">
        <f t="shared" si="6"/>
        <v>268783</v>
      </c>
      <c r="AH31">
        <f t="shared" si="7"/>
        <v>0.67727196424905978</v>
      </c>
      <c r="AI31">
        <f t="shared" si="35"/>
        <v>1.4070670382315183E-2</v>
      </c>
      <c r="AJ31">
        <f t="shared" si="36"/>
        <v>2.25530819356163E-3</v>
      </c>
      <c r="AK31">
        <f t="shared" si="37"/>
        <v>0.29881876819989356</v>
      </c>
      <c r="AL31">
        <f t="shared" si="38"/>
        <v>8.4280510588554552E-4</v>
      </c>
      <c r="AM31">
        <f t="shared" si="39"/>
        <v>1.696047426704658E-4</v>
      </c>
      <c r="AN31">
        <f t="shared" si="40"/>
        <v>4.1707545758489801E-3</v>
      </c>
      <c r="AO31">
        <f t="shared" si="41"/>
        <v>2.4001245507648738E-3</v>
      </c>
      <c r="AP31">
        <f t="shared" si="15"/>
        <v>1</v>
      </c>
      <c r="AR31">
        <f t="shared" si="16"/>
        <v>40192.16922518619</v>
      </c>
      <c r="AS31">
        <f t="shared" si="17"/>
        <v>835.01280869476386</v>
      </c>
      <c r="AT31">
        <f t="shared" si="18"/>
        <v>133.83948156053299</v>
      </c>
      <c r="AU31">
        <f t="shared" si="19"/>
        <v>17733.163534191695</v>
      </c>
      <c r="AV31">
        <f t="shared" si="20"/>
        <v>50.01560263484631</v>
      </c>
      <c r="AW31">
        <f t="shared" si="21"/>
        <v>10.06505935376164</v>
      </c>
      <c r="AX31">
        <f t="shared" si="22"/>
        <v>247.51013264679747</v>
      </c>
      <c r="AY31">
        <f t="shared" si="23"/>
        <v>142.43349377797563</v>
      </c>
      <c r="AZ31">
        <f t="shared" si="24"/>
        <v>59344.209338046581</v>
      </c>
      <c r="BB31">
        <f t="shared" si="25"/>
        <v>1.290392224841236E-2</v>
      </c>
      <c r="BC31">
        <f t="shared" si="26"/>
        <v>1.47305048497858E-6</v>
      </c>
      <c r="BE31">
        <v>102034.0929455077</v>
      </c>
      <c r="BF31">
        <f t="shared" si="2"/>
        <v>1.7193605590780354</v>
      </c>
    </row>
    <row r="32" spans="1:58" x14ac:dyDescent="0.2">
      <c r="A32">
        <v>2019</v>
      </c>
      <c r="B32" s="1">
        <v>59832.856200000002</v>
      </c>
      <c r="D32">
        <v>3099442</v>
      </c>
      <c r="E32">
        <v>77576</v>
      </c>
      <c r="F32">
        <v>13701</v>
      </c>
      <c r="G32">
        <v>1382645</v>
      </c>
      <c r="H32">
        <v>6337</v>
      </c>
      <c r="I32">
        <v>785</v>
      </c>
      <c r="J32">
        <v>28716</v>
      </c>
      <c r="K32">
        <v>11207</v>
      </c>
      <c r="L32">
        <f t="shared" si="3"/>
        <v>4620409</v>
      </c>
      <c r="N32">
        <v>192119</v>
      </c>
      <c r="O32">
        <v>18285</v>
      </c>
      <c r="P32">
        <v>4199</v>
      </c>
      <c r="Q32">
        <v>79461</v>
      </c>
      <c r="R32">
        <v>3847</v>
      </c>
      <c r="S32">
        <v>10</v>
      </c>
      <c r="T32">
        <v>13177</v>
      </c>
      <c r="U32">
        <v>1250</v>
      </c>
      <c r="V32">
        <f t="shared" si="4"/>
        <v>312348</v>
      </c>
      <c r="X32">
        <f t="shared" si="27"/>
        <v>207402</v>
      </c>
      <c r="Y32">
        <f t="shared" si="28"/>
        <v>5419</v>
      </c>
      <c r="Z32">
        <f t="shared" si="29"/>
        <v>870</v>
      </c>
      <c r="AA32">
        <f t="shared" si="30"/>
        <v>71062</v>
      </c>
      <c r="AB32">
        <f t="shared" si="31"/>
        <v>1386</v>
      </c>
      <c r="AC32">
        <f t="shared" si="32"/>
        <v>5</v>
      </c>
      <c r="AD32">
        <f t="shared" si="33"/>
        <v>3642</v>
      </c>
      <c r="AE32">
        <f t="shared" si="34"/>
        <v>1081</v>
      </c>
      <c r="AF32">
        <f t="shared" si="6"/>
        <v>290867</v>
      </c>
      <c r="AH32">
        <f t="shared" si="7"/>
        <v>0.67081550572687398</v>
      </c>
      <c r="AI32">
        <f t="shared" si="35"/>
        <v>1.678985561667809E-2</v>
      </c>
      <c r="AJ32">
        <f t="shared" si="36"/>
        <v>2.9653219011563695E-3</v>
      </c>
      <c r="AK32">
        <f t="shared" si="37"/>
        <v>0.29924731771581259</v>
      </c>
      <c r="AL32">
        <f t="shared" si="38"/>
        <v>1.3715236032134817E-3</v>
      </c>
      <c r="AM32">
        <f t="shared" si="39"/>
        <v>1.6989837912617694E-4</v>
      </c>
      <c r="AN32">
        <f t="shared" si="40"/>
        <v>6.2150342101749004E-3</v>
      </c>
      <c r="AO32">
        <f t="shared" si="41"/>
        <v>2.4255428469644137E-3</v>
      </c>
      <c r="AP32">
        <f t="shared" si="15"/>
        <v>1</v>
      </c>
      <c r="AR32">
        <f t="shared" si="16"/>
        <v>40136.80769088633</v>
      </c>
      <c r="AS32">
        <f t="shared" si="17"/>
        <v>1004.5850167314625</v>
      </c>
      <c r="AT32">
        <f t="shared" si="18"/>
        <v>177.42367889859969</v>
      </c>
      <c r="AU32">
        <f t="shared" si="19"/>
        <v>17904.821729125928</v>
      </c>
      <c r="AV32">
        <f t="shared" si="20"/>
        <v>82.062174525978108</v>
      </c>
      <c r="AW32">
        <f t="shared" si="21"/>
        <v>10.165505286869626</v>
      </c>
      <c r="AX32">
        <f t="shared" si="22"/>
        <v>371.86324817547541</v>
      </c>
      <c r="AY32">
        <f t="shared" si="23"/>
        <v>145.12715636936036</v>
      </c>
      <c r="AZ32">
        <f t="shared" si="24"/>
        <v>59832.856200000002</v>
      </c>
      <c r="BB32">
        <f t="shared" si="25"/>
        <v>1.2949688263528186E-2</v>
      </c>
      <c r="BC32">
        <f t="shared" si="26"/>
        <v>1.4782749159278751E-6</v>
      </c>
      <c r="BE32">
        <v>103071.99986623318</v>
      </c>
      <c r="BF32">
        <f t="shared" si="2"/>
        <v>1.7226655455273616</v>
      </c>
    </row>
    <row r="34" spans="13:58" x14ac:dyDescent="0.2">
      <c r="BC34" t="s">
        <v>32</v>
      </c>
      <c r="BF34" t="s">
        <v>6</v>
      </c>
    </row>
    <row r="35" spans="13:58" x14ac:dyDescent="0.2">
      <c r="BC35">
        <f>AVERAGE(BB3:BB32)/8760</f>
        <v>1.4710886431639637E-6</v>
      </c>
      <c r="BF35">
        <f>AVERAGE(BF3:BF32)</f>
        <v>1.7439553522272908</v>
      </c>
    </row>
    <row r="36" spans="13:58" x14ac:dyDescent="0.2">
      <c r="M36" t="s">
        <v>26</v>
      </c>
      <c r="N36">
        <f>ROUND(MAX(N3:N32)*1.1,0)</f>
        <v>345709</v>
      </c>
      <c r="O36">
        <f t="shared" ref="O36:U36" si="42">ROUND(MAX(O3:O32)*1.1,0)</f>
        <v>20114</v>
      </c>
      <c r="P36">
        <f t="shared" si="42"/>
        <v>4619</v>
      </c>
      <c r="Q36">
        <f t="shared" si="42"/>
        <v>140689</v>
      </c>
      <c r="R36">
        <f t="shared" si="42"/>
        <v>4232</v>
      </c>
      <c r="S36">
        <f t="shared" si="42"/>
        <v>309</v>
      </c>
      <c r="T36">
        <f t="shared" si="42"/>
        <v>14495</v>
      </c>
      <c r="U36">
        <f t="shared" si="42"/>
        <v>1818</v>
      </c>
    </row>
  </sheetData>
  <mergeCells count="5">
    <mergeCell ref="D1:L1"/>
    <mergeCell ref="AH1:AP1"/>
    <mergeCell ref="AR1:AZ1"/>
    <mergeCell ref="N1:V1"/>
    <mergeCell ref="X1:AF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6FA2-50A4-1748-9160-B4E0FA1E9D4C}">
  <dimension ref="A1:AB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43" sqref="K43"/>
    </sheetView>
  </sheetViews>
  <sheetFormatPr baseColWidth="10" defaultRowHeight="16" x14ac:dyDescent="0.2"/>
  <cols>
    <col min="25" max="25" width="12.1640625" bestFit="1" customWidth="1"/>
  </cols>
  <sheetData>
    <row r="1" spans="1:28" x14ac:dyDescent="0.2">
      <c r="B1" t="s">
        <v>29</v>
      </c>
      <c r="D1" s="12" t="s">
        <v>4</v>
      </c>
      <c r="E1" s="12"/>
      <c r="F1" s="12"/>
      <c r="G1" s="12"/>
      <c r="H1" s="12"/>
      <c r="I1" s="12"/>
      <c r="J1" s="12"/>
      <c r="K1" s="12"/>
      <c r="L1" s="12"/>
      <c r="N1" s="12" t="s">
        <v>31</v>
      </c>
      <c r="O1" s="12"/>
      <c r="P1" s="12"/>
      <c r="Q1" s="12"/>
      <c r="R1" s="12"/>
      <c r="S1" s="12"/>
      <c r="T1" s="12"/>
      <c r="U1" s="12"/>
      <c r="V1" s="12"/>
      <c r="X1" t="s">
        <v>28</v>
      </c>
      <c r="Y1" t="s">
        <v>33</v>
      </c>
      <c r="AA1" t="s">
        <v>27</v>
      </c>
      <c r="AB1" t="s">
        <v>30</v>
      </c>
    </row>
    <row r="2" spans="1:28" x14ac:dyDescent="0.2">
      <c r="B2" t="s">
        <v>3</v>
      </c>
      <c r="D2" t="s">
        <v>16</v>
      </c>
      <c r="E2" t="s">
        <v>17</v>
      </c>
      <c r="F2" t="s">
        <v>18</v>
      </c>
      <c r="G2" t="s">
        <v>0</v>
      </c>
      <c r="H2" t="s">
        <v>19</v>
      </c>
      <c r="I2" t="s">
        <v>20</v>
      </c>
      <c r="J2" t="s">
        <v>1</v>
      </c>
      <c r="K2" t="s">
        <v>21</v>
      </c>
      <c r="L2" t="s">
        <v>2</v>
      </c>
      <c r="N2" t="s">
        <v>16</v>
      </c>
      <c r="O2" t="s">
        <v>17</v>
      </c>
      <c r="P2" t="s">
        <v>18</v>
      </c>
      <c r="Q2" t="s">
        <v>0</v>
      </c>
      <c r="R2" t="s">
        <v>19</v>
      </c>
      <c r="S2" t="s">
        <v>20</v>
      </c>
      <c r="T2" t="s">
        <v>1</v>
      </c>
      <c r="U2" t="s">
        <v>21</v>
      </c>
      <c r="V2" t="s">
        <v>2</v>
      </c>
      <c r="X2" t="s">
        <v>22</v>
      </c>
      <c r="AA2" t="s">
        <v>5</v>
      </c>
      <c r="AB2" t="s">
        <v>5</v>
      </c>
    </row>
    <row r="3" spans="1:28" x14ac:dyDescent="0.2">
      <c r="A3" s="6">
        <v>1990</v>
      </c>
      <c r="B3">
        <v>42649</v>
      </c>
      <c r="D3">
        <f>Units!D3/Units!$L3</f>
        <v>0.97333571412299613</v>
      </c>
      <c r="E3">
        <f>Units!E3/Units!$L3</f>
        <v>0</v>
      </c>
      <c r="F3">
        <f>Units!F3/Units!$L3</f>
        <v>0</v>
      </c>
      <c r="G3">
        <f>Units!G3/Units!$L3</f>
        <v>2.6494771866302357E-2</v>
      </c>
      <c r="H3">
        <f>Units!H3/Units!$L3</f>
        <v>0</v>
      </c>
      <c r="I3">
        <f>Units!I3/Units!$L3</f>
        <v>0</v>
      </c>
      <c r="J3">
        <f>Units!J3/Units!$L3</f>
        <v>1.370182418516022E-4</v>
      </c>
      <c r="K3">
        <f>Units!K3/Units!$L3</f>
        <v>3.2495768849890986E-5</v>
      </c>
      <c r="L3">
        <f>SUM(D3:K3)</f>
        <v>1</v>
      </c>
      <c r="N3">
        <f>D3*$B3</f>
        <v>41511.79487163166</v>
      </c>
      <c r="O3">
        <f t="shared" ref="O3:U18" si="0">E3*$B3</f>
        <v>0</v>
      </c>
      <c r="P3">
        <f t="shared" si="0"/>
        <v>0</v>
      </c>
      <c r="Q3">
        <f t="shared" si="0"/>
        <v>1129.9755253259293</v>
      </c>
      <c r="R3">
        <f t="shared" si="0"/>
        <v>0</v>
      </c>
      <c r="S3">
        <f t="shared" si="0"/>
        <v>0</v>
      </c>
      <c r="T3">
        <f t="shared" si="0"/>
        <v>5.8436909967289825</v>
      </c>
      <c r="U3">
        <f t="shared" si="0"/>
        <v>1.3859120456790006</v>
      </c>
      <c r="V3">
        <f>SUM(N3:U3)</f>
        <v>42648.999999999993</v>
      </c>
      <c r="X3">
        <f>B3/Units!L3</f>
        <v>1.4287753048237121E-2</v>
      </c>
      <c r="Y3">
        <f>X3/(365*24)</f>
        <v>1.631022037469991E-6</v>
      </c>
      <c r="AA3">
        <v>77759</v>
      </c>
      <c r="AB3">
        <f>AA3/B3</f>
        <v>1.8232314942906047</v>
      </c>
    </row>
    <row r="4" spans="1:28" x14ac:dyDescent="0.2">
      <c r="A4" s="6">
        <v>1991</v>
      </c>
      <c r="B4">
        <v>43744</v>
      </c>
      <c r="D4">
        <f>Units!D4/Units!$L4</f>
        <v>0.9729834925832902</v>
      </c>
      <c r="E4">
        <f>Units!E4/Units!$L4</f>
        <v>0</v>
      </c>
      <c r="F4">
        <f>Units!F4/Units!$L4</f>
        <v>0</v>
      </c>
      <c r="G4">
        <f>Units!G4/Units!$L4</f>
        <v>2.6767599292590684E-2</v>
      </c>
      <c r="H4">
        <f>Units!H4/Units!$L4</f>
        <v>0</v>
      </c>
      <c r="I4">
        <f>Units!I4/Units!$L4</f>
        <v>0</v>
      </c>
      <c r="J4">
        <f>Units!J4/Units!$L4</f>
        <v>2.1947089524827524E-4</v>
      </c>
      <c r="K4">
        <f>Units!K4/Units!$L4</f>
        <v>2.9437228870856589E-5</v>
      </c>
      <c r="L4">
        <f t="shared" ref="L4:L32" si="1">SUM(D4:K4)</f>
        <v>1</v>
      </c>
      <c r="N4">
        <f t="shared" ref="N4:N32" si="2">D4*$B4</f>
        <v>42562.189899563447</v>
      </c>
      <c r="O4">
        <f t="shared" si="0"/>
        <v>0</v>
      </c>
      <c r="P4">
        <f t="shared" si="0"/>
        <v>0</v>
      </c>
      <c r="Q4">
        <f t="shared" si="0"/>
        <v>1170.9218634550869</v>
      </c>
      <c r="R4">
        <f t="shared" si="0"/>
        <v>0</v>
      </c>
      <c r="S4">
        <f t="shared" si="0"/>
        <v>0</v>
      </c>
      <c r="T4">
        <f t="shared" si="0"/>
        <v>9.6005348417405525</v>
      </c>
      <c r="U4">
        <f t="shared" si="0"/>
        <v>1.2877021397267507</v>
      </c>
      <c r="V4">
        <f t="shared" ref="V4:V32" si="3">SUM(N4:U4)</f>
        <v>43744</v>
      </c>
      <c r="X4">
        <f>B4/Units!L4</f>
        <v>1.4307801552519451E-2</v>
      </c>
      <c r="Y4">
        <f t="shared" ref="Y4:Y32" si="4">X4/(365*24)</f>
        <v>1.6333106795113527E-6</v>
      </c>
      <c r="AA4">
        <v>79147</v>
      </c>
      <c r="AB4">
        <f t="shared" ref="AB4:AB32" si="5">AA4/B4</f>
        <v>1.8093224213606438</v>
      </c>
    </row>
    <row r="5" spans="1:28" x14ac:dyDescent="0.2">
      <c r="A5" s="6">
        <v>1992</v>
      </c>
      <c r="B5">
        <v>43177</v>
      </c>
      <c r="D5">
        <f>Units!D5/Units!$L5</f>
        <v>0.97264515861880663</v>
      </c>
      <c r="E5">
        <f>Units!E5/Units!$L5</f>
        <v>0</v>
      </c>
      <c r="F5">
        <f>Units!F5/Units!$L5</f>
        <v>0</v>
      </c>
      <c r="G5">
        <f>Units!G5/Units!$L5</f>
        <v>2.705721780837118E-2</v>
      </c>
      <c r="H5">
        <f>Units!H5/Units!$L5</f>
        <v>0</v>
      </c>
      <c r="I5">
        <f>Units!I5/Units!$L5</f>
        <v>0</v>
      </c>
      <c r="J5">
        <f>Units!J5/Units!$L5</f>
        <v>2.4909799029682451E-4</v>
      </c>
      <c r="K5">
        <f>Units!K5/Units!$L5</f>
        <v>4.8525582525355427E-5</v>
      </c>
      <c r="L5">
        <f t="shared" si="1"/>
        <v>1</v>
      </c>
      <c r="N5">
        <f t="shared" si="2"/>
        <v>41995.900013684215</v>
      </c>
      <c r="O5">
        <f t="shared" si="0"/>
        <v>0</v>
      </c>
      <c r="P5">
        <f t="shared" si="0"/>
        <v>0</v>
      </c>
      <c r="Q5">
        <f t="shared" si="0"/>
        <v>1168.2494933120424</v>
      </c>
      <c r="R5">
        <f t="shared" si="0"/>
        <v>0</v>
      </c>
      <c r="S5">
        <f t="shared" si="0"/>
        <v>0</v>
      </c>
      <c r="T5">
        <f t="shared" si="0"/>
        <v>10.755303927045992</v>
      </c>
      <c r="U5">
        <f t="shared" si="0"/>
        <v>2.0951890766972712</v>
      </c>
      <c r="V5">
        <f t="shared" si="3"/>
        <v>43176.999999999993</v>
      </c>
      <c r="X5">
        <f>B5/Units!L5</f>
        <v>1.3967927177981808E-2</v>
      </c>
      <c r="Y5">
        <f t="shared" si="4"/>
        <v>1.59451223492943E-6</v>
      </c>
      <c r="AA5">
        <v>77734</v>
      </c>
      <c r="AB5">
        <f t="shared" si="5"/>
        <v>1.800356671375964</v>
      </c>
    </row>
    <row r="6" spans="1:28" x14ac:dyDescent="0.2">
      <c r="A6" s="6">
        <v>1993</v>
      </c>
      <c r="B6">
        <v>42258</v>
      </c>
      <c r="D6">
        <f>Units!D6/Units!$L6</f>
        <v>0.97210009117617258</v>
      </c>
      <c r="E6">
        <f>Units!E6/Units!$L6</f>
        <v>0</v>
      </c>
      <c r="F6">
        <f>Units!F6/Units!$L6</f>
        <v>0</v>
      </c>
      <c r="G6">
        <f>Units!G6/Units!$L6</f>
        <v>2.7560289641132513E-2</v>
      </c>
      <c r="H6">
        <f>Units!H6/Units!$L6</f>
        <v>0</v>
      </c>
      <c r="I6">
        <f>Units!I6/Units!$L6</f>
        <v>0</v>
      </c>
      <c r="J6">
        <f>Units!J6/Units!$L6</f>
        <v>2.486038146052329E-4</v>
      </c>
      <c r="K6">
        <f>Units!K6/Units!$L6</f>
        <v>9.1015368089626022E-5</v>
      </c>
      <c r="L6">
        <f t="shared" si="1"/>
        <v>1</v>
      </c>
      <c r="N6">
        <f t="shared" si="2"/>
        <v>41079.0056529227</v>
      </c>
      <c r="O6">
        <f t="shared" si="0"/>
        <v>0</v>
      </c>
      <c r="P6">
        <f t="shared" si="0"/>
        <v>0</v>
      </c>
      <c r="Q6">
        <f t="shared" si="0"/>
        <v>1164.6427196549778</v>
      </c>
      <c r="R6">
        <f t="shared" si="0"/>
        <v>0</v>
      </c>
      <c r="S6">
        <f t="shared" si="0"/>
        <v>0</v>
      </c>
      <c r="T6">
        <f t="shared" si="0"/>
        <v>10.505499997587931</v>
      </c>
      <c r="U6">
        <f t="shared" si="0"/>
        <v>3.8461274247314163</v>
      </c>
      <c r="V6">
        <f t="shared" si="3"/>
        <v>42258</v>
      </c>
      <c r="X6">
        <f>B6/Units!L6</f>
        <v>1.3590556271135746E-2</v>
      </c>
      <c r="Y6">
        <f t="shared" si="4"/>
        <v>1.5514333642849025E-6</v>
      </c>
      <c r="AA6">
        <v>75703</v>
      </c>
      <c r="AB6">
        <f t="shared" si="5"/>
        <v>1.7914477732027072</v>
      </c>
    </row>
    <row r="7" spans="1:28" x14ac:dyDescent="0.2">
      <c r="A7" s="6">
        <v>1994</v>
      </c>
      <c r="B7">
        <v>40938.628679892194</v>
      </c>
      <c r="D7">
        <f>Units!D7/Units!$L7</f>
        <v>0.97093924139264653</v>
      </c>
      <c r="E7">
        <f>Units!E7/Units!$L7</f>
        <v>0</v>
      </c>
      <c r="F7">
        <f>Units!F7/Units!$L7</f>
        <v>0</v>
      </c>
      <c r="G7">
        <f>Units!G7/Units!$L7</f>
        <v>2.8671482900306237E-2</v>
      </c>
      <c r="H7">
        <f>Units!H7/Units!$L7</f>
        <v>0</v>
      </c>
      <c r="I7">
        <f>Units!I7/Units!$L7</f>
        <v>0</v>
      </c>
      <c r="J7">
        <f>Units!J7/Units!$L7</f>
        <v>2.4456119907028827E-4</v>
      </c>
      <c r="K7">
        <f>Units!K7/Units!$L7</f>
        <v>1.4471450797699228E-4</v>
      </c>
      <c r="L7">
        <f t="shared" si="1"/>
        <v>1</v>
      </c>
      <c r="N7">
        <f t="shared" si="2"/>
        <v>39748.92107410977</v>
      </c>
      <c r="O7">
        <f t="shared" si="0"/>
        <v>0</v>
      </c>
      <c r="P7">
        <f t="shared" si="0"/>
        <v>0</v>
      </c>
      <c r="Q7">
        <f t="shared" si="0"/>
        <v>1173.7711921575155</v>
      </c>
      <c r="R7">
        <f t="shared" si="0"/>
        <v>0</v>
      </c>
      <c r="S7">
        <f t="shared" si="0"/>
        <v>0</v>
      </c>
      <c r="T7">
        <f t="shared" si="0"/>
        <v>10.012000118247727</v>
      </c>
      <c r="U7">
        <f t="shared" si="0"/>
        <v>5.9244135066633836</v>
      </c>
      <c r="V7">
        <f t="shared" si="3"/>
        <v>40938.628679892201</v>
      </c>
      <c r="X7">
        <f>B7/Units!L7</f>
        <v>1.2935400669570708E-2</v>
      </c>
      <c r="Y7">
        <f t="shared" si="4"/>
        <v>1.4766439120514507E-6</v>
      </c>
      <c r="AA7">
        <v>72541.899999999994</v>
      </c>
      <c r="AB7">
        <f t="shared" si="5"/>
        <v>1.7719670233026239</v>
      </c>
    </row>
    <row r="8" spans="1:28" x14ac:dyDescent="0.2">
      <c r="A8" s="6">
        <v>1995</v>
      </c>
      <c r="B8">
        <v>41323.977458258094</v>
      </c>
      <c r="D8">
        <f>Units!D8/Units!$L8</f>
        <v>0.96998116099436993</v>
      </c>
      <c r="E8">
        <f>Units!E8/Units!$L8</f>
        <v>0</v>
      </c>
      <c r="F8">
        <f>Units!F8/Units!$L8</f>
        <v>0</v>
      </c>
      <c r="G8">
        <f>Units!G8/Units!$L8</f>
        <v>2.9600435313271636E-2</v>
      </c>
      <c r="H8">
        <f>Units!H8/Units!$L8</f>
        <v>0</v>
      </c>
      <c r="I8">
        <f>Units!I8/Units!$L8</f>
        <v>0</v>
      </c>
      <c r="J8">
        <f>Units!J8/Units!$L8</f>
        <v>2.381587264423391E-4</v>
      </c>
      <c r="K8">
        <f>Units!K8/Units!$L8</f>
        <v>1.8024496591604859E-4</v>
      </c>
      <c r="L8">
        <f t="shared" si="1"/>
        <v>1</v>
      </c>
      <c r="N8">
        <f t="shared" si="2"/>
        <v>40083.479631866358</v>
      </c>
      <c r="O8">
        <f t="shared" si="0"/>
        <v>0</v>
      </c>
      <c r="P8">
        <f t="shared" si="0"/>
        <v>0</v>
      </c>
      <c r="Q8">
        <f t="shared" si="0"/>
        <v>1223.207721640264</v>
      </c>
      <c r="R8">
        <f t="shared" si="0"/>
        <v>0</v>
      </c>
      <c r="S8">
        <f t="shared" si="0"/>
        <v>0</v>
      </c>
      <c r="T8">
        <f t="shared" si="0"/>
        <v>9.8416658429906771</v>
      </c>
      <c r="U8">
        <f t="shared" si="0"/>
        <v>7.4484389084792904</v>
      </c>
      <c r="V8">
        <f t="shared" si="3"/>
        <v>41323.977458258094</v>
      </c>
      <c r="X8">
        <f>B8/Units!L8</f>
        <v>1.2798004997387097E-2</v>
      </c>
      <c r="Y8">
        <f t="shared" si="4"/>
        <v>1.4609594745875681E-6</v>
      </c>
      <c r="AA8">
        <v>73779.5</v>
      </c>
      <c r="AB8">
        <f t="shared" si="5"/>
        <v>1.7853920299546593</v>
      </c>
    </row>
    <row r="9" spans="1:28" x14ac:dyDescent="0.2">
      <c r="A9" s="6">
        <v>1996</v>
      </c>
      <c r="B9">
        <v>41682.9729231862</v>
      </c>
      <c r="D9">
        <f>Units!D9/Units!$L9</f>
        <v>0.96885259145557767</v>
      </c>
      <c r="E9">
        <f>Units!E9/Units!$L9</f>
        <v>0</v>
      </c>
      <c r="F9">
        <f>Units!F9/Units!$L9</f>
        <v>0</v>
      </c>
      <c r="G9">
        <f>Units!G9/Units!$L9</f>
        <v>3.0725414160405605E-2</v>
      </c>
      <c r="H9">
        <f>Units!H9/Units!$L9</f>
        <v>0</v>
      </c>
      <c r="I9">
        <f>Units!I9/Units!$L9</f>
        <v>0</v>
      </c>
      <c r="J9">
        <f>Units!J9/Units!$L9</f>
        <v>2.3195920455741694E-4</v>
      </c>
      <c r="K9">
        <f>Units!K9/Units!$L9</f>
        <v>1.900351794593086E-4</v>
      </c>
      <c r="L9">
        <f t="shared" si="1"/>
        <v>1</v>
      </c>
      <c r="N9">
        <f t="shared" si="2"/>
        <v>40384.656336201624</v>
      </c>
      <c r="O9">
        <f t="shared" si="0"/>
        <v>0</v>
      </c>
      <c r="P9">
        <f t="shared" si="0"/>
        <v>0</v>
      </c>
      <c r="Q9">
        <f t="shared" si="0"/>
        <v>1280.7266065018687</v>
      </c>
      <c r="R9">
        <f t="shared" si="0"/>
        <v>0</v>
      </c>
      <c r="S9">
        <f t="shared" si="0"/>
        <v>0</v>
      </c>
      <c r="T9">
        <f t="shared" si="0"/>
        <v>9.6687492428506197</v>
      </c>
      <c r="U9">
        <f t="shared" si="0"/>
        <v>7.9212312398551905</v>
      </c>
      <c r="V9">
        <f t="shared" si="3"/>
        <v>41682.9729231862</v>
      </c>
      <c r="X9">
        <f>B9/Units!L9</f>
        <v>1.27556058612805E-2</v>
      </c>
      <c r="Y9">
        <f t="shared" si="4"/>
        <v>1.4561193905571346E-6</v>
      </c>
      <c r="AA9">
        <v>74942.3</v>
      </c>
      <c r="AB9">
        <f t="shared" si="5"/>
        <v>1.7979115870191031</v>
      </c>
    </row>
    <row r="10" spans="1:28" x14ac:dyDescent="0.2">
      <c r="A10" s="6">
        <v>1997</v>
      </c>
      <c r="B10">
        <v>42447.935472184821</v>
      </c>
      <c r="D10">
        <f>Units!D10/Units!$L10</f>
        <v>0.96781440752047354</v>
      </c>
      <c r="E10">
        <f>Units!E10/Units!$L10</f>
        <v>0</v>
      </c>
      <c r="F10">
        <f>Units!F10/Units!$L10</f>
        <v>0</v>
      </c>
      <c r="G10">
        <f>Units!G10/Units!$L10</f>
        <v>3.1809448437422422E-2</v>
      </c>
      <c r="H10">
        <f>Units!H10/Units!$L10</f>
        <v>0</v>
      </c>
      <c r="I10">
        <f>Units!I10/Units!$L10</f>
        <v>0</v>
      </c>
      <c r="J10">
        <f>Units!J10/Units!$L10</f>
        <v>2.2628825572980219E-4</v>
      </c>
      <c r="K10">
        <f>Units!K10/Units!$L10</f>
        <v>1.498557863742573E-4</v>
      </c>
      <c r="L10">
        <f t="shared" si="1"/>
        <v>1</v>
      </c>
      <c r="N10">
        <f t="shared" si="2"/>
        <v>41081.723519479849</v>
      </c>
      <c r="O10">
        <f t="shared" si="0"/>
        <v>0</v>
      </c>
      <c r="P10">
        <f t="shared" si="0"/>
        <v>0</v>
      </c>
      <c r="Q10">
        <f t="shared" si="0"/>
        <v>1350.2454146774974</v>
      </c>
      <c r="R10">
        <f t="shared" si="0"/>
        <v>0</v>
      </c>
      <c r="S10">
        <f t="shared" si="0"/>
        <v>0</v>
      </c>
      <c r="T10">
        <f t="shared" si="0"/>
        <v>9.6054692773319008</v>
      </c>
      <c r="U10">
        <f t="shared" si="0"/>
        <v>6.3610687501479877</v>
      </c>
      <c r="V10">
        <f t="shared" si="3"/>
        <v>42447.935472184829</v>
      </c>
      <c r="X10">
        <f>B10/Units!L10</f>
        <v>1.277323042198391E-2</v>
      </c>
      <c r="Y10">
        <f t="shared" si="4"/>
        <v>1.4581313267104921E-6</v>
      </c>
      <c r="AA10">
        <v>75617.5</v>
      </c>
      <c r="AB10">
        <f t="shared" si="5"/>
        <v>1.7814176156941826</v>
      </c>
    </row>
    <row r="11" spans="1:28" x14ac:dyDescent="0.2">
      <c r="A11" s="6">
        <v>1998</v>
      </c>
      <c r="B11">
        <v>43443.046896446198</v>
      </c>
      <c r="D11">
        <f>Units!D11/Units!$L11</f>
        <v>0.96633317983165257</v>
      </c>
      <c r="E11">
        <f>Units!E11/Units!$L11</f>
        <v>0</v>
      </c>
      <c r="F11">
        <f>Units!F11/Units!$L11</f>
        <v>0</v>
      </c>
      <c r="G11">
        <f>Units!G11/Units!$L11</f>
        <v>3.3321884748415867E-2</v>
      </c>
      <c r="H11">
        <f>Units!H11/Units!$L11</f>
        <v>0</v>
      </c>
      <c r="I11">
        <f>Units!I11/Units!$L11</f>
        <v>0</v>
      </c>
      <c r="J11">
        <f>Units!J11/Units!$L11</f>
        <v>2.2020298873092731E-4</v>
      </c>
      <c r="K11">
        <f>Units!K11/Units!$L11</f>
        <v>1.247324312006058E-4</v>
      </c>
      <c r="L11">
        <f t="shared" si="1"/>
        <v>1</v>
      </c>
      <c r="N11">
        <f t="shared" si="2"/>
        <v>41980.457649018463</v>
      </c>
      <c r="O11">
        <f t="shared" si="0"/>
        <v>0</v>
      </c>
      <c r="P11">
        <f t="shared" si="0"/>
        <v>0</v>
      </c>
      <c r="Q11">
        <f t="shared" si="0"/>
        <v>1447.6042018034059</v>
      </c>
      <c r="R11">
        <f t="shared" si="0"/>
        <v>0</v>
      </c>
      <c r="S11">
        <f t="shared" si="0"/>
        <v>0</v>
      </c>
      <c r="T11">
        <f t="shared" si="0"/>
        <v>9.5662887661752887</v>
      </c>
      <c r="U11">
        <f t="shared" si="0"/>
        <v>5.4187568581556667</v>
      </c>
      <c r="V11">
        <f t="shared" si="3"/>
        <v>43443.046896446198</v>
      </c>
      <c r="X11">
        <f>B11/Units!L11</f>
        <v>1.2840656061980253E-2</v>
      </c>
      <c r="Y11">
        <f t="shared" si="4"/>
        <v>1.4658283175776544E-6</v>
      </c>
      <c r="AA11">
        <v>76638.899999999994</v>
      </c>
      <c r="AB11">
        <f t="shared" si="5"/>
        <v>1.7641235013437637</v>
      </c>
    </row>
    <row r="12" spans="1:28" x14ac:dyDescent="0.2">
      <c r="A12" s="6">
        <v>1999</v>
      </c>
      <c r="B12">
        <v>44405.582466648295</v>
      </c>
      <c r="D12">
        <f>Units!D12/Units!$L12</f>
        <v>0.96393563189217957</v>
      </c>
      <c r="E12">
        <f>Units!E12/Units!$L12</f>
        <v>0</v>
      </c>
      <c r="F12">
        <f>Units!F12/Units!$L12</f>
        <v>0</v>
      </c>
      <c r="G12">
        <f>Units!G12/Units!$L12</f>
        <v>3.5754323677732611E-2</v>
      </c>
      <c r="H12">
        <f>Units!H12/Units!$L12</f>
        <v>0</v>
      </c>
      <c r="I12">
        <f>Units!I12/Units!$L12</f>
        <v>0</v>
      </c>
      <c r="J12">
        <f>Units!J12/Units!$L12</f>
        <v>2.0852290507304791E-4</v>
      </c>
      <c r="K12">
        <f>Units!K12/Units!$L12</f>
        <v>1.0152152501481724E-4</v>
      </c>
      <c r="L12">
        <f t="shared" si="1"/>
        <v>1</v>
      </c>
      <c r="N12">
        <f t="shared" si="2"/>
        <v>42804.123194528911</v>
      </c>
      <c r="O12">
        <f t="shared" si="0"/>
        <v>0</v>
      </c>
      <c r="P12">
        <f t="shared" si="0"/>
        <v>0</v>
      </c>
      <c r="Q12">
        <f t="shared" si="0"/>
        <v>1587.6915686107911</v>
      </c>
      <c r="R12">
        <f t="shared" si="0"/>
        <v>0</v>
      </c>
      <c r="S12">
        <f t="shared" si="0"/>
        <v>0</v>
      </c>
      <c r="T12">
        <f t="shared" si="0"/>
        <v>9.2595810574063027</v>
      </c>
      <c r="U12">
        <f t="shared" si="0"/>
        <v>4.5081224511853648</v>
      </c>
      <c r="V12">
        <f t="shared" si="3"/>
        <v>44405.582466648295</v>
      </c>
      <c r="X12">
        <f>B12/Units!L12</f>
        <v>1.2807166054503877E-2</v>
      </c>
      <c r="Y12">
        <f t="shared" si="4"/>
        <v>1.4620052573634564E-6</v>
      </c>
      <c r="AA12">
        <v>77626.600000000006</v>
      </c>
      <c r="AB12">
        <f t="shared" si="5"/>
        <v>1.7481270526808881</v>
      </c>
    </row>
    <row r="13" spans="1:28" x14ac:dyDescent="0.2">
      <c r="A13" s="6">
        <v>2000</v>
      </c>
      <c r="B13">
        <v>45612.684980865335</v>
      </c>
      <c r="D13">
        <f>Units!D13/Units!$L13</f>
        <v>0.95968177557584666</v>
      </c>
      <c r="E13">
        <f>Units!E13/Units!$L13</f>
        <v>0</v>
      </c>
      <c r="F13">
        <f>Units!F13/Units!$L13</f>
        <v>0</v>
      </c>
      <c r="G13">
        <f>Units!G13/Units!$L13</f>
        <v>4.001555919305444E-2</v>
      </c>
      <c r="H13">
        <f>Units!H13/Units!$L13</f>
        <v>0</v>
      </c>
      <c r="I13">
        <f>Units!I13/Units!$L13</f>
        <v>0</v>
      </c>
      <c r="J13">
        <f>Units!J13/Units!$L13</f>
        <v>2.1268367590731167E-4</v>
      </c>
      <c r="K13">
        <f>Units!K13/Units!$L13</f>
        <v>8.9981555191554939E-5</v>
      </c>
      <c r="L13">
        <f t="shared" si="1"/>
        <v>1</v>
      </c>
      <c r="N13">
        <f t="shared" si="2"/>
        <v>43773.662511218601</v>
      </c>
      <c r="O13">
        <f t="shared" si="0"/>
        <v>0</v>
      </c>
      <c r="P13">
        <f t="shared" si="0"/>
        <v>0</v>
      </c>
      <c r="Q13">
        <f t="shared" si="0"/>
        <v>1825.2170958059621</v>
      </c>
      <c r="R13">
        <f t="shared" si="0"/>
        <v>0</v>
      </c>
      <c r="S13">
        <f t="shared" si="0"/>
        <v>0</v>
      </c>
      <c r="T13">
        <f t="shared" si="0"/>
        <v>9.7010735097326659</v>
      </c>
      <c r="U13">
        <f t="shared" si="0"/>
        <v>4.1043003310407435</v>
      </c>
      <c r="V13">
        <f t="shared" si="3"/>
        <v>45612.684980865342</v>
      </c>
      <c r="X13">
        <f>B13/Units!L13</f>
        <v>1.2866145238372236E-2</v>
      </c>
      <c r="Y13">
        <f t="shared" si="4"/>
        <v>1.4687380409100727E-6</v>
      </c>
      <c r="AA13">
        <v>79142.100000000006</v>
      </c>
      <c r="AB13">
        <f t="shared" si="5"/>
        <v>1.7350897022001746</v>
      </c>
    </row>
    <row r="14" spans="1:28" x14ac:dyDescent="0.2">
      <c r="A14" s="6">
        <v>2001</v>
      </c>
      <c r="B14">
        <v>46202.491211481203</v>
      </c>
      <c r="D14">
        <f>Units!D14/Units!$L14</f>
        <v>0.95226992208593686</v>
      </c>
      <c r="E14">
        <f>Units!E14/Units!$L14</f>
        <v>0</v>
      </c>
      <c r="F14">
        <f>Units!F14/Units!$L14</f>
        <v>0</v>
      </c>
      <c r="G14">
        <f>Units!G14/Units!$L14</f>
        <v>4.7414068612865186E-2</v>
      </c>
      <c r="H14">
        <f>Units!H14/Units!$L14</f>
        <v>0</v>
      </c>
      <c r="I14">
        <f>Units!I14/Units!$L14</f>
        <v>0</v>
      </c>
      <c r="J14">
        <f>Units!J14/Units!$L14</f>
        <v>1.9010149766919034E-4</v>
      </c>
      <c r="K14">
        <f>Units!K14/Units!$L14</f>
        <v>1.2590780352872462E-4</v>
      </c>
      <c r="L14">
        <f t="shared" si="1"/>
        <v>1</v>
      </c>
      <c r="N14">
        <f t="shared" si="2"/>
        <v>43997.242706133387</v>
      </c>
      <c r="O14">
        <f t="shared" si="0"/>
        <v>0</v>
      </c>
      <c r="P14">
        <f t="shared" si="0"/>
        <v>0</v>
      </c>
      <c r="Q14">
        <f t="shared" si="0"/>
        <v>2190.6480883864706</v>
      </c>
      <c r="R14">
        <f t="shared" si="0"/>
        <v>0</v>
      </c>
      <c r="S14">
        <f t="shared" si="0"/>
        <v>0</v>
      </c>
      <c r="T14">
        <f t="shared" si="0"/>
        <v>8.7831627753501813</v>
      </c>
      <c r="U14">
        <f t="shared" si="0"/>
        <v>5.8172541859928018</v>
      </c>
      <c r="V14">
        <f t="shared" si="3"/>
        <v>46202.491211481196</v>
      </c>
      <c r="X14">
        <f>B14/Units!L14</f>
        <v>1.2729221413550987E-2</v>
      </c>
      <c r="Y14">
        <f t="shared" si="4"/>
        <v>1.4531074673003409E-6</v>
      </c>
      <c r="AA14">
        <v>79574.100000000006</v>
      </c>
      <c r="AB14">
        <f t="shared" si="5"/>
        <v>1.7222902469862067</v>
      </c>
    </row>
    <row r="15" spans="1:28" x14ac:dyDescent="0.2">
      <c r="A15" s="6">
        <v>2002</v>
      </c>
      <c r="B15">
        <v>46837.216355955519</v>
      </c>
      <c r="D15">
        <f>Units!D15/Units!$L15</f>
        <v>0.94212380078711333</v>
      </c>
      <c r="E15">
        <f>Units!E15/Units!$L15</f>
        <v>0</v>
      </c>
      <c r="F15">
        <f>Units!F15/Units!$L15</f>
        <v>0</v>
      </c>
      <c r="G15">
        <f>Units!G15/Units!$L15</f>
        <v>5.7603830455852892E-2</v>
      </c>
      <c r="H15">
        <f>Units!H15/Units!$L15</f>
        <v>0</v>
      </c>
      <c r="I15">
        <f>Units!I15/Units!$L15</f>
        <v>0</v>
      </c>
      <c r="J15">
        <f>Units!J15/Units!$L15</f>
        <v>1.826599997568136E-4</v>
      </c>
      <c r="K15">
        <f>Units!K15/Units!$L15</f>
        <v>8.9708757277014969E-5</v>
      </c>
      <c r="L15">
        <f t="shared" si="1"/>
        <v>1.0000000000000002</v>
      </c>
      <c r="N15">
        <f t="shared" si="2"/>
        <v>44126.45629156116</v>
      </c>
      <c r="O15">
        <f t="shared" si="0"/>
        <v>0</v>
      </c>
      <c r="P15">
        <f t="shared" si="0"/>
        <v>0</v>
      </c>
      <c r="Q15">
        <f t="shared" si="0"/>
        <v>2698.0030699925619</v>
      </c>
      <c r="R15">
        <f t="shared" si="0"/>
        <v>0</v>
      </c>
      <c r="S15">
        <f t="shared" si="0"/>
        <v>0</v>
      </c>
      <c r="T15">
        <f t="shared" si="0"/>
        <v>8.5552859281886615</v>
      </c>
      <c r="U15">
        <f t="shared" si="0"/>
        <v>4.2017084736074493</v>
      </c>
      <c r="V15">
        <f t="shared" si="3"/>
        <v>46837.216355955519</v>
      </c>
      <c r="X15">
        <f>B15/Units!L15</f>
        <v>1.2655748414480269E-2</v>
      </c>
      <c r="Y15">
        <f t="shared" si="4"/>
        <v>1.4447201386393001E-6</v>
      </c>
      <c r="AA15">
        <v>80397</v>
      </c>
      <c r="AB15">
        <f t="shared" si="5"/>
        <v>1.7165196024673066</v>
      </c>
    </row>
    <row r="16" spans="1:28" x14ac:dyDescent="0.2">
      <c r="A16" s="6">
        <v>2003</v>
      </c>
      <c r="B16">
        <v>47323.005225513603</v>
      </c>
      <c r="D16">
        <f>Units!D16/Units!$L16</f>
        <v>0.92988715985855419</v>
      </c>
      <c r="E16">
        <f>Units!E16/Units!$L16</f>
        <v>0</v>
      </c>
      <c r="F16">
        <f>Units!F16/Units!$L16</f>
        <v>0</v>
      </c>
      <c r="G16">
        <f>Units!G16/Units!$L16</f>
        <v>6.9792365401941392E-2</v>
      </c>
      <c r="H16">
        <f>Units!H16/Units!$L16</f>
        <v>0</v>
      </c>
      <c r="I16">
        <f>Units!I16/Units!$L16</f>
        <v>0</v>
      </c>
      <c r="J16">
        <f>Units!J16/Units!$L16</f>
        <v>1.7342398621559025E-4</v>
      </c>
      <c r="K16">
        <f>Units!K16/Units!$L16</f>
        <v>1.4705075328879543E-4</v>
      </c>
      <c r="L16">
        <f t="shared" si="1"/>
        <v>0.99999999999999989</v>
      </c>
      <c r="N16">
        <f t="shared" si="2"/>
        <v>44005.054925124365</v>
      </c>
      <c r="O16">
        <f t="shared" si="0"/>
        <v>0</v>
      </c>
      <c r="P16">
        <f t="shared" si="0"/>
        <v>0</v>
      </c>
      <c r="Q16">
        <f t="shared" si="0"/>
        <v>3302.7844726170274</v>
      </c>
      <c r="R16">
        <f t="shared" si="0"/>
        <v>0</v>
      </c>
      <c r="S16">
        <f t="shared" si="0"/>
        <v>0</v>
      </c>
      <c r="T16">
        <f t="shared" si="0"/>
        <v>8.2069442059097764</v>
      </c>
      <c r="U16">
        <f t="shared" si="0"/>
        <v>6.9588835663013784</v>
      </c>
      <c r="V16">
        <f t="shared" si="3"/>
        <v>47323.005225513603</v>
      </c>
      <c r="X16">
        <f>B16/Units!L16</f>
        <v>1.2606673127357568E-2</v>
      </c>
      <c r="Y16">
        <f t="shared" si="4"/>
        <v>1.4391179369129643E-6</v>
      </c>
      <c r="AA16">
        <v>81056.600000000006</v>
      </c>
      <c r="AB16">
        <f t="shared" si="5"/>
        <v>1.7128371204181123</v>
      </c>
    </row>
    <row r="17" spans="1:28" x14ac:dyDescent="0.2">
      <c r="A17" s="6">
        <v>2004</v>
      </c>
      <c r="B17">
        <v>47856.009129435704</v>
      </c>
      <c r="D17">
        <f>Units!D17/Units!$L17</f>
        <v>0.91566455048556017</v>
      </c>
      <c r="E17">
        <f>Units!E17/Units!$L17</f>
        <v>0</v>
      </c>
      <c r="F17">
        <f>Units!F17/Units!$L17</f>
        <v>0</v>
      </c>
      <c r="G17">
        <f>Units!G17/Units!$L17</f>
        <v>8.3936632112987075E-2</v>
      </c>
      <c r="H17">
        <f>Units!H17/Units!$L17</f>
        <v>0</v>
      </c>
      <c r="I17">
        <f>Units!I17/Units!$L17</f>
        <v>0</v>
      </c>
      <c r="J17">
        <f>Units!J17/Units!$L17</f>
        <v>1.6398741836050364E-4</v>
      </c>
      <c r="K17">
        <f>Units!K17/Units!$L17</f>
        <v>2.3482998309224122E-4</v>
      </c>
      <c r="L17">
        <f t="shared" si="1"/>
        <v>1</v>
      </c>
      <c r="N17">
        <f t="shared" si="2"/>
        <v>43820.051087537606</v>
      </c>
      <c r="O17">
        <f t="shared" si="0"/>
        <v>0</v>
      </c>
      <c r="P17">
        <f t="shared" si="0"/>
        <v>0</v>
      </c>
      <c r="Q17">
        <f t="shared" si="0"/>
        <v>4016.8722326931957</v>
      </c>
      <c r="R17">
        <f t="shared" si="0"/>
        <v>0</v>
      </c>
      <c r="S17">
        <f t="shared" si="0"/>
        <v>0</v>
      </c>
      <c r="T17">
        <f t="shared" si="0"/>
        <v>7.8477833901728546</v>
      </c>
      <c r="U17">
        <f t="shared" si="0"/>
        <v>11.238025814727528</v>
      </c>
      <c r="V17">
        <f t="shared" si="3"/>
        <v>47856.009129435697</v>
      </c>
      <c r="X17">
        <f>B17/Units!L17</f>
        <v>1.2556453424276567E-2</v>
      </c>
      <c r="Y17">
        <f t="shared" si="4"/>
        <v>1.4333850940954986E-6</v>
      </c>
      <c r="AA17">
        <v>81805</v>
      </c>
      <c r="AB17">
        <f t="shared" si="5"/>
        <v>1.7093987043245242</v>
      </c>
    </row>
    <row r="18" spans="1:28" x14ac:dyDescent="0.2">
      <c r="A18">
        <v>2005</v>
      </c>
      <c r="B18">
        <v>48039.968518961279</v>
      </c>
      <c r="D18">
        <f>Units!D18/Units!$L18</f>
        <v>0.9006275876815022</v>
      </c>
      <c r="E18">
        <f>Units!E18/Units!$L18</f>
        <v>1.1740541801382689E-4</v>
      </c>
      <c r="F18">
        <f>Units!F18/Units!$L18</f>
        <v>0</v>
      </c>
      <c r="G18">
        <f>Units!G18/Units!$L18</f>
        <v>9.8793937940999235E-2</v>
      </c>
      <c r="H18">
        <f>Units!H18/Units!$L18</f>
        <v>0</v>
      </c>
      <c r="I18">
        <f>Units!I18/Units!$L18</f>
        <v>0</v>
      </c>
      <c r="J18">
        <f>Units!J18/Units!$L18</f>
        <v>1.5343048005338967E-4</v>
      </c>
      <c r="K18">
        <f>Units!K18/Units!$L18</f>
        <v>3.0763847943137421E-4</v>
      </c>
      <c r="L18">
        <f t="shared" si="1"/>
        <v>1</v>
      </c>
      <c r="N18">
        <f t="shared" si="2"/>
        <v>43266.120959527405</v>
      </c>
      <c r="O18">
        <f t="shared" si="0"/>
        <v>5.6401525853397327</v>
      </c>
      <c r="P18">
        <f t="shared" si="0"/>
        <v>0</v>
      </c>
      <c r="Q18">
        <f t="shared" si="0"/>
        <v>4746.0576685498172</v>
      </c>
      <c r="R18">
        <f t="shared" si="0"/>
        <v>0</v>
      </c>
      <c r="S18">
        <f t="shared" si="0"/>
        <v>0</v>
      </c>
      <c r="T18">
        <f t="shared" si="0"/>
        <v>7.3707954316139563</v>
      </c>
      <c r="U18">
        <f t="shared" si="0"/>
        <v>14.778942867104334</v>
      </c>
      <c r="V18">
        <f t="shared" si="3"/>
        <v>48039.968518961272</v>
      </c>
      <c r="X18">
        <f>B18/Units!L18</f>
        <v>1.2450667958807358E-2</v>
      </c>
      <c r="Y18">
        <f t="shared" si="4"/>
        <v>1.4213091277177351E-6</v>
      </c>
      <c r="AA18">
        <v>82014.3</v>
      </c>
      <c r="AB18">
        <f t="shared" si="5"/>
        <v>1.7072096949361888</v>
      </c>
    </row>
    <row r="19" spans="1:28" x14ac:dyDescent="0.2">
      <c r="A19">
        <v>2006</v>
      </c>
      <c r="B19">
        <v>48330.898658662438</v>
      </c>
      <c r="D19">
        <f>Units!D19/Units!$L19</f>
        <v>0.88314697026605993</v>
      </c>
      <c r="E19">
        <f>Units!E19/Units!$L19</f>
        <v>4.8720190632177185E-4</v>
      </c>
      <c r="F19">
        <f>Units!F19/Units!$L19</f>
        <v>0</v>
      </c>
      <c r="G19">
        <f>Units!G19/Units!$L19</f>
        <v>0.11570519333115772</v>
      </c>
      <c r="H19">
        <f>Units!H19/Units!$L19</f>
        <v>1.0262283440163703E-6</v>
      </c>
      <c r="I19">
        <f>Units!I19/Units!$L19</f>
        <v>0</v>
      </c>
      <c r="J19">
        <f>Units!J19/Units!$L19</f>
        <v>1.4418508233430004E-4</v>
      </c>
      <c r="K19">
        <f>Units!K19/Units!$L19</f>
        <v>5.1542318578222206E-4</v>
      </c>
      <c r="L19">
        <f t="shared" si="1"/>
        <v>0.99999999999999989</v>
      </c>
      <c r="N19">
        <f t="shared" si="2"/>
        <v>42683.286720633711</v>
      </c>
      <c r="O19">
        <f t="shared" ref="O19:O32" si="6">E19*$B19</f>
        <v>23.546905960744706</v>
      </c>
      <c r="P19">
        <f t="shared" ref="P19:P32" si="7">F19*$B19</f>
        <v>0</v>
      </c>
      <c r="Q19">
        <f t="shared" ref="Q19:Q32" si="8">G19*$B19</f>
        <v>5592.1359731691291</v>
      </c>
      <c r="R19">
        <f t="shared" ref="R19:R32" si="9">H19*$B19</f>
        <v>4.9598538095302167E-2</v>
      </c>
      <c r="S19">
        <f t="shared" ref="S19:S32" si="10">I19*$B19</f>
        <v>0</v>
      </c>
      <c r="T19">
        <f t="shared" ref="T19:T32" si="11">J19*$B19</f>
        <v>6.9685946023899552</v>
      </c>
      <c r="U19">
        <f t="shared" ref="U19:U32" si="12">K19*$B19</f>
        <v>24.910865758365517</v>
      </c>
      <c r="V19">
        <f t="shared" si="3"/>
        <v>48330.898658662431</v>
      </c>
      <c r="X19">
        <f>B19/Units!L19</f>
        <v>1.2399634523825543E-2</v>
      </c>
      <c r="Y19">
        <f t="shared" si="4"/>
        <v>1.4154833931307699E-6</v>
      </c>
      <c r="AA19">
        <v>82940.7</v>
      </c>
      <c r="AB19">
        <f t="shared" si="5"/>
        <v>1.7161009271888301</v>
      </c>
    </row>
    <row r="20" spans="1:28" x14ac:dyDescent="0.2">
      <c r="A20">
        <v>2007</v>
      </c>
      <c r="B20">
        <v>48727.996091082219</v>
      </c>
      <c r="D20">
        <f>Units!D20/Units!$L20</f>
        <v>0.86497389197142061</v>
      </c>
      <c r="E20">
        <f>Units!E20/Units!$L20</f>
        <v>1.2372022072760344E-3</v>
      </c>
      <c r="F20">
        <f>Units!F20/Units!$L20</f>
        <v>0</v>
      </c>
      <c r="G20">
        <f>Units!G20/Units!$L20</f>
        <v>0.13275794615829609</v>
      </c>
      <c r="H20">
        <f>Units!H20/Units!$L20</f>
        <v>7.5917500957825801E-7</v>
      </c>
      <c r="I20">
        <f>Units!I20/Units!$L20</f>
        <v>0</v>
      </c>
      <c r="J20">
        <f>Units!J20/Units!$L20</f>
        <v>1.336148016857734E-4</v>
      </c>
      <c r="K20">
        <f>Units!K20/Units!$L20</f>
        <v>8.9658568631192275E-4</v>
      </c>
      <c r="L20">
        <f t="shared" si="1"/>
        <v>0.99999999999999989</v>
      </c>
      <c r="N20">
        <f t="shared" si="2"/>
        <v>42148.44442687156</v>
      </c>
      <c r="O20">
        <f t="shared" si="6"/>
        <v>60.286384320024901</v>
      </c>
      <c r="P20">
        <f t="shared" si="7"/>
        <v>0</v>
      </c>
      <c r="Q20">
        <f t="shared" si="8"/>
        <v>6469.0286814615556</v>
      </c>
      <c r="R20">
        <f t="shared" si="9"/>
        <v>3.6993076899176663E-2</v>
      </c>
      <c r="S20">
        <f t="shared" si="10"/>
        <v>0</v>
      </c>
      <c r="T20">
        <f t="shared" si="11"/>
        <v>6.5107815342550923</v>
      </c>
      <c r="U20">
        <f t="shared" si="12"/>
        <v>43.688823817927641</v>
      </c>
      <c r="V20">
        <f t="shared" si="3"/>
        <v>48727.996091082226</v>
      </c>
      <c r="X20">
        <f>B20/Units!L20</f>
        <v>1.2331025633058887E-2</v>
      </c>
      <c r="Y20">
        <f t="shared" si="4"/>
        <v>1.4076513279747588E-6</v>
      </c>
      <c r="AA20">
        <v>83931.9</v>
      </c>
      <c r="AB20">
        <f t="shared" si="5"/>
        <v>1.7224574522439779</v>
      </c>
    </row>
    <row r="21" spans="1:28" x14ac:dyDescent="0.2">
      <c r="A21">
        <v>2008</v>
      </c>
      <c r="B21">
        <v>49832.943812798097</v>
      </c>
      <c r="D21">
        <f>Units!D21/Units!$L21</f>
        <v>0.84633457065356321</v>
      </c>
      <c r="E21">
        <f>Units!E21/Units!$L21</f>
        <v>2.5354936465757402E-3</v>
      </c>
      <c r="F21">
        <f>Units!F21/Units!$L21</f>
        <v>0</v>
      </c>
      <c r="G21">
        <f>Units!G21/Units!$L21</f>
        <v>0.14978421811523199</v>
      </c>
      <c r="H21">
        <f>Units!H21/Units!$L21</f>
        <v>7.5334068928664162E-7</v>
      </c>
      <c r="I21">
        <f>Units!I21/Units!$L21</f>
        <v>0</v>
      </c>
      <c r="J21">
        <f>Units!J21/Units!$L21</f>
        <v>1.2982571212039791E-4</v>
      </c>
      <c r="K21">
        <f>Units!K21/Units!$L21</f>
        <v>1.2151385318193528E-3</v>
      </c>
      <c r="L21">
        <f t="shared" si="1"/>
        <v>1</v>
      </c>
      <c r="N21">
        <f t="shared" si="2"/>
        <v>42175.34310620762</v>
      </c>
      <c r="O21">
        <f t="shared" si="6"/>
        <v>126.35111242751542</v>
      </c>
      <c r="P21">
        <f t="shared" si="7"/>
        <v>0</v>
      </c>
      <c r="Q21">
        <f t="shared" si="8"/>
        <v>7464.1885253802502</v>
      </c>
      <c r="R21">
        <f t="shared" si="9"/>
        <v>3.7541184241115799E-2</v>
      </c>
      <c r="S21">
        <f t="shared" si="10"/>
        <v>0</v>
      </c>
      <c r="T21">
        <f t="shared" si="11"/>
        <v>6.4695974175522899</v>
      </c>
      <c r="U21">
        <f t="shared" si="12"/>
        <v>60.553930180919785</v>
      </c>
      <c r="V21">
        <f t="shared" si="3"/>
        <v>49832.943812798097</v>
      </c>
      <c r="X21">
        <f>B21/Units!L21</f>
        <v>1.2513728080371933E-2</v>
      </c>
      <c r="Y21">
        <f t="shared" si="4"/>
        <v>1.4285077717319558E-6</v>
      </c>
      <c r="AA21">
        <v>86063.569829469314</v>
      </c>
      <c r="AB21">
        <f t="shared" si="5"/>
        <v>1.727041656474777</v>
      </c>
    </row>
    <row r="22" spans="1:28" x14ac:dyDescent="0.2">
      <c r="A22">
        <v>2009</v>
      </c>
      <c r="B22">
        <v>51111.594637207949</v>
      </c>
      <c r="D22">
        <f>Units!D22/Units!$L22</f>
        <v>0.82886222977445467</v>
      </c>
      <c r="E22">
        <f>Units!E22/Units!$L22</f>
        <v>3.2749543987372421E-3</v>
      </c>
      <c r="F22">
        <f>Units!F22/Units!$L22</f>
        <v>0</v>
      </c>
      <c r="G22">
        <f>Units!G22/Units!$L22</f>
        <v>0.16625341822273385</v>
      </c>
      <c r="H22">
        <f>Units!H22/Units!$L22</f>
        <v>2.4959640261696836E-6</v>
      </c>
      <c r="I22">
        <f>Units!I22/Units!$L22</f>
        <v>0</v>
      </c>
      <c r="J22">
        <f>Units!J22/Units!$L22</f>
        <v>1.277933581398878E-4</v>
      </c>
      <c r="K22">
        <f>Units!K22/Units!$L22</f>
        <v>1.4791082819081546E-3</v>
      </c>
      <c r="L22">
        <f t="shared" si="1"/>
        <v>0.99999999999999989</v>
      </c>
      <c r="N22">
        <f t="shared" si="2"/>
        <v>42364.470298324239</v>
      </c>
      <c r="O22">
        <f t="shared" si="6"/>
        <v>167.388141683599</v>
      </c>
      <c r="P22">
        <f t="shared" si="7"/>
        <v>0</v>
      </c>
      <c r="Q22">
        <f t="shared" si="8"/>
        <v>8497.4773192505727</v>
      </c>
      <c r="R22">
        <f t="shared" si="9"/>
        <v>0.12757270153463837</v>
      </c>
      <c r="S22">
        <f t="shared" si="10"/>
        <v>0</v>
      </c>
      <c r="T22">
        <f t="shared" si="11"/>
        <v>6.5317223185734843</v>
      </c>
      <c r="U22">
        <f t="shared" si="12"/>
        <v>75.599582929426703</v>
      </c>
      <c r="V22">
        <f t="shared" si="3"/>
        <v>51111.594637207949</v>
      </c>
      <c r="X22">
        <f>B22/Units!L22</f>
        <v>1.2757270153463836E-2</v>
      </c>
      <c r="Y22">
        <f t="shared" si="4"/>
        <v>1.4563093782492965E-6</v>
      </c>
      <c r="AA22">
        <v>88675.692143512948</v>
      </c>
      <c r="AB22">
        <f t="shared" si="5"/>
        <v>1.7349427810448177</v>
      </c>
    </row>
    <row r="23" spans="1:28" x14ac:dyDescent="0.2">
      <c r="A23">
        <v>2010</v>
      </c>
      <c r="B23">
        <v>52066.198866403785</v>
      </c>
      <c r="D23">
        <f>Units!D23/Units!$L23</f>
        <v>0.81248921042802458</v>
      </c>
      <c r="E23">
        <f>Units!E23/Units!$L23</f>
        <v>4.2085162905040226E-3</v>
      </c>
      <c r="F23">
        <f>Units!F23/Units!$L23</f>
        <v>2.4556636074828E-7</v>
      </c>
      <c r="G23">
        <f>Units!G23/Units!$L23</f>
        <v>0.18150104402538272</v>
      </c>
      <c r="H23">
        <f>Units!H23/Units!$L23</f>
        <v>4.1746281327207596E-6</v>
      </c>
      <c r="I23">
        <f>Units!I23/Units!$L23</f>
        <v>0</v>
      </c>
      <c r="J23">
        <f>Units!J23/Units!$L23</f>
        <v>1.6330162989760619E-4</v>
      </c>
      <c r="K23">
        <f>Units!K23/Units!$L23</f>
        <v>1.6335074316975585E-3</v>
      </c>
      <c r="L23">
        <f t="shared" si="1"/>
        <v>1</v>
      </c>
      <c r="N23">
        <f t="shared" si="2"/>
        <v>42303.224806952923</v>
      </c>
      <c r="O23">
        <f t="shared" si="6"/>
        <v>219.1214461138824</v>
      </c>
      <c r="P23">
        <f t="shared" si="7"/>
        <v>1.2785706973618999E-2</v>
      </c>
      <c r="Q23">
        <f t="shared" si="8"/>
        <v>9450.0694526854859</v>
      </c>
      <c r="R23">
        <f t="shared" si="9"/>
        <v>0.21735701855152295</v>
      </c>
      <c r="S23">
        <f t="shared" si="10"/>
        <v>0</v>
      </c>
      <c r="T23">
        <f t="shared" si="11"/>
        <v>8.5024951374566342</v>
      </c>
      <c r="U23">
        <f t="shared" si="12"/>
        <v>85.050522788513575</v>
      </c>
      <c r="V23">
        <f t="shared" si="3"/>
        <v>52066.198866403793</v>
      </c>
      <c r="X23">
        <f>B23/Units!L23</f>
        <v>1.2785706973618999E-2</v>
      </c>
      <c r="Y23">
        <f t="shared" si="4"/>
        <v>1.4595555905957761E-6</v>
      </c>
      <c r="AA23">
        <v>90860.535963866583</v>
      </c>
      <c r="AB23">
        <f t="shared" si="5"/>
        <v>1.7450963953985743</v>
      </c>
    </row>
    <row r="24" spans="1:28" x14ac:dyDescent="0.2">
      <c r="A24">
        <v>2011</v>
      </c>
      <c r="B24">
        <v>52697.326982835722</v>
      </c>
      <c r="D24">
        <f>Units!D24/Units!$L24</f>
        <v>0.793817053055768</v>
      </c>
      <c r="E24">
        <f>Units!E24/Units!$L24</f>
        <v>5.2892267890031789E-3</v>
      </c>
      <c r="F24">
        <f>Units!F24/Units!$L24</f>
        <v>7.2132377338892336E-7</v>
      </c>
      <c r="G24">
        <f>Units!G24/Units!$L24</f>
        <v>0.1988675216757794</v>
      </c>
      <c r="H24">
        <f>Units!H24/Units!$L24</f>
        <v>7.4536789916855411E-6</v>
      </c>
      <c r="I24">
        <f>Units!I24/Units!$L24</f>
        <v>0</v>
      </c>
      <c r="J24">
        <f>Units!J24/Units!$L24</f>
        <v>2.5102067313934534E-4</v>
      </c>
      <c r="K24">
        <f>Units!K24/Units!$L24</f>
        <v>1.7670028035450659E-3</v>
      </c>
      <c r="L24">
        <f t="shared" si="1"/>
        <v>1</v>
      </c>
      <c r="N24">
        <f t="shared" si="2"/>
        <v>41832.036809430858</v>
      </c>
      <c r="O24">
        <f t="shared" si="6"/>
        <v>278.72811358647476</v>
      </c>
      <c r="P24">
        <f t="shared" si="7"/>
        <v>3.8011834746768988E-2</v>
      </c>
      <c r="Q24">
        <f t="shared" si="8"/>
        <v>10479.786816014717</v>
      </c>
      <c r="R24">
        <f t="shared" si="9"/>
        <v>0.39278895904994621</v>
      </c>
      <c r="S24">
        <f t="shared" si="10"/>
        <v>0</v>
      </c>
      <c r="T24">
        <f t="shared" si="11"/>
        <v>13.228118491875609</v>
      </c>
      <c r="U24">
        <f t="shared" si="12"/>
        <v>93.116324518001775</v>
      </c>
      <c r="V24">
        <f t="shared" si="3"/>
        <v>52697.326982835722</v>
      </c>
      <c r="X24">
        <f>B24/Units!L24</f>
        <v>1.267061158225633E-2</v>
      </c>
      <c r="Y24">
        <f t="shared" si="4"/>
        <v>1.4464168472895354E-6</v>
      </c>
      <c r="AA24">
        <v>91673.602396412942</v>
      </c>
      <c r="AB24">
        <f t="shared" si="5"/>
        <v>1.7396252835797981</v>
      </c>
    </row>
    <row r="25" spans="1:28" x14ac:dyDescent="0.2">
      <c r="A25">
        <v>2012</v>
      </c>
      <c r="B25">
        <v>53721.485077441161</v>
      </c>
      <c r="D25">
        <f>Units!D25/Units!$L25</f>
        <v>0.77138959647784222</v>
      </c>
      <c r="E25">
        <f>Units!E25/Units!$L25</f>
        <v>6.4206492219815361E-3</v>
      </c>
      <c r="F25">
        <f>Units!F25/Units!$L25</f>
        <v>7.2935187204627196E-6</v>
      </c>
      <c r="G25">
        <f>Units!G25/Units!$L25</f>
        <v>0.2197664238866032</v>
      </c>
      <c r="H25">
        <f>Units!H25/Units!$L25</f>
        <v>1.8092631922696231E-4</v>
      </c>
      <c r="I25">
        <f>Units!I25/Units!$L25</f>
        <v>0</v>
      </c>
      <c r="J25">
        <f>Units!J25/Units!$L25</f>
        <v>4.1361309388946647E-4</v>
      </c>
      <c r="K25">
        <f>Units!K25/Units!$L25</f>
        <v>1.8214974817362057E-3</v>
      </c>
      <c r="L25">
        <f t="shared" si="1"/>
        <v>0.99999999999999989</v>
      </c>
      <c r="N25">
        <f t="shared" si="2"/>
        <v>41440.194696077757</v>
      </c>
      <c r="O25">
        <f t="shared" si="6"/>
        <v>344.92681136616528</v>
      </c>
      <c r="P25">
        <f t="shared" si="7"/>
        <v>0.39181865710337571</v>
      </c>
      <c r="Q25">
        <f t="shared" si="8"/>
        <v>11806.178661346763</v>
      </c>
      <c r="R25">
        <f t="shared" si="9"/>
        <v>9.7196305584676121</v>
      </c>
      <c r="S25">
        <f t="shared" si="10"/>
        <v>0</v>
      </c>
      <c r="T25">
        <f t="shared" si="11"/>
        <v>22.219909651217243</v>
      </c>
      <c r="U25">
        <f t="shared" si="12"/>
        <v>97.853549783688223</v>
      </c>
      <c r="V25">
        <f t="shared" si="3"/>
        <v>53721.485077441161</v>
      </c>
      <c r="X25">
        <f>B25/Units!L25</f>
        <v>1.2639311519463734E-2</v>
      </c>
      <c r="Y25">
        <f t="shared" si="4"/>
        <v>1.4428437807607004E-6</v>
      </c>
      <c r="AA25">
        <v>93087.337309782277</v>
      </c>
      <c r="AB25">
        <f t="shared" si="5"/>
        <v>1.7327766940097438</v>
      </c>
    </row>
    <row r="26" spans="1:28" x14ac:dyDescent="0.2">
      <c r="A26">
        <v>2013</v>
      </c>
      <c r="B26">
        <v>54694.626778503109</v>
      </c>
      <c r="D26">
        <f>Units!D26/Units!$L26</f>
        <v>0.74936920477520852</v>
      </c>
      <c r="E26">
        <f>Units!E26/Units!$L26</f>
        <v>7.6582745205064336E-3</v>
      </c>
      <c r="F26">
        <f>Units!F26/Units!$L26</f>
        <v>2.409428092124483E-5</v>
      </c>
      <c r="G26">
        <f>Units!G26/Units!$L26</f>
        <v>0.23997973300293279</v>
      </c>
      <c r="H26">
        <f>Units!H26/Units!$L26</f>
        <v>3.6002415915013911E-4</v>
      </c>
      <c r="I26">
        <f>Units!I26/Units!$L26</f>
        <v>2.7801093370667111E-5</v>
      </c>
      <c r="J26">
        <f>Units!J26/Units!$L26</f>
        <v>6.215861126124989E-4</v>
      </c>
      <c r="K26">
        <f>Units!K26/Units!$L26</f>
        <v>1.9592820552977648E-3</v>
      </c>
      <c r="L26">
        <f t="shared" si="1"/>
        <v>0.99999999999999989</v>
      </c>
      <c r="N26">
        <f t="shared" si="2"/>
        <v>40986.468974483701</v>
      </c>
      <c r="O26">
        <f t="shared" si="6"/>
        <v>418.86646666641923</v>
      </c>
      <c r="P26">
        <f t="shared" si="7"/>
        <v>1.317827702483894</v>
      </c>
      <c r="Q26">
        <f t="shared" si="8"/>
        <v>13125.601931000234</v>
      </c>
      <c r="R26">
        <f t="shared" si="9"/>
        <v>19.691387015961265</v>
      </c>
      <c r="S26">
        <f t="shared" si="10"/>
        <v>1.5205704259429547</v>
      </c>
      <c r="T26">
        <f t="shared" si="11"/>
        <v>33.997420440041232</v>
      </c>
      <c r="U26">
        <f t="shared" si="12"/>
        <v>107.16220076832974</v>
      </c>
      <c r="V26">
        <f t="shared" si="3"/>
        <v>54694.626778503116</v>
      </c>
      <c r="X26">
        <f>B26/Units!L26</f>
        <v>1.267142021619129E-2</v>
      </c>
      <c r="Y26">
        <f t="shared" si="4"/>
        <v>1.4465091570994623E-6</v>
      </c>
      <c r="AA26">
        <v>94339.250976667419</v>
      </c>
      <c r="AB26">
        <f t="shared" si="5"/>
        <v>1.7248358117281464</v>
      </c>
    </row>
    <row r="27" spans="1:28" x14ac:dyDescent="0.2">
      <c r="A27">
        <v>2014</v>
      </c>
      <c r="B27">
        <v>55640.547246595561</v>
      </c>
      <c r="D27">
        <f>Units!D27/Units!$L27</f>
        <v>0.73095781726545417</v>
      </c>
      <c r="E27">
        <f>Units!E27/Units!$L27</f>
        <v>8.7569920438924902E-3</v>
      </c>
      <c r="F27">
        <f>Units!F27/Units!$L27</f>
        <v>1.1004171768272233E-4</v>
      </c>
      <c r="G27">
        <f>Units!G27/Units!$L27</f>
        <v>0.25653783642915085</v>
      </c>
      <c r="H27">
        <f>Units!H27/Units!$L27</f>
        <v>4.7030277681827385E-4</v>
      </c>
      <c r="I27">
        <f>Units!I27/Units!$L27</f>
        <v>5.9130300580549964E-5</v>
      </c>
      <c r="J27">
        <f>Units!J27/Units!$L27</f>
        <v>1.013433993347727E-3</v>
      </c>
      <c r="K27">
        <f>Units!K27/Units!$L27</f>
        <v>2.0944454730732255E-3</v>
      </c>
      <c r="L27">
        <f t="shared" si="1"/>
        <v>1</v>
      </c>
      <c r="N27">
        <f t="shared" si="2"/>
        <v>40670.892966826868</v>
      </c>
      <c r="O27">
        <f t="shared" si="6"/>
        <v>487.24382955626152</v>
      </c>
      <c r="P27">
        <f t="shared" si="7"/>
        <v>6.1227813918220422</v>
      </c>
      <c r="Q27">
        <f t="shared" si="8"/>
        <v>14273.905608375571</v>
      </c>
      <c r="R27">
        <f t="shared" si="9"/>
        <v>26.167903873762253</v>
      </c>
      <c r="S27">
        <f t="shared" si="10"/>
        <v>3.2900422831574874</v>
      </c>
      <c r="T27">
        <f t="shared" si="11"/>
        <v>56.388021988170216</v>
      </c>
      <c r="U27">
        <f t="shared" si="12"/>
        <v>116.53609229994899</v>
      </c>
      <c r="V27">
        <f t="shared" si="3"/>
        <v>55640.547246595561</v>
      </c>
      <c r="X27">
        <f>B27/Units!L27</f>
        <v>1.2702865958137017E-2</v>
      </c>
      <c r="Y27">
        <f t="shared" si="4"/>
        <v>1.4500988536686091E-6</v>
      </c>
      <c r="AA27">
        <v>95562.184060108528</v>
      </c>
      <c r="AB27">
        <f t="shared" si="5"/>
        <v>1.7174918074867718</v>
      </c>
    </row>
    <row r="28" spans="1:28" x14ac:dyDescent="0.2">
      <c r="A28">
        <v>2015</v>
      </c>
      <c r="B28">
        <v>56619.987486650003</v>
      </c>
      <c r="D28">
        <f>Units!D28/Units!$L28</f>
        <v>0.71260663370902766</v>
      </c>
      <c r="E28">
        <f>Units!E28/Units!$L28</f>
        <v>9.7435941189968657E-3</v>
      </c>
      <c r="F28">
        <f>Units!F28/Units!$L28</f>
        <v>4.241323921740501E-4</v>
      </c>
      <c r="G28">
        <f>Units!G28/Units!$L28</f>
        <v>0.27259318900408147</v>
      </c>
      <c r="H28">
        <f>Units!H28/Units!$L28</f>
        <v>6.3406557728931581E-4</v>
      </c>
      <c r="I28">
        <f>Units!I28/Units!$L28</f>
        <v>8.9586460813894116E-5</v>
      </c>
      <c r="J28">
        <f>Units!J28/Units!$L28</f>
        <v>1.6909163819284125E-3</v>
      </c>
      <c r="K28">
        <f>Units!K28/Units!$L28</f>
        <v>2.217882355688336E-3</v>
      </c>
      <c r="L28">
        <f t="shared" si="1"/>
        <v>1</v>
      </c>
      <c r="N28">
        <f t="shared" si="2"/>
        <v>40347.778683508928</v>
      </c>
      <c r="O28">
        <f t="shared" si="6"/>
        <v>551.68217709259909</v>
      </c>
      <c r="P28">
        <f t="shared" si="7"/>
        <v>24.014370737577647</v>
      </c>
      <c r="Q28">
        <f t="shared" si="8"/>
        <v>15434.222950357112</v>
      </c>
      <c r="R28">
        <f t="shared" si="9"/>
        <v>35.900785051836571</v>
      </c>
      <c r="S28">
        <f t="shared" si="10"/>
        <v>5.0723842902559459</v>
      </c>
      <c r="T28">
        <f t="shared" si="11"/>
        <v>95.739664385758218</v>
      </c>
      <c r="U28">
        <f t="shared" si="12"/>
        <v>125.57647122593542</v>
      </c>
      <c r="V28">
        <f t="shared" si="3"/>
        <v>56619.987486650003</v>
      </c>
      <c r="X28">
        <f>B28/Units!L28</f>
        <v>1.2712742582095102E-2</v>
      </c>
      <c r="Y28">
        <f t="shared" si="4"/>
        <v>1.4512263221569751E-6</v>
      </c>
      <c r="AA28">
        <v>96846.638480630645</v>
      </c>
      <c r="AB28">
        <f t="shared" si="5"/>
        <v>1.7104673239898787</v>
      </c>
    </row>
    <row r="29" spans="1:28" x14ac:dyDescent="0.2">
      <c r="A29">
        <v>2016</v>
      </c>
      <c r="B29">
        <v>57737.1015232348</v>
      </c>
      <c r="D29">
        <f>Units!D29/Units!$L29</f>
        <v>0.69689700824974732</v>
      </c>
      <c r="E29">
        <f>Units!E29/Units!$L29</f>
        <v>1.090887931934717E-2</v>
      </c>
      <c r="F29">
        <f>Units!F29/Units!$L29</f>
        <v>9.155077904447359E-4</v>
      </c>
      <c r="G29">
        <f>Units!G29/Units!$L29</f>
        <v>0.28573666296746653</v>
      </c>
      <c r="H29">
        <f>Units!H29/Units!$L29</f>
        <v>7.54442137606706E-4</v>
      </c>
      <c r="I29">
        <f>Units!I29/Units!$L29</f>
        <v>1.2920651271622178E-4</v>
      </c>
      <c r="J29">
        <f>Units!J29/Units!$L29</f>
        <v>2.3726209629602096E-3</v>
      </c>
      <c r="K29">
        <f>Units!K29/Units!$L29</f>
        <v>2.2856720597111083E-3</v>
      </c>
      <c r="L29">
        <f t="shared" si="1"/>
        <v>0.99999999999999989</v>
      </c>
      <c r="N29">
        <f t="shared" si="2"/>
        <v>40236.81331655426</v>
      </c>
      <c r="O29">
        <f t="shared" si="6"/>
        <v>629.84707276586414</v>
      </c>
      <c r="P29">
        <f t="shared" si="7"/>
        <v>52.858766242220085</v>
      </c>
      <c r="Q29">
        <f t="shared" si="8"/>
        <v>16497.606718662941</v>
      </c>
      <c r="R29">
        <f t="shared" si="9"/>
        <v>43.559302292404666</v>
      </c>
      <c r="S29">
        <f t="shared" si="10"/>
        <v>7.4600095421596251</v>
      </c>
      <c r="T29">
        <f t="shared" si="11"/>
        <v>136.98825741458873</v>
      </c>
      <c r="U29">
        <f t="shared" si="12"/>
        <v>131.96807976036146</v>
      </c>
      <c r="V29">
        <f t="shared" si="3"/>
        <v>57737.101523234807</v>
      </c>
      <c r="X29">
        <f>B29/Units!L29</f>
        <v>1.2773988942054153E-2</v>
      </c>
      <c r="Y29">
        <f t="shared" si="4"/>
        <v>1.4582179157596066E-6</v>
      </c>
      <c r="AA29">
        <v>98923.192021565337</v>
      </c>
      <c r="AB29">
        <f t="shared" si="5"/>
        <v>1.7133383805516504</v>
      </c>
    </row>
    <row r="30" spans="1:28" x14ac:dyDescent="0.2">
      <c r="A30">
        <v>2017</v>
      </c>
      <c r="B30">
        <v>58734.814979999996</v>
      </c>
      <c r="D30">
        <f>Units!D30/Units!$L30</f>
        <v>0.68472447213977994</v>
      </c>
      <c r="E30">
        <f>Units!E30/Units!$L30</f>
        <v>1.2402027312575845E-2</v>
      </c>
      <c r="F30">
        <f>Units!F30/Units!$L30</f>
        <v>1.488339624343692E-3</v>
      </c>
      <c r="G30">
        <f>Units!G30/Units!$L30</f>
        <v>0.2949391197490428</v>
      </c>
      <c r="H30">
        <f>Units!H30/Units!$L30</f>
        <v>7.7581098853166108E-4</v>
      </c>
      <c r="I30">
        <f>Units!I30/Units!$L30</f>
        <v>1.4955656369379749E-4</v>
      </c>
      <c r="J30">
        <f>Units!J30/Units!$L30</f>
        <v>3.1836059729782166E-3</v>
      </c>
      <c r="K30">
        <f>Units!K30/Units!$L30</f>
        <v>2.3370676490540275E-3</v>
      </c>
      <c r="L30">
        <f t="shared" si="1"/>
        <v>0.99999999999999989</v>
      </c>
      <c r="N30">
        <f t="shared" si="2"/>
        <v>40217.165183408135</v>
      </c>
      <c r="O30">
        <f t="shared" si="6"/>
        <v>728.4307795810488</v>
      </c>
      <c r="P30">
        <f t="shared" si="7"/>
        <v>87.417352463229449</v>
      </c>
      <c r="Q30">
        <f t="shared" si="8"/>
        <v>17323.194628824091</v>
      </c>
      <c r="R30">
        <f t="shared" si="9"/>
        <v>45.567114870858013</v>
      </c>
      <c r="S30">
        <f t="shared" si="10"/>
        <v>8.7841770975997804</v>
      </c>
      <c r="T30">
        <f t="shared" si="11"/>
        <v>186.98850779209843</v>
      </c>
      <c r="U30">
        <f t="shared" si="12"/>
        <v>137.26723596293186</v>
      </c>
      <c r="V30">
        <f t="shared" si="3"/>
        <v>58734.814979999981</v>
      </c>
      <c r="X30">
        <f>B30/Units!L30</f>
        <v>1.2861167053586794E-2</v>
      </c>
      <c r="Y30">
        <f t="shared" si="4"/>
        <v>1.4681697549756614E-6</v>
      </c>
      <c r="AA30">
        <v>100778.23555762712</v>
      </c>
      <c r="AB30">
        <f t="shared" si="5"/>
        <v>1.7158177069587004</v>
      </c>
    </row>
    <row r="31" spans="1:28" x14ac:dyDescent="0.2">
      <c r="A31">
        <v>2018</v>
      </c>
      <c r="B31">
        <v>59344.209338046559</v>
      </c>
      <c r="D31">
        <f>Units!D31/Units!$L31</f>
        <v>0.67727196424905978</v>
      </c>
      <c r="E31">
        <f>Units!E31/Units!$L31</f>
        <v>1.4070670382315183E-2</v>
      </c>
      <c r="F31">
        <f>Units!F31/Units!$L31</f>
        <v>2.25530819356163E-3</v>
      </c>
      <c r="G31">
        <f>Units!G31/Units!$L31</f>
        <v>0.29881876819989356</v>
      </c>
      <c r="H31">
        <f>Units!H31/Units!$L31</f>
        <v>8.4280510588554552E-4</v>
      </c>
      <c r="I31">
        <f>Units!I31/Units!$L31</f>
        <v>1.696047426704658E-4</v>
      </c>
      <c r="J31">
        <f>Units!J31/Units!$L31</f>
        <v>4.1707545758489801E-3</v>
      </c>
      <c r="K31">
        <f>Units!K31/Units!$L31</f>
        <v>2.4001245507648738E-3</v>
      </c>
      <c r="L31">
        <f t="shared" si="1"/>
        <v>1</v>
      </c>
      <c r="N31">
        <f t="shared" si="2"/>
        <v>40192.16922518619</v>
      </c>
      <c r="O31">
        <f t="shared" si="6"/>
        <v>835.01280869476386</v>
      </c>
      <c r="P31">
        <f t="shared" si="7"/>
        <v>133.83948156053299</v>
      </c>
      <c r="Q31">
        <f t="shared" si="8"/>
        <v>17733.163534191695</v>
      </c>
      <c r="R31">
        <f t="shared" si="9"/>
        <v>50.01560263484631</v>
      </c>
      <c r="S31">
        <f t="shared" si="10"/>
        <v>10.06505935376164</v>
      </c>
      <c r="T31">
        <f t="shared" si="11"/>
        <v>247.51013264679747</v>
      </c>
      <c r="U31">
        <f t="shared" si="12"/>
        <v>142.43349377797563</v>
      </c>
      <c r="V31">
        <f t="shared" si="3"/>
        <v>59344.209338046581</v>
      </c>
      <c r="X31">
        <f>B31/Units!L31</f>
        <v>1.290392224841236E-2</v>
      </c>
      <c r="Y31">
        <f t="shared" si="4"/>
        <v>1.47305048497858E-6</v>
      </c>
      <c r="AA31">
        <v>102034.0929455077</v>
      </c>
      <c r="AB31">
        <f t="shared" si="5"/>
        <v>1.7193605590780354</v>
      </c>
    </row>
    <row r="32" spans="1:28" x14ac:dyDescent="0.2">
      <c r="A32">
        <v>2019</v>
      </c>
      <c r="B32">
        <v>59832.856200000002</v>
      </c>
      <c r="D32">
        <f>Units!D32/Units!$L32</f>
        <v>0.67081550572687398</v>
      </c>
      <c r="E32">
        <f>Units!E32/Units!$L32</f>
        <v>1.678985561667809E-2</v>
      </c>
      <c r="F32">
        <f>Units!F32/Units!$L32</f>
        <v>2.9653219011563695E-3</v>
      </c>
      <c r="G32">
        <f>Units!G32/Units!$L32</f>
        <v>0.29924731771581259</v>
      </c>
      <c r="H32">
        <f>Units!H32/Units!$L32</f>
        <v>1.3715236032134817E-3</v>
      </c>
      <c r="I32">
        <f>Units!I32/Units!$L32</f>
        <v>1.6989837912617694E-4</v>
      </c>
      <c r="J32">
        <f>Units!J32/Units!$L32</f>
        <v>6.2150342101749004E-3</v>
      </c>
      <c r="K32">
        <f>Units!K32/Units!$L32</f>
        <v>2.4255428469644137E-3</v>
      </c>
      <c r="L32">
        <f t="shared" si="1"/>
        <v>1</v>
      </c>
      <c r="N32">
        <f t="shared" si="2"/>
        <v>40136.80769088633</v>
      </c>
      <c r="O32">
        <f t="shared" si="6"/>
        <v>1004.5850167314625</v>
      </c>
      <c r="P32">
        <f t="shared" si="7"/>
        <v>177.42367889859969</v>
      </c>
      <c r="Q32">
        <f t="shared" si="8"/>
        <v>17904.821729125928</v>
      </c>
      <c r="R32">
        <f t="shared" si="9"/>
        <v>82.062174525978108</v>
      </c>
      <c r="S32">
        <f t="shared" si="10"/>
        <v>10.165505286869626</v>
      </c>
      <c r="T32">
        <f t="shared" si="11"/>
        <v>371.86324817547541</v>
      </c>
      <c r="U32">
        <f t="shared" si="12"/>
        <v>145.12715636936036</v>
      </c>
      <c r="V32">
        <f t="shared" si="3"/>
        <v>59832.856200000002</v>
      </c>
      <c r="X32">
        <f>B32/Units!L32</f>
        <v>1.2949688263528186E-2</v>
      </c>
      <c r="Y32">
        <f t="shared" si="4"/>
        <v>1.4782749159278751E-6</v>
      </c>
      <c r="AA32">
        <v>103071.99986623318</v>
      </c>
      <c r="AB32">
        <f t="shared" si="5"/>
        <v>1.7226655455273616</v>
      </c>
    </row>
    <row r="34" spans="25:28" x14ac:dyDescent="0.2">
      <c r="Y34" t="s">
        <v>32</v>
      </c>
      <c r="AB34" t="s">
        <v>6</v>
      </c>
    </row>
    <row r="35" spans="25:28" x14ac:dyDescent="0.2">
      <c r="Y35">
        <f>AVERAGE(Y3:Y32)</f>
        <v>1.4710886431639635E-6</v>
      </c>
      <c r="AB35">
        <f>AVERAGE(AB3:AB32)</f>
        <v>1.7439553522272908</v>
      </c>
    </row>
  </sheetData>
  <mergeCells count="2">
    <mergeCell ref="D1:L1"/>
    <mergeCell ref="N1: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99E3-D245-FB4C-8143-361051AE6B34}">
  <dimension ref="A1:AP35"/>
  <sheetViews>
    <sheetView tabSelected="1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baseColWidth="10" defaultRowHeight="16" x14ac:dyDescent="0.2"/>
  <cols>
    <col min="2" max="2" width="9.33203125" customWidth="1"/>
    <col min="3" max="3" width="10" bestFit="1" customWidth="1"/>
    <col min="10" max="10" width="11.5" bestFit="1" customWidth="1"/>
    <col min="17" max="17" width="12.1640625" bestFit="1" customWidth="1"/>
    <col min="19" max="19" width="11.5" bestFit="1" customWidth="1"/>
    <col min="33" max="34" width="8.33203125" customWidth="1"/>
    <col min="35" max="35" width="23.83203125" customWidth="1"/>
    <col min="39" max="39" width="24.33203125" bestFit="1" customWidth="1"/>
    <col min="40" max="40" width="14.83203125" bestFit="1" customWidth="1"/>
  </cols>
  <sheetData>
    <row r="1" spans="1:42" x14ac:dyDescent="0.2">
      <c r="B1" s="12" t="s">
        <v>58</v>
      </c>
      <c r="C1" s="12"/>
      <c r="D1" s="12"/>
      <c r="F1" t="s">
        <v>73</v>
      </c>
      <c r="H1" s="12" t="s">
        <v>75</v>
      </c>
      <c r="I1" s="12"/>
      <c r="J1" s="12"/>
      <c r="K1" s="12"/>
      <c r="L1" s="12"/>
      <c r="M1" s="12"/>
      <c r="N1" s="12"/>
      <c r="O1" s="12"/>
      <c r="P1" s="12"/>
      <c r="Q1" s="12" t="s">
        <v>74</v>
      </c>
      <c r="R1" s="12"/>
      <c r="S1" s="12"/>
      <c r="T1" s="12"/>
      <c r="U1" s="12"/>
      <c r="V1" s="12"/>
      <c r="W1" s="12"/>
      <c r="X1" s="12"/>
      <c r="Y1" s="12"/>
      <c r="AA1" s="12" t="s">
        <v>49</v>
      </c>
      <c r="AB1" s="12"/>
      <c r="AC1" s="12"/>
      <c r="AD1" s="12"/>
      <c r="AE1" s="12" t="s">
        <v>51</v>
      </c>
      <c r="AF1" s="12"/>
      <c r="AI1" t="s">
        <v>60</v>
      </c>
      <c r="AJ1" s="12" t="s">
        <v>56</v>
      </c>
      <c r="AK1" s="12"/>
      <c r="AM1" s="4" t="s">
        <v>55</v>
      </c>
      <c r="AO1" s="12" t="s">
        <v>61</v>
      </c>
      <c r="AP1" s="12"/>
    </row>
    <row r="2" spans="1:42" x14ac:dyDescent="0.2">
      <c r="B2" t="s">
        <v>16</v>
      </c>
      <c r="C2" t="s">
        <v>0</v>
      </c>
      <c r="D2" t="s">
        <v>48</v>
      </c>
      <c r="F2" t="s">
        <v>0</v>
      </c>
      <c r="H2" t="s">
        <v>16</v>
      </c>
      <c r="I2" t="s">
        <v>17</v>
      </c>
      <c r="J2" t="s">
        <v>18</v>
      </c>
      <c r="K2" t="s">
        <v>0</v>
      </c>
      <c r="L2" t="s">
        <v>19</v>
      </c>
      <c r="M2" t="s">
        <v>20</v>
      </c>
      <c r="N2" t="s">
        <v>1</v>
      </c>
      <c r="O2" t="s">
        <v>21</v>
      </c>
      <c r="P2" t="s">
        <v>2</v>
      </c>
      <c r="Q2" t="s">
        <v>16</v>
      </c>
      <c r="R2" t="s">
        <v>17</v>
      </c>
      <c r="S2" t="s">
        <v>18</v>
      </c>
      <c r="T2" t="s">
        <v>0</v>
      </c>
      <c r="U2" t="s">
        <v>19</v>
      </c>
      <c r="V2" t="s">
        <v>20</v>
      </c>
      <c r="W2" t="s">
        <v>1</v>
      </c>
      <c r="X2" t="s">
        <v>21</v>
      </c>
      <c r="Y2" t="s">
        <v>2</v>
      </c>
      <c r="AA2" t="s">
        <v>16</v>
      </c>
      <c r="AB2" t="s">
        <v>0</v>
      </c>
      <c r="AC2" t="s">
        <v>50</v>
      </c>
      <c r="AD2" t="s">
        <v>35</v>
      </c>
      <c r="AE2" t="s">
        <v>16</v>
      </c>
      <c r="AF2" t="s">
        <v>0</v>
      </c>
      <c r="AH2" t="s">
        <v>57</v>
      </c>
      <c r="AI2" t="s">
        <v>54</v>
      </c>
      <c r="AJ2" t="s">
        <v>16</v>
      </c>
      <c r="AK2" t="s">
        <v>0</v>
      </c>
      <c r="AM2" t="s">
        <v>35</v>
      </c>
      <c r="AO2" t="s">
        <v>54</v>
      </c>
      <c r="AP2" t="s">
        <v>35</v>
      </c>
    </row>
    <row r="3" spans="1:42" x14ac:dyDescent="0.2">
      <c r="A3">
        <v>1990</v>
      </c>
    </row>
    <row r="4" spans="1:42" x14ac:dyDescent="0.2">
      <c r="A4">
        <v>1991</v>
      </c>
    </row>
    <row r="5" spans="1:42" x14ac:dyDescent="0.2">
      <c r="A5">
        <v>1992</v>
      </c>
    </row>
    <row r="6" spans="1:42" x14ac:dyDescent="0.2">
      <c r="A6">
        <v>1993</v>
      </c>
    </row>
    <row r="7" spans="1:42" x14ac:dyDescent="0.2">
      <c r="A7">
        <v>1994</v>
      </c>
    </row>
    <row r="8" spans="1:42" x14ac:dyDescent="0.2">
      <c r="A8">
        <v>1995</v>
      </c>
    </row>
    <row r="9" spans="1:42" x14ac:dyDescent="0.2">
      <c r="A9">
        <v>1996</v>
      </c>
      <c r="B9">
        <v>9.02</v>
      </c>
      <c r="C9">
        <f>F9*$D$34</f>
        <v>8.7356582983073956</v>
      </c>
      <c r="D9">
        <v>9</v>
      </c>
      <c r="F9">
        <v>7.69</v>
      </c>
      <c r="H9">
        <f>(SUM(Units!D9:F9)*'Fuel eff.'!B9)/(Units!D9+Units!E9*'Fuel eff.'!$AE$34+Units!F9*'Fuel eff.'!$AJ$34)</f>
        <v>9.02</v>
      </c>
      <c r="K9">
        <f>(C9*SUM(Units!G9:I9)/(Units!G9+Units!H9*'Fuel eff.'!$AF$34+Units!I9*'Fuel eff.'!$AK$34))</f>
        <v>8.7356582983073956</v>
      </c>
      <c r="Q9">
        <f>1/H9/10000</f>
        <v>1.1086474501108647E-5</v>
      </c>
      <c r="T9">
        <f t="shared" ref="T9:T18" si="0">1/K9/10000</f>
        <v>1.1447334200260077E-5</v>
      </c>
    </row>
    <row r="10" spans="1:42" x14ac:dyDescent="0.2">
      <c r="A10">
        <v>1997</v>
      </c>
      <c r="B10">
        <v>8.86</v>
      </c>
      <c r="C10">
        <f t="shared" ref="C10:C32" si="1">F10*$D$34</f>
        <v>8.7697375894581384</v>
      </c>
      <c r="D10">
        <v>8.84</v>
      </c>
      <c r="F10">
        <v>7.72</v>
      </c>
      <c r="H10">
        <f>(SUM(Units!D10:F10)*'Fuel eff.'!B10)/(Units!D10+Units!E10*'Fuel eff.'!$AE$34+Units!F10*'Fuel eff.'!$AJ$34)</f>
        <v>8.86</v>
      </c>
      <c r="K10">
        <f>(C10*SUM(Units!G10:I10)/(Units!G10+Units!H10*'Fuel eff.'!$AF$34+Units!I10*'Fuel eff.'!$AK$34))</f>
        <v>8.7697375894581384</v>
      </c>
      <c r="Q10">
        <f t="shared" ref="Q10:R32" si="2">1/H10/10000</f>
        <v>1.1286681715575622E-5</v>
      </c>
      <c r="T10">
        <f t="shared" si="0"/>
        <v>1.1402849740932644E-5</v>
      </c>
    </row>
    <row r="11" spans="1:42" x14ac:dyDescent="0.2">
      <c r="A11">
        <v>1998</v>
      </c>
      <c r="B11">
        <v>8.7899999999999991</v>
      </c>
      <c r="C11">
        <f t="shared" si="1"/>
        <v>8.4175849142337835</v>
      </c>
      <c r="D11">
        <v>8.76</v>
      </c>
      <c r="F11">
        <v>7.41</v>
      </c>
      <c r="H11">
        <f>(SUM(Units!D11:F11)*'Fuel eff.'!B11)/(Units!D11+Units!E11*'Fuel eff.'!$AE$34+Units!F11*'Fuel eff.'!$AJ$34)</f>
        <v>8.7899999999999991</v>
      </c>
      <c r="K11">
        <f>(C11*SUM(Units!G11:I11)/(Units!G11+Units!H11*'Fuel eff.'!$AF$34+Units!I11*'Fuel eff.'!$AK$34))</f>
        <v>8.4175849142337835</v>
      </c>
      <c r="Q11">
        <f t="shared" si="2"/>
        <v>1.1376564277588169E-5</v>
      </c>
      <c r="T11">
        <f t="shared" si="0"/>
        <v>1.1879892037786776E-5</v>
      </c>
    </row>
    <row r="12" spans="1:42" x14ac:dyDescent="0.2">
      <c r="A12">
        <v>1999</v>
      </c>
      <c r="B12">
        <v>8.7100000000000009</v>
      </c>
      <c r="C12">
        <f t="shared" si="1"/>
        <v>8.292627513347723</v>
      </c>
      <c r="D12">
        <v>8.67</v>
      </c>
      <c r="F12">
        <v>7.3</v>
      </c>
      <c r="H12">
        <f>(SUM(Units!D12:F12)*'Fuel eff.'!B12)/(Units!D12+Units!E12*'Fuel eff.'!$AE$34+Units!F12*'Fuel eff.'!$AJ$34)</f>
        <v>8.7100000000000009</v>
      </c>
      <c r="K12">
        <f>(C12*SUM(Units!G12:I12)/(Units!G12+Units!H12*'Fuel eff.'!$AF$34+Units!I12*'Fuel eff.'!$AK$34))</f>
        <v>8.292627513347723</v>
      </c>
      <c r="Q12">
        <f t="shared" si="2"/>
        <v>1.1481056257175659E-5</v>
      </c>
      <c r="T12">
        <f t="shared" si="0"/>
        <v>1.205890410958904E-5</v>
      </c>
    </row>
    <row r="13" spans="1:42" x14ac:dyDescent="0.2">
      <c r="A13">
        <v>2000</v>
      </c>
      <c r="B13">
        <v>8.58</v>
      </c>
      <c r="C13">
        <f t="shared" si="1"/>
        <v>7.6337612177666703</v>
      </c>
      <c r="D13">
        <v>8.4700000000000006</v>
      </c>
      <c r="F13">
        <v>6.72</v>
      </c>
      <c r="H13">
        <f>(SUM(Units!D13:F13)*'Fuel eff.'!B13)/(Units!D13+Units!E13*'Fuel eff.'!$AE$34+Units!F13*'Fuel eff.'!$AJ$34)</f>
        <v>8.58</v>
      </c>
      <c r="K13">
        <f>(C13*SUM(Units!G13:I13)/(Units!G13+Units!H13*'Fuel eff.'!$AF$34+Units!I13*'Fuel eff.'!$AK$34))</f>
        <v>7.6337612177666703</v>
      </c>
      <c r="Q13">
        <f t="shared" si="2"/>
        <v>1.1655011655011655E-5</v>
      </c>
      <c r="T13">
        <f t="shared" si="0"/>
        <v>1.309970238095238E-5</v>
      </c>
    </row>
    <row r="14" spans="1:42" x14ac:dyDescent="0.2">
      <c r="A14">
        <v>2001</v>
      </c>
      <c r="B14">
        <v>8.5299999999999994</v>
      </c>
      <c r="C14">
        <f t="shared" si="1"/>
        <v>7.5769623991820971</v>
      </c>
      <c r="D14">
        <v>8.4</v>
      </c>
      <c r="F14">
        <v>6.67</v>
      </c>
      <c r="H14">
        <f>(SUM(Units!D14:F14)*'Fuel eff.'!B14)/(Units!D14+Units!E14*'Fuel eff.'!$AE$34+Units!F14*'Fuel eff.'!$AJ$34)</f>
        <v>8.5299999999999994</v>
      </c>
      <c r="K14">
        <f>(C14*SUM(Units!G14:I14)/(Units!G14+Units!H14*'Fuel eff.'!$AF$34+Units!I14*'Fuel eff.'!$AK$34))</f>
        <v>7.5769623991820971</v>
      </c>
      <c r="Q14">
        <f t="shared" si="2"/>
        <v>1.172332942555686E-5</v>
      </c>
      <c r="T14">
        <f t="shared" si="0"/>
        <v>1.3197901049475263E-5</v>
      </c>
    </row>
    <row r="15" spans="1:42" x14ac:dyDescent="0.2">
      <c r="A15">
        <v>2002</v>
      </c>
      <c r="B15">
        <v>8.4</v>
      </c>
      <c r="C15">
        <f t="shared" si="1"/>
        <v>7.6337612177666703</v>
      </c>
      <c r="D15">
        <v>8.25</v>
      </c>
      <c r="F15">
        <v>6.72</v>
      </c>
      <c r="H15">
        <f>(SUM(Units!D15:F15)*'Fuel eff.'!B15)/(Units!D15+Units!E15*'Fuel eff.'!$AE$34+Units!F15*'Fuel eff.'!$AJ$34)</f>
        <v>8.4</v>
      </c>
      <c r="K15">
        <f>(C15*SUM(Units!G15:I15)/(Units!G15+Units!H15*'Fuel eff.'!$AF$34+Units!I15*'Fuel eff.'!$AK$34))</f>
        <v>7.6337612177666703</v>
      </c>
      <c r="Q15">
        <f t="shared" si="2"/>
        <v>1.1904761904761903E-5</v>
      </c>
      <c r="T15">
        <f t="shared" si="0"/>
        <v>1.309970238095238E-5</v>
      </c>
    </row>
    <row r="16" spans="1:42" x14ac:dyDescent="0.2">
      <c r="A16">
        <v>2003</v>
      </c>
      <c r="B16">
        <v>8.34</v>
      </c>
      <c r="C16">
        <f t="shared" si="1"/>
        <v>7.6564807452004997</v>
      </c>
      <c r="D16">
        <v>8.17</v>
      </c>
      <c r="F16">
        <v>6.74</v>
      </c>
      <c r="H16">
        <f>(SUM(Units!D16:F16)*'Fuel eff.'!B16)/(Units!D16+Units!E16*'Fuel eff.'!$AE$34+Units!F16*'Fuel eff.'!$AJ$34)</f>
        <v>8.34</v>
      </c>
      <c r="K16">
        <f>(C16*SUM(Units!G16:I16)/(Units!G16+Units!H16*'Fuel eff.'!$AF$34+Units!I16*'Fuel eff.'!$AK$34))</f>
        <v>7.6564807452004997</v>
      </c>
      <c r="Q16">
        <f t="shared" si="2"/>
        <v>1.1990407673860912E-5</v>
      </c>
      <c r="T16">
        <f t="shared" si="0"/>
        <v>1.3060830860534126E-5</v>
      </c>
    </row>
    <row r="17" spans="1:42" x14ac:dyDescent="0.2">
      <c r="A17">
        <v>2004</v>
      </c>
      <c r="B17">
        <v>8.23</v>
      </c>
      <c r="C17">
        <f t="shared" si="1"/>
        <v>7.5769623991820971</v>
      </c>
      <c r="D17">
        <v>8.0299999999999994</v>
      </c>
      <c r="F17">
        <v>6.67</v>
      </c>
      <c r="H17">
        <f>(SUM(Units!D17:F17)*'Fuel eff.'!B17)/(Units!D17+Units!E17*'Fuel eff.'!$AE$34+Units!F17*'Fuel eff.'!$AJ$34)</f>
        <v>8.23</v>
      </c>
      <c r="K17">
        <f>(C17*SUM(Units!G17:I17)/(Units!G17+Units!H17*'Fuel eff.'!$AF$34+Units!I17*'Fuel eff.'!$AK$34))</f>
        <v>7.5769623991820971</v>
      </c>
      <c r="Q17">
        <f t="shared" si="2"/>
        <v>1.2150668286755772E-5</v>
      </c>
      <c r="T17">
        <f t="shared" si="0"/>
        <v>1.3197901049475263E-5</v>
      </c>
    </row>
    <row r="18" spans="1:42" x14ac:dyDescent="0.2">
      <c r="A18">
        <v>2005</v>
      </c>
      <c r="B18">
        <v>8.09</v>
      </c>
      <c r="C18">
        <f t="shared" si="1"/>
        <v>7.5315233443144383</v>
      </c>
      <c r="D18">
        <v>7.9</v>
      </c>
      <c r="F18">
        <v>6.63</v>
      </c>
      <c r="H18">
        <f>(SUM(Units!D18:F18)*'Fuel eff.'!B18)/(Units!D18+Units!E18*'Fuel eff.'!$AE$34+Units!F18*'Fuel eff.'!$AJ$34)</f>
        <v>8.0903647052866088</v>
      </c>
      <c r="I18">
        <f t="shared" ref="I18:I32" si="3">H18*$AE$34</f>
        <v>5.2923127377728001</v>
      </c>
      <c r="K18">
        <f>(C18*SUM(Units!G18:I18)/(Units!G18+Units!H18*'Fuel eff.'!$AF$34+Units!I18*'Fuel eff.'!$AK$34))</f>
        <v>7.5315233443144383</v>
      </c>
      <c r="Q18">
        <f t="shared" si="2"/>
        <v>1.2360382213011422E-5</v>
      </c>
      <c r="R18">
        <f t="shared" si="2"/>
        <v>1.8895330823190105E-5</v>
      </c>
      <c r="T18">
        <f t="shared" si="0"/>
        <v>1.3277526395173453E-5</v>
      </c>
      <c r="AA18">
        <v>7.5</v>
      </c>
      <c r="AB18">
        <v>6.5</v>
      </c>
      <c r="AC18">
        <v>3.8</v>
      </c>
      <c r="AE18">
        <f>AC18/AA18</f>
        <v>0.5066666666666666</v>
      </c>
      <c r="AF18">
        <f>AC18/AB18</f>
        <v>0.58461538461538454</v>
      </c>
    </row>
    <row r="19" spans="1:42" x14ac:dyDescent="0.2">
      <c r="A19">
        <v>2006</v>
      </c>
      <c r="B19">
        <v>7.99</v>
      </c>
      <c r="C19">
        <f t="shared" si="1"/>
        <v>7.7132795637850728</v>
      </c>
      <c r="D19">
        <v>7.88</v>
      </c>
      <c r="F19">
        <v>6.79</v>
      </c>
      <c r="H19">
        <f>(SUM(Units!D19:F19)*'Fuel eff.'!B19)/(Units!D19+Units!E19*'Fuel eff.'!$AE$34+Units!F19*'Fuel eff.'!$AJ$34)</f>
        <v>7.9915238904767252</v>
      </c>
      <c r="I19">
        <f t="shared" si="3"/>
        <v>5.2276560106306516</v>
      </c>
      <c r="K19">
        <f>(C19*SUM(Units!G19:I19)/(Units!G19+Units!H19*'Fuel eff.'!$AF$34+Units!I19*'Fuel eff.'!$AK$34))</f>
        <v>7.7132971976091369</v>
      </c>
      <c r="L19">
        <f t="shared" ref="L19:L32" si="4">K19*$AF$34</f>
        <v>5.7251011682764723</v>
      </c>
      <c r="Q19">
        <f t="shared" ref="Q19:Q32" si="5">1/H19/10000</f>
        <v>1.2513257968128857E-5</v>
      </c>
      <c r="R19">
        <f t="shared" ref="R19:U32" si="6">1/I19/10000</f>
        <v>1.9129032169799606E-5</v>
      </c>
      <c r="T19">
        <f t="shared" si="6"/>
        <v>1.2964624263537602E-5</v>
      </c>
      <c r="U19">
        <f t="shared" si="6"/>
        <v>1.7466940244499601E-5</v>
      </c>
      <c r="AA19">
        <v>7.4</v>
      </c>
      <c r="AB19">
        <v>6.5</v>
      </c>
      <c r="AC19">
        <v>4</v>
      </c>
      <c r="AE19">
        <f t="shared" ref="AE19:AE30" si="7">AC19/AA19</f>
        <v>0.54054054054054046</v>
      </c>
      <c r="AF19">
        <f t="shared" ref="AF19:AF30" si="8">AC19/AB19</f>
        <v>0.61538461538461542</v>
      </c>
    </row>
    <row r="20" spans="1:42" x14ac:dyDescent="0.2">
      <c r="A20">
        <v>2007</v>
      </c>
      <c r="B20">
        <v>7.73</v>
      </c>
      <c r="C20">
        <f t="shared" si="1"/>
        <v>7.7359990912189023</v>
      </c>
      <c r="D20">
        <v>7.7</v>
      </c>
      <c r="F20">
        <v>6.81</v>
      </c>
      <c r="H20">
        <f>(SUM(Units!D20:F20)*'Fuel eff.'!B20)/(Units!D20+Units!E20*'Fuel eff.'!$AE$34+Units!F20*'Fuel eff.'!$AJ$34)</f>
        <v>7.7338203108195662</v>
      </c>
      <c r="I20">
        <f t="shared" si="3"/>
        <v>5.0590791927897909</v>
      </c>
      <c r="K20">
        <f>(C20*SUM(Units!G20:I20)/(Units!G20+Units!H20*'Fuel eff.'!$AF$34+Units!I20*'Fuel eff.'!$AK$34))</f>
        <v>7.7360104941127696</v>
      </c>
      <c r="L20">
        <f t="shared" si="4"/>
        <v>5.7419598367572702</v>
      </c>
      <c r="Q20">
        <f t="shared" si="5"/>
        <v>1.2930220250928332E-5</v>
      </c>
      <c r="R20">
        <f t="shared" si="6"/>
        <v>1.9766442901807149E-5</v>
      </c>
      <c r="T20">
        <f t="shared" ref="T20:T32" si="9">1/K20/10000</f>
        <v>1.2926559507138934E-5</v>
      </c>
      <c r="U20">
        <f t="shared" ref="U20:W32" si="10">1/L20/10000</f>
        <v>1.7415656473221566E-5</v>
      </c>
      <c r="AA20">
        <v>7.3</v>
      </c>
      <c r="AB20">
        <v>6.4</v>
      </c>
      <c r="AC20">
        <v>4.0999999999999996</v>
      </c>
      <c r="AE20">
        <f t="shared" si="7"/>
        <v>0.56164383561643827</v>
      </c>
      <c r="AF20">
        <f t="shared" si="8"/>
        <v>0.64062499999999989</v>
      </c>
    </row>
    <row r="21" spans="1:42" x14ac:dyDescent="0.2">
      <c r="A21">
        <v>2008</v>
      </c>
      <c r="B21">
        <v>7.38</v>
      </c>
      <c r="C21">
        <f t="shared" si="1"/>
        <v>7.5542428717482677</v>
      </c>
      <c r="D21">
        <v>7.4</v>
      </c>
      <c r="F21">
        <v>6.65</v>
      </c>
      <c r="H21">
        <f>(SUM(Units!D21:F21)*'Fuel eff.'!B21)/(Units!D21+Units!E21*'Fuel eff.'!$AE$34+Units!F21*'Fuel eff.'!$AJ$34)</f>
        <v>7.3876315756538622</v>
      </c>
      <c r="I21">
        <f t="shared" si="3"/>
        <v>4.8326198031909868</v>
      </c>
      <c r="K21">
        <f>(C21*SUM(Units!G21:I21)/(Units!G21+Units!H21*'Fuel eff.'!$AF$34+Units!I21*'Fuel eff.'!$AK$34))</f>
        <v>7.554252665155806</v>
      </c>
      <c r="L21">
        <f t="shared" si="4"/>
        <v>5.6070522956310889</v>
      </c>
      <c r="Q21">
        <f t="shared" si="5"/>
        <v>1.3536137932155778E-5</v>
      </c>
      <c r="R21">
        <f t="shared" si="6"/>
        <v>2.0692709973577857E-5</v>
      </c>
      <c r="T21">
        <f t="shared" si="9"/>
        <v>1.3237576823615218E-5</v>
      </c>
      <c r="U21">
        <f t="shared" si="10"/>
        <v>1.7834682954164375E-5</v>
      </c>
      <c r="AA21">
        <v>7.2</v>
      </c>
      <c r="AB21">
        <v>6.4</v>
      </c>
      <c r="AC21">
        <v>4.2</v>
      </c>
      <c r="AE21">
        <f t="shared" si="7"/>
        <v>0.58333333333333337</v>
      </c>
      <c r="AF21">
        <f t="shared" si="8"/>
        <v>0.65625</v>
      </c>
    </row>
    <row r="22" spans="1:42" x14ac:dyDescent="0.2">
      <c r="A22">
        <v>2009</v>
      </c>
      <c r="B22">
        <v>7.02</v>
      </c>
      <c r="C22">
        <f t="shared" si="1"/>
        <v>7.361126888560718</v>
      </c>
      <c r="D22">
        <v>7.09</v>
      </c>
      <c r="F22">
        <v>6.48</v>
      </c>
      <c r="H22">
        <f>(SUM(Units!D22:F22)*'Fuel eff.'!B22)/(Units!D22+Units!E22*'Fuel eff.'!$AE$34+Units!F22*'Fuel eff.'!$AJ$34)</f>
        <v>7.0295681207772676</v>
      </c>
      <c r="I22">
        <f t="shared" si="3"/>
        <v>4.5983925647160548</v>
      </c>
      <c r="K22">
        <f>(C22*SUM(Units!G22:I22)/(Units!G22+Units!H22*'Fuel eff.'!$AF$34+Units!I22*'Fuel eff.'!$AK$34))</f>
        <v>7.3611553742242242</v>
      </c>
      <c r="L22">
        <f t="shared" si="4"/>
        <v>5.4637281765700356</v>
      </c>
      <c r="Q22">
        <f t="shared" si="5"/>
        <v>1.4225625000265717E-5</v>
      </c>
      <c r="R22">
        <f t="shared" si="6"/>
        <v>2.1746729665342278E-5</v>
      </c>
      <c r="T22">
        <f t="shared" si="9"/>
        <v>1.3584823973442998E-5</v>
      </c>
      <c r="U22">
        <f t="shared" si="10"/>
        <v>1.8302521056744262E-5</v>
      </c>
      <c r="AA22">
        <v>7.1</v>
      </c>
      <c r="AB22">
        <v>6.2</v>
      </c>
      <c r="AC22">
        <v>4.4000000000000004</v>
      </c>
      <c r="AE22">
        <f t="shared" si="7"/>
        <v>0.61971830985915499</v>
      </c>
      <c r="AF22">
        <f t="shared" si="8"/>
        <v>0.70967741935483875</v>
      </c>
    </row>
    <row r="23" spans="1:42" x14ac:dyDescent="0.2">
      <c r="A23">
        <v>2010</v>
      </c>
      <c r="B23">
        <v>6.8</v>
      </c>
      <c r="C23">
        <f t="shared" si="1"/>
        <v>7.054413268204021</v>
      </c>
      <c r="D23">
        <v>6.85</v>
      </c>
      <c r="F23">
        <v>6.21</v>
      </c>
      <c r="H23">
        <f>(SUM(Units!D23:F23)*'Fuel eff.'!B23)/(Units!D23+Units!E23*'Fuel eff.'!$AE$34+Units!F23*'Fuel eff.'!$AJ$34)</f>
        <v>6.8121415261367453</v>
      </c>
      <c r="I23">
        <f t="shared" si="3"/>
        <v>4.456162939938487</v>
      </c>
      <c r="J23">
        <f t="shared" ref="J23:J32" si="11">H23*$AJ$34</f>
        <v>3.6133474066334381</v>
      </c>
      <c r="K23">
        <f>(C23*SUM(Units!G23:I23)/(Units!G23+Units!H23*'Fuel eff.'!$AF$34+Units!I23*'Fuel eff.'!$AK$34))</f>
        <v>7.0544550908291264</v>
      </c>
      <c r="L23">
        <f t="shared" si="4"/>
        <v>5.2360836160414639</v>
      </c>
      <c r="Q23">
        <f t="shared" si="5"/>
        <v>1.4679671527128607E-5</v>
      </c>
      <c r="R23">
        <f t="shared" si="6"/>
        <v>2.244083112485568E-5</v>
      </c>
      <c r="S23">
        <f t="shared" si="6"/>
        <v>2.7675168962834428E-5</v>
      </c>
      <c r="T23">
        <f t="shared" si="9"/>
        <v>1.4175439309267299E-5</v>
      </c>
      <c r="U23">
        <f t="shared" si="10"/>
        <v>1.9098243521863596E-5</v>
      </c>
      <c r="AA23">
        <v>7.05</v>
      </c>
      <c r="AB23">
        <v>6.1</v>
      </c>
      <c r="AC23">
        <v>4.4000000000000004</v>
      </c>
      <c r="AE23">
        <f t="shared" si="7"/>
        <v>0.62411347517730498</v>
      </c>
      <c r="AF23">
        <f t="shared" si="8"/>
        <v>0.7213114754098362</v>
      </c>
      <c r="AP23" s="11">
        <v>127.163185</v>
      </c>
    </row>
    <row r="24" spans="1:42" x14ac:dyDescent="0.2">
      <c r="A24">
        <v>2011</v>
      </c>
      <c r="B24">
        <v>6.58</v>
      </c>
      <c r="C24">
        <f t="shared" si="1"/>
        <v>6.8158582301488124</v>
      </c>
      <c r="D24">
        <v>6.63</v>
      </c>
      <c r="F24">
        <v>6</v>
      </c>
      <c r="H24">
        <f>(SUM(Units!D24:F24)*'Fuel eff.'!B24)/(Units!D24+Units!E24*'Fuel eff.'!$AE$34+Units!F24*'Fuel eff.'!$AJ$34)</f>
        <v>6.5950999921686249</v>
      </c>
      <c r="I24">
        <f t="shared" si="3"/>
        <v>4.3141852026314584</v>
      </c>
      <c r="J24">
        <f t="shared" si="11"/>
        <v>3.4982226017704647</v>
      </c>
      <c r="K24">
        <f>(C24*SUM(Units!G24:I24)/(Units!G24+Units!H24*'Fuel eff.'!$AF$34+Units!I24*'Fuel eff.'!$AK$34))</f>
        <v>6.8159240769113705</v>
      </c>
      <c r="L24">
        <f t="shared" si="4"/>
        <v>5.0590368678785627</v>
      </c>
      <c r="N24">
        <f t="shared" ref="N24:N31" si="12">AM24</f>
        <v>2.2999999999999998</v>
      </c>
      <c r="Q24">
        <f t="shared" si="5"/>
        <v>1.5162772379303629E-5</v>
      </c>
      <c r="R24">
        <f t="shared" si="6"/>
        <v>2.3179347965637752E-5</v>
      </c>
      <c r="S24">
        <f t="shared" si="6"/>
        <v>2.8585945316741591E-5</v>
      </c>
      <c r="T24">
        <f t="shared" si="9"/>
        <v>1.46715249277417E-5</v>
      </c>
      <c r="U24">
        <f t="shared" si="10"/>
        <v>1.9766608271809973E-5</v>
      </c>
      <c r="W24">
        <f t="shared" si="10"/>
        <v>4.347826086956522E-5</v>
      </c>
      <c r="AA24">
        <v>7</v>
      </c>
      <c r="AB24">
        <v>6</v>
      </c>
      <c r="AC24">
        <v>4.5</v>
      </c>
      <c r="AE24">
        <f t="shared" si="7"/>
        <v>0.6428571428571429</v>
      </c>
      <c r="AF24">
        <f t="shared" si="8"/>
        <v>0.75</v>
      </c>
      <c r="AM24">
        <v>2.2999999999999998</v>
      </c>
      <c r="AP24" s="11">
        <v>137.698375</v>
      </c>
    </row>
    <row r="25" spans="1:42" x14ac:dyDescent="0.2">
      <c r="A25">
        <v>2012</v>
      </c>
      <c r="B25">
        <v>6.43</v>
      </c>
      <c r="C25">
        <f t="shared" si="1"/>
        <v>6.6227422469612636</v>
      </c>
      <c r="D25">
        <v>6.47</v>
      </c>
      <c r="F25">
        <v>5.83</v>
      </c>
      <c r="H25">
        <f>(SUM(Units!D25:F25)*'Fuel eff.'!B25)/(Units!D25+Units!E25*'Fuel eff.'!$AE$34+Units!F25*'Fuel eff.'!$AJ$34)</f>
        <v>6.448437953566887</v>
      </c>
      <c r="I25">
        <f t="shared" si="3"/>
        <v>4.2182462180103437</v>
      </c>
      <c r="J25">
        <f t="shared" si="11"/>
        <v>3.4204290188274369</v>
      </c>
      <c r="K25">
        <f>(C25*SUM(Units!G25:I25)/(Units!G25+Units!H25*'Fuel eff.'!$AF$34+Units!I25*'Fuel eff.'!$AK$34))</f>
        <v>6.6241467804469334</v>
      </c>
      <c r="L25">
        <f t="shared" si="4"/>
        <v>4.9166924986796445</v>
      </c>
      <c r="N25">
        <f t="shared" si="12"/>
        <v>2.2000000000000002</v>
      </c>
      <c r="Q25">
        <f t="shared" si="5"/>
        <v>1.5507631572183467E-5</v>
      </c>
      <c r="R25">
        <f t="shared" si="6"/>
        <v>2.370653461930154E-5</v>
      </c>
      <c r="S25">
        <f t="shared" si="6"/>
        <v>2.9236098585750263E-5</v>
      </c>
      <c r="T25">
        <f t="shared" si="9"/>
        <v>1.5096283840687022E-5</v>
      </c>
      <c r="U25">
        <f t="shared" si="10"/>
        <v>2.0338876191027719E-5</v>
      </c>
      <c r="W25">
        <f t="shared" si="10"/>
        <v>4.5454545454545452E-5</v>
      </c>
      <c r="AA25">
        <v>6.65</v>
      </c>
      <c r="AB25">
        <v>5.9</v>
      </c>
      <c r="AC25">
        <v>4.5999999999999996</v>
      </c>
      <c r="AE25">
        <f t="shared" si="7"/>
        <v>0.69172932330827064</v>
      </c>
      <c r="AF25">
        <f t="shared" si="8"/>
        <v>0.77966101694915246</v>
      </c>
      <c r="AH25">
        <v>0.52</v>
      </c>
      <c r="AI25">
        <f t="shared" ref="AI25:AI30" si="13">AM25*AH25+AC25*(1-AH25)</f>
        <v>3.3519999999999999</v>
      </c>
      <c r="AJ25">
        <f t="shared" ref="AJ25:AJ30" si="14">AI25/AA25</f>
        <v>0.50406015037593976</v>
      </c>
      <c r="AK25">
        <f t="shared" ref="AK25:AK30" si="15">AI25/AB25</f>
        <v>0.56813559322033891</v>
      </c>
      <c r="AM25">
        <v>2.2000000000000002</v>
      </c>
      <c r="AO25">
        <v>32.338654844227101</v>
      </c>
      <c r="AP25" s="11">
        <v>160.30993100000001</v>
      </c>
    </row>
    <row r="26" spans="1:42" x14ac:dyDescent="0.2">
      <c r="A26">
        <v>2013</v>
      </c>
      <c r="B26">
        <v>6.22</v>
      </c>
      <c r="C26">
        <f t="shared" si="1"/>
        <v>6.4296262637737138</v>
      </c>
      <c r="D26">
        <v>6.24</v>
      </c>
      <c r="F26">
        <v>5.66</v>
      </c>
      <c r="H26">
        <f>(SUM(Units!D26:F26)*'Fuel eff.'!B26)/(Units!D26+Units!E26*'Fuel eff.'!$AE$34+Units!F26*'Fuel eff.'!$AJ$34)</f>
        <v>6.2419312473937554</v>
      </c>
      <c r="I26">
        <f t="shared" si="3"/>
        <v>4.0831598391723887</v>
      </c>
      <c r="J26">
        <f t="shared" si="11"/>
        <v>3.3108921766552415</v>
      </c>
      <c r="K26">
        <f>(C26*SUM(Units!G26:I26)/(Units!G26+Units!H26*'Fuel eff.'!$AF$34+Units!I26*'Fuel eff.'!$AK$34))</f>
        <v>6.4324101985112101</v>
      </c>
      <c r="L26">
        <f t="shared" si="4"/>
        <v>4.7743783493451941</v>
      </c>
      <c r="M26">
        <f t="shared" ref="M26:M32" si="16">K26*$AK$34</f>
        <v>3.8340925031843014</v>
      </c>
      <c r="N26">
        <f t="shared" si="12"/>
        <v>2</v>
      </c>
      <c r="Q26">
        <f t="shared" si="5"/>
        <v>1.6020682708056712E-5</v>
      </c>
      <c r="R26">
        <f t="shared" si="6"/>
        <v>2.4490836493990616E-5</v>
      </c>
      <c r="S26">
        <f t="shared" si="6"/>
        <v>3.0203339361242167E-5</v>
      </c>
      <c r="T26">
        <f t="shared" si="9"/>
        <v>1.5546272223613029E-5</v>
      </c>
      <c r="U26">
        <f t="shared" si="10"/>
        <v>2.0945135195185149E-5</v>
      </c>
      <c r="V26">
        <f t="shared" si="10"/>
        <v>2.6081791171430453E-5</v>
      </c>
      <c r="W26">
        <f t="shared" si="10"/>
        <v>5.0000000000000002E-5</v>
      </c>
      <c r="AA26">
        <v>6.3</v>
      </c>
      <c r="AB26">
        <v>5.8</v>
      </c>
      <c r="AC26">
        <v>4.8</v>
      </c>
      <c r="AE26">
        <f t="shared" si="7"/>
        <v>0.76190476190476186</v>
      </c>
      <c r="AF26">
        <f t="shared" si="8"/>
        <v>0.82758620689655171</v>
      </c>
      <c r="AH26">
        <v>0.47</v>
      </c>
      <c r="AI26">
        <f t="shared" si="13"/>
        <v>3.484</v>
      </c>
      <c r="AJ26">
        <f t="shared" si="14"/>
        <v>0.55301587301587307</v>
      </c>
      <c r="AK26">
        <f t="shared" si="15"/>
        <v>0.60068965517241379</v>
      </c>
      <c r="AM26">
        <v>2</v>
      </c>
      <c r="AO26">
        <v>41.266792434986598</v>
      </c>
      <c r="AP26" s="11">
        <v>188.548778</v>
      </c>
    </row>
    <row r="27" spans="1:42" x14ac:dyDescent="0.2">
      <c r="A27">
        <v>2014</v>
      </c>
      <c r="B27">
        <v>6.12</v>
      </c>
      <c r="C27">
        <f t="shared" si="1"/>
        <v>6.3046688628876515</v>
      </c>
      <c r="D27">
        <v>6.11</v>
      </c>
      <c r="F27">
        <v>5.55</v>
      </c>
      <c r="H27">
        <f>(SUM(Units!D27:F27)*'Fuel eff.'!B27)/(Units!D27+Units!E27*'Fuel eff.'!$AE$34+Units!F27*'Fuel eff.'!$AJ$34)</f>
        <v>6.1455872920087256</v>
      </c>
      <c r="I27">
        <f t="shared" si="3"/>
        <v>4.0201364328284903</v>
      </c>
      <c r="J27">
        <f t="shared" si="11"/>
        <v>3.2597886903287132</v>
      </c>
      <c r="K27">
        <f>(C27*SUM(Units!G27:I27)/(Units!G27+Units!H27*'Fuel eff.'!$AF$34+Units!I27*'Fuel eff.'!$AK$34))</f>
        <v>6.3082297840908197</v>
      </c>
      <c r="L27">
        <f t="shared" si="4"/>
        <v>4.6822069448911297</v>
      </c>
      <c r="M27">
        <f t="shared" si="16"/>
        <v>3.7600737168696883</v>
      </c>
      <c r="N27">
        <f t="shared" si="12"/>
        <v>1.6</v>
      </c>
      <c r="Q27">
        <f t="shared" si="5"/>
        <v>1.6271837864874643E-5</v>
      </c>
      <c r="R27">
        <f t="shared" si="6"/>
        <v>2.487477767754313E-5</v>
      </c>
      <c r="S27">
        <f t="shared" si="6"/>
        <v>3.0676835065010341E-5</v>
      </c>
      <c r="T27">
        <f t="shared" si="9"/>
        <v>1.5852307766625309E-5</v>
      </c>
      <c r="U27">
        <f t="shared" si="10"/>
        <v>2.1357449847258984E-5</v>
      </c>
      <c r="V27">
        <f t="shared" si="10"/>
        <v>2.6595223266859602E-5</v>
      </c>
      <c r="W27">
        <f t="shared" si="10"/>
        <v>6.2500000000000001E-5</v>
      </c>
      <c r="AA27">
        <v>6.1999999999999993</v>
      </c>
      <c r="AB27">
        <v>5.6</v>
      </c>
      <c r="AC27">
        <v>4.5999999999999996</v>
      </c>
      <c r="AE27">
        <f t="shared" si="7"/>
        <v>0.74193548387096775</v>
      </c>
      <c r="AF27">
        <f t="shared" si="8"/>
        <v>0.8214285714285714</v>
      </c>
      <c r="AH27">
        <v>0.51</v>
      </c>
      <c r="AI27">
        <f t="shared" si="13"/>
        <v>3.0700000000000003</v>
      </c>
      <c r="AJ27">
        <f t="shared" si="14"/>
        <v>0.49516129032258077</v>
      </c>
      <c r="AK27">
        <f t="shared" si="15"/>
        <v>0.54821428571428577</v>
      </c>
      <c r="AM27">
        <v>1.6</v>
      </c>
      <c r="AO27">
        <v>54.216472606257597</v>
      </c>
      <c r="AP27" s="11">
        <v>210.35485299999999</v>
      </c>
    </row>
    <row r="28" spans="1:42" x14ac:dyDescent="0.2">
      <c r="A28">
        <v>2015</v>
      </c>
      <c r="B28">
        <v>5.88</v>
      </c>
      <c r="C28">
        <f t="shared" si="1"/>
        <v>6.0433942973986143</v>
      </c>
      <c r="D28">
        <v>5.84</v>
      </c>
      <c r="F28">
        <v>5.32</v>
      </c>
      <c r="H28">
        <f>(SUM(Units!D28:F28)*'Fuel eff.'!B28)/(Units!D28+Units!E28*'Fuel eff.'!$AE$34+Units!F28*'Fuel eff.'!$AJ$34)</f>
        <v>5.9091788903403053</v>
      </c>
      <c r="I28">
        <f t="shared" si="3"/>
        <v>3.8654898574214842</v>
      </c>
      <c r="J28">
        <f t="shared" si="11"/>
        <v>3.1343911656593475</v>
      </c>
      <c r="K28">
        <f>(C28*SUM(Units!G28:I28)/(Units!G28+Units!H28*'Fuel eff.'!$AF$34+Units!I28*'Fuel eff.'!$AK$34))</f>
        <v>6.0478115121753593</v>
      </c>
      <c r="L28">
        <f t="shared" si="4"/>
        <v>4.4889146452963624</v>
      </c>
      <c r="M28">
        <f t="shared" si="16"/>
        <v>3.6048492033157524</v>
      </c>
      <c r="N28">
        <f t="shared" si="12"/>
        <v>1.5</v>
      </c>
      <c r="Q28">
        <f t="shared" si="5"/>
        <v>1.6922824956859797E-5</v>
      </c>
      <c r="R28">
        <f t="shared" si="6"/>
        <v>2.5869942410534758E-5</v>
      </c>
      <c r="S28">
        <f t="shared" si="6"/>
        <v>3.1904122591847621E-5</v>
      </c>
      <c r="T28">
        <f t="shared" si="9"/>
        <v>1.6534906849970698E-5</v>
      </c>
      <c r="U28">
        <f t="shared" si="10"/>
        <v>2.2277099900926697E-5</v>
      </c>
      <c r="V28">
        <f t="shared" si="10"/>
        <v>2.7740411418047571E-5</v>
      </c>
      <c r="W28">
        <f t="shared" si="10"/>
        <v>6.6666666666666656E-5</v>
      </c>
      <c r="AA28">
        <v>6.1</v>
      </c>
      <c r="AB28">
        <v>5.4</v>
      </c>
      <c r="AC28">
        <v>4.4000000000000004</v>
      </c>
      <c r="AE28">
        <f t="shared" si="7"/>
        <v>0.7213114754098362</v>
      </c>
      <c r="AF28">
        <f t="shared" si="8"/>
        <v>0.81481481481481488</v>
      </c>
      <c r="AH28">
        <v>0.43</v>
      </c>
      <c r="AI28">
        <f t="shared" si="13"/>
        <v>3.1530000000000005</v>
      </c>
      <c r="AJ28">
        <f t="shared" si="14"/>
        <v>0.51688524590163942</v>
      </c>
      <c r="AK28">
        <f t="shared" si="15"/>
        <v>0.5838888888888889</v>
      </c>
      <c r="AM28">
        <v>1.5</v>
      </c>
      <c r="AO28">
        <v>52.679859839522997</v>
      </c>
      <c r="AP28" s="11">
        <v>210.42529099999999</v>
      </c>
    </row>
    <row r="29" spans="1:42" x14ac:dyDescent="0.2">
      <c r="A29">
        <v>2016</v>
      </c>
      <c r="B29">
        <v>5.88</v>
      </c>
      <c r="C29">
        <f t="shared" si="1"/>
        <v>5.8957173690787235</v>
      </c>
      <c r="D29">
        <v>5.79</v>
      </c>
      <c r="F29">
        <v>5.19</v>
      </c>
      <c r="H29">
        <f>(SUM(Units!D29:F29)*'Fuel eff.'!B29)/(Units!D29+Units!E29*'Fuel eff.'!$AE$34+Units!F29*'Fuel eff.'!$AJ$34)</f>
        <v>5.9150765239245011</v>
      </c>
      <c r="I29">
        <f t="shared" si="3"/>
        <v>3.8693477949159409</v>
      </c>
      <c r="J29">
        <f t="shared" si="11"/>
        <v>3.1375194328767808</v>
      </c>
      <c r="K29">
        <f>(C29*SUM(Units!G29:I29)/(Units!G29+Units!H29*'Fuel eff.'!$AF$34+Units!I29*'Fuel eff.'!$AK$34))</f>
        <v>5.9007954507944396</v>
      </c>
      <c r="L29">
        <f t="shared" si="4"/>
        <v>4.3797937592207941</v>
      </c>
      <c r="M29">
        <f t="shared" si="16"/>
        <v>3.5172190364898355</v>
      </c>
      <c r="N29">
        <f t="shared" si="12"/>
        <v>1.8</v>
      </c>
      <c r="Q29">
        <f t="shared" si="5"/>
        <v>1.6905952035537246E-5</v>
      </c>
      <c r="R29">
        <f t="shared" si="6"/>
        <v>2.5844148755868672E-5</v>
      </c>
      <c r="S29">
        <f t="shared" si="6"/>
        <v>3.1872312551164131E-5</v>
      </c>
      <c r="T29">
        <f t="shared" si="9"/>
        <v>1.6946867728915553E-5</v>
      </c>
      <c r="U29">
        <f t="shared" si="10"/>
        <v>2.2832125323131864E-5</v>
      </c>
      <c r="V29">
        <f t="shared" si="10"/>
        <v>2.8431553156780203E-5</v>
      </c>
      <c r="W29">
        <f t="shared" si="10"/>
        <v>5.5555555555555558E-5</v>
      </c>
      <c r="AA29">
        <v>6.1</v>
      </c>
      <c r="AB29">
        <v>5.35</v>
      </c>
      <c r="AC29">
        <v>4.5999999999999996</v>
      </c>
      <c r="AE29">
        <f t="shared" si="7"/>
        <v>0.75409836065573765</v>
      </c>
      <c r="AF29">
        <f t="shared" si="8"/>
        <v>0.85981308411214952</v>
      </c>
      <c r="AH29">
        <v>0.41</v>
      </c>
      <c r="AI29">
        <f t="shared" si="13"/>
        <v>3.452</v>
      </c>
      <c r="AJ29">
        <f t="shared" si="14"/>
        <v>0.5659016393442623</v>
      </c>
      <c r="AK29">
        <f t="shared" si="15"/>
        <v>0.64523364485981316</v>
      </c>
      <c r="AM29">
        <v>1.8</v>
      </c>
      <c r="AO29">
        <v>53.556433506115198</v>
      </c>
      <c r="AP29" s="11">
        <v>234.644552</v>
      </c>
    </row>
    <row r="30" spans="1:42" x14ac:dyDescent="0.2">
      <c r="A30">
        <v>2017</v>
      </c>
      <c r="B30">
        <v>5.96</v>
      </c>
      <c r="C30">
        <f t="shared" si="1"/>
        <v>5.975235715097126</v>
      </c>
      <c r="D30">
        <v>5.87</v>
      </c>
      <c r="F30">
        <v>5.26</v>
      </c>
      <c r="H30">
        <f>(SUM(Units!D30:F30)*'Fuel eff.'!B30)/(Units!D30+Units!E30*'Fuel eff.'!$AE$34+Units!F30*'Fuel eff.'!$AJ$34)</f>
        <v>6.0028605401470942</v>
      </c>
      <c r="I30">
        <f t="shared" si="3"/>
        <v>3.9267717163522771</v>
      </c>
      <c r="J30">
        <f t="shared" si="11"/>
        <v>3.1840824918127653</v>
      </c>
      <c r="K30">
        <f>(C30*SUM(Units!G30:I30)/(Units!G30+Units!H30*'Fuel eff.'!$AF$34+Units!I30*'Fuel eff.'!$AK$34))</f>
        <v>5.9804990811477401</v>
      </c>
      <c r="L30">
        <f t="shared" si="4"/>
        <v>4.438952810863845</v>
      </c>
      <c r="M30">
        <f t="shared" si="16"/>
        <v>3.5647270594832836</v>
      </c>
      <c r="N30">
        <f t="shared" si="12"/>
        <v>1.6</v>
      </c>
      <c r="Q30">
        <f t="shared" si="5"/>
        <v>1.6658724508290776E-5</v>
      </c>
      <c r="R30">
        <f t="shared" si="6"/>
        <v>2.5466211744260421E-5</v>
      </c>
      <c r="S30">
        <f t="shared" si="6"/>
        <v>3.1406221496186142E-5</v>
      </c>
      <c r="T30">
        <f t="shared" si="9"/>
        <v>1.672101251804032E-5</v>
      </c>
      <c r="U30">
        <f t="shared" si="10"/>
        <v>2.252783578939183E-5</v>
      </c>
      <c r="V30">
        <f t="shared" si="10"/>
        <v>2.8052638625997711E-5</v>
      </c>
      <c r="W30">
        <f t="shared" si="10"/>
        <v>6.2500000000000001E-5</v>
      </c>
      <c r="AA30">
        <v>6.1</v>
      </c>
      <c r="AB30">
        <v>5.3</v>
      </c>
      <c r="AC30">
        <v>4.5999999999999996</v>
      </c>
      <c r="AE30">
        <f t="shared" si="7"/>
        <v>0.75409836065573765</v>
      </c>
      <c r="AF30">
        <f t="shared" si="8"/>
        <v>0.86792452830188671</v>
      </c>
      <c r="AH30">
        <v>0.42</v>
      </c>
      <c r="AI30">
        <f t="shared" si="13"/>
        <v>3.3400000000000003</v>
      </c>
      <c r="AJ30">
        <f t="shared" si="14"/>
        <v>0.54754098360655745</v>
      </c>
      <c r="AK30">
        <f t="shared" si="15"/>
        <v>0.6301886792452831</v>
      </c>
      <c r="AM30">
        <v>1.6</v>
      </c>
      <c r="AO30">
        <v>50.410160167096798</v>
      </c>
      <c r="AP30" s="11">
        <v>243.57008099999999</v>
      </c>
    </row>
    <row r="31" spans="1:42" x14ac:dyDescent="0.2">
      <c r="A31">
        <v>2018</v>
      </c>
      <c r="B31">
        <v>6.2</v>
      </c>
      <c r="C31">
        <f t="shared" si="1"/>
        <v>6.1683516982846749</v>
      </c>
      <c r="D31">
        <v>6.08</v>
      </c>
      <c r="F31">
        <v>5.43</v>
      </c>
      <c r="H31">
        <f>(SUM(Units!D31:F31)*'Fuel eff.'!B31)/(Units!D31+Units!E31*'Fuel eff.'!$AE$34+Units!F31*'Fuel eff.'!$AJ$34)</f>
        <v>6.2534226616760495</v>
      </c>
      <c r="I31">
        <f t="shared" si="3"/>
        <v>4.0906769487708559</v>
      </c>
      <c r="J31">
        <f t="shared" si="11"/>
        <v>3.3169875391541215</v>
      </c>
      <c r="K31">
        <f>(C31*SUM(Units!G31:I31)/(Units!G31+Units!H31*'Fuel eff.'!$AF$34+Units!I31*'Fuel eff.'!$AK$34))</f>
        <v>6.1742360446564595</v>
      </c>
      <c r="L31">
        <f t="shared" si="4"/>
        <v>4.5827517191265663</v>
      </c>
      <c r="M31">
        <f t="shared" si="16"/>
        <v>3.6802056151808658</v>
      </c>
      <c r="N31">
        <f t="shared" si="12"/>
        <v>1.6</v>
      </c>
      <c r="Q31">
        <f t="shared" si="5"/>
        <v>1.5991242781788539E-5</v>
      </c>
      <c r="R31">
        <f t="shared" si="6"/>
        <v>2.4445831644087038E-5</v>
      </c>
      <c r="S31">
        <f t="shared" si="6"/>
        <v>3.0147837102065635E-5</v>
      </c>
      <c r="T31">
        <f t="shared" si="9"/>
        <v>1.6196335753399932E-5</v>
      </c>
      <c r="U31">
        <f t="shared" si="10"/>
        <v>2.1820950845458228E-5</v>
      </c>
      <c r="V31">
        <f t="shared" si="10"/>
        <v>2.7172394821501146E-5</v>
      </c>
      <c r="W31">
        <f t="shared" si="10"/>
        <v>6.2500000000000001E-5</v>
      </c>
      <c r="AH31">
        <v>0.46</v>
      </c>
      <c r="AM31">
        <v>1.6</v>
      </c>
      <c r="AO31">
        <v>58.534771896813403</v>
      </c>
      <c r="AP31" s="11">
        <v>303.19926600000002</v>
      </c>
    </row>
    <row r="32" spans="1:42" x14ac:dyDescent="0.2">
      <c r="A32">
        <v>2019</v>
      </c>
      <c r="B32">
        <v>6.39</v>
      </c>
      <c r="C32">
        <f t="shared" si="1"/>
        <v>6.4409860274906281</v>
      </c>
      <c r="D32">
        <v>6.18</v>
      </c>
      <c r="F32">
        <v>5.67</v>
      </c>
      <c r="H32">
        <f>(SUM(Units!D32:F32)*'Fuel eff.'!B32)/(Units!D32+Units!E32*'Fuel eff.'!$AE$34+Units!F32*'Fuel eff.'!$AJ$34)</f>
        <v>6.4573175763024162</v>
      </c>
      <c r="I32">
        <f t="shared" si="3"/>
        <v>4.2240548239535531</v>
      </c>
      <c r="J32">
        <f t="shared" si="11"/>
        <v>3.4251390151861743</v>
      </c>
      <c r="K32">
        <f>(C32*SUM(Units!G32:I32)/(Units!G32+Units!H32*'Fuel eff.'!$AF$34+Units!I32*'Fuel eff.'!$AK$34))</f>
        <v>6.4500386327536647</v>
      </c>
      <c r="L32">
        <f t="shared" si="4"/>
        <v>4.7874628405673976</v>
      </c>
      <c r="M32">
        <f t="shared" si="16"/>
        <v>3.8446000805131719</v>
      </c>
      <c r="N32">
        <f>AM32</f>
        <v>1.8</v>
      </c>
      <c r="Q32">
        <f t="shared" si="5"/>
        <v>1.5486306630943479E-5</v>
      </c>
      <c r="R32">
        <f t="shared" si="6"/>
        <v>2.3673935156552688E-5</v>
      </c>
      <c r="S32">
        <f t="shared" si="6"/>
        <v>2.919589527800946E-5</v>
      </c>
      <c r="T32">
        <f t="shared" si="9"/>
        <v>1.5503783107932762E-5</v>
      </c>
      <c r="U32">
        <f t="shared" si="10"/>
        <v>2.0887890586352469E-5</v>
      </c>
      <c r="V32">
        <f t="shared" si="10"/>
        <v>2.6010507700622049E-5</v>
      </c>
      <c r="W32">
        <f t="shared" si="10"/>
        <v>5.5555555555555558E-5</v>
      </c>
      <c r="AH32">
        <v>0.46</v>
      </c>
      <c r="AM32">
        <v>1.8</v>
      </c>
      <c r="AO32">
        <v>50.558212415844103</v>
      </c>
      <c r="AP32" s="11">
        <v>337.88262500000002</v>
      </c>
    </row>
    <row r="34" spans="3:39" x14ac:dyDescent="0.2">
      <c r="C34" t="s">
        <v>59</v>
      </c>
      <c r="D34">
        <v>1.1359763716914688</v>
      </c>
      <c r="Q34">
        <f>AVERAGE(Q9:Q32)</f>
        <v>1.3742842751118843E-5</v>
      </c>
      <c r="R34">
        <f t="shared" ref="R34:W34" si="17">AVERAGE(R9:R32)</f>
        <v>2.2948176208423288E-5</v>
      </c>
      <c r="S34">
        <f t="shared" si="17"/>
        <v>3.009037763108518E-5</v>
      </c>
      <c r="T34">
        <f t="shared" si="17"/>
        <v>1.398670261662749E-5</v>
      </c>
      <c r="U34">
        <f t="shared" si="17"/>
        <v>2.0205144014359737E-5</v>
      </c>
      <c r="V34">
        <f t="shared" si="17"/>
        <v>2.7154931451605534E-5</v>
      </c>
      <c r="W34">
        <f t="shared" si="17"/>
        <v>5.6023398233543163E-5</v>
      </c>
      <c r="Z34" t="s">
        <v>52</v>
      </c>
      <c r="AA34">
        <f>AVERAGE(AA18:AA30)</f>
        <v>6.7692307692307674</v>
      </c>
      <c r="AB34">
        <f>AVERAGE(AB18:AB30)</f>
        <v>5.957692307692307</v>
      </c>
      <c r="AC34">
        <f>AVERAGE(AC18:AC30)</f>
        <v>4.384615384615385</v>
      </c>
      <c r="AE34">
        <f>AVERAGE(AE18:AE30)</f>
        <v>0.65415008229660709</v>
      </c>
      <c r="AF34">
        <f>AVERAGE(AF18:AF30)</f>
        <v>0.74223785517444618</v>
      </c>
      <c r="AH34">
        <f>AVERAGE(AH25:AH32)</f>
        <v>0.45999999999999996</v>
      </c>
      <c r="AI34">
        <f>AVERAGE(AI27:AI32)</f>
        <v>3.2537500000000001</v>
      </c>
      <c r="AJ34">
        <f>AVERAGE(AJ25:AJ30)</f>
        <v>0.53042753042780877</v>
      </c>
      <c r="AK34">
        <f>AVERAGE(AK25:AK30)</f>
        <v>0.59605845785017053</v>
      </c>
      <c r="AM34">
        <f>AVERAGE(AM24:AM32)</f>
        <v>1.822222222222222</v>
      </c>
    </row>
    <row r="35" spans="3:39" x14ac:dyDescent="0.2">
      <c r="AC35" t="s">
        <v>53</v>
      </c>
      <c r="AE35">
        <f>1-AE34</f>
        <v>0.34584991770339291</v>
      </c>
      <c r="AF35">
        <f>1-AF34</f>
        <v>0.25776214482555382</v>
      </c>
      <c r="AJ35">
        <f>1-AJ34</f>
        <v>0.46957246957219123</v>
      </c>
      <c r="AK35">
        <f>1-AK34</f>
        <v>0.40394154214982947</v>
      </c>
    </row>
  </sheetData>
  <mergeCells count="7">
    <mergeCell ref="B1:D1"/>
    <mergeCell ref="AO1:AP1"/>
    <mergeCell ref="AE1:AF1"/>
    <mergeCell ref="AJ1:AK1"/>
    <mergeCell ref="AA1:AD1"/>
    <mergeCell ref="H1:P1"/>
    <mergeCell ref="Q1:Y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53D7-96AF-D041-970C-8F2F5DADCDAF}">
  <dimension ref="A1:Z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5" sqref="J45"/>
    </sheetView>
  </sheetViews>
  <sheetFormatPr baseColWidth="10" defaultRowHeight="16" x14ac:dyDescent="0.2"/>
  <cols>
    <col min="14" max="14" width="19" customWidth="1"/>
    <col min="16" max="16" width="13.33203125" bestFit="1" customWidth="1"/>
  </cols>
  <sheetData>
    <row r="1" spans="1:26" x14ac:dyDescent="0.2">
      <c r="C1" s="12" t="s">
        <v>71</v>
      </c>
      <c r="D1" s="12"/>
      <c r="E1" s="12"/>
      <c r="F1" s="12"/>
      <c r="G1" s="12"/>
      <c r="H1" s="12"/>
      <c r="I1" s="12"/>
      <c r="J1" s="12"/>
      <c r="L1" t="s">
        <v>62</v>
      </c>
      <c r="N1" t="s">
        <v>68</v>
      </c>
      <c r="P1" t="s">
        <v>63</v>
      </c>
      <c r="S1" s="12" t="s">
        <v>76</v>
      </c>
      <c r="T1" s="12"/>
      <c r="U1" s="12"/>
      <c r="V1" s="12"/>
      <c r="W1" s="12"/>
      <c r="X1" s="12"/>
      <c r="Y1" s="12"/>
      <c r="Z1" s="12"/>
    </row>
    <row r="2" spans="1:26" x14ac:dyDescent="0.2">
      <c r="C2" t="s">
        <v>16</v>
      </c>
      <c r="D2" t="s">
        <v>17</v>
      </c>
      <c r="E2" t="s">
        <v>18</v>
      </c>
      <c r="F2" t="s">
        <v>0</v>
      </c>
      <c r="G2" t="s">
        <v>19</v>
      </c>
      <c r="H2" t="s">
        <v>20</v>
      </c>
      <c r="I2" t="s">
        <v>1</v>
      </c>
      <c r="J2" t="s">
        <v>21</v>
      </c>
      <c r="P2" t="s">
        <v>67</v>
      </c>
      <c r="S2" t="s">
        <v>16</v>
      </c>
      <c r="T2" t="s">
        <v>17</v>
      </c>
      <c r="U2" t="s">
        <v>18</v>
      </c>
      <c r="V2" t="s">
        <v>0</v>
      </c>
      <c r="W2" t="s">
        <v>19</v>
      </c>
      <c r="X2" t="s">
        <v>20</v>
      </c>
      <c r="Y2" t="s">
        <v>1</v>
      </c>
      <c r="Z2" t="s">
        <v>21</v>
      </c>
    </row>
    <row r="3" spans="1:26" x14ac:dyDescent="0.2">
      <c r="A3">
        <v>1990</v>
      </c>
      <c r="C3">
        <f>C$33*Q3</f>
        <v>29551.26</v>
      </c>
      <c r="F3">
        <f t="shared" ref="F3:F32" si="0">C3*1.05</f>
        <v>31028.823</v>
      </c>
      <c r="N3">
        <f t="shared" ref="N3:N31" si="1">$N$33*Q3</f>
        <v>29551.26</v>
      </c>
      <c r="P3" s="13">
        <v>98.504199999999997</v>
      </c>
      <c r="Q3">
        <f>P3/100</f>
        <v>0.98504199999999997</v>
      </c>
      <c r="S3">
        <v>0.04</v>
      </c>
      <c r="T3">
        <v>4.3999999999999997E-2</v>
      </c>
      <c r="U3">
        <v>5.0999999999999997E-2</v>
      </c>
      <c r="V3">
        <v>0.04</v>
      </c>
      <c r="W3">
        <v>4.3999999999999997E-2</v>
      </c>
      <c r="X3">
        <v>5.3999999999999999E-2</v>
      </c>
      <c r="Y3">
        <v>0.04</v>
      </c>
    </row>
    <row r="4" spans="1:26" x14ac:dyDescent="0.2">
      <c r="A4">
        <v>1991</v>
      </c>
      <c r="C4">
        <f>C$33*Q4</f>
        <v>30307.71</v>
      </c>
      <c r="F4">
        <f t="shared" si="0"/>
        <v>31823.095499999999</v>
      </c>
      <c r="N4">
        <f t="shared" si="1"/>
        <v>30307.71</v>
      </c>
      <c r="P4" s="13">
        <v>101.0257</v>
      </c>
      <c r="Q4">
        <f t="shared" ref="Q4:Q33" si="2">P4/100</f>
        <v>1.010257</v>
      </c>
    </row>
    <row r="5" spans="1:26" x14ac:dyDescent="0.2">
      <c r="A5">
        <v>1992</v>
      </c>
      <c r="C5">
        <f>C$33*Q5</f>
        <v>31292.460000000003</v>
      </c>
      <c r="F5">
        <f t="shared" si="0"/>
        <v>32857.083000000006</v>
      </c>
      <c r="N5">
        <f t="shared" si="1"/>
        <v>31292.460000000003</v>
      </c>
      <c r="P5" s="13">
        <v>104.3082</v>
      </c>
      <c r="Q5">
        <f t="shared" si="2"/>
        <v>1.0430820000000001</v>
      </c>
    </row>
    <row r="6" spans="1:26" x14ac:dyDescent="0.2">
      <c r="A6">
        <v>1993</v>
      </c>
      <c r="C6">
        <f>C$33*Q6</f>
        <v>32411.699999999997</v>
      </c>
      <c r="F6">
        <f t="shared" si="0"/>
        <v>34032.284999999996</v>
      </c>
      <c r="N6">
        <f t="shared" si="1"/>
        <v>32411.699999999997</v>
      </c>
      <c r="P6" s="13">
        <v>108.039</v>
      </c>
      <c r="Q6">
        <f t="shared" si="2"/>
        <v>1.08039</v>
      </c>
      <c r="S6" s="12" t="s">
        <v>72</v>
      </c>
      <c r="T6" s="12"/>
      <c r="U6" s="12"/>
      <c r="V6" s="12"/>
      <c r="W6" s="12"/>
      <c r="X6" s="12"/>
      <c r="Y6" s="12"/>
      <c r="Z6" s="12"/>
    </row>
    <row r="7" spans="1:26" x14ac:dyDescent="0.2">
      <c r="A7">
        <v>1994</v>
      </c>
      <c r="C7">
        <f>C$33*Q7</f>
        <v>33256.74</v>
      </c>
      <c r="F7">
        <f t="shared" si="0"/>
        <v>34919.576999999997</v>
      </c>
      <c r="N7">
        <f t="shared" si="1"/>
        <v>33256.74</v>
      </c>
      <c r="P7" s="13">
        <v>110.8558</v>
      </c>
      <c r="Q7">
        <f t="shared" si="2"/>
        <v>1.1085579999999999</v>
      </c>
      <c r="S7" t="s">
        <v>16</v>
      </c>
      <c r="T7" t="s">
        <v>17</v>
      </c>
      <c r="U7" t="s">
        <v>18</v>
      </c>
      <c r="V7" t="s">
        <v>0</v>
      </c>
      <c r="W7" t="s">
        <v>19</v>
      </c>
      <c r="X7" t="s">
        <v>20</v>
      </c>
      <c r="Y7" t="s">
        <v>1</v>
      </c>
      <c r="Z7" t="s">
        <v>21</v>
      </c>
    </row>
    <row r="8" spans="1:26" x14ac:dyDescent="0.2">
      <c r="A8">
        <v>1995</v>
      </c>
      <c r="C8">
        <f>C$33*Q8</f>
        <v>33081.839999999997</v>
      </c>
      <c r="F8">
        <f t="shared" si="0"/>
        <v>34735.932000000001</v>
      </c>
      <c r="N8">
        <f t="shared" si="1"/>
        <v>33081.839999999997</v>
      </c>
      <c r="P8" s="13">
        <v>110.2728</v>
      </c>
      <c r="Q8">
        <f t="shared" si="2"/>
        <v>1.1027279999999999</v>
      </c>
      <c r="S8">
        <f>S3*1000000</f>
        <v>40000</v>
      </c>
      <c r="T8">
        <f t="shared" ref="T8:Y8" si="3">T3*1000000</f>
        <v>44000</v>
      </c>
      <c r="U8">
        <f t="shared" si="3"/>
        <v>51000</v>
      </c>
      <c r="V8">
        <f t="shared" si="3"/>
        <v>40000</v>
      </c>
      <c r="W8">
        <f t="shared" si="3"/>
        <v>44000</v>
      </c>
      <c r="X8">
        <f t="shared" si="3"/>
        <v>54000</v>
      </c>
      <c r="Y8">
        <f t="shared" si="3"/>
        <v>40000</v>
      </c>
    </row>
    <row r="9" spans="1:26" x14ac:dyDescent="0.2">
      <c r="A9">
        <v>1996</v>
      </c>
      <c r="C9">
        <f>C$33*Q9</f>
        <v>32609.88</v>
      </c>
      <c r="F9">
        <f t="shared" si="0"/>
        <v>34240.374000000003</v>
      </c>
      <c r="N9">
        <f t="shared" si="1"/>
        <v>32609.88</v>
      </c>
      <c r="P9" s="13">
        <v>108.6996</v>
      </c>
      <c r="Q9">
        <f t="shared" si="2"/>
        <v>1.0869960000000001</v>
      </c>
    </row>
    <row r="10" spans="1:26" x14ac:dyDescent="0.2">
      <c r="A10">
        <v>1997</v>
      </c>
      <c r="C10">
        <f>C$33*Q10</f>
        <v>32369.85</v>
      </c>
      <c r="F10">
        <f t="shared" si="0"/>
        <v>33988.342499999999</v>
      </c>
      <c r="N10">
        <f t="shared" si="1"/>
        <v>32369.85</v>
      </c>
      <c r="P10" s="13">
        <v>107.8995</v>
      </c>
      <c r="Q10">
        <f t="shared" si="2"/>
        <v>1.0789949999999999</v>
      </c>
    </row>
    <row r="11" spans="1:26" x14ac:dyDescent="0.2">
      <c r="A11">
        <v>1998</v>
      </c>
      <c r="C11">
        <f>C$33*Q11</f>
        <v>32464.95</v>
      </c>
      <c r="F11">
        <f t="shared" si="0"/>
        <v>34088.197500000002</v>
      </c>
      <c r="N11">
        <f t="shared" si="1"/>
        <v>32464.95</v>
      </c>
      <c r="P11" s="13">
        <v>108.2165</v>
      </c>
      <c r="Q11">
        <f t="shared" si="2"/>
        <v>1.082165</v>
      </c>
    </row>
    <row r="12" spans="1:26" x14ac:dyDescent="0.2">
      <c r="A12">
        <v>1999</v>
      </c>
      <c r="C12">
        <f>C$33*Q12</f>
        <v>32879.340000000004</v>
      </c>
      <c r="F12">
        <f t="shared" si="0"/>
        <v>34523.307000000008</v>
      </c>
      <c r="N12">
        <f t="shared" si="1"/>
        <v>32879.340000000004</v>
      </c>
      <c r="P12" s="13">
        <v>109.59780000000001</v>
      </c>
      <c r="Q12">
        <f t="shared" si="2"/>
        <v>1.0959780000000001</v>
      </c>
    </row>
    <row r="13" spans="1:26" x14ac:dyDescent="0.2">
      <c r="A13">
        <v>2000</v>
      </c>
      <c r="C13">
        <f>C$33*Q13</f>
        <v>33145.949999999997</v>
      </c>
      <c r="F13">
        <f t="shared" si="0"/>
        <v>34803.247499999998</v>
      </c>
      <c r="N13">
        <f t="shared" si="1"/>
        <v>33145.949999999997</v>
      </c>
      <c r="P13" s="13">
        <v>110.48650000000001</v>
      </c>
      <c r="Q13">
        <f t="shared" si="2"/>
        <v>1.104865</v>
      </c>
    </row>
    <row r="14" spans="1:26" x14ac:dyDescent="0.2">
      <c r="A14">
        <v>2001</v>
      </c>
      <c r="C14">
        <f>C$33*Q14</f>
        <v>33738.39</v>
      </c>
      <c r="F14">
        <f t="shared" si="0"/>
        <v>35425.309500000003</v>
      </c>
      <c r="N14">
        <f t="shared" si="1"/>
        <v>33738.39</v>
      </c>
      <c r="P14" s="13">
        <v>112.46129999999999</v>
      </c>
      <c r="Q14">
        <f t="shared" si="2"/>
        <v>1.1246129999999999</v>
      </c>
    </row>
    <row r="15" spans="1:26" x14ac:dyDescent="0.2">
      <c r="A15">
        <v>2002</v>
      </c>
      <c r="C15">
        <f>C$33*Q15</f>
        <v>34034.61</v>
      </c>
      <c r="F15">
        <f t="shared" si="0"/>
        <v>35736.340500000006</v>
      </c>
      <c r="N15">
        <f t="shared" si="1"/>
        <v>34034.61</v>
      </c>
      <c r="P15" s="13">
        <v>113.4487</v>
      </c>
      <c r="Q15">
        <f t="shared" si="2"/>
        <v>1.134487</v>
      </c>
    </row>
    <row r="16" spans="1:26" x14ac:dyDescent="0.2">
      <c r="A16">
        <v>2003</v>
      </c>
      <c r="C16">
        <f>C$33*Q16</f>
        <v>34393.08</v>
      </c>
      <c r="F16">
        <f t="shared" si="0"/>
        <v>36112.734000000004</v>
      </c>
      <c r="N16">
        <f t="shared" si="1"/>
        <v>34393.08</v>
      </c>
      <c r="P16" s="13">
        <v>114.64360000000001</v>
      </c>
      <c r="Q16">
        <f t="shared" si="2"/>
        <v>1.146436</v>
      </c>
    </row>
    <row r="17" spans="1:17" x14ac:dyDescent="0.2">
      <c r="A17">
        <v>2004</v>
      </c>
      <c r="C17">
        <f>C$33*Q17</f>
        <v>34260.720000000001</v>
      </c>
      <c r="F17">
        <f t="shared" si="0"/>
        <v>35973.756000000001</v>
      </c>
      <c r="N17">
        <f t="shared" si="1"/>
        <v>34260.720000000001</v>
      </c>
      <c r="P17" s="13">
        <v>114.2024</v>
      </c>
      <c r="Q17">
        <f t="shared" si="2"/>
        <v>1.1420239999999999</v>
      </c>
    </row>
    <row r="18" spans="1:17" x14ac:dyDescent="0.2">
      <c r="A18">
        <v>2005</v>
      </c>
      <c r="C18">
        <f>C$33*Q18</f>
        <v>34323</v>
      </c>
      <c r="F18">
        <f t="shared" si="0"/>
        <v>36039.15</v>
      </c>
      <c r="N18">
        <f t="shared" si="1"/>
        <v>34323</v>
      </c>
      <c r="P18" s="13">
        <v>114.41</v>
      </c>
      <c r="Q18">
        <f t="shared" si="2"/>
        <v>1.1440999999999999</v>
      </c>
    </row>
    <row r="19" spans="1:17" x14ac:dyDescent="0.2">
      <c r="A19">
        <v>2006</v>
      </c>
      <c r="C19">
        <f>C$33*Q19</f>
        <v>34575.810000000005</v>
      </c>
      <c r="F19">
        <f t="shared" si="0"/>
        <v>36304.600500000008</v>
      </c>
      <c r="N19">
        <f t="shared" si="1"/>
        <v>34575.810000000005</v>
      </c>
      <c r="P19" s="13">
        <v>115.2527</v>
      </c>
      <c r="Q19">
        <f t="shared" si="2"/>
        <v>1.1525270000000001</v>
      </c>
    </row>
    <row r="20" spans="1:17" x14ac:dyDescent="0.2">
      <c r="A20">
        <v>2007</v>
      </c>
      <c r="C20">
        <f>C$33*Q20</f>
        <v>34926.720000000001</v>
      </c>
      <c r="F20">
        <f t="shared" si="0"/>
        <v>36673.056000000004</v>
      </c>
      <c r="N20">
        <f t="shared" si="1"/>
        <v>34926.720000000001</v>
      </c>
      <c r="P20" s="13">
        <v>116.4224</v>
      </c>
      <c r="Q20">
        <f t="shared" si="2"/>
        <v>1.1642239999999999</v>
      </c>
    </row>
    <row r="21" spans="1:17" x14ac:dyDescent="0.2">
      <c r="A21">
        <v>2008</v>
      </c>
      <c r="C21">
        <f>C$33*Q21</f>
        <v>35146.5</v>
      </c>
      <c r="D21">
        <f t="shared" ref="D21:D32" si="4">C21*1.15</f>
        <v>40418.474999999999</v>
      </c>
      <c r="E21">
        <f>E$33*$L22/$L$34</f>
        <v>219806.10588124115</v>
      </c>
      <c r="F21">
        <f t="shared" si="0"/>
        <v>36903.825000000004</v>
      </c>
      <c r="G21">
        <f t="shared" ref="G21:G32" si="5">F21*1.15</f>
        <v>42439.39875</v>
      </c>
      <c r="H21">
        <f>H$33*$L22/$L$34</f>
        <v>230796.41117530325</v>
      </c>
      <c r="I21">
        <f>I$33*$L22/$L$34</f>
        <v>219806.10588124115</v>
      </c>
      <c r="L21" s="11">
        <v>1001.22331</v>
      </c>
      <c r="N21">
        <f t="shared" si="1"/>
        <v>35146.5</v>
      </c>
      <c r="P21" s="13">
        <v>117.155</v>
      </c>
      <c r="Q21">
        <f t="shared" si="2"/>
        <v>1.1715500000000001</v>
      </c>
    </row>
    <row r="22" spans="1:17" x14ac:dyDescent="0.2">
      <c r="A22">
        <v>2009</v>
      </c>
      <c r="C22">
        <f>C$33*Q22</f>
        <v>35436.57</v>
      </c>
      <c r="D22">
        <f t="shared" si="4"/>
        <v>40752.055499999995</v>
      </c>
      <c r="E22">
        <f>E$33*$L23/$L$34</f>
        <v>174824.86196303801</v>
      </c>
      <c r="F22">
        <f t="shared" si="0"/>
        <v>37208.398500000003</v>
      </c>
      <c r="G22">
        <f t="shared" si="5"/>
        <v>42789.658275000002</v>
      </c>
      <c r="H22">
        <f>H$33*$L23/$L$34</f>
        <v>183566.10506118991</v>
      </c>
      <c r="I22">
        <f>I$33*$L23/$L$34</f>
        <v>174824.86196303801</v>
      </c>
      <c r="L22" s="11">
        <v>937.38762199999996</v>
      </c>
      <c r="N22">
        <f t="shared" si="1"/>
        <v>35436.57</v>
      </c>
      <c r="P22" s="13">
        <v>118.1219</v>
      </c>
      <c r="Q22">
        <f t="shared" si="2"/>
        <v>1.181219</v>
      </c>
    </row>
    <row r="23" spans="1:17" x14ac:dyDescent="0.2">
      <c r="A23">
        <v>2010</v>
      </c>
      <c r="C23">
        <f>C$33*Q23</f>
        <v>35691.78</v>
      </c>
      <c r="D23">
        <f t="shared" si="4"/>
        <v>41045.546999999999</v>
      </c>
      <c r="E23">
        <f>E$33*$L24/$L$34</f>
        <v>136270.30843113569</v>
      </c>
      <c r="F23">
        <f t="shared" si="0"/>
        <v>37476.368999999999</v>
      </c>
      <c r="G23">
        <f t="shared" si="5"/>
        <v>43097.824349999995</v>
      </c>
      <c r="H23">
        <f>H$33*$L24/$L$34</f>
        <v>143083.8238526925</v>
      </c>
      <c r="I23">
        <f>I$33*$L24/$L$34</f>
        <v>136270.30843113569</v>
      </c>
      <c r="L23" s="11">
        <v>745.56009700000004</v>
      </c>
      <c r="N23">
        <f t="shared" si="1"/>
        <v>35691.78</v>
      </c>
      <c r="P23" s="13">
        <v>118.9726</v>
      </c>
      <c r="Q23">
        <f t="shared" si="2"/>
        <v>1.1897260000000001</v>
      </c>
    </row>
    <row r="24" spans="1:17" x14ac:dyDescent="0.2">
      <c r="A24">
        <v>2011</v>
      </c>
      <c r="C24">
        <f>C$33*Q24</f>
        <v>35945.94</v>
      </c>
      <c r="D24">
        <f t="shared" si="4"/>
        <v>41337.830999999998</v>
      </c>
      <c r="E24">
        <f>E$33*$L25/$L$34</f>
        <v>105757.19171273049</v>
      </c>
      <c r="F24">
        <f t="shared" si="0"/>
        <v>37743.237000000001</v>
      </c>
      <c r="G24">
        <f t="shared" si="5"/>
        <v>43404.722549999999</v>
      </c>
      <c r="H24">
        <f>H$33*$L25/$L$34</f>
        <v>111045.05129836701</v>
      </c>
      <c r="I24">
        <f>I$33*$L25/$L$34</f>
        <v>105757.19171273049</v>
      </c>
      <c r="L24" s="11">
        <v>581.13990899999999</v>
      </c>
      <c r="N24">
        <f t="shared" si="1"/>
        <v>35945.94</v>
      </c>
      <c r="P24" s="13">
        <v>119.8198</v>
      </c>
      <c r="Q24">
        <f t="shared" si="2"/>
        <v>1.1981980000000001</v>
      </c>
    </row>
    <row r="25" spans="1:17" x14ac:dyDescent="0.2">
      <c r="A25">
        <v>2012</v>
      </c>
      <c r="C25">
        <f>C$33*Q25</f>
        <v>31483.5</v>
      </c>
      <c r="D25">
        <f t="shared" si="4"/>
        <v>36206.024999999994</v>
      </c>
      <c r="E25">
        <f>E$33*$L26/$L$34</f>
        <v>76319.744635489318</v>
      </c>
      <c r="F25">
        <f t="shared" si="0"/>
        <v>33057.675000000003</v>
      </c>
      <c r="G25">
        <f t="shared" si="5"/>
        <v>38016.326249999998</v>
      </c>
      <c r="H25">
        <f>H$33*$L26/$L$34</f>
        <v>80135.731867263792</v>
      </c>
      <c r="I25">
        <f>I$33*$L26/$L$34</f>
        <v>76319.744635489318</v>
      </c>
      <c r="L25" s="11">
        <v>451.01332400000001</v>
      </c>
      <c r="N25">
        <f t="shared" si="1"/>
        <v>31483.5</v>
      </c>
      <c r="P25" s="13">
        <v>104.94499999999999</v>
      </c>
      <c r="Q25">
        <f t="shared" si="2"/>
        <v>1.04945</v>
      </c>
    </row>
    <row r="26" spans="1:17" x14ac:dyDescent="0.2">
      <c r="A26">
        <v>2013</v>
      </c>
      <c r="C26">
        <f>C$33*Q26</f>
        <v>30711.059999999998</v>
      </c>
      <c r="D26">
        <f t="shared" si="4"/>
        <v>35317.718999999997</v>
      </c>
      <c r="E26">
        <f>E$33*$L27/$L$34</f>
        <v>67782.704633713976</v>
      </c>
      <c r="F26">
        <f t="shared" si="0"/>
        <v>32246.612999999998</v>
      </c>
      <c r="G26">
        <f t="shared" si="5"/>
        <v>37083.604949999994</v>
      </c>
      <c r="H26">
        <f>H$33*$L27/$L$34</f>
        <v>71171.83986539967</v>
      </c>
      <c r="I26">
        <f>I$33*$L27/$L$34</f>
        <v>67782.704633713976</v>
      </c>
      <c r="L26" s="11">
        <v>325.47405199999997</v>
      </c>
      <c r="N26">
        <f t="shared" si="1"/>
        <v>30711.059999999998</v>
      </c>
      <c r="P26" s="13">
        <v>102.3702</v>
      </c>
      <c r="Q26">
        <f t="shared" si="2"/>
        <v>1.0237019999999999</v>
      </c>
    </row>
    <row r="27" spans="1:17" x14ac:dyDescent="0.2">
      <c r="A27">
        <v>2014</v>
      </c>
      <c r="C27">
        <f>C$33*Q27</f>
        <v>30420.81</v>
      </c>
      <c r="D27">
        <f t="shared" si="4"/>
        <v>34983.931499999999</v>
      </c>
      <c r="E27">
        <f>E$33*$L28/$L$34</f>
        <v>61925.522880155884</v>
      </c>
      <c r="F27">
        <f t="shared" si="0"/>
        <v>31941.850500000004</v>
      </c>
      <c r="G27">
        <f t="shared" si="5"/>
        <v>36733.128075000001</v>
      </c>
      <c r="H27">
        <f>H$33*$L28/$L$34</f>
        <v>65021.799024163687</v>
      </c>
      <c r="I27">
        <f>I$33*$L28/$L$34</f>
        <v>61925.522880155884</v>
      </c>
      <c r="L27" s="11">
        <v>289.06689399999999</v>
      </c>
      <c r="N27">
        <f t="shared" si="1"/>
        <v>30420.81</v>
      </c>
      <c r="P27" s="13">
        <v>101.4027</v>
      </c>
      <c r="Q27">
        <f t="shared" si="2"/>
        <v>1.014027</v>
      </c>
    </row>
    <row r="28" spans="1:17" x14ac:dyDescent="0.2">
      <c r="A28">
        <v>2015</v>
      </c>
      <c r="C28">
        <f>C$33*Q28</f>
        <v>30194.789999999997</v>
      </c>
      <c r="D28">
        <f t="shared" si="4"/>
        <v>34724.008499999996</v>
      </c>
      <c r="E28">
        <f>E$33*$L29/$L$34</f>
        <v>57675.63458865408</v>
      </c>
      <c r="F28">
        <f t="shared" si="0"/>
        <v>31704.529499999997</v>
      </c>
      <c r="G28">
        <f t="shared" si="5"/>
        <v>36460.208924999992</v>
      </c>
      <c r="H28">
        <f>H$33*$L29/$L$34</f>
        <v>60559.416318086784</v>
      </c>
      <c r="I28">
        <f>I$33*$L29/$L$34</f>
        <v>57675.63458865408</v>
      </c>
      <c r="L28" s="11">
        <v>264.08828999999997</v>
      </c>
      <c r="N28">
        <f t="shared" si="1"/>
        <v>30194.789999999997</v>
      </c>
      <c r="P28" s="13">
        <v>100.6493</v>
      </c>
      <c r="Q28">
        <f t="shared" si="2"/>
        <v>1.0064929999999999</v>
      </c>
    </row>
    <row r="29" spans="1:17" x14ac:dyDescent="0.2">
      <c r="A29">
        <v>2016</v>
      </c>
      <c r="C29">
        <f>C$33*Q29</f>
        <v>28923.09</v>
      </c>
      <c r="D29">
        <f t="shared" si="4"/>
        <v>33261.553499999995</v>
      </c>
      <c r="E29">
        <f>E$33*$L30/$L$34</f>
        <v>51283.102297145932</v>
      </c>
      <c r="F29">
        <f t="shared" si="0"/>
        <v>30369.244500000001</v>
      </c>
      <c r="G29">
        <f t="shared" si="5"/>
        <v>34924.631174999995</v>
      </c>
      <c r="H29">
        <f>H$33*$L30/$L$34</f>
        <v>53847.25741200323</v>
      </c>
      <c r="I29">
        <f>I$33*$L30/$L$34</f>
        <v>51283.102297145932</v>
      </c>
      <c r="L29" s="11">
        <v>245.964168</v>
      </c>
      <c r="N29">
        <f t="shared" si="1"/>
        <v>28923.09</v>
      </c>
      <c r="P29" s="13">
        <v>96.410300000000007</v>
      </c>
      <c r="Q29">
        <f t="shared" si="2"/>
        <v>0.96410300000000004</v>
      </c>
    </row>
    <row r="30" spans="1:17" x14ac:dyDescent="0.2">
      <c r="A30">
        <v>2017</v>
      </c>
      <c r="C30">
        <f>C$33*Q30</f>
        <v>27821.820000000003</v>
      </c>
      <c r="D30">
        <f t="shared" si="4"/>
        <v>31995.093000000001</v>
      </c>
      <c r="E30">
        <f>E$33*$L31/$L$34</f>
        <v>46497.863467694042</v>
      </c>
      <c r="F30">
        <f t="shared" si="0"/>
        <v>29212.911000000004</v>
      </c>
      <c r="G30">
        <f t="shared" si="5"/>
        <v>33594.847650000003</v>
      </c>
      <c r="H30">
        <f>H$33*$L31/$L$34</f>
        <v>48822.75664107874</v>
      </c>
      <c r="I30">
        <f>I$33*$L31/$L$34</f>
        <v>46497.863467694042</v>
      </c>
      <c r="L30" s="11">
        <v>218.70250200000001</v>
      </c>
      <c r="N30">
        <f t="shared" si="1"/>
        <v>27821.820000000003</v>
      </c>
      <c r="P30" s="13">
        <v>92.739400000000003</v>
      </c>
      <c r="Q30">
        <f t="shared" si="2"/>
        <v>0.92739400000000005</v>
      </c>
    </row>
    <row r="31" spans="1:17" x14ac:dyDescent="0.2">
      <c r="A31">
        <v>2018</v>
      </c>
      <c r="C31">
        <f>C$33*Q31</f>
        <v>28002.689999999995</v>
      </c>
      <c r="D31">
        <f t="shared" si="4"/>
        <v>32203.093499999992</v>
      </c>
      <c r="E31">
        <f>E$33*$L32/$L$34</f>
        <v>43319.297410683343</v>
      </c>
      <c r="F31">
        <f t="shared" si="0"/>
        <v>29402.824499999995</v>
      </c>
      <c r="G31">
        <f t="shared" si="5"/>
        <v>33813.248174999993</v>
      </c>
      <c r="H31">
        <f>H$33*$L32/$L$34</f>
        <v>45485.262281217503</v>
      </c>
      <c r="I31">
        <f>I$33*$L32/$L$34</f>
        <v>43319.297410683343</v>
      </c>
      <c r="L31" s="11">
        <v>198.29531800000001</v>
      </c>
      <c r="N31">
        <f t="shared" si="1"/>
        <v>28002.689999999995</v>
      </c>
      <c r="P31" s="13">
        <v>93.342299999999994</v>
      </c>
      <c r="Q31">
        <f t="shared" si="2"/>
        <v>0.93342299999999989</v>
      </c>
    </row>
    <row r="32" spans="1:17" x14ac:dyDescent="0.2">
      <c r="A32">
        <v>2019</v>
      </c>
      <c r="C32">
        <f>C$33*Q32</f>
        <v>28896.539999999997</v>
      </c>
      <c r="D32">
        <f t="shared" si="4"/>
        <v>33231.020999999993</v>
      </c>
      <c r="E32">
        <f>E$33*$L33/$L$34</f>
        <v>39606.622898416565</v>
      </c>
      <c r="F32">
        <f t="shared" si="0"/>
        <v>30341.366999999998</v>
      </c>
      <c r="G32">
        <f t="shared" si="5"/>
        <v>34892.572049999995</v>
      </c>
      <c r="H32">
        <f>H$33*$L33/$L$34</f>
        <v>41586.954043337391</v>
      </c>
      <c r="I32">
        <f>I$33*$L33/$L$34</f>
        <v>39606.622898416565</v>
      </c>
      <c r="L32" s="11">
        <v>184.739969</v>
      </c>
      <c r="N32">
        <f>$N$33*Q32</f>
        <v>28896.539999999997</v>
      </c>
      <c r="P32" s="13">
        <v>96.321799999999996</v>
      </c>
      <c r="Q32">
        <f t="shared" si="2"/>
        <v>0.96321799999999991</v>
      </c>
    </row>
    <row r="33" spans="1:17" x14ac:dyDescent="0.2">
      <c r="A33">
        <v>2020</v>
      </c>
      <c r="C33">
        <v>30000</v>
      </c>
      <c r="D33">
        <f>C33*1.15</f>
        <v>34500</v>
      </c>
      <c r="E33">
        <f>C33*1.25</f>
        <v>37500</v>
      </c>
      <c r="F33">
        <f>C33*1.05</f>
        <v>31500</v>
      </c>
      <c r="G33">
        <f>F33*1.15</f>
        <v>36225</v>
      </c>
      <c r="H33">
        <f>F33*1.25</f>
        <v>39375</v>
      </c>
      <c r="I33">
        <f>C33*1.25</f>
        <v>37500</v>
      </c>
      <c r="L33" s="11">
        <v>168.90685500000001</v>
      </c>
      <c r="N33">
        <v>30000</v>
      </c>
      <c r="P33" s="14">
        <v>100</v>
      </c>
      <c r="Q33">
        <f t="shared" si="2"/>
        <v>1</v>
      </c>
    </row>
    <row r="34" spans="1:17" x14ac:dyDescent="0.2">
      <c r="A34">
        <v>2021</v>
      </c>
      <c r="L34" s="11">
        <v>159.92292699999999</v>
      </c>
    </row>
    <row r="35" spans="1:17" x14ac:dyDescent="0.2">
      <c r="A35">
        <v>2022</v>
      </c>
      <c r="L35" s="11">
        <v>153.222061</v>
      </c>
    </row>
    <row r="40" spans="1:17" x14ac:dyDescent="0.2">
      <c r="B40" t="s">
        <v>69</v>
      </c>
    </row>
    <row r="41" spans="1:17" x14ac:dyDescent="0.2">
      <c r="B41" s="5" t="s">
        <v>70</v>
      </c>
    </row>
  </sheetData>
  <mergeCells count="3">
    <mergeCell ref="C1:J1"/>
    <mergeCell ref="S1:Z1"/>
    <mergeCell ref="S6:Z6"/>
  </mergeCells>
  <hyperlinks>
    <hyperlink ref="B41" r:id="rId1" xr:uid="{65E53B61-5063-0645-83A3-5B1FB3AC45EF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D27-99EE-3C4F-BD00-9DEF21A76C64}">
  <dimension ref="A1:D19"/>
  <sheetViews>
    <sheetView workbookViewId="0">
      <selection activeCell="A19" sqref="A19"/>
    </sheetView>
  </sheetViews>
  <sheetFormatPr baseColWidth="10" defaultRowHeight="16" x14ac:dyDescent="0.2"/>
  <cols>
    <col min="1" max="1" width="21.83203125" customWidth="1"/>
    <col min="4" max="4" width="10.83203125" customWidth="1"/>
  </cols>
  <sheetData>
    <row r="1" spans="1:4" x14ac:dyDescent="0.2">
      <c r="B1" t="s">
        <v>34</v>
      </c>
    </row>
    <row r="2" spans="1:4" x14ac:dyDescent="0.2">
      <c r="B2" t="s">
        <v>15</v>
      </c>
    </row>
    <row r="3" spans="1:4" x14ac:dyDescent="0.2">
      <c r="A3" s="8" t="s">
        <v>64</v>
      </c>
    </row>
    <row r="4" spans="1:4" x14ac:dyDescent="0.2">
      <c r="B4" t="s">
        <v>9</v>
      </c>
      <c r="C4" t="s">
        <v>10</v>
      </c>
    </row>
    <row r="5" spans="1:4" x14ac:dyDescent="0.2">
      <c r="A5" t="s">
        <v>7</v>
      </c>
      <c r="B5" s="10" t="s">
        <v>13</v>
      </c>
      <c r="C5" s="5" t="s">
        <v>12</v>
      </c>
    </row>
    <row r="6" spans="1:4" x14ac:dyDescent="0.2">
      <c r="A6" t="s">
        <v>8</v>
      </c>
      <c r="B6" s="10" t="s">
        <v>11</v>
      </c>
      <c r="C6" s="5" t="s">
        <v>14</v>
      </c>
    </row>
    <row r="8" spans="1:4" x14ac:dyDescent="0.2">
      <c r="A8" s="8" t="s">
        <v>65</v>
      </c>
    </row>
    <row r="9" spans="1:4" x14ac:dyDescent="0.2">
      <c r="B9" t="s">
        <v>37</v>
      </c>
      <c r="C9" t="s">
        <v>10</v>
      </c>
    </row>
    <row r="10" spans="1:4" x14ac:dyDescent="0.2">
      <c r="A10" t="s">
        <v>44</v>
      </c>
      <c r="B10" t="s">
        <v>36</v>
      </c>
      <c r="C10" s="5" t="s">
        <v>41</v>
      </c>
      <c r="D10" s="5"/>
    </row>
    <row r="11" spans="1:4" x14ac:dyDescent="0.2">
      <c r="C11" s="5"/>
      <c r="D11" s="5"/>
    </row>
    <row r="12" spans="1:4" x14ac:dyDescent="0.2">
      <c r="A12" t="s">
        <v>45</v>
      </c>
      <c r="B12" s="11" t="s">
        <v>42</v>
      </c>
      <c r="C12" t="s">
        <v>46</v>
      </c>
    </row>
    <row r="13" spans="1:4" x14ac:dyDescent="0.2">
      <c r="B13" s="5" t="s">
        <v>43</v>
      </c>
      <c r="C13" t="s">
        <v>47</v>
      </c>
    </row>
    <row r="14" spans="1:4" x14ac:dyDescent="0.2">
      <c r="B14" s="5"/>
    </row>
    <row r="15" spans="1:4" x14ac:dyDescent="0.2">
      <c r="B15" t="s">
        <v>39</v>
      </c>
    </row>
    <row r="16" spans="1:4" x14ac:dyDescent="0.2">
      <c r="A16" t="s">
        <v>38</v>
      </c>
      <c r="B16" s="10" t="s">
        <v>40</v>
      </c>
    </row>
    <row r="19" spans="1:1" x14ac:dyDescent="0.2">
      <c r="A19" s="8" t="s">
        <v>66</v>
      </c>
    </row>
  </sheetData>
  <hyperlinks>
    <hyperlink ref="B6" r:id="rId1" xr:uid="{AE1A723D-8D69-4849-ABDC-E47277635FC5}"/>
    <hyperlink ref="C5" r:id="rId2" xr:uid="{3AC56B47-51EC-F345-8154-1F6E71C2EC66}"/>
    <hyperlink ref="B5" r:id="rId3" xr:uid="{E32E35A5-9E0D-004B-9185-AFB237639D20}"/>
    <hyperlink ref="C6" r:id="rId4" xr:uid="{0BBF4BAC-9B4B-0946-BC83-74CDA03F2DD7}"/>
    <hyperlink ref="B16" r:id="rId5" xr:uid="{233C2433-F935-6944-B9C2-9B9FC4E5047A}"/>
    <hyperlink ref="C10" r:id="rId6" xr:uid="{21941DD6-D1D7-D44F-A98E-EA897872F37F}"/>
    <hyperlink ref="B13" r:id="rId7" location="kw-101296" display="https://www.bfe.admin.ch/bfe/de/home/versorgung/statistik-und-geodaten/kennzahlen-fahrzeuge.html - kw-101296" xr:uid="{234A9B3F-7831-A840-99EE-7A5186DCE7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Activity</vt:lpstr>
      <vt:lpstr>Fuel eff.</vt:lpstr>
      <vt:lpstr>Costs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2023-03-06T10:24:33Z</dcterms:created>
  <dcterms:modified xsi:type="dcterms:W3CDTF">2023-03-20T16:31:40Z</dcterms:modified>
</cp:coreProperties>
</file>